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Users\B. Keizer\Documents\Instrumenten\toolbox 2016\sbo\"/>
    </mc:Choice>
  </mc:AlternateContent>
  <bookViews>
    <workbookView xWindow="0" yWindow="0" windowWidth="19200" windowHeight="13725" tabRatio="768" activeTab="1"/>
  </bookViews>
  <sheets>
    <sheet name="toel" sheetId="1" r:id="rId1"/>
    <sheet name="geg" sheetId="2" r:id="rId2"/>
    <sheet name="pers" sheetId="3" r:id="rId3"/>
    <sheet name="dir" sheetId="4" r:id="rId4"/>
    <sheet name="op" sheetId="5" r:id="rId5"/>
    <sheet name="obp" sheetId="6" r:id="rId6"/>
    <sheet name="mat" sheetId="7" r:id="rId7"/>
    <sheet name="mop" sheetId="8" r:id="rId8"/>
    <sheet name="mip" sheetId="9" r:id="rId9"/>
    <sheet name="act" sheetId="10" r:id="rId10"/>
    <sheet name="beleid" sheetId="21" state="hidden" r:id="rId11"/>
    <sheet name="begr" sheetId="11" r:id="rId12"/>
    <sheet name="bal" sheetId="12" r:id="rId13"/>
    <sheet name="liq" sheetId="13" r:id="rId14"/>
    <sheet name="ken" sheetId="14" r:id="rId15"/>
    <sheet name="graf" sheetId="15" state="hidden" r:id="rId16"/>
    <sheet name="som" sheetId="16" r:id="rId17"/>
    <sheet name="tab" sheetId="19" r:id="rId18"/>
    <sheet name="Module1" sheetId="18" state="veryHidden" r:id="rId19"/>
  </sheets>
  <definedNames>
    <definedName name="_xlnm._FilterDatabase" localSheetId="8" hidden="1">mip!$I$7:$I$146</definedName>
    <definedName name="_xlnm.Print_Area" localSheetId="9">act!$B$2:$L$64</definedName>
    <definedName name="_xlnm.Print_Area" localSheetId="12">bal!$B$2:$M$60</definedName>
    <definedName name="_xlnm.Print_Area" localSheetId="11">begr!$B$2:$L$54</definedName>
    <definedName name="_xlnm.Print_Area" localSheetId="10">beleid!$B$2:$V$77</definedName>
    <definedName name="_xlnm.Print_Area" localSheetId="3">dir!$B$2:$V$50</definedName>
    <definedName name="_xlnm.Print_Area" localSheetId="1">geg!$B$2:$L$81</definedName>
    <definedName name="_xlnm.Print_Area" localSheetId="15">graf!$B$2:$S$189</definedName>
    <definedName name="_xlnm.Print_Area" localSheetId="14">ken!$B$2:$K$80</definedName>
    <definedName name="_xlnm.Print_Area" localSheetId="13">liq!$B$2:$L$56</definedName>
    <definedName name="_xlnm.Print_Area" localSheetId="6">mat!$B$2:$N$184</definedName>
    <definedName name="_xlnm.Print_Area" localSheetId="8">mip!$B$2:$AD$149</definedName>
    <definedName name="_xlnm.Print_Area" localSheetId="7">mop!$B$2:$Q$32</definedName>
    <definedName name="_xlnm.Print_Area" localSheetId="5">obp!$B$2:$V$91</definedName>
    <definedName name="_xlnm.Print_Area" localSheetId="4">op!$B$2:$V$141</definedName>
    <definedName name="_xlnm.Print_Area" localSheetId="2">pers!$B$2:$N$146</definedName>
    <definedName name="_xlnm.Print_Area" localSheetId="16">som!$B$2:$K$70</definedName>
    <definedName name="_xlnm.Print_Area" localSheetId="17">tab!$A$1:$J$168</definedName>
    <definedName name="_xlnm.Print_Area" localSheetId="0">toel!$B$2:$P$195</definedName>
    <definedName name="groepenleerlingennu" localSheetId="17">tab!#REF!</definedName>
    <definedName name="groepenleerlingennu">tab!$A$117:$A$151</definedName>
    <definedName name="regels2013">tab!$W$61:$W$103</definedName>
    <definedName name="rugzakmat">tab!#REF!</definedName>
    <definedName name="rugzakpers">tab!#REF!</definedName>
    <definedName name="schaal2013">tab!$A$61:$A$103</definedName>
    <definedName name="vloeroppervlaknu" localSheetId="17">tab!#REF!</definedName>
    <definedName name="vloeroppervlaknu">tab!$C$117:$C$151</definedName>
  </definedNames>
  <calcPr calcId="152511"/>
</workbook>
</file>

<file path=xl/calcChain.xml><?xml version="1.0" encoding="utf-8"?>
<calcChain xmlns="http://schemas.openxmlformats.org/spreadsheetml/2006/main">
  <c r="I61" i="16" l="1"/>
  <c r="I60" i="16"/>
  <c r="H59" i="16"/>
  <c r="G59" i="16"/>
  <c r="I59" i="16"/>
  <c r="H60" i="16"/>
  <c r="F45" i="13" l="1"/>
  <c r="F39" i="13"/>
  <c r="F38" i="13"/>
  <c r="F41" i="13" s="1"/>
  <c r="F37" i="13"/>
  <c r="F26" i="13"/>
  <c r="F25" i="13"/>
  <c r="F24" i="13"/>
  <c r="F23" i="13"/>
  <c r="F20" i="13"/>
  <c r="F12" i="13"/>
  <c r="J59" i="14"/>
  <c r="J58" i="14"/>
  <c r="J57" i="14"/>
  <c r="J56" i="14"/>
  <c r="C82" i="19"/>
  <c r="C81" i="19"/>
  <c r="I75" i="19"/>
  <c r="H75" i="19"/>
  <c r="G75" i="19"/>
  <c r="F75" i="19"/>
  <c r="E75" i="19"/>
  <c r="D75" i="19"/>
  <c r="C75" i="19"/>
  <c r="J74" i="19"/>
  <c r="I74" i="19"/>
  <c r="H74" i="19"/>
  <c r="G74" i="19"/>
  <c r="F74" i="19"/>
  <c r="E74" i="19"/>
  <c r="D74" i="19"/>
  <c r="C74" i="19"/>
  <c r="I73" i="19"/>
  <c r="H73" i="19"/>
  <c r="G73" i="19"/>
  <c r="F73" i="19"/>
  <c r="E73" i="19"/>
  <c r="D73" i="19"/>
  <c r="C73" i="19"/>
  <c r="D4" i="19"/>
  <c r="E4" i="19" s="1"/>
  <c r="F4" i="19" s="1"/>
  <c r="G4" i="19" s="1"/>
  <c r="H4" i="19" s="1"/>
  <c r="F27" i="13" l="1"/>
  <c r="E33" i="19" l="1"/>
  <c r="E31" i="19"/>
  <c r="M88" i="6" l="1"/>
  <c r="L88" i="6"/>
  <c r="M87" i="6"/>
  <c r="L87" i="6"/>
  <c r="M86" i="6"/>
  <c r="L86" i="6"/>
  <c r="M85" i="6"/>
  <c r="L85" i="6"/>
  <c r="M84" i="6"/>
  <c r="L84" i="6"/>
  <c r="M83" i="6"/>
  <c r="L83" i="6"/>
  <c r="M82" i="6"/>
  <c r="L82" i="6"/>
  <c r="M81" i="6"/>
  <c r="L81" i="6"/>
  <c r="M80" i="6"/>
  <c r="L80" i="6"/>
  <c r="M79" i="6"/>
  <c r="L79" i="6"/>
  <c r="M78" i="6"/>
  <c r="L78" i="6"/>
  <c r="M77" i="6"/>
  <c r="L77" i="6"/>
  <c r="M76" i="6"/>
  <c r="L76" i="6"/>
  <c r="M75" i="6"/>
  <c r="L75" i="6"/>
  <c r="M74" i="6"/>
  <c r="L74" i="6"/>
  <c r="M73" i="6"/>
  <c r="L73" i="6"/>
  <c r="M72" i="6"/>
  <c r="L72" i="6"/>
  <c r="M71" i="6"/>
  <c r="L71" i="6"/>
  <c r="M70" i="6"/>
  <c r="L70" i="6"/>
  <c r="M69" i="6"/>
  <c r="L69" i="6"/>
  <c r="M68" i="6"/>
  <c r="L68" i="6"/>
  <c r="M67" i="6"/>
  <c r="L67" i="6"/>
  <c r="M66" i="6"/>
  <c r="L66" i="6"/>
  <c r="M65" i="6"/>
  <c r="L65" i="6"/>
  <c r="M64" i="6"/>
  <c r="L64" i="6"/>
  <c r="M63" i="6"/>
  <c r="L63" i="6"/>
  <c r="M62" i="6"/>
  <c r="L62" i="6"/>
  <c r="M61" i="6"/>
  <c r="L61" i="6"/>
  <c r="M60" i="6"/>
  <c r="L60" i="6"/>
  <c r="M59" i="6"/>
  <c r="L59" i="6"/>
  <c r="M138" i="5"/>
  <c r="L138" i="5"/>
  <c r="M137" i="5"/>
  <c r="L137" i="5"/>
  <c r="M136" i="5"/>
  <c r="L136" i="5"/>
  <c r="M135" i="5"/>
  <c r="L135" i="5"/>
  <c r="M134" i="5"/>
  <c r="L134" i="5"/>
  <c r="M133" i="5"/>
  <c r="L133" i="5"/>
  <c r="M132" i="5"/>
  <c r="L132" i="5"/>
  <c r="M131" i="5"/>
  <c r="L131" i="5"/>
  <c r="M130" i="5"/>
  <c r="L130" i="5"/>
  <c r="M129" i="5"/>
  <c r="L129" i="5"/>
  <c r="M128" i="5"/>
  <c r="L128" i="5"/>
  <c r="M127" i="5"/>
  <c r="L127" i="5"/>
  <c r="M126" i="5"/>
  <c r="L126" i="5"/>
  <c r="M125" i="5"/>
  <c r="L125" i="5"/>
  <c r="M124" i="5"/>
  <c r="L124" i="5"/>
  <c r="M123" i="5"/>
  <c r="L123" i="5"/>
  <c r="M122" i="5"/>
  <c r="L122" i="5"/>
  <c r="M121" i="5"/>
  <c r="L121" i="5"/>
  <c r="M120" i="5"/>
  <c r="L120" i="5"/>
  <c r="M119" i="5"/>
  <c r="L119" i="5"/>
  <c r="M118" i="5"/>
  <c r="L118" i="5"/>
  <c r="M117" i="5"/>
  <c r="L117" i="5"/>
  <c r="M116" i="5"/>
  <c r="L116" i="5"/>
  <c r="M115" i="5"/>
  <c r="L115" i="5"/>
  <c r="M114" i="5"/>
  <c r="L114" i="5"/>
  <c r="M113" i="5"/>
  <c r="L113" i="5"/>
  <c r="M112" i="5"/>
  <c r="L112" i="5"/>
  <c r="M111" i="5"/>
  <c r="L111" i="5"/>
  <c r="M110" i="5"/>
  <c r="L110" i="5"/>
  <c r="M109" i="5"/>
  <c r="L109" i="5"/>
  <c r="M108" i="5"/>
  <c r="L108" i="5"/>
  <c r="M107" i="5"/>
  <c r="L107" i="5"/>
  <c r="M106" i="5"/>
  <c r="L106" i="5"/>
  <c r="M105" i="5"/>
  <c r="L105" i="5"/>
  <c r="M104" i="5"/>
  <c r="L104" i="5"/>
  <c r="M103" i="5"/>
  <c r="L103" i="5"/>
  <c r="M102" i="5"/>
  <c r="L102" i="5"/>
  <c r="M101" i="5"/>
  <c r="L101" i="5"/>
  <c r="M100" i="5"/>
  <c r="L100" i="5"/>
  <c r="M99" i="5"/>
  <c r="L99" i="5"/>
  <c r="M98" i="5"/>
  <c r="L98" i="5"/>
  <c r="M97" i="5"/>
  <c r="L97" i="5"/>
  <c r="M96" i="5"/>
  <c r="L96" i="5"/>
  <c r="M95" i="5"/>
  <c r="L95" i="5"/>
  <c r="M94" i="5"/>
  <c r="L94" i="5"/>
  <c r="M93" i="5"/>
  <c r="L93" i="5"/>
  <c r="M92" i="5"/>
  <c r="L92" i="5"/>
  <c r="M91" i="5"/>
  <c r="L91" i="5"/>
  <c r="M90" i="5"/>
  <c r="L90" i="5"/>
  <c r="M89" i="5"/>
  <c r="L89" i="5"/>
  <c r="M88" i="5"/>
  <c r="L88" i="5"/>
  <c r="M87" i="5"/>
  <c r="L87" i="5"/>
  <c r="M86" i="5"/>
  <c r="L86" i="5"/>
  <c r="M85" i="5"/>
  <c r="L85" i="5"/>
  <c r="M84" i="5"/>
  <c r="L84" i="5"/>
  <c r="M47" i="4"/>
  <c r="L47" i="4"/>
  <c r="M46" i="4"/>
  <c r="L46" i="4"/>
  <c r="M45" i="4"/>
  <c r="L45" i="4"/>
  <c r="M44" i="4"/>
  <c r="L44" i="4"/>
  <c r="M43" i="4"/>
  <c r="L43" i="4"/>
  <c r="M42" i="4"/>
  <c r="L42" i="4"/>
  <c r="M41" i="4"/>
  <c r="L41" i="4"/>
  <c r="M40" i="4"/>
  <c r="L40" i="4"/>
  <c r="M39" i="4"/>
  <c r="L39" i="4"/>
  <c r="M38" i="4"/>
  <c r="L38" i="4"/>
  <c r="R215" i="6" l="1"/>
  <c r="R214" i="6"/>
  <c r="R213" i="6"/>
  <c r="R212" i="6"/>
  <c r="R211" i="6"/>
  <c r="R210" i="6"/>
  <c r="R209" i="6"/>
  <c r="R208" i="6"/>
  <c r="R207" i="6"/>
  <c r="R206" i="6"/>
  <c r="R205" i="6"/>
  <c r="R204" i="6"/>
  <c r="R203" i="6"/>
  <c r="R202" i="6"/>
  <c r="R201" i="6"/>
  <c r="R200" i="6"/>
  <c r="R199" i="6"/>
  <c r="R198" i="6"/>
  <c r="R197" i="6"/>
  <c r="R196" i="6"/>
  <c r="R195" i="6"/>
  <c r="R194" i="6"/>
  <c r="R193" i="6"/>
  <c r="R192" i="6"/>
  <c r="R191" i="6"/>
  <c r="R190" i="6"/>
  <c r="R189" i="6"/>
  <c r="R188" i="6"/>
  <c r="R173" i="6"/>
  <c r="R172" i="6"/>
  <c r="R171" i="6"/>
  <c r="R170" i="6"/>
  <c r="R169" i="6"/>
  <c r="R168" i="6"/>
  <c r="R167" i="6"/>
  <c r="R166" i="6"/>
  <c r="R165" i="6"/>
  <c r="R164" i="6"/>
  <c r="R163" i="6"/>
  <c r="R162" i="6"/>
  <c r="R161" i="6"/>
  <c r="R160" i="6"/>
  <c r="R159" i="6"/>
  <c r="R158" i="6"/>
  <c r="R157" i="6"/>
  <c r="R156" i="6"/>
  <c r="R155" i="6"/>
  <c r="R154" i="6"/>
  <c r="R153" i="6"/>
  <c r="R152" i="6"/>
  <c r="R151" i="6"/>
  <c r="R150" i="6"/>
  <c r="R149" i="6"/>
  <c r="R148" i="6"/>
  <c r="R147" i="6"/>
  <c r="R146" i="6"/>
  <c r="R131" i="6"/>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88" i="6"/>
  <c r="R87" i="6"/>
  <c r="R86" i="6"/>
  <c r="R85" i="6"/>
  <c r="R84" i="6"/>
  <c r="R83" i="6"/>
  <c r="R82" i="6"/>
  <c r="R81" i="6"/>
  <c r="R80" i="6"/>
  <c r="R79" i="6"/>
  <c r="R78" i="6"/>
  <c r="R77" i="6"/>
  <c r="R76" i="6"/>
  <c r="R75" i="6"/>
  <c r="R74" i="6"/>
  <c r="R73" i="6"/>
  <c r="R72" i="6"/>
  <c r="R71" i="6"/>
  <c r="R70" i="6"/>
  <c r="R69" i="6"/>
  <c r="R68" i="6"/>
  <c r="R67" i="6"/>
  <c r="R66" i="6"/>
  <c r="R65" i="6"/>
  <c r="R64" i="6"/>
  <c r="R63" i="6"/>
  <c r="R62" i="6"/>
  <c r="R61" i="6"/>
  <c r="R45" i="6"/>
  <c r="R44" i="6"/>
  <c r="R43" i="6"/>
  <c r="R42" i="6"/>
  <c r="R41" i="6"/>
  <c r="R40" i="6"/>
  <c r="R39" i="6"/>
  <c r="R38" i="6"/>
  <c r="R37" i="6"/>
  <c r="R36" i="6"/>
  <c r="R35" i="6"/>
  <c r="R34" i="6"/>
  <c r="R33" i="6"/>
  <c r="R32" i="6"/>
  <c r="R31" i="6"/>
  <c r="R30" i="6"/>
  <c r="R29" i="6"/>
  <c r="R28" i="6"/>
  <c r="R27" i="6"/>
  <c r="R26" i="6"/>
  <c r="R25" i="6"/>
  <c r="R24" i="6"/>
  <c r="R23" i="6"/>
  <c r="R22" i="6"/>
  <c r="R21" i="6"/>
  <c r="R20" i="6"/>
  <c r="R19" i="6"/>
  <c r="R18" i="6"/>
  <c r="R340" i="5"/>
  <c r="R339" i="5"/>
  <c r="R338" i="5"/>
  <c r="R337" i="5"/>
  <c r="R336" i="5"/>
  <c r="R335" i="5"/>
  <c r="R334" i="5"/>
  <c r="R333" i="5"/>
  <c r="R332" i="5"/>
  <c r="R331" i="5"/>
  <c r="R330" i="5"/>
  <c r="R329" i="5"/>
  <c r="R328" i="5"/>
  <c r="R327" i="5"/>
  <c r="R326" i="5"/>
  <c r="R325" i="5"/>
  <c r="R324" i="5"/>
  <c r="R323" i="5"/>
  <c r="R322" i="5"/>
  <c r="R321" i="5"/>
  <c r="R320" i="5"/>
  <c r="R319" i="5"/>
  <c r="R318" i="5"/>
  <c r="R317" i="5"/>
  <c r="R316" i="5"/>
  <c r="R315" i="5"/>
  <c r="R314" i="5"/>
  <c r="R313" i="5"/>
  <c r="R312" i="5"/>
  <c r="R311" i="5"/>
  <c r="R310" i="5"/>
  <c r="R309" i="5"/>
  <c r="R308" i="5"/>
  <c r="R307" i="5"/>
  <c r="R306" i="5"/>
  <c r="R305" i="5"/>
  <c r="R304" i="5"/>
  <c r="R303" i="5"/>
  <c r="R302" i="5"/>
  <c r="R301" i="5"/>
  <c r="R300" i="5"/>
  <c r="R299" i="5"/>
  <c r="R298" i="5"/>
  <c r="R297" i="5"/>
  <c r="R296" i="5"/>
  <c r="R295" i="5"/>
  <c r="R294" i="5"/>
  <c r="R293" i="5"/>
  <c r="R292" i="5"/>
  <c r="R291" i="5"/>
  <c r="R290" i="5"/>
  <c r="R289" i="5"/>
  <c r="R288" i="5"/>
  <c r="R273" i="5"/>
  <c r="R272" i="5"/>
  <c r="R271" i="5"/>
  <c r="R270" i="5"/>
  <c r="R269" i="5"/>
  <c r="R268" i="5"/>
  <c r="R267" i="5"/>
  <c r="R266" i="5"/>
  <c r="R265" i="5"/>
  <c r="R264" i="5"/>
  <c r="R263" i="5"/>
  <c r="R262" i="5"/>
  <c r="R261" i="5"/>
  <c r="R260" i="5"/>
  <c r="R259" i="5"/>
  <c r="R258" i="5"/>
  <c r="R257" i="5"/>
  <c r="R256" i="5"/>
  <c r="R255" i="5"/>
  <c r="R254" i="5"/>
  <c r="R253" i="5"/>
  <c r="R252" i="5"/>
  <c r="R251" i="5"/>
  <c r="R250" i="5"/>
  <c r="R249" i="5"/>
  <c r="R248" i="5"/>
  <c r="R247" i="5"/>
  <c r="R246" i="5"/>
  <c r="R245" i="5"/>
  <c r="R244" i="5"/>
  <c r="R243" i="5"/>
  <c r="R242" i="5"/>
  <c r="R241" i="5"/>
  <c r="R240" i="5"/>
  <c r="R239" i="5"/>
  <c r="R238" i="5"/>
  <c r="R237" i="5"/>
  <c r="R236" i="5"/>
  <c r="R235" i="5"/>
  <c r="R234" i="5"/>
  <c r="R233" i="5"/>
  <c r="R232" i="5"/>
  <c r="R231" i="5"/>
  <c r="R230" i="5"/>
  <c r="R229" i="5"/>
  <c r="R228" i="5"/>
  <c r="R227" i="5"/>
  <c r="R226" i="5"/>
  <c r="R225" i="5"/>
  <c r="R224" i="5"/>
  <c r="R223" i="5"/>
  <c r="R222" i="5"/>
  <c r="R221" i="5"/>
  <c r="R206" i="5"/>
  <c r="R205" i="5"/>
  <c r="R204" i="5"/>
  <c r="R203" i="5"/>
  <c r="R202" i="5"/>
  <c r="R201" i="5"/>
  <c r="R200" i="5"/>
  <c r="R199" i="5"/>
  <c r="R198" i="5"/>
  <c r="R197" i="5"/>
  <c r="R196" i="5"/>
  <c r="R195" i="5"/>
  <c r="R194" i="5"/>
  <c r="R193" i="5"/>
  <c r="R192" i="5"/>
  <c r="R191" i="5"/>
  <c r="R190" i="5"/>
  <c r="R189" i="5"/>
  <c r="R188" i="5"/>
  <c r="R187" i="5"/>
  <c r="R186" i="5"/>
  <c r="R185" i="5"/>
  <c r="R184" i="5"/>
  <c r="R183" i="5"/>
  <c r="R182" i="5"/>
  <c r="R181" i="5"/>
  <c r="R180" i="5"/>
  <c r="R179" i="5"/>
  <c r="R178" i="5"/>
  <c r="R177" i="5"/>
  <c r="R176" i="5"/>
  <c r="R175" i="5"/>
  <c r="R174" i="5"/>
  <c r="R173" i="5"/>
  <c r="R172" i="5"/>
  <c r="R171" i="5"/>
  <c r="R170" i="5"/>
  <c r="R169" i="5"/>
  <c r="R168" i="5"/>
  <c r="R167" i="5"/>
  <c r="R166" i="5"/>
  <c r="R165" i="5"/>
  <c r="R164" i="5"/>
  <c r="R163" i="5"/>
  <c r="R162" i="5"/>
  <c r="R161" i="5"/>
  <c r="R160" i="5"/>
  <c r="R159" i="5"/>
  <c r="R158" i="5"/>
  <c r="R157" i="5"/>
  <c r="R156" i="5"/>
  <c r="R155" i="5"/>
  <c r="R154" i="5"/>
  <c r="R138" i="5"/>
  <c r="R137" i="5"/>
  <c r="R136" i="5"/>
  <c r="R135" i="5"/>
  <c r="R134" i="5"/>
  <c r="R133" i="5"/>
  <c r="R132" i="5"/>
  <c r="R131" i="5"/>
  <c r="R130" i="5"/>
  <c r="R129" i="5"/>
  <c r="R128" i="5"/>
  <c r="R127" i="5"/>
  <c r="R126" i="5"/>
  <c r="R125" i="5"/>
  <c r="R124" i="5"/>
  <c r="R123" i="5"/>
  <c r="R122" i="5"/>
  <c r="R121" i="5"/>
  <c r="R120" i="5"/>
  <c r="R119" i="5"/>
  <c r="R118" i="5"/>
  <c r="R117" i="5"/>
  <c r="R116" i="5"/>
  <c r="R115" i="5"/>
  <c r="R114" i="5"/>
  <c r="R113" i="5"/>
  <c r="R112" i="5"/>
  <c r="R111" i="5"/>
  <c r="R110" i="5"/>
  <c r="R109" i="5"/>
  <c r="R108" i="5"/>
  <c r="R107" i="5"/>
  <c r="R106" i="5"/>
  <c r="R105" i="5"/>
  <c r="R104" i="5"/>
  <c r="R103" i="5"/>
  <c r="R102" i="5"/>
  <c r="R101" i="5"/>
  <c r="R100" i="5"/>
  <c r="R99" i="5"/>
  <c r="R98" i="5"/>
  <c r="R97" i="5"/>
  <c r="R96" i="5"/>
  <c r="R95" i="5"/>
  <c r="R94" i="5"/>
  <c r="R93" i="5"/>
  <c r="R92" i="5"/>
  <c r="R91" i="5"/>
  <c r="R90" i="5"/>
  <c r="R89" i="5"/>
  <c r="R88" i="5"/>
  <c r="R87" i="5"/>
  <c r="R86"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8" i="5"/>
  <c r="R17" i="5"/>
  <c r="R114" i="4"/>
  <c r="R113" i="4"/>
  <c r="R112" i="4"/>
  <c r="R111" i="4"/>
  <c r="R110" i="4"/>
  <c r="R109" i="4"/>
  <c r="R108" i="4"/>
  <c r="R107" i="4"/>
  <c r="R92" i="4"/>
  <c r="R91" i="4"/>
  <c r="R90" i="4"/>
  <c r="R89" i="4"/>
  <c r="R88" i="4"/>
  <c r="R87" i="4"/>
  <c r="R86" i="4"/>
  <c r="R85" i="4"/>
  <c r="R70" i="4"/>
  <c r="R69" i="4"/>
  <c r="R68" i="4"/>
  <c r="R67" i="4"/>
  <c r="R66" i="4"/>
  <c r="R65" i="4"/>
  <c r="R64" i="4"/>
  <c r="R63" i="4"/>
  <c r="R47" i="4"/>
  <c r="R46" i="4"/>
  <c r="R45" i="4"/>
  <c r="R44" i="4"/>
  <c r="R43" i="4"/>
  <c r="R42" i="4"/>
  <c r="R41" i="4"/>
  <c r="R40" i="4"/>
  <c r="R25" i="4"/>
  <c r="R24" i="4"/>
  <c r="R23" i="4"/>
  <c r="R22" i="4"/>
  <c r="R21" i="4"/>
  <c r="R20" i="4"/>
  <c r="R19" i="4"/>
  <c r="R18" i="4"/>
  <c r="R17" i="4"/>
  <c r="K77" i="3" l="1"/>
  <c r="L59" i="3"/>
  <c r="I215" i="6"/>
  <c r="I214" i="6"/>
  <c r="I213" i="6"/>
  <c r="I212" i="6"/>
  <c r="I211" i="6"/>
  <c r="I210" i="6"/>
  <c r="I209" i="6"/>
  <c r="I208" i="6"/>
  <c r="I207" i="6"/>
  <c r="I206" i="6"/>
  <c r="I205" i="6"/>
  <c r="I204" i="6"/>
  <c r="I203" i="6"/>
  <c r="I202" i="6"/>
  <c r="I201" i="6"/>
  <c r="I200" i="6"/>
  <c r="I199" i="6"/>
  <c r="I198" i="6"/>
  <c r="I197" i="6"/>
  <c r="I196" i="6"/>
  <c r="I195" i="6"/>
  <c r="I194" i="6"/>
  <c r="I193" i="6"/>
  <c r="I192" i="6"/>
  <c r="I191" i="6"/>
  <c r="I190" i="6"/>
  <c r="I189" i="6"/>
  <c r="I188" i="6"/>
  <c r="I173" i="6"/>
  <c r="I172" i="6"/>
  <c r="I171" i="6"/>
  <c r="I170" i="6"/>
  <c r="I169" i="6"/>
  <c r="I168" i="6"/>
  <c r="I167" i="6"/>
  <c r="I166" i="6"/>
  <c r="I165" i="6"/>
  <c r="I164" i="6"/>
  <c r="I163" i="6"/>
  <c r="I162" i="6"/>
  <c r="I161" i="6"/>
  <c r="I160" i="6"/>
  <c r="I159" i="6"/>
  <c r="I158" i="6"/>
  <c r="I157" i="6"/>
  <c r="I156" i="6"/>
  <c r="I155" i="6"/>
  <c r="I154" i="6"/>
  <c r="I153" i="6"/>
  <c r="I152" i="6"/>
  <c r="I151" i="6"/>
  <c r="I150" i="6"/>
  <c r="I149" i="6"/>
  <c r="I148" i="6"/>
  <c r="I147" i="6"/>
  <c r="I146"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114" i="4"/>
  <c r="I113" i="4"/>
  <c r="I112" i="4"/>
  <c r="I111" i="4"/>
  <c r="I110" i="4"/>
  <c r="I109" i="4"/>
  <c r="I108" i="4"/>
  <c r="I107" i="4"/>
  <c r="I92" i="4"/>
  <c r="I91" i="4"/>
  <c r="I90" i="4"/>
  <c r="I89" i="4"/>
  <c r="I88" i="4"/>
  <c r="I87" i="4"/>
  <c r="I86" i="4"/>
  <c r="I85" i="4"/>
  <c r="I70" i="4"/>
  <c r="I69" i="4"/>
  <c r="I68" i="4"/>
  <c r="I67" i="4"/>
  <c r="I66" i="4"/>
  <c r="I65" i="4"/>
  <c r="I64" i="4"/>
  <c r="I63" i="4"/>
  <c r="I47" i="4"/>
  <c r="I46" i="4"/>
  <c r="I45" i="4"/>
  <c r="I44" i="4"/>
  <c r="I43" i="4"/>
  <c r="I42" i="4"/>
  <c r="I41" i="4"/>
  <c r="I40" i="4"/>
  <c r="Z184" i="6" l="1"/>
  <c r="Z142" i="6"/>
  <c r="Z100" i="6"/>
  <c r="Z57" i="6"/>
  <c r="Z14" i="6"/>
  <c r="Z284" i="5"/>
  <c r="Z217" i="5"/>
  <c r="Z150" i="5"/>
  <c r="Z82" i="5"/>
  <c r="Z14" i="5"/>
  <c r="Z103" i="4"/>
  <c r="Z81" i="4"/>
  <c r="Z59" i="4"/>
  <c r="Z36" i="4"/>
  <c r="Z14" i="4"/>
  <c r="Z215" i="6"/>
  <c r="T215" i="6"/>
  <c r="S215" i="6"/>
  <c r="P215" i="6"/>
  <c r="N215" i="6"/>
  <c r="AD215" i="6" s="1"/>
  <c r="Z214" i="6"/>
  <c r="T214" i="6"/>
  <c r="S214" i="6"/>
  <c r="P214" i="6"/>
  <c r="N214" i="6"/>
  <c r="AD214" i="6" s="1"/>
  <c r="AD213" i="6"/>
  <c r="Z213" i="6"/>
  <c r="T213" i="6"/>
  <c r="S213" i="6"/>
  <c r="P213" i="6"/>
  <c r="N213" i="6"/>
  <c r="Z212" i="6"/>
  <c r="T212" i="6"/>
  <c r="S212" i="6"/>
  <c r="P212" i="6"/>
  <c r="N212" i="6"/>
  <c r="AD212" i="6" s="1"/>
  <c r="Z211" i="6"/>
  <c r="T211" i="6"/>
  <c r="S211" i="6"/>
  <c r="P211" i="6"/>
  <c r="AD211" i="6"/>
  <c r="N211" i="6"/>
  <c r="Z210" i="6"/>
  <c r="T210" i="6"/>
  <c r="S210" i="6"/>
  <c r="P210" i="6"/>
  <c r="N210" i="6"/>
  <c r="AD210" i="6" s="1"/>
  <c r="AD209" i="6"/>
  <c r="Z209" i="6"/>
  <c r="T209" i="6"/>
  <c r="S209" i="6"/>
  <c r="P209" i="6"/>
  <c r="N209" i="6"/>
  <c r="Z208" i="6"/>
  <c r="T208" i="6"/>
  <c r="S208" i="6"/>
  <c r="P208" i="6"/>
  <c r="N208" i="6"/>
  <c r="AD208" i="6" s="1"/>
  <c r="Z207" i="6"/>
  <c r="T207" i="6"/>
  <c r="S207" i="6"/>
  <c r="P207" i="6"/>
  <c r="AD207" i="6"/>
  <c r="N207" i="6"/>
  <c r="Z206" i="6"/>
  <c r="T206" i="6"/>
  <c r="S206" i="6"/>
  <c r="P206" i="6"/>
  <c r="N206" i="6"/>
  <c r="AD206" i="6" s="1"/>
  <c r="AD205" i="6"/>
  <c r="Z205" i="6"/>
  <c r="T205" i="6"/>
  <c r="S205" i="6"/>
  <c r="P205" i="6"/>
  <c r="N205" i="6"/>
  <c r="Z204" i="6"/>
  <c r="T204" i="6"/>
  <c r="S204" i="6"/>
  <c r="P204" i="6"/>
  <c r="N204" i="6"/>
  <c r="AD204" i="6" s="1"/>
  <c r="Z203" i="6"/>
  <c r="T203" i="6"/>
  <c r="S203" i="6"/>
  <c r="P203" i="6"/>
  <c r="AD203" i="6"/>
  <c r="N203" i="6"/>
  <c r="Z202" i="6"/>
  <c r="T202" i="6"/>
  <c r="S202" i="6"/>
  <c r="P202" i="6"/>
  <c r="N202" i="6"/>
  <c r="AD202" i="6" s="1"/>
  <c r="AD201" i="6"/>
  <c r="Z201" i="6"/>
  <c r="T201" i="6"/>
  <c r="S201" i="6"/>
  <c r="P201" i="6"/>
  <c r="N201" i="6"/>
  <c r="Z200" i="6"/>
  <c r="T200" i="6"/>
  <c r="S200" i="6"/>
  <c r="P200" i="6"/>
  <c r="N200" i="6"/>
  <c r="AD200" i="6" s="1"/>
  <c r="Z199" i="6"/>
  <c r="T199" i="6"/>
  <c r="S199" i="6"/>
  <c r="P199" i="6"/>
  <c r="AD199" i="6"/>
  <c r="N199" i="6"/>
  <c r="Z198" i="6"/>
  <c r="T198" i="6"/>
  <c r="S198" i="6"/>
  <c r="P198" i="6"/>
  <c r="N198" i="6"/>
  <c r="AD198" i="6" s="1"/>
  <c r="AD197" i="6"/>
  <c r="Z197" i="6"/>
  <c r="T197" i="6"/>
  <c r="S197" i="6"/>
  <c r="P197" i="6"/>
  <c r="N197" i="6"/>
  <c r="Z196" i="6"/>
  <c r="T196" i="6"/>
  <c r="S196" i="6"/>
  <c r="P196" i="6"/>
  <c r="N196" i="6"/>
  <c r="AD196" i="6" s="1"/>
  <c r="Z195" i="6"/>
  <c r="T195" i="6"/>
  <c r="S195" i="6"/>
  <c r="P195" i="6"/>
  <c r="AD195" i="6"/>
  <c r="N195" i="6"/>
  <c r="Z194" i="6"/>
  <c r="T194" i="6"/>
  <c r="S194" i="6"/>
  <c r="P194" i="6"/>
  <c r="N194" i="6"/>
  <c r="AD194" i="6" s="1"/>
  <c r="AD193" i="6"/>
  <c r="Z193" i="6"/>
  <c r="T193" i="6"/>
  <c r="S193" i="6"/>
  <c r="P193" i="6"/>
  <c r="N193" i="6"/>
  <c r="Z192" i="6"/>
  <c r="T192" i="6"/>
  <c r="S192" i="6"/>
  <c r="P192" i="6"/>
  <c r="N192" i="6"/>
  <c r="AD192" i="6" s="1"/>
  <c r="Z191" i="6"/>
  <c r="T191" i="6"/>
  <c r="S191" i="6"/>
  <c r="P191" i="6"/>
  <c r="AD191" i="6"/>
  <c r="N191" i="6"/>
  <c r="Z190" i="6"/>
  <c r="T190" i="6"/>
  <c r="S190" i="6"/>
  <c r="P190" i="6"/>
  <c r="N190" i="6"/>
  <c r="AD190" i="6" s="1"/>
  <c r="AD189" i="6"/>
  <c r="Z189" i="6"/>
  <c r="T189" i="6"/>
  <c r="S189" i="6"/>
  <c r="P189" i="6"/>
  <c r="N189" i="6"/>
  <c r="Z188" i="6"/>
  <c r="T188" i="6"/>
  <c r="S188" i="6"/>
  <c r="P188" i="6"/>
  <c r="N188" i="6"/>
  <c r="AD188" i="6" s="1"/>
  <c r="Z187" i="6"/>
  <c r="Z186" i="6"/>
  <c r="Z173" i="6"/>
  <c r="T173" i="6"/>
  <c r="S173" i="6"/>
  <c r="P173" i="6"/>
  <c r="N173" i="6"/>
  <c r="AD173" i="6" s="1"/>
  <c r="AD172" i="6"/>
  <c r="Z172" i="6"/>
  <c r="T172" i="6"/>
  <c r="S172" i="6"/>
  <c r="P172" i="6"/>
  <c r="N172" i="6"/>
  <c r="AD171" i="6"/>
  <c r="Z171" i="6"/>
  <c r="T171" i="6"/>
  <c r="S171" i="6"/>
  <c r="P171" i="6"/>
  <c r="N171" i="6"/>
  <c r="Z170" i="6"/>
  <c r="T170" i="6"/>
  <c r="S170" i="6"/>
  <c r="P170" i="6"/>
  <c r="N170" i="6"/>
  <c r="AD170" i="6" s="1"/>
  <c r="Z169" i="6"/>
  <c r="T169" i="6"/>
  <c r="S169" i="6"/>
  <c r="P169" i="6"/>
  <c r="N169" i="6"/>
  <c r="AD169" i="6" s="1"/>
  <c r="AD168" i="6"/>
  <c r="Z168" i="6"/>
  <c r="T168" i="6"/>
  <c r="S168" i="6"/>
  <c r="P168" i="6"/>
  <c r="N168" i="6"/>
  <c r="AD167" i="6"/>
  <c r="Z167" i="6"/>
  <c r="T167" i="6"/>
  <c r="S167" i="6"/>
  <c r="P167" i="6"/>
  <c r="N167" i="6"/>
  <c r="Z166" i="6"/>
  <c r="T166" i="6"/>
  <c r="S166" i="6"/>
  <c r="P166" i="6"/>
  <c r="N166" i="6"/>
  <c r="AD166" i="6" s="1"/>
  <c r="Z165" i="6"/>
  <c r="T165" i="6"/>
  <c r="S165" i="6"/>
  <c r="P165" i="6"/>
  <c r="N165" i="6"/>
  <c r="AD165" i="6" s="1"/>
  <c r="AD164" i="6"/>
  <c r="Z164" i="6"/>
  <c r="T164" i="6"/>
  <c r="S164" i="6"/>
  <c r="P164" i="6"/>
  <c r="N164" i="6"/>
  <c r="AD163" i="6"/>
  <c r="Z163" i="6"/>
  <c r="T163" i="6"/>
  <c r="S163" i="6"/>
  <c r="P163" i="6"/>
  <c r="N163" i="6"/>
  <c r="Z162" i="6"/>
  <c r="T162" i="6"/>
  <c r="S162" i="6"/>
  <c r="P162" i="6"/>
  <c r="N162" i="6"/>
  <c r="AD162" i="6" s="1"/>
  <c r="Z161" i="6"/>
  <c r="T161" i="6"/>
  <c r="S161" i="6"/>
  <c r="P161" i="6"/>
  <c r="N161" i="6"/>
  <c r="AD161" i="6" s="1"/>
  <c r="AD160" i="6"/>
  <c r="Z160" i="6"/>
  <c r="T160" i="6"/>
  <c r="S160" i="6"/>
  <c r="P160" i="6"/>
  <c r="N160" i="6"/>
  <c r="AD159" i="6"/>
  <c r="Z159" i="6"/>
  <c r="T159" i="6"/>
  <c r="S159" i="6"/>
  <c r="P159" i="6"/>
  <c r="N159" i="6"/>
  <c r="Z158" i="6"/>
  <c r="T158" i="6"/>
  <c r="S158" i="6"/>
  <c r="P158" i="6"/>
  <c r="N158" i="6"/>
  <c r="AD158" i="6" s="1"/>
  <c r="Z157" i="6"/>
  <c r="T157" i="6"/>
  <c r="S157" i="6"/>
  <c r="P157" i="6"/>
  <c r="N157" i="6"/>
  <c r="AD157" i="6" s="1"/>
  <c r="AD156" i="6"/>
  <c r="Z156" i="6"/>
  <c r="T156" i="6"/>
  <c r="S156" i="6"/>
  <c r="P156" i="6"/>
  <c r="N156" i="6"/>
  <c r="AD155" i="6"/>
  <c r="Z155" i="6"/>
  <c r="T155" i="6"/>
  <c r="S155" i="6"/>
  <c r="P155" i="6"/>
  <c r="N155" i="6"/>
  <c r="Z154" i="6"/>
  <c r="T154" i="6"/>
  <c r="S154" i="6"/>
  <c r="P154" i="6"/>
  <c r="N154" i="6"/>
  <c r="AD154" i="6" s="1"/>
  <c r="Z153" i="6"/>
  <c r="T153" i="6"/>
  <c r="S153" i="6"/>
  <c r="P153" i="6"/>
  <c r="N153" i="6"/>
  <c r="AD153" i="6" s="1"/>
  <c r="AD152" i="6"/>
  <c r="Z152" i="6"/>
  <c r="T152" i="6"/>
  <c r="S152" i="6"/>
  <c r="P152" i="6"/>
  <c r="N152" i="6"/>
  <c r="AD151" i="6"/>
  <c r="Z151" i="6"/>
  <c r="T151" i="6"/>
  <c r="S151" i="6"/>
  <c r="P151" i="6"/>
  <c r="N151" i="6"/>
  <c r="Z150" i="6"/>
  <c r="T150" i="6"/>
  <c r="S150" i="6"/>
  <c r="P150" i="6"/>
  <c r="N150" i="6"/>
  <c r="AD150" i="6" s="1"/>
  <c r="Z149" i="6"/>
  <c r="T149" i="6"/>
  <c r="S149" i="6"/>
  <c r="P149" i="6"/>
  <c r="N149" i="6"/>
  <c r="AD149" i="6" s="1"/>
  <c r="AD148" i="6"/>
  <c r="Z148" i="6"/>
  <c r="T148" i="6"/>
  <c r="S148" i="6"/>
  <c r="P148" i="6"/>
  <c r="N148" i="6"/>
  <c r="AD147" i="6"/>
  <c r="Z147" i="6"/>
  <c r="T147" i="6"/>
  <c r="S147" i="6"/>
  <c r="P147" i="6"/>
  <c r="N147" i="6"/>
  <c r="Z146" i="6"/>
  <c r="T146" i="6"/>
  <c r="S146" i="6"/>
  <c r="P146" i="6"/>
  <c r="N146" i="6"/>
  <c r="AD146" i="6" s="1"/>
  <c r="Z145" i="6"/>
  <c r="Z144" i="6"/>
  <c r="Z131" i="6"/>
  <c r="T131" i="6"/>
  <c r="S131" i="6"/>
  <c r="P131" i="6"/>
  <c r="N131" i="6"/>
  <c r="AD131" i="6" s="1"/>
  <c r="Z130" i="6"/>
  <c r="T130" i="6"/>
  <c r="S130" i="6"/>
  <c r="P130" i="6"/>
  <c r="AD130" i="6"/>
  <c r="N130" i="6"/>
  <c r="AD129" i="6"/>
  <c r="Z129" i="6"/>
  <c r="T129" i="6"/>
  <c r="S129" i="6"/>
  <c r="P129" i="6"/>
  <c r="N129" i="6"/>
  <c r="Z128" i="6"/>
  <c r="T128" i="6"/>
  <c r="S128" i="6"/>
  <c r="P128" i="6"/>
  <c r="N128" i="6"/>
  <c r="AD128" i="6" s="1"/>
  <c r="Z127" i="6"/>
  <c r="T127" i="6"/>
  <c r="S127" i="6"/>
  <c r="P127" i="6"/>
  <c r="N127" i="6"/>
  <c r="AD127" i="6" s="1"/>
  <c r="Z126" i="6"/>
  <c r="T126" i="6"/>
  <c r="S126" i="6"/>
  <c r="P126" i="6"/>
  <c r="AD126" i="6"/>
  <c r="N126" i="6"/>
  <c r="AD125" i="6"/>
  <c r="Z125" i="6"/>
  <c r="T125" i="6"/>
  <c r="S125" i="6"/>
  <c r="P125" i="6"/>
  <c r="N125" i="6"/>
  <c r="Z124" i="6"/>
  <c r="T124" i="6"/>
  <c r="S124" i="6"/>
  <c r="P124" i="6"/>
  <c r="N124" i="6"/>
  <c r="AD124" i="6" s="1"/>
  <c r="Z123" i="6"/>
  <c r="T123" i="6"/>
  <c r="S123" i="6"/>
  <c r="P123" i="6"/>
  <c r="N123" i="6"/>
  <c r="AD123" i="6" s="1"/>
  <c r="Z122" i="6"/>
  <c r="T122" i="6"/>
  <c r="S122" i="6"/>
  <c r="P122" i="6"/>
  <c r="N122" i="6"/>
  <c r="AD122" i="6" s="1"/>
  <c r="AD121" i="6"/>
  <c r="Z121" i="6"/>
  <c r="T121" i="6"/>
  <c r="S121" i="6"/>
  <c r="P121" i="6"/>
  <c r="N121" i="6"/>
  <c r="Z120" i="6"/>
  <c r="T120" i="6"/>
  <c r="S120" i="6"/>
  <c r="P120" i="6"/>
  <c r="N120" i="6"/>
  <c r="AD120" i="6" s="1"/>
  <c r="Z119" i="6"/>
  <c r="T119" i="6"/>
  <c r="S119" i="6"/>
  <c r="P119" i="6"/>
  <c r="N119" i="6"/>
  <c r="AD119" i="6" s="1"/>
  <c r="Z118" i="6"/>
  <c r="T118" i="6"/>
  <c r="S118" i="6"/>
  <c r="P118" i="6"/>
  <c r="AD118" i="6"/>
  <c r="N118" i="6"/>
  <c r="AD117" i="6"/>
  <c r="Z117" i="6"/>
  <c r="T117" i="6"/>
  <c r="S117" i="6"/>
  <c r="P117" i="6"/>
  <c r="N117" i="6"/>
  <c r="Z116" i="6"/>
  <c r="T116" i="6"/>
  <c r="S116" i="6"/>
  <c r="P116" i="6"/>
  <c r="N116" i="6"/>
  <c r="AD116" i="6" s="1"/>
  <c r="Z115" i="6"/>
  <c r="T115" i="6"/>
  <c r="S115" i="6"/>
  <c r="P115" i="6"/>
  <c r="N115" i="6"/>
  <c r="AD115" i="6" s="1"/>
  <c r="Z114" i="6"/>
  <c r="T114" i="6"/>
  <c r="S114" i="6"/>
  <c r="P114" i="6"/>
  <c r="AD114" i="6"/>
  <c r="N114" i="6"/>
  <c r="AD113" i="6"/>
  <c r="Z113" i="6"/>
  <c r="T113" i="6"/>
  <c r="S113" i="6"/>
  <c r="P113" i="6"/>
  <c r="N113" i="6"/>
  <c r="Z112" i="6"/>
  <c r="T112" i="6"/>
  <c r="S112" i="6"/>
  <c r="P112" i="6"/>
  <c r="N112" i="6"/>
  <c r="AD112" i="6" s="1"/>
  <c r="Z111" i="6"/>
  <c r="T111" i="6"/>
  <c r="S111" i="6"/>
  <c r="P111" i="6"/>
  <c r="N111" i="6"/>
  <c r="AD111" i="6" s="1"/>
  <c r="Z110" i="6"/>
  <c r="T110" i="6"/>
  <c r="S110" i="6"/>
  <c r="P110" i="6"/>
  <c r="AD110" i="6"/>
  <c r="N110" i="6"/>
  <c r="AD109" i="6"/>
  <c r="Z109" i="6"/>
  <c r="T109" i="6"/>
  <c r="S109" i="6"/>
  <c r="P109" i="6"/>
  <c r="N109" i="6"/>
  <c r="Z108" i="6"/>
  <c r="T108" i="6"/>
  <c r="S108" i="6"/>
  <c r="P108" i="6"/>
  <c r="N108" i="6"/>
  <c r="AD108" i="6" s="1"/>
  <c r="Z107" i="6"/>
  <c r="T107" i="6"/>
  <c r="S107" i="6"/>
  <c r="P107" i="6"/>
  <c r="N107" i="6"/>
  <c r="AD107" i="6" s="1"/>
  <c r="Z106" i="6"/>
  <c r="T106" i="6"/>
  <c r="S106" i="6"/>
  <c r="P106" i="6"/>
  <c r="AD106" i="6"/>
  <c r="N106" i="6"/>
  <c r="AD105" i="6"/>
  <c r="Z105" i="6"/>
  <c r="T105" i="6"/>
  <c r="S105" i="6"/>
  <c r="P105" i="6"/>
  <c r="N105" i="6"/>
  <c r="Z104" i="6"/>
  <c r="T104" i="6"/>
  <c r="S104" i="6"/>
  <c r="P104" i="6"/>
  <c r="N104" i="6"/>
  <c r="AD104" i="6" s="1"/>
  <c r="Z103" i="6"/>
  <c r="Z102" i="6"/>
  <c r="AE88" i="6"/>
  <c r="Z88" i="6"/>
  <c r="Y88" i="6"/>
  <c r="T88" i="6"/>
  <c r="S88" i="6"/>
  <c r="P88" i="6"/>
  <c r="N88" i="6"/>
  <c r="AD88" i="6" s="1"/>
  <c r="AE87" i="6"/>
  <c r="Z87" i="6"/>
  <c r="Y87" i="6"/>
  <c r="AA87" i="6" s="1"/>
  <c r="T87" i="6"/>
  <c r="S87" i="6"/>
  <c r="P87" i="6"/>
  <c r="N87" i="6"/>
  <c r="AD87" i="6" s="1"/>
  <c r="AE86" i="6"/>
  <c r="AD86" i="6"/>
  <c r="Z86" i="6"/>
  <c r="Y86" i="6"/>
  <c r="AB86" i="6" s="1"/>
  <c r="T86" i="6"/>
  <c r="S86" i="6"/>
  <c r="P86" i="6"/>
  <c r="N86" i="6"/>
  <c r="AE85" i="6"/>
  <c r="AD85" i="6"/>
  <c r="Z85" i="6"/>
  <c r="Y85" i="6"/>
  <c r="T85" i="6"/>
  <c r="S85" i="6"/>
  <c r="P85" i="6"/>
  <c r="N85" i="6"/>
  <c r="AE84" i="6"/>
  <c r="Z84" i="6"/>
  <c r="Y84" i="6"/>
  <c r="T84" i="6"/>
  <c r="S84" i="6"/>
  <c r="P84" i="6"/>
  <c r="N84" i="6"/>
  <c r="AD84" i="6" s="1"/>
  <c r="AE83" i="6"/>
  <c r="Z83" i="6"/>
  <c r="Y83" i="6"/>
  <c r="AA83" i="6" s="1"/>
  <c r="T83" i="6"/>
  <c r="S83" i="6"/>
  <c r="P83" i="6"/>
  <c r="N83" i="6"/>
  <c r="AD83" i="6" s="1"/>
  <c r="AE82" i="6"/>
  <c r="AD82" i="6"/>
  <c r="Z82" i="6"/>
  <c r="Y82" i="6"/>
  <c r="T82" i="6"/>
  <c r="S82" i="6"/>
  <c r="P82" i="6"/>
  <c r="N82" i="6"/>
  <c r="AE81" i="6"/>
  <c r="AD81" i="6"/>
  <c r="Z81" i="6"/>
  <c r="Y81" i="6"/>
  <c r="T81" i="6"/>
  <c r="S81" i="6"/>
  <c r="P81" i="6"/>
  <c r="N81" i="6"/>
  <c r="AE80" i="6"/>
  <c r="Z80" i="6"/>
  <c r="Y80" i="6"/>
  <c r="T80" i="6"/>
  <c r="S80" i="6"/>
  <c r="P80" i="6"/>
  <c r="N80" i="6"/>
  <c r="AD80" i="6" s="1"/>
  <c r="AE79" i="6"/>
  <c r="Z79" i="6"/>
  <c r="Y79" i="6"/>
  <c r="AA79" i="6" s="1"/>
  <c r="T79" i="6"/>
  <c r="S79" i="6"/>
  <c r="P79" i="6"/>
  <c r="N79" i="6"/>
  <c r="AD79" i="6" s="1"/>
  <c r="AE78" i="6"/>
  <c r="AD78" i="6"/>
  <c r="Z78" i="6"/>
  <c r="Y78" i="6"/>
  <c r="AB78" i="6" s="1"/>
  <c r="T78" i="6"/>
  <c r="S78" i="6"/>
  <c r="P78" i="6"/>
  <c r="N78" i="6"/>
  <c r="AE77" i="6"/>
  <c r="AD77" i="6"/>
  <c r="Z77" i="6"/>
  <c r="Y77" i="6"/>
  <c r="T77" i="6"/>
  <c r="S77" i="6"/>
  <c r="P77" i="6"/>
  <c r="N77" i="6"/>
  <c r="AE76" i="6"/>
  <c r="Z76" i="6"/>
  <c r="Y76" i="6"/>
  <c r="T76" i="6"/>
  <c r="S76" i="6"/>
  <c r="P76" i="6"/>
  <c r="N76" i="6"/>
  <c r="AD76" i="6" s="1"/>
  <c r="AE75" i="6"/>
  <c r="Z75" i="6"/>
  <c r="Y75" i="6"/>
  <c r="AA75" i="6" s="1"/>
  <c r="T75" i="6"/>
  <c r="S75" i="6"/>
  <c r="P75" i="6"/>
  <c r="N75" i="6"/>
  <c r="AD75" i="6" s="1"/>
  <c r="AE74" i="6"/>
  <c r="AD74" i="6"/>
  <c r="Z74" i="6"/>
  <c r="Y74" i="6"/>
  <c r="T74" i="6"/>
  <c r="S74" i="6"/>
  <c r="P74" i="6"/>
  <c r="N74" i="6"/>
  <c r="AE73" i="6"/>
  <c r="AD73" i="6"/>
  <c r="Z73" i="6"/>
  <c r="Y73" i="6"/>
  <c r="T73" i="6"/>
  <c r="S73" i="6"/>
  <c r="P73" i="6"/>
  <c r="N73" i="6"/>
  <c r="AE72" i="6"/>
  <c r="Z72" i="6"/>
  <c r="Y72" i="6"/>
  <c r="T72" i="6"/>
  <c r="S72" i="6"/>
  <c r="P72" i="6"/>
  <c r="N72" i="6"/>
  <c r="AD72" i="6" s="1"/>
  <c r="AE71" i="6"/>
  <c r="Z71" i="6"/>
  <c r="Y71" i="6"/>
  <c r="AA71" i="6" s="1"/>
  <c r="T71" i="6"/>
  <c r="S71" i="6"/>
  <c r="P71" i="6"/>
  <c r="N71" i="6"/>
  <c r="AD71" i="6" s="1"/>
  <c r="AE70" i="6"/>
  <c r="AD70" i="6"/>
  <c r="Z70" i="6"/>
  <c r="Y70" i="6"/>
  <c r="AB70" i="6" s="1"/>
  <c r="T70" i="6"/>
  <c r="S70" i="6"/>
  <c r="P70" i="6"/>
  <c r="N70" i="6"/>
  <c r="AE69" i="6"/>
  <c r="AD69" i="6"/>
  <c r="Z69" i="6"/>
  <c r="Y69" i="6"/>
  <c r="T69" i="6"/>
  <c r="S69" i="6"/>
  <c r="P69" i="6"/>
  <c r="N69" i="6"/>
  <c r="AE68" i="6"/>
  <c r="Z68" i="6"/>
  <c r="Y68" i="6"/>
  <c r="T68" i="6"/>
  <c r="S68" i="6"/>
  <c r="P68" i="6"/>
  <c r="N68" i="6"/>
  <c r="AD68" i="6" s="1"/>
  <c r="AE67" i="6"/>
  <c r="Z67" i="6"/>
  <c r="Y67" i="6"/>
  <c r="AA67" i="6" s="1"/>
  <c r="T67" i="6"/>
  <c r="S67" i="6"/>
  <c r="P67" i="6"/>
  <c r="N67" i="6"/>
  <c r="AD67" i="6" s="1"/>
  <c r="AE66" i="6"/>
  <c r="AD66" i="6"/>
  <c r="Z66" i="6"/>
  <c r="Y66" i="6"/>
  <c r="T66" i="6"/>
  <c r="S66" i="6"/>
  <c r="P66" i="6"/>
  <c r="N66" i="6"/>
  <c r="AE65" i="6"/>
  <c r="AD65" i="6"/>
  <c r="Z65" i="6"/>
  <c r="Y65" i="6"/>
  <c r="T65" i="6"/>
  <c r="S65" i="6"/>
  <c r="P65" i="6"/>
  <c r="N65" i="6"/>
  <c r="AE64" i="6"/>
  <c r="Z64" i="6"/>
  <c r="Y64" i="6"/>
  <c r="T64" i="6"/>
  <c r="S64" i="6"/>
  <c r="P64" i="6"/>
  <c r="N64" i="6"/>
  <c r="AD64" i="6" s="1"/>
  <c r="AE63" i="6"/>
  <c r="Z63" i="6"/>
  <c r="Y63" i="6"/>
  <c r="AA63" i="6" s="1"/>
  <c r="T63" i="6"/>
  <c r="S63" i="6"/>
  <c r="P63" i="6"/>
  <c r="N63" i="6"/>
  <c r="AD63" i="6" s="1"/>
  <c r="AE62" i="6"/>
  <c r="AD62" i="6"/>
  <c r="Z62" i="6"/>
  <c r="Y62" i="6"/>
  <c r="AB62" i="6" s="1"/>
  <c r="T62" i="6"/>
  <c r="S62" i="6"/>
  <c r="P62" i="6"/>
  <c r="N62" i="6"/>
  <c r="AE61" i="6"/>
  <c r="AD61" i="6"/>
  <c r="Z61" i="6"/>
  <c r="Y61" i="6"/>
  <c r="T61" i="6"/>
  <c r="S61" i="6"/>
  <c r="P61" i="6"/>
  <c r="N61" i="6"/>
  <c r="Z60" i="6"/>
  <c r="Z59" i="6"/>
  <c r="AE45" i="6"/>
  <c r="Z45" i="6"/>
  <c r="Y45" i="6"/>
  <c r="AA45" i="6" s="1"/>
  <c r="T45" i="6"/>
  <c r="S45" i="6"/>
  <c r="P45" i="6"/>
  <c r="N45" i="6"/>
  <c r="AD45" i="6" s="1"/>
  <c r="AE44" i="6"/>
  <c r="AD44" i="6"/>
  <c r="Z44" i="6"/>
  <c r="Y44" i="6"/>
  <c r="T44" i="6"/>
  <c r="S44" i="6"/>
  <c r="P44" i="6"/>
  <c r="N44" i="6"/>
  <c r="AE43" i="6"/>
  <c r="AD43" i="6"/>
  <c r="Z43" i="6"/>
  <c r="Y43" i="6"/>
  <c r="AA43" i="6" s="1"/>
  <c r="T43" i="6"/>
  <c r="S43" i="6"/>
  <c r="P43" i="6"/>
  <c r="N43" i="6"/>
  <c r="AE42" i="6"/>
  <c r="Z42" i="6"/>
  <c r="Y42" i="6"/>
  <c r="AB42" i="6" s="1"/>
  <c r="T42" i="6"/>
  <c r="S42" i="6"/>
  <c r="P42" i="6"/>
  <c r="N42" i="6"/>
  <c r="AD42" i="6" s="1"/>
  <c r="AE41" i="6"/>
  <c r="Z41" i="6"/>
  <c r="Y41" i="6"/>
  <c r="AA41" i="6" s="1"/>
  <c r="T41" i="6"/>
  <c r="S41" i="6"/>
  <c r="P41" i="6"/>
  <c r="N41" i="6"/>
  <c r="AD41" i="6" s="1"/>
  <c r="AE40" i="6"/>
  <c r="AD40" i="6"/>
  <c r="Z40" i="6"/>
  <c r="Y40" i="6"/>
  <c r="T40" i="6"/>
  <c r="S40" i="6"/>
  <c r="P40" i="6"/>
  <c r="N40" i="6"/>
  <c r="AE39" i="6"/>
  <c r="AD39" i="6"/>
  <c r="Z39" i="6"/>
  <c r="Y39" i="6"/>
  <c r="T39" i="6"/>
  <c r="S39" i="6"/>
  <c r="P39" i="6"/>
  <c r="N39" i="6"/>
  <c r="AE38" i="6"/>
  <c r="Z38" i="6"/>
  <c r="Y38" i="6"/>
  <c r="AA38" i="6" s="1"/>
  <c r="T38" i="6"/>
  <c r="S38" i="6"/>
  <c r="P38" i="6"/>
  <c r="N38" i="6"/>
  <c r="AD38" i="6" s="1"/>
  <c r="AE37" i="6"/>
  <c r="Z37" i="6"/>
  <c r="Y37" i="6"/>
  <c r="AA37" i="6" s="1"/>
  <c r="T37" i="6"/>
  <c r="S37" i="6"/>
  <c r="P37" i="6"/>
  <c r="N37" i="6"/>
  <c r="AD37" i="6" s="1"/>
  <c r="AE36" i="6"/>
  <c r="AD36" i="6"/>
  <c r="Z36" i="6"/>
  <c r="Y36" i="6"/>
  <c r="T36" i="6"/>
  <c r="S36" i="6"/>
  <c r="P36" i="6"/>
  <c r="N36" i="6"/>
  <c r="AE35" i="6"/>
  <c r="AD35" i="6"/>
  <c r="Z35" i="6"/>
  <c r="Y35" i="6"/>
  <c r="AA35" i="6" s="1"/>
  <c r="T35" i="6"/>
  <c r="S35" i="6"/>
  <c r="P35" i="6"/>
  <c r="N35" i="6"/>
  <c r="AE34" i="6"/>
  <c r="Z34" i="6"/>
  <c r="Y34" i="6"/>
  <c r="AA34" i="6" s="1"/>
  <c r="T34" i="6"/>
  <c r="S34" i="6"/>
  <c r="P34" i="6"/>
  <c r="N34" i="6"/>
  <c r="AD34" i="6" s="1"/>
  <c r="AE33" i="6"/>
  <c r="Z33" i="6"/>
  <c r="Y33" i="6"/>
  <c r="AA33" i="6" s="1"/>
  <c r="T33" i="6"/>
  <c r="S33" i="6"/>
  <c r="P33" i="6"/>
  <c r="N33" i="6"/>
  <c r="AD33" i="6" s="1"/>
  <c r="AE32" i="6"/>
  <c r="AD32" i="6"/>
  <c r="Z32" i="6"/>
  <c r="Y32" i="6"/>
  <c r="T32" i="6"/>
  <c r="S32" i="6"/>
  <c r="P32" i="6"/>
  <c r="N32" i="6"/>
  <c r="AE31" i="6"/>
  <c r="AD31" i="6"/>
  <c r="Z31" i="6"/>
  <c r="Y31" i="6"/>
  <c r="T31" i="6"/>
  <c r="S31" i="6"/>
  <c r="P31" i="6"/>
  <c r="N31" i="6"/>
  <c r="AE30" i="6"/>
  <c r="Z30" i="6"/>
  <c r="Y30" i="6"/>
  <c r="T30" i="6"/>
  <c r="S30" i="6"/>
  <c r="P30" i="6"/>
  <c r="N30" i="6"/>
  <c r="AD30" i="6" s="1"/>
  <c r="AE29" i="6"/>
  <c r="Z29" i="6"/>
  <c r="Y29" i="6"/>
  <c r="AA29" i="6" s="1"/>
  <c r="T29" i="6"/>
  <c r="S29" i="6"/>
  <c r="P29" i="6"/>
  <c r="N29" i="6"/>
  <c r="AD29" i="6" s="1"/>
  <c r="AE28" i="6"/>
  <c r="AD28" i="6"/>
  <c r="Z28" i="6"/>
  <c r="Y28" i="6"/>
  <c r="AB28" i="6" s="1"/>
  <c r="T28" i="6"/>
  <c r="S28" i="6"/>
  <c r="P28" i="6"/>
  <c r="N28" i="6"/>
  <c r="AE27" i="6"/>
  <c r="AD27" i="6"/>
  <c r="Z27" i="6"/>
  <c r="Y27" i="6"/>
  <c r="AA27" i="6" s="1"/>
  <c r="T27" i="6"/>
  <c r="S27" i="6"/>
  <c r="P27" i="6"/>
  <c r="N27" i="6"/>
  <c r="AE26" i="6"/>
  <c r="Z26" i="6"/>
  <c r="Y26" i="6"/>
  <c r="AA26" i="6" s="1"/>
  <c r="T26" i="6"/>
  <c r="S26" i="6"/>
  <c r="P26" i="6"/>
  <c r="N26" i="6"/>
  <c r="AD26" i="6" s="1"/>
  <c r="AE25" i="6"/>
  <c r="Z25" i="6"/>
  <c r="Y25" i="6"/>
  <c r="AA25" i="6" s="1"/>
  <c r="T25" i="6"/>
  <c r="S25" i="6"/>
  <c r="P25" i="6"/>
  <c r="N25" i="6"/>
  <c r="AD25" i="6" s="1"/>
  <c r="AE24" i="6"/>
  <c r="AD24" i="6"/>
  <c r="Z24" i="6"/>
  <c r="Y24" i="6"/>
  <c r="T24" i="6"/>
  <c r="S24" i="6"/>
  <c r="P24" i="6"/>
  <c r="N24" i="6"/>
  <c r="AE23" i="6"/>
  <c r="AD23" i="6"/>
  <c r="Z23" i="6"/>
  <c r="Y23" i="6"/>
  <c r="T23" i="6"/>
  <c r="S23" i="6"/>
  <c r="P23" i="6"/>
  <c r="N23" i="6"/>
  <c r="AE22" i="6"/>
  <c r="Z22" i="6"/>
  <c r="Y22" i="6"/>
  <c r="T22" i="6"/>
  <c r="S22" i="6"/>
  <c r="P22" i="6"/>
  <c r="N22" i="6"/>
  <c r="AD22" i="6" s="1"/>
  <c r="AE21" i="6"/>
  <c r="Z21" i="6"/>
  <c r="Y21" i="6"/>
  <c r="AA21" i="6" s="1"/>
  <c r="T21" i="6"/>
  <c r="S21" i="6"/>
  <c r="P21" i="6"/>
  <c r="N21" i="6"/>
  <c r="AD21" i="6" s="1"/>
  <c r="AE20" i="6"/>
  <c r="AD20" i="6"/>
  <c r="Z20" i="6"/>
  <c r="Y20" i="6"/>
  <c r="AB20" i="6" s="1"/>
  <c r="T20" i="6"/>
  <c r="S20" i="6"/>
  <c r="P20" i="6"/>
  <c r="N20" i="6"/>
  <c r="AE19" i="6"/>
  <c r="AD19" i="6"/>
  <c r="Z19" i="6"/>
  <c r="Y19" i="6"/>
  <c r="AA19" i="6" s="1"/>
  <c r="T19" i="6"/>
  <c r="S19" i="6"/>
  <c r="P19" i="6"/>
  <c r="N19" i="6"/>
  <c r="AE18" i="6"/>
  <c r="Z18" i="6"/>
  <c r="Y18" i="6"/>
  <c r="AA18" i="6" s="1"/>
  <c r="T18" i="6"/>
  <c r="S18" i="6"/>
  <c r="P18" i="6"/>
  <c r="N18" i="6"/>
  <c r="AD18" i="6" s="1"/>
  <c r="AE17" i="6"/>
  <c r="Z17" i="6"/>
  <c r="Y17" i="6"/>
  <c r="AA17" i="6" s="1"/>
  <c r="N17" i="6"/>
  <c r="P17" i="6" s="1"/>
  <c r="R17" i="6" s="1"/>
  <c r="AE16" i="6"/>
  <c r="Z16" i="6"/>
  <c r="Y16" i="6"/>
  <c r="AA16" i="6" s="1"/>
  <c r="N16" i="6"/>
  <c r="AD16" i="6" s="1"/>
  <c r="Z340" i="5"/>
  <c r="Z339" i="5"/>
  <c r="Z338" i="5"/>
  <c r="Z337" i="5"/>
  <c r="Z336" i="5"/>
  <c r="Z335" i="5"/>
  <c r="Z334" i="5"/>
  <c r="Z333" i="5"/>
  <c r="Z332" i="5"/>
  <c r="Z331" i="5"/>
  <c r="Z330" i="5"/>
  <c r="Z329" i="5"/>
  <c r="Z328" i="5"/>
  <c r="Z327" i="5"/>
  <c r="Z326" i="5"/>
  <c r="Z325" i="5"/>
  <c r="Z324" i="5"/>
  <c r="Z323" i="5"/>
  <c r="Z322" i="5"/>
  <c r="Z321" i="5"/>
  <c r="Z320" i="5"/>
  <c r="Z319" i="5"/>
  <c r="Z318" i="5"/>
  <c r="Z317" i="5"/>
  <c r="Z316" i="5"/>
  <c r="Z315" i="5"/>
  <c r="Z314" i="5"/>
  <c r="Z313" i="5"/>
  <c r="Z312" i="5"/>
  <c r="Z311" i="5"/>
  <c r="Z310" i="5"/>
  <c r="Z309" i="5"/>
  <c r="Z308" i="5"/>
  <c r="Z307" i="5"/>
  <c r="Z306" i="5"/>
  <c r="Z305" i="5"/>
  <c r="Z304" i="5"/>
  <c r="Z303" i="5"/>
  <c r="Z302" i="5"/>
  <c r="Z301" i="5"/>
  <c r="Z300" i="5"/>
  <c r="Z299" i="5"/>
  <c r="Z298" i="5"/>
  <c r="Z297" i="5"/>
  <c r="Z296" i="5"/>
  <c r="Z295" i="5"/>
  <c r="Z294" i="5"/>
  <c r="Z293" i="5"/>
  <c r="Z292" i="5"/>
  <c r="Z291" i="5"/>
  <c r="Z290" i="5"/>
  <c r="Z289" i="5"/>
  <c r="Z288" i="5"/>
  <c r="Z287" i="5"/>
  <c r="Z286" i="5"/>
  <c r="Z273" i="5"/>
  <c r="Z272" i="5"/>
  <c r="Z271" i="5"/>
  <c r="Z270" i="5"/>
  <c r="Z269" i="5"/>
  <c r="Z268" i="5"/>
  <c r="Z267" i="5"/>
  <c r="Z266" i="5"/>
  <c r="Z265" i="5"/>
  <c r="Z264" i="5"/>
  <c r="Z263" i="5"/>
  <c r="Z262" i="5"/>
  <c r="Z261" i="5"/>
  <c r="Z260" i="5"/>
  <c r="Z259" i="5"/>
  <c r="Z258" i="5"/>
  <c r="Z257" i="5"/>
  <c r="Z256" i="5"/>
  <c r="Z255" i="5"/>
  <c r="Z254" i="5"/>
  <c r="Z253" i="5"/>
  <c r="Z252" i="5"/>
  <c r="Z251" i="5"/>
  <c r="Z250" i="5"/>
  <c r="Z249" i="5"/>
  <c r="Z248" i="5"/>
  <c r="Z247" i="5"/>
  <c r="Z246" i="5"/>
  <c r="Z245" i="5"/>
  <c r="Z244" i="5"/>
  <c r="Z243" i="5"/>
  <c r="Z242" i="5"/>
  <c r="Z241" i="5"/>
  <c r="Z240" i="5"/>
  <c r="Z239" i="5"/>
  <c r="Z238" i="5"/>
  <c r="Z237" i="5"/>
  <c r="Z236" i="5"/>
  <c r="Z235" i="5"/>
  <c r="Z234" i="5"/>
  <c r="Z233" i="5"/>
  <c r="Z232" i="5"/>
  <c r="Z231" i="5"/>
  <c r="Z230" i="5"/>
  <c r="Z229" i="5"/>
  <c r="Z228" i="5"/>
  <c r="Z227" i="5"/>
  <c r="Z226" i="5"/>
  <c r="Z225" i="5"/>
  <c r="Z224" i="5"/>
  <c r="Z223" i="5"/>
  <c r="Z222" i="5"/>
  <c r="Z221" i="5"/>
  <c r="Z220" i="5"/>
  <c r="Z219" i="5"/>
  <c r="Z206" i="5"/>
  <c r="Z205" i="5"/>
  <c r="Z204" i="5"/>
  <c r="Z203" i="5"/>
  <c r="Z202" i="5"/>
  <c r="Z201" i="5"/>
  <c r="Z200" i="5"/>
  <c r="Z199" i="5"/>
  <c r="Z198" i="5"/>
  <c r="Z197" i="5"/>
  <c r="Z196" i="5"/>
  <c r="Z195" i="5"/>
  <c r="Z194" i="5"/>
  <c r="Z193" i="5"/>
  <c r="Z192" i="5"/>
  <c r="Z191" i="5"/>
  <c r="Z190" i="5"/>
  <c r="Z189" i="5"/>
  <c r="Z188" i="5"/>
  <c r="Z187" i="5"/>
  <c r="Z186" i="5"/>
  <c r="Z185" i="5"/>
  <c r="Z184" i="5"/>
  <c r="Z183" i="5"/>
  <c r="Z182" i="5"/>
  <c r="Z181" i="5"/>
  <c r="Z180" i="5"/>
  <c r="Z179" i="5"/>
  <c r="Z178" i="5"/>
  <c r="Z177" i="5"/>
  <c r="Z176" i="5"/>
  <c r="Z175" i="5"/>
  <c r="Z174" i="5"/>
  <c r="Z173" i="5"/>
  <c r="Z172" i="5"/>
  <c r="Z171" i="5"/>
  <c r="Z170" i="5"/>
  <c r="Z169" i="5"/>
  <c r="Z168" i="5"/>
  <c r="Z167" i="5"/>
  <c r="Z166" i="5"/>
  <c r="Z165" i="5"/>
  <c r="Z164" i="5"/>
  <c r="Z163" i="5"/>
  <c r="Z162" i="5"/>
  <c r="Z161" i="5"/>
  <c r="Z160" i="5"/>
  <c r="Z159" i="5"/>
  <c r="Z158" i="5"/>
  <c r="Z157" i="5"/>
  <c r="Z156" i="5"/>
  <c r="Z155" i="5"/>
  <c r="Z154" i="5"/>
  <c r="Z153" i="5"/>
  <c r="Z152" i="5"/>
  <c r="Z138" i="5"/>
  <c r="Z137" i="5"/>
  <c r="Z136" i="5"/>
  <c r="Z135" i="5"/>
  <c r="Z134" i="5"/>
  <c r="Z133" i="5"/>
  <c r="Z132" i="5"/>
  <c r="Z131" i="5"/>
  <c r="Z130" i="5"/>
  <c r="Z129" i="5"/>
  <c r="Z128" i="5"/>
  <c r="Z127" i="5"/>
  <c r="Z126" i="5"/>
  <c r="Z125" i="5"/>
  <c r="Z124" i="5"/>
  <c r="Z123" i="5"/>
  <c r="Z122" i="5"/>
  <c r="Z121" i="5"/>
  <c r="Z120" i="5"/>
  <c r="Z119" i="5"/>
  <c r="Z118" i="5"/>
  <c r="Z117" i="5"/>
  <c r="Z116" i="5"/>
  <c r="Z115" i="5"/>
  <c r="Z114" i="5"/>
  <c r="Z113" i="5"/>
  <c r="Z112" i="5"/>
  <c r="Z111" i="5"/>
  <c r="Z110" i="5"/>
  <c r="Z109" i="5"/>
  <c r="Z108" i="5"/>
  <c r="Z107" i="5"/>
  <c r="Z106" i="5"/>
  <c r="Z105" i="5"/>
  <c r="Z104" i="5"/>
  <c r="Z103" i="5"/>
  <c r="Z102" i="5"/>
  <c r="Z101" i="5"/>
  <c r="Z100" i="5"/>
  <c r="Z99" i="5"/>
  <c r="Z98" i="5"/>
  <c r="Z97" i="5"/>
  <c r="Z96" i="5"/>
  <c r="Z95" i="5"/>
  <c r="Z94" i="5"/>
  <c r="Z93" i="5"/>
  <c r="Z92" i="5"/>
  <c r="Z91" i="5"/>
  <c r="Z90" i="5"/>
  <c r="Z89" i="5"/>
  <c r="Z88" i="5"/>
  <c r="Z87" i="5"/>
  <c r="Z86" i="5"/>
  <c r="Z85" i="5"/>
  <c r="Z84" i="5"/>
  <c r="Y138" i="5"/>
  <c r="AB138" i="5" s="1"/>
  <c r="Y137" i="5"/>
  <c r="Y136" i="5"/>
  <c r="Y135" i="5"/>
  <c r="AA135" i="5" s="1"/>
  <c r="Y134" i="5"/>
  <c r="AB134" i="5" s="1"/>
  <c r="Y133" i="5"/>
  <c r="Y132" i="5"/>
  <c r="AA132" i="5" s="1"/>
  <c r="Y131" i="5"/>
  <c r="Y130" i="5"/>
  <c r="AA130" i="5" s="1"/>
  <c r="Y129" i="5"/>
  <c r="Y128" i="5"/>
  <c r="AA128" i="5" s="1"/>
  <c r="Y127" i="5"/>
  <c r="AA127" i="5" s="1"/>
  <c r="Y126" i="5"/>
  <c r="AB126" i="5" s="1"/>
  <c r="Y125" i="5"/>
  <c r="AB125" i="5" s="1"/>
  <c r="Y124" i="5"/>
  <c r="AA124" i="5" s="1"/>
  <c r="Y123" i="5"/>
  <c r="AA123" i="5" s="1"/>
  <c r="Y122" i="5"/>
  <c r="AA122" i="5" s="1"/>
  <c r="Y121" i="5"/>
  <c r="Y120" i="5"/>
  <c r="Y119" i="5"/>
  <c r="Y118" i="5"/>
  <c r="AB118" i="5" s="1"/>
  <c r="Y117" i="5"/>
  <c r="Y116" i="5"/>
  <c r="AA116" i="5" s="1"/>
  <c r="Y115" i="5"/>
  <c r="AA115" i="5" s="1"/>
  <c r="Y114" i="5"/>
  <c r="AB114" i="5" s="1"/>
  <c r="Y113" i="5"/>
  <c r="Y112" i="5"/>
  <c r="AA112" i="5" s="1"/>
  <c r="Y111" i="5"/>
  <c r="Y110" i="5"/>
  <c r="AB110" i="5" s="1"/>
  <c r="Y109" i="5"/>
  <c r="AB109" i="5" s="1"/>
  <c r="Y108" i="5"/>
  <c r="AA108" i="5" s="1"/>
  <c r="Y107" i="5"/>
  <c r="AA107" i="5" s="1"/>
  <c r="Y106" i="5"/>
  <c r="AB106" i="5" s="1"/>
  <c r="Y105" i="5"/>
  <c r="Y104" i="5"/>
  <c r="AA104" i="5" s="1"/>
  <c r="Y103" i="5"/>
  <c r="Y102" i="5"/>
  <c r="AB102" i="5" s="1"/>
  <c r="Y101" i="5"/>
  <c r="AB101" i="5" s="1"/>
  <c r="Y100" i="5"/>
  <c r="Y99" i="5"/>
  <c r="AA99" i="5" s="1"/>
  <c r="Y98" i="5"/>
  <c r="AB98" i="5" s="1"/>
  <c r="Y97" i="5"/>
  <c r="Y96" i="5"/>
  <c r="AA96" i="5" s="1"/>
  <c r="Y95" i="5"/>
  <c r="AA95" i="5" s="1"/>
  <c r="Y94" i="5"/>
  <c r="AA94" i="5" s="1"/>
  <c r="Y93" i="5"/>
  <c r="AB93" i="5" s="1"/>
  <c r="Y92" i="5"/>
  <c r="Y91" i="5"/>
  <c r="AA91" i="5" s="1"/>
  <c r="Y90" i="5"/>
  <c r="AB90" i="5" s="1"/>
  <c r="Y89" i="5"/>
  <c r="Y88" i="5"/>
  <c r="AA88" i="5" s="1"/>
  <c r="Y87" i="5"/>
  <c r="Y86" i="5"/>
  <c r="AA86" i="5" s="1"/>
  <c r="Z71" i="5"/>
  <c r="Y71" i="5"/>
  <c r="Z70" i="5"/>
  <c r="Y70" i="5"/>
  <c r="AA70" i="5" s="1"/>
  <c r="Z69" i="5"/>
  <c r="Y69" i="5"/>
  <c r="AB69" i="5" s="1"/>
  <c r="Z68" i="5"/>
  <c r="Y68" i="5"/>
  <c r="AA68" i="5" s="1"/>
  <c r="Z67" i="5"/>
  <c r="Y67" i="5"/>
  <c r="AB67" i="5" s="1"/>
  <c r="Z66" i="5"/>
  <c r="Y66" i="5"/>
  <c r="AB66" i="5" s="1"/>
  <c r="Z65" i="5"/>
  <c r="Y65" i="5"/>
  <c r="Z64" i="5"/>
  <c r="Y64" i="5"/>
  <c r="AA64" i="5" s="1"/>
  <c r="Z63" i="5"/>
  <c r="Y63" i="5"/>
  <c r="AB63" i="5" s="1"/>
  <c r="Z62" i="5"/>
  <c r="Y62" i="5"/>
  <c r="AB62" i="5" s="1"/>
  <c r="Z61" i="5"/>
  <c r="Y61" i="5"/>
  <c r="Z60" i="5"/>
  <c r="Y60" i="5"/>
  <c r="AB60" i="5" s="1"/>
  <c r="Z59" i="5"/>
  <c r="Y59" i="5"/>
  <c r="AA59" i="5" s="1"/>
  <c r="Z58" i="5"/>
  <c r="Y58" i="5"/>
  <c r="AB58" i="5" s="1"/>
  <c r="Z57" i="5"/>
  <c r="Y57" i="5"/>
  <c r="Z56" i="5"/>
  <c r="Y56" i="5"/>
  <c r="AB56" i="5" s="1"/>
  <c r="Z55" i="5"/>
  <c r="Y55" i="5"/>
  <c r="AA55" i="5" s="1"/>
  <c r="Z54" i="5"/>
  <c r="Y54" i="5"/>
  <c r="AA54" i="5" s="1"/>
  <c r="Z53" i="5"/>
  <c r="Y53" i="5"/>
  <c r="AB53" i="5" s="1"/>
  <c r="Z52" i="5"/>
  <c r="Y52" i="5"/>
  <c r="AA52" i="5" s="1"/>
  <c r="Z51" i="5"/>
  <c r="Y51" i="5"/>
  <c r="AA51" i="5" s="1"/>
  <c r="Z50" i="5"/>
  <c r="Y50" i="5"/>
  <c r="AB50" i="5" s="1"/>
  <c r="Z49" i="5"/>
  <c r="Y49" i="5"/>
  <c r="Z48" i="5"/>
  <c r="Y48" i="5"/>
  <c r="AA48" i="5" s="1"/>
  <c r="Z47" i="5"/>
  <c r="Y47" i="5"/>
  <c r="AB47" i="5" s="1"/>
  <c r="Z46" i="5"/>
  <c r="Y46" i="5"/>
  <c r="AB46" i="5" s="1"/>
  <c r="Z45" i="5"/>
  <c r="Y45" i="5"/>
  <c r="AB45" i="5" s="1"/>
  <c r="Z44" i="5"/>
  <c r="Y44" i="5"/>
  <c r="AB44" i="5" s="1"/>
  <c r="Z43" i="5"/>
  <c r="Y43" i="5"/>
  <c r="AB43" i="5" s="1"/>
  <c r="Z42" i="5"/>
  <c r="Y42" i="5"/>
  <c r="AA42" i="5" s="1"/>
  <c r="Z41" i="5"/>
  <c r="Y41" i="5"/>
  <c r="Z40" i="5"/>
  <c r="Y40" i="5"/>
  <c r="AA40" i="5" s="1"/>
  <c r="Z39" i="5"/>
  <c r="Y39" i="5"/>
  <c r="AB39" i="5" s="1"/>
  <c r="Z38" i="5"/>
  <c r="Y38" i="5"/>
  <c r="AA38" i="5" s="1"/>
  <c r="Z37" i="5"/>
  <c r="Y37" i="5"/>
  <c r="AB37" i="5" s="1"/>
  <c r="Z36" i="5"/>
  <c r="Y36" i="5"/>
  <c r="AA36" i="5" s="1"/>
  <c r="Z35" i="5"/>
  <c r="Y35" i="5"/>
  <c r="AA35" i="5" s="1"/>
  <c r="Z34" i="5"/>
  <c r="Y34" i="5"/>
  <c r="AA34" i="5" s="1"/>
  <c r="Z33" i="5"/>
  <c r="Y33" i="5"/>
  <c r="Z32" i="5"/>
  <c r="Y32" i="5"/>
  <c r="AA32" i="5" s="1"/>
  <c r="Z31" i="5"/>
  <c r="Y31" i="5"/>
  <c r="AA31" i="5" s="1"/>
  <c r="Z30" i="5"/>
  <c r="Y30" i="5"/>
  <c r="AA30" i="5" s="1"/>
  <c r="Z29" i="5"/>
  <c r="Y29" i="5"/>
  <c r="Z28" i="5"/>
  <c r="Y28" i="5"/>
  <c r="AA28" i="5" s="1"/>
  <c r="Z27" i="5"/>
  <c r="Y27" i="5"/>
  <c r="AA27" i="5" s="1"/>
  <c r="Z26" i="5"/>
  <c r="Y26" i="5"/>
  <c r="AB26" i="5" s="1"/>
  <c r="Z25" i="5"/>
  <c r="Y25" i="5"/>
  <c r="Z24" i="5"/>
  <c r="Y24" i="5"/>
  <c r="AA24" i="5" s="1"/>
  <c r="Z23" i="5"/>
  <c r="Y23" i="5"/>
  <c r="AB23" i="5" s="1"/>
  <c r="Z22" i="5"/>
  <c r="Y22" i="5"/>
  <c r="AB22" i="5" s="1"/>
  <c r="Z21" i="5"/>
  <c r="Y21" i="5"/>
  <c r="Z20" i="5"/>
  <c r="Y20" i="5"/>
  <c r="AA20" i="5" s="1"/>
  <c r="Z19" i="5"/>
  <c r="Y19" i="5"/>
  <c r="AB19" i="5" s="1"/>
  <c r="Z18" i="5"/>
  <c r="Y18" i="5"/>
  <c r="AB18" i="5" s="1"/>
  <c r="Z17" i="5"/>
  <c r="Y17" i="5"/>
  <c r="Z16" i="5"/>
  <c r="Y16" i="5"/>
  <c r="AA16" i="5" s="1"/>
  <c r="Z114" i="4"/>
  <c r="Z113" i="4"/>
  <c r="Z112" i="4"/>
  <c r="Z111" i="4"/>
  <c r="Z110" i="4"/>
  <c r="Z109" i="4"/>
  <c r="Z108" i="4"/>
  <c r="Z107" i="4"/>
  <c r="Z106" i="4"/>
  <c r="Z105" i="4"/>
  <c r="Z92" i="4"/>
  <c r="Z91" i="4"/>
  <c r="Z90" i="4"/>
  <c r="Z89" i="4"/>
  <c r="Z88" i="4"/>
  <c r="Z87" i="4"/>
  <c r="Z86" i="4"/>
  <c r="Z85" i="4"/>
  <c r="Z84" i="4"/>
  <c r="Z83" i="4"/>
  <c r="Z70" i="4"/>
  <c r="Z69" i="4"/>
  <c r="Z68" i="4"/>
  <c r="Z67" i="4"/>
  <c r="Z66" i="4"/>
  <c r="Z65" i="4"/>
  <c r="Z64" i="4"/>
  <c r="Z63" i="4"/>
  <c r="Z62" i="4"/>
  <c r="Z61" i="4"/>
  <c r="Z47" i="4"/>
  <c r="Z46" i="4"/>
  <c r="Z45" i="4"/>
  <c r="Z44" i="4"/>
  <c r="Z43" i="4"/>
  <c r="Z42" i="4"/>
  <c r="Z41" i="4"/>
  <c r="Z40" i="4"/>
  <c r="Z39" i="4"/>
  <c r="Z38" i="4"/>
  <c r="Z25" i="4"/>
  <c r="Z24" i="4"/>
  <c r="Z23" i="4"/>
  <c r="Z22" i="4"/>
  <c r="Z21" i="4"/>
  <c r="Z20" i="4"/>
  <c r="Z19" i="4"/>
  <c r="Z18" i="4"/>
  <c r="Z17" i="4"/>
  <c r="Z16" i="4"/>
  <c r="Y47" i="4"/>
  <c r="AB47" i="4" s="1"/>
  <c r="Y46" i="4"/>
  <c r="AB46" i="4" s="1"/>
  <c r="Y45" i="4"/>
  <c r="AA45" i="4" s="1"/>
  <c r="Y44" i="4"/>
  <c r="AA44" i="4" s="1"/>
  <c r="Y43" i="4"/>
  <c r="AB43" i="4" s="1"/>
  <c r="Y42" i="4"/>
  <c r="AB42" i="4" s="1"/>
  <c r="Y41" i="4"/>
  <c r="Y40" i="4"/>
  <c r="Y25" i="4"/>
  <c r="AB25" i="4" s="1"/>
  <c r="Y24" i="4"/>
  <c r="AB24" i="4" s="1"/>
  <c r="Y23" i="4"/>
  <c r="Y22" i="4"/>
  <c r="AA22" i="4" s="1"/>
  <c r="Y21" i="4"/>
  <c r="AA21" i="4" s="1"/>
  <c r="Y20" i="4"/>
  <c r="AB20" i="4" s="1"/>
  <c r="Y19" i="4"/>
  <c r="Y18" i="4"/>
  <c r="Y17" i="4"/>
  <c r="AB17" i="4" s="1"/>
  <c r="Y16" i="4"/>
  <c r="AA16" i="4" s="1"/>
  <c r="T340" i="5"/>
  <c r="S340" i="5"/>
  <c r="P340" i="5"/>
  <c r="O340" i="5"/>
  <c r="N340" i="5"/>
  <c r="T339" i="5"/>
  <c r="S339" i="5"/>
  <c r="P339" i="5"/>
  <c r="O339" i="5"/>
  <c r="N339" i="5"/>
  <c r="T338" i="5"/>
  <c r="S338" i="5"/>
  <c r="P338" i="5"/>
  <c r="O338" i="5"/>
  <c r="AD338" i="5" s="1"/>
  <c r="N338" i="5"/>
  <c r="T337" i="5"/>
  <c r="S337" i="5"/>
  <c r="P337" i="5"/>
  <c r="O337" i="5"/>
  <c r="N337" i="5"/>
  <c r="T336" i="5"/>
  <c r="S336" i="5"/>
  <c r="P336" i="5"/>
  <c r="O336" i="5"/>
  <c r="N336" i="5"/>
  <c r="T335" i="5"/>
  <c r="S335" i="5"/>
  <c r="P335" i="5"/>
  <c r="O335" i="5"/>
  <c r="N335" i="5"/>
  <c r="T334" i="5"/>
  <c r="S334" i="5"/>
  <c r="P334" i="5"/>
  <c r="O334" i="5"/>
  <c r="AD334" i="5" s="1"/>
  <c r="N334" i="5"/>
  <c r="T333" i="5"/>
  <c r="S333" i="5"/>
  <c r="P333" i="5"/>
  <c r="O333" i="5"/>
  <c r="N333" i="5"/>
  <c r="T332" i="5"/>
  <c r="S332" i="5"/>
  <c r="P332" i="5"/>
  <c r="O332" i="5"/>
  <c r="AD332" i="5" s="1"/>
  <c r="N332" i="5"/>
  <c r="T331" i="5"/>
  <c r="S331" i="5"/>
  <c r="P331" i="5"/>
  <c r="O331" i="5"/>
  <c r="N331" i="5"/>
  <c r="T330" i="5"/>
  <c r="S330" i="5"/>
  <c r="P330" i="5"/>
  <c r="O330" i="5"/>
  <c r="AD330" i="5" s="1"/>
  <c r="N330" i="5"/>
  <c r="T329" i="5"/>
  <c r="S329" i="5"/>
  <c r="P329" i="5"/>
  <c r="O329" i="5"/>
  <c r="N329" i="5"/>
  <c r="T328" i="5"/>
  <c r="S328" i="5"/>
  <c r="P328" i="5"/>
  <c r="O328" i="5"/>
  <c r="AD328" i="5" s="1"/>
  <c r="N328" i="5"/>
  <c r="T327" i="5"/>
  <c r="S327" i="5"/>
  <c r="P327" i="5"/>
  <c r="O327" i="5"/>
  <c r="N327" i="5"/>
  <c r="T326" i="5"/>
  <c r="S326" i="5"/>
  <c r="P326" i="5"/>
  <c r="O326" i="5"/>
  <c r="AD326" i="5" s="1"/>
  <c r="N326" i="5"/>
  <c r="T325" i="5"/>
  <c r="S325" i="5"/>
  <c r="P325" i="5"/>
  <c r="O325" i="5"/>
  <c r="N325" i="5"/>
  <c r="T324" i="5"/>
  <c r="S324" i="5"/>
  <c r="P324" i="5"/>
  <c r="O324" i="5"/>
  <c r="AD324" i="5" s="1"/>
  <c r="N324" i="5"/>
  <c r="T323" i="5"/>
  <c r="S323" i="5"/>
  <c r="P323" i="5"/>
  <c r="O323" i="5"/>
  <c r="N323" i="5"/>
  <c r="AD323" i="5" s="1"/>
  <c r="T322" i="5"/>
  <c r="S322" i="5"/>
  <c r="P322" i="5"/>
  <c r="O322" i="5"/>
  <c r="AD322" i="5" s="1"/>
  <c r="N322" i="5"/>
  <c r="T321" i="5"/>
  <c r="S321" i="5"/>
  <c r="P321" i="5"/>
  <c r="O321" i="5"/>
  <c r="N321" i="5"/>
  <c r="T320" i="5"/>
  <c r="S320" i="5"/>
  <c r="P320" i="5"/>
  <c r="O320" i="5"/>
  <c r="AD320" i="5" s="1"/>
  <c r="N320" i="5"/>
  <c r="T319" i="5"/>
  <c r="S319" i="5"/>
  <c r="P319" i="5"/>
  <c r="O319" i="5"/>
  <c r="N319" i="5"/>
  <c r="T318" i="5"/>
  <c r="S318" i="5"/>
  <c r="P318" i="5"/>
  <c r="O318" i="5"/>
  <c r="AD318" i="5" s="1"/>
  <c r="N318" i="5"/>
  <c r="T317" i="5"/>
  <c r="S317" i="5"/>
  <c r="P317" i="5"/>
  <c r="O317" i="5"/>
  <c r="N317" i="5"/>
  <c r="T316" i="5"/>
  <c r="S316" i="5"/>
  <c r="P316" i="5"/>
  <c r="O316" i="5"/>
  <c r="AD316" i="5" s="1"/>
  <c r="N316" i="5"/>
  <c r="T315" i="5"/>
  <c r="S315" i="5"/>
  <c r="P315" i="5"/>
  <c r="O315" i="5"/>
  <c r="N315" i="5"/>
  <c r="T314" i="5"/>
  <c r="S314" i="5"/>
  <c r="P314" i="5"/>
  <c r="O314" i="5"/>
  <c r="AD314" i="5" s="1"/>
  <c r="N314" i="5"/>
  <c r="T313" i="5"/>
  <c r="S313" i="5"/>
  <c r="P313" i="5"/>
  <c r="O313" i="5"/>
  <c r="N313" i="5"/>
  <c r="T312" i="5"/>
  <c r="S312" i="5"/>
  <c r="P312" i="5"/>
  <c r="O312" i="5"/>
  <c r="AD312" i="5" s="1"/>
  <c r="N312" i="5"/>
  <c r="T311" i="5"/>
  <c r="S311" i="5"/>
  <c r="P311" i="5"/>
  <c r="O311" i="5"/>
  <c r="N311" i="5"/>
  <c r="T310" i="5"/>
  <c r="S310" i="5"/>
  <c r="P310" i="5"/>
  <c r="O310" i="5"/>
  <c r="AD310" i="5" s="1"/>
  <c r="N310" i="5"/>
  <c r="T309" i="5"/>
  <c r="S309" i="5"/>
  <c r="P309" i="5"/>
  <c r="O309" i="5"/>
  <c r="N309" i="5"/>
  <c r="T308" i="5"/>
  <c r="S308" i="5"/>
  <c r="P308" i="5"/>
  <c r="O308" i="5"/>
  <c r="AD308" i="5" s="1"/>
  <c r="N308" i="5"/>
  <c r="T307" i="5"/>
  <c r="S307" i="5"/>
  <c r="P307" i="5"/>
  <c r="O307" i="5"/>
  <c r="N307" i="5"/>
  <c r="T306" i="5"/>
  <c r="S306" i="5"/>
  <c r="P306" i="5"/>
  <c r="O306" i="5"/>
  <c r="AD306" i="5" s="1"/>
  <c r="N306" i="5"/>
  <c r="T305" i="5"/>
  <c r="S305" i="5"/>
  <c r="P305" i="5"/>
  <c r="O305" i="5"/>
  <c r="N305" i="5"/>
  <c r="T304" i="5"/>
  <c r="S304" i="5"/>
  <c r="P304" i="5"/>
  <c r="O304" i="5"/>
  <c r="AD304" i="5" s="1"/>
  <c r="N304" i="5"/>
  <c r="T303" i="5"/>
  <c r="S303" i="5"/>
  <c r="P303" i="5"/>
  <c r="O303" i="5"/>
  <c r="N303" i="5"/>
  <c r="T302" i="5"/>
  <c r="S302" i="5"/>
  <c r="P302" i="5"/>
  <c r="O302" i="5"/>
  <c r="AD302" i="5" s="1"/>
  <c r="N302" i="5"/>
  <c r="T301" i="5"/>
  <c r="S301" i="5"/>
  <c r="P301" i="5"/>
  <c r="O301" i="5"/>
  <c r="N301" i="5"/>
  <c r="T300" i="5"/>
  <c r="S300" i="5"/>
  <c r="P300" i="5"/>
  <c r="O300" i="5"/>
  <c r="AD300" i="5" s="1"/>
  <c r="N300" i="5"/>
  <c r="T299" i="5"/>
  <c r="S299" i="5"/>
  <c r="P299" i="5"/>
  <c r="O299" i="5"/>
  <c r="N299" i="5"/>
  <c r="T298" i="5"/>
  <c r="S298" i="5"/>
  <c r="P298" i="5"/>
  <c r="O298" i="5"/>
  <c r="AD298" i="5" s="1"/>
  <c r="N298" i="5"/>
  <c r="T297" i="5"/>
  <c r="S297" i="5"/>
  <c r="P297" i="5"/>
  <c r="O297" i="5"/>
  <c r="N297" i="5"/>
  <c r="T296" i="5"/>
  <c r="S296" i="5"/>
  <c r="P296" i="5"/>
  <c r="O296" i="5"/>
  <c r="AD296" i="5" s="1"/>
  <c r="N296" i="5"/>
  <c r="T295" i="5"/>
  <c r="S295" i="5"/>
  <c r="P295" i="5"/>
  <c r="O295" i="5"/>
  <c r="N295" i="5"/>
  <c r="T294" i="5"/>
  <c r="S294" i="5"/>
  <c r="P294" i="5"/>
  <c r="O294" i="5"/>
  <c r="AD294" i="5" s="1"/>
  <c r="N294" i="5"/>
  <c r="T293" i="5"/>
  <c r="S293" i="5"/>
  <c r="P293" i="5"/>
  <c r="O293" i="5"/>
  <c r="N293" i="5"/>
  <c r="T292" i="5"/>
  <c r="S292" i="5"/>
  <c r="P292" i="5"/>
  <c r="O292" i="5"/>
  <c r="AD292" i="5" s="1"/>
  <c r="N292" i="5"/>
  <c r="T291" i="5"/>
  <c r="S291" i="5"/>
  <c r="P291" i="5"/>
  <c r="O291" i="5"/>
  <c r="N291" i="5"/>
  <c r="T290" i="5"/>
  <c r="S290" i="5"/>
  <c r="P290" i="5"/>
  <c r="O290" i="5"/>
  <c r="AD290" i="5" s="1"/>
  <c r="N290" i="5"/>
  <c r="T289" i="5"/>
  <c r="S289" i="5"/>
  <c r="P289" i="5"/>
  <c r="O289" i="5"/>
  <c r="N289" i="5"/>
  <c r="T288" i="5"/>
  <c r="S288" i="5"/>
  <c r="P288" i="5"/>
  <c r="O288" i="5"/>
  <c r="AD288" i="5" s="1"/>
  <c r="N288" i="5"/>
  <c r="T273" i="5"/>
  <c r="S273" i="5"/>
  <c r="P273" i="5"/>
  <c r="O273" i="5"/>
  <c r="N273" i="5"/>
  <c r="T272" i="5"/>
  <c r="S272" i="5"/>
  <c r="P272" i="5"/>
  <c r="O272" i="5"/>
  <c r="N272" i="5"/>
  <c r="T271" i="5"/>
  <c r="S271" i="5"/>
  <c r="P271" i="5"/>
  <c r="O271" i="5"/>
  <c r="AD271" i="5" s="1"/>
  <c r="N271" i="5"/>
  <c r="T270" i="5"/>
  <c r="S270" i="5"/>
  <c r="P270" i="5"/>
  <c r="O270" i="5"/>
  <c r="N270" i="5"/>
  <c r="T269" i="5"/>
  <c r="S269" i="5"/>
  <c r="P269" i="5"/>
  <c r="O269" i="5"/>
  <c r="N269" i="5"/>
  <c r="T268" i="5"/>
  <c r="S268" i="5"/>
  <c r="P268" i="5"/>
  <c r="O268" i="5"/>
  <c r="N268" i="5"/>
  <c r="T267" i="5"/>
  <c r="S267" i="5"/>
  <c r="P267" i="5"/>
  <c r="O267" i="5"/>
  <c r="AD267" i="5" s="1"/>
  <c r="N267" i="5"/>
  <c r="T266" i="5"/>
  <c r="S266" i="5"/>
  <c r="P266" i="5"/>
  <c r="O266" i="5"/>
  <c r="N266" i="5"/>
  <c r="T265" i="5"/>
  <c r="S265" i="5"/>
  <c r="P265" i="5"/>
  <c r="O265" i="5"/>
  <c r="AD265" i="5" s="1"/>
  <c r="N265" i="5"/>
  <c r="T264" i="5"/>
  <c r="S264" i="5"/>
  <c r="P264" i="5"/>
  <c r="O264" i="5"/>
  <c r="N264" i="5"/>
  <c r="T263" i="5"/>
  <c r="S263" i="5"/>
  <c r="P263" i="5"/>
  <c r="O263" i="5"/>
  <c r="AD263" i="5" s="1"/>
  <c r="N263" i="5"/>
  <c r="T262" i="5"/>
  <c r="S262" i="5"/>
  <c r="P262" i="5"/>
  <c r="O262" i="5"/>
  <c r="N262" i="5"/>
  <c r="T261" i="5"/>
  <c r="S261" i="5"/>
  <c r="P261" i="5"/>
  <c r="O261" i="5"/>
  <c r="AD261" i="5" s="1"/>
  <c r="N261" i="5"/>
  <c r="T260" i="5"/>
  <c r="S260" i="5"/>
  <c r="P260" i="5"/>
  <c r="O260" i="5"/>
  <c r="N260" i="5"/>
  <c r="T259" i="5"/>
  <c r="S259" i="5"/>
  <c r="P259" i="5"/>
  <c r="O259" i="5"/>
  <c r="AD259" i="5" s="1"/>
  <c r="N259" i="5"/>
  <c r="T258" i="5"/>
  <c r="S258" i="5"/>
  <c r="P258" i="5"/>
  <c r="O258" i="5"/>
  <c r="N258" i="5"/>
  <c r="T257" i="5"/>
  <c r="S257" i="5"/>
  <c r="P257" i="5"/>
  <c r="O257" i="5"/>
  <c r="AD257" i="5" s="1"/>
  <c r="N257" i="5"/>
  <c r="T256" i="5"/>
  <c r="S256" i="5"/>
  <c r="P256" i="5"/>
  <c r="O256" i="5"/>
  <c r="N256" i="5"/>
  <c r="T255" i="5"/>
  <c r="S255" i="5"/>
  <c r="P255" i="5"/>
  <c r="O255" i="5"/>
  <c r="AD255" i="5" s="1"/>
  <c r="N255" i="5"/>
  <c r="T254" i="5"/>
  <c r="S254" i="5"/>
  <c r="P254" i="5"/>
  <c r="O254" i="5"/>
  <c r="N254" i="5"/>
  <c r="T253" i="5"/>
  <c r="S253" i="5"/>
  <c r="P253" i="5"/>
  <c r="O253" i="5"/>
  <c r="AD253" i="5" s="1"/>
  <c r="N253" i="5"/>
  <c r="T252" i="5"/>
  <c r="S252" i="5"/>
  <c r="P252" i="5"/>
  <c r="O252" i="5"/>
  <c r="N252" i="5"/>
  <c r="T251" i="5"/>
  <c r="S251" i="5"/>
  <c r="P251" i="5"/>
  <c r="O251" i="5"/>
  <c r="AD251" i="5" s="1"/>
  <c r="N251" i="5"/>
  <c r="T250" i="5"/>
  <c r="S250" i="5"/>
  <c r="P250" i="5"/>
  <c r="O250" i="5"/>
  <c r="N250" i="5"/>
  <c r="T249" i="5"/>
  <c r="S249" i="5"/>
  <c r="P249" i="5"/>
  <c r="O249" i="5"/>
  <c r="AD249" i="5" s="1"/>
  <c r="N249" i="5"/>
  <c r="T248" i="5"/>
  <c r="S248" i="5"/>
  <c r="P248" i="5"/>
  <c r="O248" i="5"/>
  <c r="N248" i="5"/>
  <c r="T247" i="5"/>
  <c r="S247" i="5"/>
  <c r="P247" i="5"/>
  <c r="O247" i="5"/>
  <c r="AD247" i="5" s="1"/>
  <c r="N247" i="5"/>
  <c r="T246" i="5"/>
  <c r="S246" i="5"/>
  <c r="P246" i="5"/>
  <c r="O246" i="5"/>
  <c r="N246" i="5"/>
  <c r="T245" i="5"/>
  <c r="S245" i="5"/>
  <c r="P245" i="5"/>
  <c r="O245" i="5"/>
  <c r="AD245" i="5" s="1"/>
  <c r="N245" i="5"/>
  <c r="T244" i="5"/>
  <c r="S244" i="5"/>
  <c r="P244" i="5"/>
  <c r="O244" i="5"/>
  <c r="N244" i="5"/>
  <c r="T243" i="5"/>
  <c r="S243" i="5"/>
  <c r="P243" i="5"/>
  <c r="O243" i="5"/>
  <c r="AD243" i="5" s="1"/>
  <c r="N243" i="5"/>
  <c r="T242" i="5"/>
  <c r="S242" i="5"/>
  <c r="P242" i="5"/>
  <c r="O242" i="5"/>
  <c r="N242" i="5"/>
  <c r="T241" i="5"/>
  <c r="S241" i="5"/>
  <c r="P241" i="5"/>
  <c r="O241" i="5"/>
  <c r="AD241" i="5" s="1"/>
  <c r="N241" i="5"/>
  <c r="T240" i="5"/>
  <c r="S240" i="5"/>
  <c r="P240" i="5"/>
  <c r="O240" i="5"/>
  <c r="N240" i="5"/>
  <c r="T239" i="5"/>
  <c r="S239" i="5"/>
  <c r="P239" i="5"/>
  <c r="O239" i="5"/>
  <c r="AD239" i="5" s="1"/>
  <c r="N239" i="5"/>
  <c r="T238" i="5"/>
  <c r="S238" i="5"/>
  <c r="P238" i="5"/>
  <c r="O238" i="5"/>
  <c r="N238" i="5"/>
  <c r="T237" i="5"/>
  <c r="S237" i="5"/>
  <c r="P237" i="5"/>
  <c r="O237" i="5"/>
  <c r="AD237" i="5" s="1"/>
  <c r="N237" i="5"/>
  <c r="T236" i="5"/>
  <c r="S236" i="5"/>
  <c r="P236" i="5"/>
  <c r="O236" i="5"/>
  <c r="N236" i="5"/>
  <c r="T235" i="5"/>
  <c r="S235" i="5"/>
  <c r="P235" i="5"/>
  <c r="O235" i="5"/>
  <c r="AD235" i="5" s="1"/>
  <c r="N235" i="5"/>
  <c r="T234" i="5"/>
  <c r="S234" i="5"/>
  <c r="P234" i="5"/>
  <c r="O234" i="5"/>
  <c r="N234" i="5"/>
  <c r="T233" i="5"/>
  <c r="S233" i="5"/>
  <c r="P233" i="5"/>
  <c r="O233" i="5"/>
  <c r="AD233" i="5" s="1"/>
  <c r="N233" i="5"/>
  <c r="T232" i="5"/>
  <c r="S232" i="5"/>
  <c r="P232" i="5"/>
  <c r="O232" i="5"/>
  <c r="N232" i="5"/>
  <c r="T231" i="5"/>
  <c r="S231" i="5"/>
  <c r="P231" i="5"/>
  <c r="O231" i="5"/>
  <c r="AD231" i="5" s="1"/>
  <c r="N231" i="5"/>
  <c r="T230" i="5"/>
  <c r="S230" i="5"/>
  <c r="P230" i="5"/>
  <c r="O230" i="5"/>
  <c r="N230" i="5"/>
  <c r="T229" i="5"/>
  <c r="S229" i="5"/>
  <c r="P229" i="5"/>
  <c r="O229" i="5"/>
  <c r="AD229" i="5" s="1"/>
  <c r="N229" i="5"/>
  <c r="T228" i="5"/>
  <c r="S228" i="5"/>
  <c r="P228" i="5"/>
  <c r="O228" i="5"/>
  <c r="N228" i="5"/>
  <c r="T227" i="5"/>
  <c r="S227" i="5"/>
  <c r="P227" i="5"/>
  <c r="O227" i="5"/>
  <c r="AD227" i="5" s="1"/>
  <c r="N227" i="5"/>
  <c r="T226" i="5"/>
  <c r="S226" i="5"/>
  <c r="P226" i="5"/>
  <c r="O226" i="5"/>
  <c r="N226" i="5"/>
  <c r="T225" i="5"/>
  <c r="S225" i="5"/>
  <c r="P225" i="5"/>
  <c r="O225" i="5"/>
  <c r="AD225" i="5" s="1"/>
  <c r="N225" i="5"/>
  <c r="T224" i="5"/>
  <c r="S224" i="5"/>
  <c r="P224" i="5"/>
  <c r="O224" i="5"/>
  <c r="N224" i="5"/>
  <c r="T223" i="5"/>
  <c r="S223" i="5"/>
  <c r="P223" i="5"/>
  <c r="O223" i="5"/>
  <c r="AD223" i="5" s="1"/>
  <c r="N223" i="5"/>
  <c r="T222" i="5"/>
  <c r="S222" i="5"/>
  <c r="P222" i="5"/>
  <c r="O222" i="5"/>
  <c r="N222" i="5"/>
  <c r="T221" i="5"/>
  <c r="S221" i="5"/>
  <c r="P221" i="5"/>
  <c r="O221" i="5"/>
  <c r="AD221" i="5" s="1"/>
  <c r="N221" i="5"/>
  <c r="T206" i="5"/>
  <c r="S206" i="5"/>
  <c r="P206" i="5"/>
  <c r="O206" i="5"/>
  <c r="N206" i="5"/>
  <c r="T205" i="5"/>
  <c r="S205" i="5"/>
  <c r="P205" i="5"/>
  <c r="O205" i="5"/>
  <c r="AD205" i="5" s="1"/>
  <c r="N205" i="5"/>
  <c r="T204" i="5"/>
  <c r="S204" i="5"/>
  <c r="P204" i="5"/>
  <c r="O204" i="5"/>
  <c r="AD204" i="5" s="1"/>
  <c r="N204" i="5"/>
  <c r="T203" i="5"/>
  <c r="S203" i="5"/>
  <c r="P203" i="5"/>
  <c r="O203" i="5"/>
  <c r="N203" i="5"/>
  <c r="T202" i="5"/>
  <c r="S202" i="5"/>
  <c r="P202" i="5"/>
  <c r="O202" i="5"/>
  <c r="N202" i="5"/>
  <c r="T201" i="5"/>
  <c r="S201" i="5"/>
  <c r="P201" i="5"/>
  <c r="O201" i="5"/>
  <c r="N201" i="5"/>
  <c r="T200" i="5"/>
  <c r="S200" i="5"/>
  <c r="P200" i="5"/>
  <c r="O200" i="5"/>
  <c r="AD200" i="5" s="1"/>
  <c r="N200" i="5"/>
  <c r="T199" i="5"/>
  <c r="S199" i="5"/>
  <c r="P199" i="5"/>
  <c r="O199" i="5"/>
  <c r="N199" i="5"/>
  <c r="T198" i="5"/>
  <c r="S198" i="5"/>
  <c r="P198" i="5"/>
  <c r="O198" i="5"/>
  <c r="N198" i="5"/>
  <c r="T197" i="5"/>
  <c r="S197" i="5"/>
  <c r="P197" i="5"/>
  <c r="O197" i="5"/>
  <c r="N197" i="5"/>
  <c r="T196" i="5"/>
  <c r="S196" i="5"/>
  <c r="P196" i="5"/>
  <c r="O196" i="5"/>
  <c r="AD196" i="5" s="1"/>
  <c r="N196" i="5"/>
  <c r="T195" i="5"/>
  <c r="S195" i="5"/>
  <c r="P195" i="5"/>
  <c r="O195" i="5"/>
  <c r="N195" i="5"/>
  <c r="T194" i="5"/>
  <c r="S194" i="5"/>
  <c r="P194" i="5"/>
  <c r="O194" i="5"/>
  <c r="N194" i="5"/>
  <c r="T193" i="5"/>
  <c r="S193" i="5"/>
  <c r="P193" i="5"/>
  <c r="O193" i="5"/>
  <c r="N193" i="5"/>
  <c r="T192" i="5"/>
  <c r="S192" i="5"/>
  <c r="P192" i="5"/>
  <c r="O192" i="5"/>
  <c r="AD192" i="5" s="1"/>
  <c r="N192" i="5"/>
  <c r="T191" i="5"/>
  <c r="S191" i="5"/>
  <c r="P191" i="5"/>
  <c r="O191" i="5"/>
  <c r="N191" i="5"/>
  <c r="T190" i="5"/>
  <c r="S190" i="5"/>
  <c r="P190" i="5"/>
  <c r="O190" i="5"/>
  <c r="N190" i="5"/>
  <c r="T189" i="5"/>
  <c r="S189" i="5"/>
  <c r="P189" i="5"/>
  <c r="O189" i="5"/>
  <c r="N189" i="5"/>
  <c r="T188" i="5"/>
  <c r="S188" i="5"/>
  <c r="P188" i="5"/>
  <c r="O188" i="5"/>
  <c r="AD188" i="5" s="1"/>
  <c r="N188" i="5"/>
  <c r="T187" i="5"/>
  <c r="S187" i="5"/>
  <c r="P187" i="5"/>
  <c r="O187" i="5"/>
  <c r="N187" i="5"/>
  <c r="T186" i="5"/>
  <c r="S186" i="5"/>
  <c r="P186" i="5"/>
  <c r="O186" i="5"/>
  <c r="N186" i="5"/>
  <c r="T185" i="5"/>
  <c r="S185" i="5"/>
  <c r="P185" i="5"/>
  <c r="O185" i="5"/>
  <c r="N185" i="5"/>
  <c r="T184" i="5"/>
  <c r="S184" i="5"/>
  <c r="P184" i="5"/>
  <c r="O184" i="5"/>
  <c r="AD184" i="5" s="1"/>
  <c r="N184" i="5"/>
  <c r="T183" i="5"/>
  <c r="S183" i="5"/>
  <c r="P183" i="5"/>
  <c r="O183" i="5"/>
  <c r="N183" i="5"/>
  <c r="T182" i="5"/>
  <c r="S182" i="5"/>
  <c r="P182" i="5"/>
  <c r="O182" i="5"/>
  <c r="N182" i="5"/>
  <c r="T181" i="5"/>
  <c r="S181" i="5"/>
  <c r="P181" i="5"/>
  <c r="O181" i="5"/>
  <c r="N181" i="5"/>
  <c r="AD181" i="5" s="1"/>
  <c r="T180" i="5"/>
  <c r="S180" i="5"/>
  <c r="P180" i="5"/>
  <c r="O180" i="5"/>
  <c r="AD180" i="5" s="1"/>
  <c r="N180" i="5"/>
  <c r="T179" i="5"/>
  <c r="S179" i="5"/>
  <c r="P179" i="5"/>
  <c r="O179" i="5"/>
  <c r="N179" i="5"/>
  <c r="T178" i="5"/>
  <c r="S178" i="5"/>
  <c r="P178" i="5"/>
  <c r="O178" i="5"/>
  <c r="N178" i="5"/>
  <c r="T177" i="5"/>
  <c r="S177" i="5"/>
  <c r="P177" i="5"/>
  <c r="O177" i="5"/>
  <c r="N177" i="5"/>
  <c r="T176" i="5"/>
  <c r="S176" i="5"/>
  <c r="P176" i="5"/>
  <c r="O176" i="5"/>
  <c r="AD176" i="5" s="1"/>
  <c r="N176" i="5"/>
  <c r="T175" i="5"/>
  <c r="S175" i="5"/>
  <c r="P175" i="5"/>
  <c r="O175" i="5"/>
  <c r="N175" i="5"/>
  <c r="T174" i="5"/>
  <c r="S174" i="5"/>
  <c r="P174" i="5"/>
  <c r="O174" i="5"/>
  <c r="N174" i="5"/>
  <c r="T173" i="5"/>
  <c r="S173" i="5"/>
  <c r="P173" i="5"/>
  <c r="O173" i="5"/>
  <c r="N173" i="5"/>
  <c r="T172" i="5"/>
  <c r="S172" i="5"/>
  <c r="P172" i="5"/>
  <c r="O172" i="5"/>
  <c r="AD172" i="5" s="1"/>
  <c r="N172" i="5"/>
  <c r="T171" i="5"/>
  <c r="S171" i="5"/>
  <c r="P171" i="5"/>
  <c r="O171" i="5"/>
  <c r="N171" i="5"/>
  <c r="T170" i="5"/>
  <c r="S170" i="5"/>
  <c r="P170" i="5"/>
  <c r="O170" i="5"/>
  <c r="N170" i="5"/>
  <c r="T169" i="5"/>
  <c r="S169" i="5"/>
  <c r="P169" i="5"/>
  <c r="O169" i="5"/>
  <c r="N169" i="5"/>
  <c r="T168" i="5"/>
  <c r="S168" i="5"/>
  <c r="P168" i="5"/>
  <c r="O168" i="5"/>
  <c r="AD168" i="5" s="1"/>
  <c r="N168" i="5"/>
  <c r="T167" i="5"/>
  <c r="S167" i="5"/>
  <c r="P167" i="5"/>
  <c r="O167" i="5"/>
  <c r="N167" i="5"/>
  <c r="T166" i="5"/>
  <c r="S166" i="5"/>
  <c r="P166" i="5"/>
  <c r="O166" i="5"/>
  <c r="N166" i="5"/>
  <c r="T165" i="5"/>
  <c r="S165" i="5"/>
  <c r="P165" i="5"/>
  <c r="O165" i="5"/>
  <c r="N165" i="5"/>
  <c r="T164" i="5"/>
  <c r="S164" i="5"/>
  <c r="P164" i="5"/>
  <c r="O164" i="5"/>
  <c r="AD164" i="5" s="1"/>
  <c r="N164" i="5"/>
  <c r="T163" i="5"/>
  <c r="S163" i="5"/>
  <c r="P163" i="5"/>
  <c r="O163" i="5"/>
  <c r="N163" i="5"/>
  <c r="T162" i="5"/>
  <c r="S162" i="5"/>
  <c r="P162" i="5"/>
  <c r="O162" i="5"/>
  <c r="N162" i="5"/>
  <c r="T161" i="5"/>
  <c r="S161" i="5"/>
  <c r="P161" i="5"/>
  <c r="O161" i="5"/>
  <c r="N161" i="5"/>
  <c r="T160" i="5"/>
  <c r="S160" i="5"/>
  <c r="P160" i="5"/>
  <c r="O160" i="5"/>
  <c r="AD160" i="5" s="1"/>
  <c r="N160" i="5"/>
  <c r="T159" i="5"/>
  <c r="S159" i="5"/>
  <c r="P159" i="5"/>
  <c r="O159" i="5"/>
  <c r="N159" i="5"/>
  <c r="T158" i="5"/>
  <c r="S158" i="5"/>
  <c r="P158" i="5"/>
  <c r="O158" i="5"/>
  <c r="N158" i="5"/>
  <c r="T157" i="5"/>
  <c r="S157" i="5"/>
  <c r="P157" i="5"/>
  <c r="O157" i="5"/>
  <c r="N157" i="5"/>
  <c r="T156" i="5"/>
  <c r="S156" i="5"/>
  <c r="P156" i="5"/>
  <c r="O156" i="5"/>
  <c r="AD156" i="5" s="1"/>
  <c r="N156" i="5"/>
  <c r="T155" i="5"/>
  <c r="S155" i="5"/>
  <c r="P155" i="5"/>
  <c r="O155" i="5"/>
  <c r="N155" i="5"/>
  <c r="T154" i="5"/>
  <c r="S154" i="5"/>
  <c r="P154" i="5"/>
  <c r="O154" i="5"/>
  <c r="N154" i="5"/>
  <c r="AE138" i="5"/>
  <c r="T138" i="5"/>
  <c r="S138" i="5"/>
  <c r="P138" i="5"/>
  <c r="O138" i="5"/>
  <c r="N138" i="5"/>
  <c r="AE137" i="5"/>
  <c r="T137" i="5"/>
  <c r="S137" i="5"/>
  <c r="P137" i="5"/>
  <c r="O137" i="5"/>
  <c r="AD137" i="5" s="1"/>
  <c r="N137" i="5"/>
  <c r="AE136" i="5"/>
  <c r="AA136" i="5"/>
  <c r="T136" i="5"/>
  <c r="S136" i="5"/>
  <c r="P136" i="5"/>
  <c r="O136" i="5"/>
  <c r="AD136" i="5" s="1"/>
  <c r="N136" i="5"/>
  <c r="AE135" i="5"/>
  <c r="T135" i="5"/>
  <c r="S135" i="5"/>
  <c r="P135" i="5"/>
  <c r="O135" i="5"/>
  <c r="N135" i="5"/>
  <c r="AE134" i="5"/>
  <c r="T134" i="5"/>
  <c r="S134" i="5"/>
  <c r="P134" i="5"/>
  <c r="O134" i="5"/>
  <c r="N134" i="5"/>
  <c r="AE133" i="5"/>
  <c r="T133" i="5"/>
  <c r="S133" i="5"/>
  <c r="P133" i="5"/>
  <c r="O133" i="5"/>
  <c r="AD133" i="5" s="1"/>
  <c r="N133" i="5"/>
  <c r="AE132" i="5"/>
  <c r="T132" i="5"/>
  <c r="S132" i="5"/>
  <c r="P132" i="5"/>
  <c r="O132" i="5"/>
  <c r="AD132" i="5" s="1"/>
  <c r="N132" i="5"/>
  <c r="AE131" i="5"/>
  <c r="T131" i="5"/>
  <c r="S131" i="5"/>
  <c r="P131" i="5"/>
  <c r="O131" i="5"/>
  <c r="N131" i="5"/>
  <c r="AE130" i="5"/>
  <c r="T130" i="5"/>
  <c r="S130" i="5"/>
  <c r="P130" i="5"/>
  <c r="O130" i="5"/>
  <c r="N130" i="5"/>
  <c r="AE129" i="5"/>
  <c r="T129" i="5"/>
  <c r="S129" i="5"/>
  <c r="P129" i="5"/>
  <c r="O129" i="5"/>
  <c r="AD129" i="5" s="1"/>
  <c r="N129" i="5"/>
  <c r="AE128" i="5"/>
  <c r="T128" i="5"/>
  <c r="S128" i="5"/>
  <c r="P128" i="5"/>
  <c r="O128" i="5"/>
  <c r="AD128" i="5" s="1"/>
  <c r="N128" i="5"/>
  <c r="AE127" i="5"/>
  <c r="T127" i="5"/>
  <c r="S127" i="5"/>
  <c r="P127" i="5"/>
  <c r="O127" i="5"/>
  <c r="N127" i="5"/>
  <c r="AE126" i="5"/>
  <c r="T126" i="5"/>
  <c r="S126" i="5"/>
  <c r="P126" i="5"/>
  <c r="O126" i="5"/>
  <c r="N126" i="5"/>
  <c r="AE125" i="5"/>
  <c r="T125" i="5"/>
  <c r="S125" i="5"/>
  <c r="P125" i="5"/>
  <c r="O125" i="5"/>
  <c r="AD125" i="5" s="1"/>
  <c r="N125" i="5"/>
  <c r="AE124" i="5"/>
  <c r="T124" i="5"/>
  <c r="S124" i="5"/>
  <c r="P124" i="5"/>
  <c r="O124" i="5"/>
  <c r="AD124" i="5" s="1"/>
  <c r="N124" i="5"/>
  <c r="AE123" i="5"/>
  <c r="T123" i="5"/>
  <c r="S123" i="5"/>
  <c r="P123" i="5"/>
  <c r="O123" i="5"/>
  <c r="N123" i="5"/>
  <c r="AE122" i="5"/>
  <c r="T122" i="5"/>
  <c r="S122" i="5"/>
  <c r="P122" i="5"/>
  <c r="O122" i="5"/>
  <c r="N122" i="5"/>
  <c r="AE121" i="5"/>
  <c r="T121" i="5"/>
  <c r="S121" i="5"/>
  <c r="P121" i="5"/>
  <c r="O121" i="5"/>
  <c r="AD121" i="5" s="1"/>
  <c r="N121" i="5"/>
  <c r="AE120" i="5"/>
  <c r="AA120" i="5"/>
  <c r="T120" i="5"/>
  <c r="S120" i="5"/>
  <c r="P120" i="5"/>
  <c r="O120" i="5"/>
  <c r="AD120" i="5" s="1"/>
  <c r="N120" i="5"/>
  <c r="AE119" i="5"/>
  <c r="T119" i="5"/>
  <c r="S119" i="5"/>
  <c r="P119" i="5"/>
  <c r="O119" i="5"/>
  <c r="N119" i="5"/>
  <c r="AE118" i="5"/>
  <c r="T118" i="5"/>
  <c r="S118" i="5"/>
  <c r="P118" i="5"/>
  <c r="O118" i="5"/>
  <c r="N118" i="5"/>
  <c r="AE117" i="5"/>
  <c r="AB117" i="5"/>
  <c r="T117" i="5"/>
  <c r="S117" i="5"/>
  <c r="P117" i="5"/>
  <c r="O117" i="5"/>
  <c r="AD117" i="5" s="1"/>
  <c r="N117" i="5"/>
  <c r="AE116" i="5"/>
  <c r="T116" i="5"/>
  <c r="S116" i="5"/>
  <c r="P116" i="5"/>
  <c r="O116" i="5"/>
  <c r="AD116" i="5" s="1"/>
  <c r="N116" i="5"/>
  <c r="AE115" i="5"/>
  <c r="T115" i="5"/>
  <c r="S115" i="5"/>
  <c r="P115" i="5"/>
  <c r="O115" i="5"/>
  <c r="N115" i="5"/>
  <c r="AE114" i="5"/>
  <c r="T114" i="5"/>
  <c r="S114" i="5"/>
  <c r="P114" i="5"/>
  <c r="O114" i="5"/>
  <c r="N114" i="5"/>
  <c r="AE113" i="5"/>
  <c r="T113" i="5"/>
  <c r="S113" i="5"/>
  <c r="P113" i="5"/>
  <c r="O113" i="5"/>
  <c r="AD113" i="5" s="1"/>
  <c r="N113" i="5"/>
  <c r="AE112" i="5"/>
  <c r="AB112" i="5"/>
  <c r="T112" i="5"/>
  <c r="S112" i="5"/>
  <c r="P112" i="5"/>
  <c r="O112" i="5"/>
  <c r="AD112" i="5" s="1"/>
  <c r="N112" i="5"/>
  <c r="AE111" i="5"/>
  <c r="T111" i="5"/>
  <c r="S111" i="5"/>
  <c r="P111" i="5"/>
  <c r="O111" i="5"/>
  <c r="N111" i="5"/>
  <c r="AE110" i="5"/>
  <c r="T110" i="5"/>
  <c r="S110" i="5"/>
  <c r="P110" i="5"/>
  <c r="O110" i="5"/>
  <c r="N110" i="5"/>
  <c r="AE109" i="5"/>
  <c r="T109" i="5"/>
  <c r="S109" i="5"/>
  <c r="P109" i="5"/>
  <c r="O109" i="5"/>
  <c r="AD109" i="5" s="1"/>
  <c r="N109" i="5"/>
  <c r="AE108" i="5"/>
  <c r="T108" i="5"/>
  <c r="S108" i="5"/>
  <c r="P108" i="5"/>
  <c r="O108" i="5"/>
  <c r="AD108" i="5" s="1"/>
  <c r="N108" i="5"/>
  <c r="AE107" i="5"/>
  <c r="T107" i="5"/>
  <c r="S107" i="5"/>
  <c r="P107" i="5"/>
  <c r="O107" i="5"/>
  <c r="N107" i="5"/>
  <c r="AE106" i="5"/>
  <c r="T106" i="5"/>
  <c r="S106" i="5"/>
  <c r="P106" i="5"/>
  <c r="O106" i="5"/>
  <c r="N106" i="5"/>
  <c r="AE105" i="5"/>
  <c r="T105" i="5"/>
  <c r="S105" i="5"/>
  <c r="P105" i="5"/>
  <c r="O105" i="5"/>
  <c r="AD105" i="5" s="1"/>
  <c r="N105" i="5"/>
  <c r="AE104" i="5"/>
  <c r="T104" i="5"/>
  <c r="S104" i="5"/>
  <c r="P104" i="5"/>
  <c r="O104" i="5"/>
  <c r="AD104" i="5" s="1"/>
  <c r="N104" i="5"/>
  <c r="AE103" i="5"/>
  <c r="AA103" i="5"/>
  <c r="T103" i="5"/>
  <c r="S103" i="5"/>
  <c r="P103" i="5"/>
  <c r="O103" i="5"/>
  <c r="N103" i="5"/>
  <c r="AE102" i="5"/>
  <c r="T102" i="5"/>
  <c r="S102" i="5"/>
  <c r="P102" i="5"/>
  <c r="O102" i="5"/>
  <c r="N102" i="5"/>
  <c r="AE101" i="5"/>
  <c r="T101" i="5"/>
  <c r="S101" i="5"/>
  <c r="P101" i="5"/>
  <c r="O101" i="5"/>
  <c r="AD101" i="5" s="1"/>
  <c r="N101" i="5"/>
  <c r="AE100" i="5"/>
  <c r="AA100" i="5"/>
  <c r="T100" i="5"/>
  <c r="S100" i="5"/>
  <c r="P100" i="5"/>
  <c r="O100" i="5"/>
  <c r="AD100" i="5" s="1"/>
  <c r="N100" i="5"/>
  <c r="AE99" i="5"/>
  <c r="T99" i="5"/>
  <c r="S99" i="5"/>
  <c r="P99" i="5"/>
  <c r="O99" i="5"/>
  <c r="N99" i="5"/>
  <c r="AE98" i="5"/>
  <c r="T98" i="5"/>
  <c r="S98" i="5"/>
  <c r="P98" i="5"/>
  <c r="O98" i="5"/>
  <c r="N98" i="5"/>
  <c r="AE97" i="5"/>
  <c r="T97" i="5"/>
  <c r="S97" i="5"/>
  <c r="P97" i="5"/>
  <c r="O97" i="5"/>
  <c r="AD97" i="5" s="1"/>
  <c r="N97" i="5"/>
  <c r="AE96" i="5"/>
  <c r="T96" i="5"/>
  <c r="S96" i="5"/>
  <c r="P96" i="5"/>
  <c r="O96" i="5"/>
  <c r="AD96" i="5" s="1"/>
  <c r="N96" i="5"/>
  <c r="AE95" i="5"/>
  <c r="T95" i="5"/>
  <c r="S95" i="5"/>
  <c r="P95" i="5"/>
  <c r="O95" i="5"/>
  <c r="N95" i="5"/>
  <c r="AE94" i="5"/>
  <c r="T94" i="5"/>
  <c r="S94" i="5"/>
  <c r="P94" i="5"/>
  <c r="O94" i="5"/>
  <c r="N94" i="5"/>
  <c r="AE93" i="5"/>
  <c r="T93" i="5"/>
  <c r="S93" i="5"/>
  <c r="P93" i="5"/>
  <c r="O93" i="5"/>
  <c r="AD93" i="5" s="1"/>
  <c r="N93" i="5"/>
  <c r="AE92" i="5"/>
  <c r="AA92" i="5"/>
  <c r="T92" i="5"/>
  <c r="S92" i="5"/>
  <c r="P92" i="5"/>
  <c r="O92" i="5"/>
  <c r="AD92" i="5" s="1"/>
  <c r="N92" i="5"/>
  <c r="AE91" i="5"/>
  <c r="T91" i="5"/>
  <c r="S91" i="5"/>
  <c r="P91" i="5"/>
  <c r="O91" i="5"/>
  <c r="N91" i="5"/>
  <c r="AE90" i="5"/>
  <c r="T90" i="5"/>
  <c r="S90" i="5"/>
  <c r="P90" i="5"/>
  <c r="O90" i="5"/>
  <c r="N90" i="5"/>
  <c r="AE89" i="5"/>
  <c r="T89" i="5"/>
  <c r="S89" i="5"/>
  <c r="P89" i="5"/>
  <c r="O89" i="5"/>
  <c r="AD89" i="5" s="1"/>
  <c r="N89" i="5"/>
  <c r="AE88" i="5"/>
  <c r="T88" i="5"/>
  <c r="S88" i="5"/>
  <c r="P88" i="5"/>
  <c r="O88" i="5"/>
  <c r="AD88" i="5" s="1"/>
  <c r="N88" i="5"/>
  <c r="AE87" i="5"/>
  <c r="T87" i="5"/>
  <c r="S87" i="5"/>
  <c r="P87" i="5"/>
  <c r="O87" i="5"/>
  <c r="N87" i="5"/>
  <c r="AE86" i="5"/>
  <c r="T86" i="5"/>
  <c r="S86" i="5"/>
  <c r="P86" i="5"/>
  <c r="O86" i="5"/>
  <c r="N86" i="5"/>
  <c r="AE70" i="5"/>
  <c r="T70" i="5"/>
  <c r="S70" i="5"/>
  <c r="P70" i="5"/>
  <c r="O70" i="5"/>
  <c r="N70" i="5"/>
  <c r="AD70" i="5" s="1"/>
  <c r="AE69" i="5"/>
  <c r="AD69" i="5"/>
  <c r="T69" i="5"/>
  <c r="S69" i="5"/>
  <c r="P69" i="5"/>
  <c r="O69" i="5"/>
  <c r="N69" i="5"/>
  <c r="AE68" i="5"/>
  <c r="AD68" i="5"/>
  <c r="T68" i="5"/>
  <c r="S68" i="5"/>
  <c r="P68" i="5"/>
  <c r="O68" i="5"/>
  <c r="N68" i="5"/>
  <c r="AE67" i="5"/>
  <c r="AA67" i="5"/>
  <c r="T67" i="5"/>
  <c r="S67" i="5"/>
  <c r="P67" i="5"/>
  <c r="O67" i="5"/>
  <c r="N67" i="5"/>
  <c r="AD67" i="5" s="1"/>
  <c r="AE66" i="5"/>
  <c r="T66" i="5"/>
  <c r="S66" i="5"/>
  <c r="P66" i="5"/>
  <c r="O66" i="5"/>
  <c r="N66" i="5"/>
  <c r="AD66" i="5" s="1"/>
  <c r="AE65" i="5"/>
  <c r="AD65" i="5"/>
  <c r="T65" i="5"/>
  <c r="S65" i="5"/>
  <c r="P65" i="5"/>
  <c r="O65" i="5"/>
  <c r="N65" i="5"/>
  <c r="AE64" i="5"/>
  <c r="AD64" i="5"/>
  <c r="T64" i="5"/>
  <c r="S64" i="5"/>
  <c r="P64" i="5"/>
  <c r="O64" i="5"/>
  <c r="N64" i="5"/>
  <c r="AE63" i="5"/>
  <c r="T63" i="5"/>
  <c r="S63" i="5"/>
  <c r="P63" i="5"/>
  <c r="O63" i="5"/>
  <c r="N63" i="5"/>
  <c r="AD63" i="5" s="1"/>
  <c r="AE62" i="5"/>
  <c r="T62" i="5"/>
  <c r="S62" i="5"/>
  <c r="P62" i="5"/>
  <c r="O62" i="5"/>
  <c r="N62" i="5"/>
  <c r="AD62" i="5" s="1"/>
  <c r="AE61" i="5"/>
  <c r="AD61" i="5"/>
  <c r="AB61" i="5"/>
  <c r="T61" i="5"/>
  <c r="S61" i="5"/>
  <c r="P61" i="5"/>
  <c r="O61" i="5"/>
  <c r="N61" i="5"/>
  <c r="AE60" i="5"/>
  <c r="AD60" i="5"/>
  <c r="T60" i="5"/>
  <c r="S60" i="5"/>
  <c r="P60" i="5"/>
  <c r="O60" i="5"/>
  <c r="N60" i="5"/>
  <c r="AE59" i="5"/>
  <c r="AB59" i="5"/>
  <c r="T59" i="5"/>
  <c r="S59" i="5"/>
  <c r="P59" i="5"/>
  <c r="O59" i="5"/>
  <c r="N59" i="5"/>
  <c r="AD59" i="5" s="1"/>
  <c r="AE58" i="5"/>
  <c r="T58" i="5"/>
  <c r="S58" i="5"/>
  <c r="P58" i="5"/>
  <c r="O58" i="5"/>
  <c r="N58" i="5"/>
  <c r="AD58" i="5" s="1"/>
  <c r="AE57" i="5"/>
  <c r="AD57" i="5"/>
  <c r="T57" i="5"/>
  <c r="S57" i="5"/>
  <c r="P57" i="5"/>
  <c r="O57" i="5"/>
  <c r="N57" i="5"/>
  <c r="AE56" i="5"/>
  <c r="AD56" i="5"/>
  <c r="T56" i="5"/>
  <c r="S56" i="5"/>
  <c r="P56" i="5"/>
  <c r="O56" i="5"/>
  <c r="N56" i="5"/>
  <c r="AE55" i="5"/>
  <c r="AB55" i="5"/>
  <c r="T55" i="5"/>
  <c r="S55" i="5"/>
  <c r="P55" i="5"/>
  <c r="O55" i="5"/>
  <c r="N55" i="5"/>
  <c r="AD55" i="5" s="1"/>
  <c r="AE54" i="5"/>
  <c r="T54" i="5"/>
  <c r="S54" i="5"/>
  <c r="P54" i="5"/>
  <c r="O54" i="5"/>
  <c r="N54" i="5"/>
  <c r="AD54" i="5" s="1"/>
  <c r="AE53" i="5"/>
  <c r="AD53" i="5"/>
  <c r="T53" i="5"/>
  <c r="S53" i="5"/>
  <c r="P53" i="5"/>
  <c r="O53" i="5"/>
  <c r="N53" i="5"/>
  <c r="AE52" i="5"/>
  <c r="AD52" i="5"/>
  <c r="T52" i="5"/>
  <c r="S52" i="5"/>
  <c r="P52" i="5"/>
  <c r="O52" i="5"/>
  <c r="N52" i="5"/>
  <c r="AE51" i="5"/>
  <c r="T51" i="5"/>
  <c r="S51" i="5"/>
  <c r="P51" i="5"/>
  <c r="O51" i="5"/>
  <c r="N51" i="5"/>
  <c r="AD51" i="5" s="1"/>
  <c r="AE50" i="5"/>
  <c r="T50" i="5"/>
  <c r="S50" i="5"/>
  <c r="P50" i="5"/>
  <c r="O50" i="5"/>
  <c r="N50" i="5"/>
  <c r="AD50" i="5" s="1"/>
  <c r="AE49" i="5"/>
  <c r="AD49" i="5"/>
  <c r="T49" i="5"/>
  <c r="S49" i="5"/>
  <c r="P49" i="5"/>
  <c r="O49" i="5"/>
  <c r="N49" i="5"/>
  <c r="AE48" i="5"/>
  <c r="AD48" i="5"/>
  <c r="T48" i="5"/>
  <c r="S48" i="5"/>
  <c r="P48" i="5"/>
  <c r="O48" i="5"/>
  <c r="N48" i="5"/>
  <c r="AE47" i="5"/>
  <c r="T47" i="5"/>
  <c r="S47" i="5"/>
  <c r="P47" i="5"/>
  <c r="O47" i="5"/>
  <c r="N47" i="5"/>
  <c r="AD47" i="5" s="1"/>
  <c r="AE46" i="5"/>
  <c r="T46" i="5"/>
  <c r="S46" i="5"/>
  <c r="P46" i="5"/>
  <c r="O46" i="5"/>
  <c r="N46" i="5"/>
  <c r="AD46" i="5" s="1"/>
  <c r="AE45" i="5"/>
  <c r="AD45" i="5"/>
  <c r="T45" i="5"/>
  <c r="S45" i="5"/>
  <c r="P45" i="5"/>
  <c r="O45" i="5"/>
  <c r="N45" i="5"/>
  <c r="AE44" i="5"/>
  <c r="AD44" i="5"/>
  <c r="T44" i="5"/>
  <c r="S44" i="5"/>
  <c r="P44" i="5"/>
  <c r="O44" i="5"/>
  <c r="N44" i="5"/>
  <c r="AE43" i="5"/>
  <c r="AA43" i="5"/>
  <c r="T43" i="5"/>
  <c r="S43" i="5"/>
  <c r="P43" i="5"/>
  <c r="O43" i="5"/>
  <c r="N43" i="5"/>
  <c r="AD43" i="5" s="1"/>
  <c r="AE42" i="5"/>
  <c r="T42" i="5"/>
  <c r="S42" i="5"/>
  <c r="P42" i="5"/>
  <c r="O42" i="5"/>
  <c r="N42" i="5"/>
  <c r="AD42" i="5" s="1"/>
  <c r="AE41" i="5"/>
  <c r="AD41" i="5"/>
  <c r="T41" i="5"/>
  <c r="S41" i="5"/>
  <c r="P41" i="5"/>
  <c r="O41" i="5"/>
  <c r="N41" i="5"/>
  <c r="AE40" i="5"/>
  <c r="AD40" i="5"/>
  <c r="T40" i="5"/>
  <c r="S40" i="5"/>
  <c r="P40" i="5"/>
  <c r="O40" i="5"/>
  <c r="N40" i="5"/>
  <c r="AE39" i="5"/>
  <c r="T39" i="5"/>
  <c r="S39" i="5"/>
  <c r="P39" i="5"/>
  <c r="O39" i="5"/>
  <c r="N39" i="5"/>
  <c r="AD39" i="5" s="1"/>
  <c r="AE38" i="5"/>
  <c r="T38" i="5"/>
  <c r="S38" i="5"/>
  <c r="P38" i="5"/>
  <c r="O38" i="5"/>
  <c r="N38" i="5"/>
  <c r="AD38" i="5" s="1"/>
  <c r="AE37" i="5"/>
  <c r="AD37" i="5"/>
  <c r="T37" i="5"/>
  <c r="S37" i="5"/>
  <c r="P37" i="5"/>
  <c r="O37" i="5"/>
  <c r="N37" i="5"/>
  <c r="AE36" i="5"/>
  <c r="AD36" i="5"/>
  <c r="T36" i="5"/>
  <c r="S36" i="5"/>
  <c r="P36" i="5"/>
  <c r="O36" i="5"/>
  <c r="N36" i="5"/>
  <c r="AE35" i="5"/>
  <c r="AB35" i="5"/>
  <c r="T35" i="5"/>
  <c r="S35" i="5"/>
  <c r="P35" i="5"/>
  <c r="O35" i="5"/>
  <c r="N35" i="5"/>
  <c r="AD35" i="5" s="1"/>
  <c r="AE34" i="5"/>
  <c r="T34" i="5"/>
  <c r="S34" i="5"/>
  <c r="P34" i="5"/>
  <c r="O34" i="5"/>
  <c r="N34" i="5"/>
  <c r="AD34" i="5" s="1"/>
  <c r="AE33" i="5"/>
  <c r="AD33" i="5"/>
  <c r="T33" i="5"/>
  <c r="S33" i="5"/>
  <c r="P33" i="5"/>
  <c r="O33" i="5"/>
  <c r="N33" i="5"/>
  <c r="AE32" i="5"/>
  <c r="AD32" i="5"/>
  <c r="T32" i="5"/>
  <c r="S32" i="5"/>
  <c r="P32" i="5"/>
  <c r="O32" i="5"/>
  <c r="N32" i="5"/>
  <c r="AE31" i="5"/>
  <c r="AB31" i="5"/>
  <c r="T31" i="5"/>
  <c r="S31" i="5"/>
  <c r="P31" i="5"/>
  <c r="O31" i="5"/>
  <c r="N31" i="5"/>
  <c r="AD31" i="5" s="1"/>
  <c r="AE30" i="5"/>
  <c r="T30" i="5"/>
  <c r="S30" i="5"/>
  <c r="P30" i="5"/>
  <c r="O30" i="5"/>
  <c r="N30" i="5"/>
  <c r="AD30" i="5" s="1"/>
  <c r="AE29" i="5"/>
  <c r="AD29" i="5"/>
  <c r="AB29" i="5"/>
  <c r="T29" i="5"/>
  <c r="S29" i="5"/>
  <c r="P29" i="5"/>
  <c r="O29" i="5"/>
  <c r="N29" i="5"/>
  <c r="AE28" i="5"/>
  <c r="AD28" i="5"/>
  <c r="T28" i="5"/>
  <c r="S28" i="5"/>
  <c r="P28" i="5"/>
  <c r="O28" i="5"/>
  <c r="N28" i="5"/>
  <c r="AE27" i="5"/>
  <c r="AB27" i="5"/>
  <c r="T27" i="5"/>
  <c r="S27" i="5"/>
  <c r="P27" i="5"/>
  <c r="O27" i="5"/>
  <c r="N27" i="5"/>
  <c r="AD27" i="5" s="1"/>
  <c r="AE26" i="5"/>
  <c r="T26" i="5"/>
  <c r="S26" i="5"/>
  <c r="P26" i="5"/>
  <c r="O26" i="5"/>
  <c r="N26" i="5"/>
  <c r="AD26" i="5" s="1"/>
  <c r="AE25" i="5"/>
  <c r="AD25" i="5"/>
  <c r="T25" i="5"/>
  <c r="S25" i="5"/>
  <c r="P25" i="5"/>
  <c r="O25" i="5"/>
  <c r="N25" i="5"/>
  <c r="AE24" i="5"/>
  <c r="AD24" i="5"/>
  <c r="T24" i="5"/>
  <c r="S24" i="5"/>
  <c r="P24" i="5"/>
  <c r="O24" i="5"/>
  <c r="N24" i="5"/>
  <c r="AE23" i="5"/>
  <c r="AA23" i="5"/>
  <c r="T23" i="5"/>
  <c r="S23" i="5"/>
  <c r="P23" i="5"/>
  <c r="O23" i="5"/>
  <c r="N23" i="5"/>
  <c r="AD23" i="5" s="1"/>
  <c r="AE22" i="5"/>
  <c r="T22" i="5"/>
  <c r="S22" i="5"/>
  <c r="P22" i="5"/>
  <c r="O22" i="5"/>
  <c r="N22" i="5"/>
  <c r="AD22" i="5" s="1"/>
  <c r="AE21" i="5"/>
  <c r="AD21" i="5"/>
  <c r="T21" i="5"/>
  <c r="S21" i="5"/>
  <c r="P21" i="5"/>
  <c r="O21" i="5"/>
  <c r="N21" i="5"/>
  <c r="AE20" i="5"/>
  <c r="AD20" i="5"/>
  <c r="T20" i="5"/>
  <c r="S20" i="5"/>
  <c r="P20" i="5"/>
  <c r="O20" i="5"/>
  <c r="N20" i="5"/>
  <c r="AE19" i="5"/>
  <c r="T19" i="5"/>
  <c r="S19" i="5"/>
  <c r="P19" i="5"/>
  <c r="O19" i="5"/>
  <c r="N19" i="5"/>
  <c r="AD19" i="5" s="1"/>
  <c r="AE18" i="5"/>
  <c r="T18" i="5"/>
  <c r="S18" i="5"/>
  <c r="P18" i="5"/>
  <c r="O18" i="5"/>
  <c r="N18" i="5"/>
  <c r="AD18" i="5" s="1"/>
  <c r="AE17" i="5"/>
  <c r="P17" i="5"/>
  <c r="O17" i="5"/>
  <c r="N17" i="5"/>
  <c r="AD17" i="5" s="1"/>
  <c r="O16" i="5"/>
  <c r="N16" i="5"/>
  <c r="T114" i="4"/>
  <c r="S114" i="4"/>
  <c r="P114" i="4"/>
  <c r="N114" i="4"/>
  <c r="AD114" i="4" s="1"/>
  <c r="T113" i="4"/>
  <c r="S113" i="4"/>
  <c r="P113" i="4"/>
  <c r="N113" i="4"/>
  <c r="AD113" i="4" s="1"/>
  <c r="T112" i="4"/>
  <c r="S112" i="4"/>
  <c r="P112" i="4"/>
  <c r="N112" i="4"/>
  <c r="AD112" i="4" s="1"/>
  <c r="T111" i="4"/>
  <c r="S111" i="4"/>
  <c r="P111" i="4"/>
  <c r="N111" i="4"/>
  <c r="AD111" i="4" s="1"/>
  <c r="T110" i="4"/>
  <c r="S110" i="4"/>
  <c r="P110" i="4"/>
  <c r="N110" i="4"/>
  <c r="AD110" i="4" s="1"/>
  <c r="T109" i="4"/>
  <c r="S109" i="4"/>
  <c r="P109" i="4"/>
  <c r="N109" i="4"/>
  <c r="AD109" i="4" s="1"/>
  <c r="T108" i="4"/>
  <c r="S108" i="4"/>
  <c r="P108" i="4"/>
  <c r="N108" i="4"/>
  <c r="AD108" i="4" s="1"/>
  <c r="T107" i="4"/>
  <c r="S107" i="4"/>
  <c r="P107" i="4"/>
  <c r="N107" i="4"/>
  <c r="AD107" i="4" s="1"/>
  <c r="T92" i="4"/>
  <c r="S92" i="4"/>
  <c r="P92" i="4"/>
  <c r="N92" i="4"/>
  <c r="AD92" i="4" s="1"/>
  <c r="T91" i="4"/>
  <c r="S91" i="4"/>
  <c r="P91" i="4"/>
  <c r="N91" i="4"/>
  <c r="AD91" i="4" s="1"/>
  <c r="AD90" i="4"/>
  <c r="T90" i="4"/>
  <c r="S90" i="4"/>
  <c r="P90" i="4"/>
  <c r="N90" i="4"/>
  <c r="T89" i="4"/>
  <c r="S89" i="4"/>
  <c r="P89" i="4"/>
  <c r="N89" i="4"/>
  <c r="AD89" i="4" s="1"/>
  <c r="T88" i="4"/>
  <c r="S88" i="4"/>
  <c r="P88" i="4"/>
  <c r="N88" i="4"/>
  <c r="AD88" i="4" s="1"/>
  <c r="T87" i="4"/>
  <c r="S87" i="4"/>
  <c r="P87" i="4"/>
  <c r="N87" i="4"/>
  <c r="AD87" i="4" s="1"/>
  <c r="AD86" i="4"/>
  <c r="T86" i="4"/>
  <c r="S86" i="4"/>
  <c r="P86" i="4"/>
  <c r="N86" i="4"/>
  <c r="T85" i="4"/>
  <c r="S85" i="4"/>
  <c r="P85" i="4"/>
  <c r="N85" i="4"/>
  <c r="AD85" i="4" s="1"/>
  <c r="T70" i="4"/>
  <c r="S70" i="4"/>
  <c r="P70" i="4"/>
  <c r="N70" i="4"/>
  <c r="AD70" i="4" s="1"/>
  <c r="T69" i="4"/>
  <c r="S69" i="4"/>
  <c r="P69" i="4"/>
  <c r="N69" i="4"/>
  <c r="AD69" i="4" s="1"/>
  <c r="AD68" i="4"/>
  <c r="T68" i="4"/>
  <c r="S68" i="4"/>
  <c r="P68" i="4"/>
  <c r="N68" i="4"/>
  <c r="T67" i="4"/>
  <c r="S67" i="4"/>
  <c r="P67" i="4"/>
  <c r="N67" i="4"/>
  <c r="AD67" i="4" s="1"/>
  <c r="T66" i="4"/>
  <c r="S66" i="4"/>
  <c r="P66" i="4"/>
  <c r="AD66" i="4"/>
  <c r="N66" i="4"/>
  <c r="T65" i="4"/>
  <c r="S65" i="4"/>
  <c r="P65" i="4"/>
  <c r="N65" i="4"/>
  <c r="AD65" i="4" s="1"/>
  <c r="AD64" i="4"/>
  <c r="T64" i="4"/>
  <c r="S64" i="4"/>
  <c r="P64" i="4"/>
  <c r="N64" i="4"/>
  <c r="T63" i="4"/>
  <c r="S63" i="4"/>
  <c r="P63" i="4"/>
  <c r="N63" i="4"/>
  <c r="AD63" i="4" s="1"/>
  <c r="AE47" i="4"/>
  <c r="T47" i="4"/>
  <c r="S47" i="4"/>
  <c r="P47" i="4"/>
  <c r="N47" i="4"/>
  <c r="AD47" i="4" s="1"/>
  <c r="AE46" i="4"/>
  <c r="AD46" i="4"/>
  <c r="T46" i="4"/>
  <c r="S46" i="4"/>
  <c r="P46" i="4"/>
  <c r="N46" i="4"/>
  <c r="AE45" i="4"/>
  <c r="AD45" i="4"/>
  <c r="AB45" i="4"/>
  <c r="T45" i="4"/>
  <c r="S45" i="4"/>
  <c r="P45" i="4"/>
  <c r="N45" i="4"/>
  <c r="AE44" i="4"/>
  <c r="T44" i="4"/>
  <c r="S44" i="4"/>
  <c r="P44" i="4"/>
  <c r="N44" i="4"/>
  <c r="AD44" i="4" s="1"/>
  <c r="AE43" i="4"/>
  <c r="T43" i="4"/>
  <c r="S43" i="4"/>
  <c r="P43" i="4"/>
  <c r="N43" i="4"/>
  <c r="AD43" i="4" s="1"/>
  <c r="AE42" i="4"/>
  <c r="AD42" i="4"/>
  <c r="T42" i="4"/>
  <c r="S42" i="4"/>
  <c r="P42" i="4"/>
  <c r="N42" i="4"/>
  <c r="AE41" i="4"/>
  <c r="AD41" i="4"/>
  <c r="AA41" i="4"/>
  <c r="T41" i="4"/>
  <c r="S41" i="4"/>
  <c r="P41" i="4"/>
  <c r="N41" i="4"/>
  <c r="AE40" i="4"/>
  <c r="T40" i="4"/>
  <c r="S40" i="4"/>
  <c r="P40" i="4"/>
  <c r="N40" i="4"/>
  <c r="AD40" i="4" s="1"/>
  <c r="AE25" i="4"/>
  <c r="T25" i="4"/>
  <c r="S25" i="4"/>
  <c r="P25" i="4"/>
  <c r="N25" i="4"/>
  <c r="AD25" i="4" s="1"/>
  <c r="AE24" i="4"/>
  <c r="T24" i="4"/>
  <c r="S24" i="4"/>
  <c r="P24" i="4"/>
  <c r="N24" i="4"/>
  <c r="AD24" i="4" s="1"/>
  <c r="AE23" i="4"/>
  <c r="AD23" i="4"/>
  <c r="T23" i="4"/>
  <c r="S23" i="4"/>
  <c r="P23" i="4"/>
  <c r="N23" i="4"/>
  <c r="AE22" i="4"/>
  <c r="T22" i="4"/>
  <c r="S22" i="4"/>
  <c r="P22" i="4"/>
  <c r="N22" i="4"/>
  <c r="AD22" i="4" s="1"/>
  <c r="AE21" i="4"/>
  <c r="T21" i="4"/>
  <c r="S21" i="4"/>
  <c r="P21" i="4"/>
  <c r="N21" i="4"/>
  <c r="AD21" i="4" s="1"/>
  <c r="AE20" i="4"/>
  <c r="T20" i="4"/>
  <c r="S20" i="4"/>
  <c r="P20" i="4"/>
  <c r="N20" i="4"/>
  <c r="AD20" i="4" s="1"/>
  <c r="AE19" i="4"/>
  <c r="AD19" i="4"/>
  <c r="T19" i="4"/>
  <c r="S19" i="4"/>
  <c r="P19" i="4"/>
  <c r="N19" i="4"/>
  <c r="AE18" i="4"/>
  <c r="T18" i="4"/>
  <c r="S18" i="4"/>
  <c r="P18" i="4"/>
  <c r="N18" i="4"/>
  <c r="AD18" i="4" s="1"/>
  <c r="AE17" i="4"/>
  <c r="AA17" i="4"/>
  <c r="P17" i="4"/>
  <c r="N17" i="4"/>
  <c r="AD17" i="4" s="1"/>
  <c r="AE16" i="5"/>
  <c r="AE16" i="4"/>
  <c r="N16" i="4"/>
  <c r="AD16" i="4" s="1"/>
  <c r="AB19" i="4" l="1"/>
  <c r="AA25" i="4"/>
  <c r="AB42" i="5"/>
  <c r="AA46" i="5"/>
  <c r="AC46" i="5" s="1"/>
  <c r="AB94" i="5"/>
  <c r="AC94" i="5" s="1"/>
  <c r="AA106" i="5"/>
  <c r="AB122" i="5"/>
  <c r="AB23" i="4"/>
  <c r="AB88" i="5"/>
  <c r="AC88" i="5" s="1"/>
  <c r="AA90" i="5"/>
  <c r="AC90" i="5" s="1"/>
  <c r="AB130" i="5"/>
  <c r="AD94" i="5"/>
  <c r="AA118" i="5"/>
  <c r="AC118" i="5" s="1"/>
  <c r="AD127" i="5"/>
  <c r="AB24" i="5"/>
  <c r="AB28" i="5"/>
  <c r="AC28" i="5" s="1"/>
  <c r="AB30" i="5"/>
  <c r="AC30" i="5" s="1"/>
  <c r="AB34" i="5"/>
  <c r="AC34" i="5" s="1"/>
  <c r="AA98" i="5"/>
  <c r="AA102" i="5"/>
  <c r="AC102" i="5" s="1"/>
  <c r="AA114" i="5"/>
  <c r="AC114" i="5" s="1"/>
  <c r="AA126" i="5"/>
  <c r="AB87" i="5"/>
  <c r="AB103" i="5"/>
  <c r="AC103" i="5" s="1"/>
  <c r="AB111" i="5"/>
  <c r="AB119" i="5"/>
  <c r="AB131" i="5"/>
  <c r="AB21" i="4"/>
  <c r="AC21" i="4" s="1"/>
  <c r="AB70" i="5"/>
  <c r="AC70" i="5" s="1"/>
  <c r="AB86" i="5"/>
  <c r="AA110" i="5"/>
  <c r="AA134" i="5"/>
  <c r="AC134" i="5" s="1"/>
  <c r="AA138" i="5"/>
  <c r="AC138" i="5" s="1"/>
  <c r="AB100" i="5"/>
  <c r="AC100" i="5" s="1"/>
  <c r="AB120" i="5"/>
  <c r="AB136" i="5"/>
  <c r="AC136" i="5" s="1"/>
  <c r="AB18" i="6"/>
  <c r="AC18" i="6" s="1"/>
  <c r="AB23" i="6"/>
  <c r="AB24" i="6"/>
  <c r="AB26" i="6"/>
  <c r="AC26" i="6" s="1"/>
  <c r="AB31" i="6"/>
  <c r="AB32" i="6"/>
  <c r="AB84" i="6"/>
  <c r="AB20" i="5"/>
  <c r="AC20" i="5" s="1"/>
  <c r="AB38" i="5"/>
  <c r="AC38" i="5" s="1"/>
  <c r="AB99" i="5"/>
  <c r="AC99" i="5" s="1"/>
  <c r="AB135" i="5"/>
  <c r="AA47" i="4"/>
  <c r="AC47" i="4" s="1"/>
  <c r="AA50" i="5"/>
  <c r="AA56" i="5"/>
  <c r="AA60" i="5"/>
  <c r="AB64" i="5"/>
  <c r="AC64" i="5" s="1"/>
  <c r="AB68" i="5"/>
  <c r="AC68" i="5" s="1"/>
  <c r="AD107" i="5"/>
  <c r="AD118" i="5"/>
  <c r="AD119" i="5"/>
  <c r="AA131" i="5"/>
  <c r="AC131" i="5" s="1"/>
  <c r="AB22" i="6"/>
  <c r="AB30" i="6"/>
  <c r="AB65" i="6"/>
  <c r="AB66" i="6"/>
  <c r="AB73" i="6"/>
  <c r="AB74" i="6"/>
  <c r="AB81" i="6"/>
  <c r="AB82" i="6"/>
  <c r="AB25" i="6"/>
  <c r="AC25" i="6" s="1"/>
  <c r="AB29" i="6"/>
  <c r="AA30" i="6"/>
  <c r="AC30" i="6" s="1"/>
  <c r="AB34" i="6"/>
  <c r="AB39" i="6"/>
  <c r="AB40" i="6"/>
  <c r="AD122" i="5"/>
  <c r="AD138" i="5"/>
  <c r="AD158" i="5"/>
  <c r="AD162" i="5"/>
  <c r="AD166" i="5"/>
  <c r="AD170" i="5"/>
  <c r="AD202" i="5"/>
  <c r="AD224" i="5"/>
  <c r="AD228" i="5"/>
  <c r="AD232" i="5"/>
  <c r="AA31" i="6"/>
  <c r="AB45" i="6"/>
  <c r="AC43" i="5"/>
  <c r="AB38" i="6"/>
  <c r="AC38" i="6" s="1"/>
  <c r="AB68" i="6"/>
  <c r="AB76" i="6"/>
  <c r="AB133" i="5"/>
  <c r="AA47" i="5"/>
  <c r="AC47" i="5" s="1"/>
  <c r="AD87" i="5"/>
  <c r="AD91" i="5"/>
  <c r="AB96" i="5"/>
  <c r="AC96" i="5" s="1"/>
  <c r="AD102" i="5"/>
  <c r="AD103" i="5"/>
  <c r="AD110" i="5"/>
  <c r="AD111" i="5"/>
  <c r="AD130" i="5"/>
  <c r="AD131" i="5"/>
  <c r="AB132" i="5"/>
  <c r="AD157" i="5"/>
  <c r="AD177" i="5"/>
  <c r="AD187" i="5"/>
  <c r="AD198" i="5"/>
  <c r="AD262" i="5"/>
  <c r="AD266" i="5"/>
  <c r="AD270" i="5"/>
  <c r="AD336" i="5"/>
  <c r="AB16" i="6"/>
  <c r="AC16" i="6" s="1"/>
  <c r="AB21" i="6"/>
  <c r="AC21" i="6" s="1"/>
  <c r="AA22" i="6"/>
  <c r="AC22" i="6" s="1"/>
  <c r="AB33" i="6"/>
  <c r="AC33" i="6" s="1"/>
  <c r="AB37" i="6"/>
  <c r="AC37" i="6" s="1"/>
  <c r="AA39" i="6"/>
  <c r="AC39" i="6" s="1"/>
  <c r="AA65" i="6"/>
  <c r="AA68" i="6"/>
  <c r="AA73" i="6"/>
  <c r="AA76" i="6"/>
  <c r="AC76" i="6" s="1"/>
  <c r="AA81" i="6"/>
  <c r="AA84" i="6"/>
  <c r="AC84" i="6" s="1"/>
  <c r="AC35" i="5"/>
  <c r="AC34" i="6"/>
  <c r="AA39" i="5"/>
  <c r="AB51" i="5"/>
  <c r="AC51" i="5" s="1"/>
  <c r="AB18" i="4"/>
  <c r="AC50" i="5"/>
  <c r="AC56" i="5"/>
  <c r="AC60" i="5"/>
  <c r="AB95" i="5"/>
  <c r="AC95" i="5" s="1"/>
  <c r="AB107" i="5"/>
  <c r="AC107" i="5" s="1"/>
  <c r="AB127" i="5"/>
  <c r="AC127" i="5" s="1"/>
  <c r="AA23" i="6"/>
  <c r="AB41" i="6"/>
  <c r="AC41" i="6" s="1"/>
  <c r="AA42" i="6"/>
  <c r="AC42" i="6" s="1"/>
  <c r="AB63" i="6"/>
  <c r="AC63" i="6" s="1"/>
  <c r="AB71" i="6"/>
  <c r="AB79" i="6"/>
  <c r="AC79" i="6" s="1"/>
  <c r="AB87" i="6"/>
  <c r="AC87" i="6" s="1"/>
  <c r="AC59" i="5"/>
  <c r="AC112" i="5"/>
  <c r="AA19" i="5"/>
  <c r="AC19" i="5" s="1"/>
  <c r="AA63" i="5"/>
  <c r="AC63" i="5" s="1"/>
  <c r="AB44" i="4"/>
  <c r="AC44" i="4" s="1"/>
  <c r="AC86" i="5"/>
  <c r="AD98" i="5"/>
  <c r="AD99" i="5"/>
  <c r="AD114" i="5"/>
  <c r="AD135" i="5"/>
  <c r="AD155" i="5"/>
  <c r="AD159" i="5"/>
  <c r="AD163" i="5"/>
  <c r="AD167" i="5"/>
  <c r="AD171" i="5"/>
  <c r="AD175" i="5"/>
  <c r="AD182" i="5"/>
  <c r="AB17" i="6"/>
  <c r="AC17" i="6" s="1"/>
  <c r="P16" i="6"/>
  <c r="P16" i="5"/>
  <c r="AD16" i="5"/>
  <c r="P16" i="4"/>
  <c r="AB64" i="6"/>
  <c r="AA64" i="6"/>
  <c r="AB72" i="6"/>
  <c r="AA72" i="6"/>
  <c r="AB80" i="6"/>
  <c r="AA80" i="6"/>
  <c r="AB88" i="6"/>
  <c r="AA88" i="6"/>
  <c r="AB61" i="6"/>
  <c r="AA61" i="6"/>
  <c r="AB69" i="6"/>
  <c r="AA69" i="6"/>
  <c r="AB77" i="6"/>
  <c r="AA77" i="6"/>
  <c r="AB85" i="6"/>
  <c r="AA85" i="6"/>
  <c r="AB67" i="6"/>
  <c r="AC67" i="6" s="1"/>
  <c r="AB75" i="6"/>
  <c r="AC75" i="6" s="1"/>
  <c r="AB83" i="6"/>
  <c r="AC83" i="6" s="1"/>
  <c r="AD17" i="6"/>
  <c r="AD333" i="5"/>
  <c r="AD291" i="5"/>
  <c r="AD295" i="5"/>
  <c r="AD299" i="5"/>
  <c r="AD252" i="5"/>
  <c r="AD256" i="5"/>
  <c r="AD319" i="5"/>
  <c r="AD242" i="5"/>
  <c r="AD289" i="5"/>
  <c r="AD305" i="5"/>
  <c r="AD309" i="5"/>
  <c r="AD331" i="5"/>
  <c r="AD186" i="5"/>
  <c r="AD250" i="5"/>
  <c r="AD161" i="5"/>
  <c r="AD165" i="5"/>
  <c r="AD169" i="5"/>
  <c r="AD174" i="5"/>
  <c r="AD179" i="5"/>
  <c r="AD185" i="5"/>
  <c r="AD190" i="5"/>
  <c r="AD240" i="5"/>
  <c r="AD254" i="5"/>
  <c r="AD260" i="5"/>
  <c r="AD269" i="5"/>
  <c r="AD321" i="5"/>
  <c r="AD173" i="5"/>
  <c r="AD178" i="5"/>
  <c r="AD183" i="5"/>
  <c r="AD194" i="5"/>
  <c r="AD222" i="5"/>
  <c r="AD226" i="5"/>
  <c r="AD230" i="5"/>
  <c r="AD234" i="5"/>
  <c r="AD248" i="5"/>
  <c r="AD258" i="5"/>
  <c r="AD264" i="5"/>
  <c r="AD268" i="5"/>
  <c r="AD272" i="5"/>
  <c r="AD315" i="5"/>
  <c r="AD325" i="5"/>
  <c r="AD339" i="5"/>
  <c r="AD90" i="5"/>
  <c r="AD86" i="5"/>
  <c r="AD95" i="5"/>
  <c r="AD106" i="5"/>
  <c r="AD115" i="5"/>
  <c r="AD123" i="5"/>
  <c r="AD126" i="5"/>
  <c r="AC132" i="5"/>
  <c r="AD134" i="5"/>
  <c r="AD154" i="5"/>
  <c r="AD189" i="5"/>
  <c r="AD191" i="5"/>
  <c r="AD193" i="5"/>
  <c r="AD195" i="5"/>
  <c r="AD197" i="5"/>
  <c r="AD199" i="5"/>
  <c r="AD201" i="5"/>
  <c r="AD203" i="5"/>
  <c r="AD206" i="5"/>
  <c r="AD236" i="5"/>
  <c r="AD238" i="5"/>
  <c r="AD244" i="5"/>
  <c r="AD246" i="5"/>
  <c r="AD273" i="5"/>
  <c r="AD293" i="5"/>
  <c r="AD297" i="5"/>
  <c r="AD301" i="5"/>
  <c r="AD317" i="5"/>
  <c r="AD327" i="5"/>
  <c r="AD329" i="5"/>
  <c r="AD340" i="5"/>
  <c r="AC135" i="5"/>
  <c r="AB92" i="5"/>
  <c r="AC92" i="5" s="1"/>
  <c r="AB104" i="5"/>
  <c r="AC104" i="5" s="1"/>
  <c r="AB108" i="5"/>
  <c r="AC108" i="5" s="1"/>
  <c r="AB116" i="5"/>
  <c r="AC116" i="5" s="1"/>
  <c r="AB124" i="5"/>
  <c r="AC124" i="5" s="1"/>
  <c r="AB128" i="5"/>
  <c r="AC128" i="5" s="1"/>
  <c r="AD303" i="5"/>
  <c r="AD307" i="5"/>
  <c r="AD311" i="5"/>
  <c r="AD313" i="5"/>
  <c r="AD335" i="5"/>
  <c r="AD337" i="5"/>
  <c r="AA43" i="4"/>
  <c r="AC43" i="4" s="1"/>
  <c r="AB36" i="6"/>
  <c r="AB44" i="6"/>
  <c r="AB19" i="6"/>
  <c r="AC19" i="6" s="1"/>
  <c r="AB27" i="6"/>
  <c r="AC27" i="6" s="1"/>
  <c r="AB35" i="6"/>
  <c r="AC35" i="6" s="1"/>
  <c r="AB43" i="6"/>
  <c r="AC43" i="6" s="1"/>
  <c r="AC71" i="6"/>
  <c r="AA62" i="6"/>
  <c r="AC62" i="6" s="1"/>
  <c r="AA66" i="6"/>
  <c r="AA70" i="6"/>
  <c r="AC70" i="6" s="1"/>
  <c r="AA74" i="6"/>
  <c r="AC74" i="6" s="1"/>
  <c r="AA78" i="6"/>
  <c r="AC78" i="6" s="1"/>
  <c r="AA82" i="6"/>
  <c r="AA86" i="6"/>
  <c r="AC86" i="6" s="1"/>
  <c r="AC29" i="6"/>
  <c r="AC45" i="6"/>
  <c r="AA20" i="6"/>
  <c r="AC20" i="6" s="1"/>
  <c r="AA24" i="6"/>
  <c r="AC24" i="6" s="1"/>
  <c r="AA28" i="6"/>
  <c r="AC28" i="6" s="1"/>
  <c r="AA32" i="6"/>
  <c r="AA36" i="6"/>
  <c r="AA40" i="6"/>
  <c r="AC40" i="6" s="1"/>
  <c r="AA44" i="6"/>
  <c r="AC110" i="5"/>
  <c r="AA111" i="5"/>
  <c r="AB115" i="5"/>
  <c r="AC115" i="5" s="1"/>
  <c r="AA87" i="5"/>
  <c r="AC87" i="5" s="1"/>
  <c r="AB91" i="5"/>
  <c r="AC91" i="5" s="1"/>
  <c r="AA119" i="5"/>
  <c r="AB123" i="5"/>
  <c r="AC123" i="5" s="1"/>
  <c r="AC120" i="5"/>
  <c r="AC126" i="5"/>
  <c r="AC24" i="5"/>
  <c r="AB32" i="5"/>
  <c r="AC32" i="5" s="1"/>
  <c r="AC39" i="5"/>
  <c r="AB40" i="5"/>
  <c r="AC40" i="5" s="1"/>
  <c r="AA58" i="5"/>
  <c r="AC58" i="5" s="1"/>
  <c r="AA18" i="5"/>
  <c r="AC18" i="5" s="1"/>
  <c r="AA22" i="5"/>
  <c r="AC22" i="5" s="1"/>
  <c r="AA26" i="5"/>
  <c r="AC26" i="5" s="1"/>
  <c r="AA44" i="5"/>
  <c r="AC44" i="5" s="1"/>
  <c r="AB48" i="5"/>
  <c r="AC48" i="5" s="1"/>
  <c r="AB52" i="5"/>
  <c r="AC52" i="5" s="1"/>
  <c r="AB54" i="5"/>
  <c r="AC54" i="5" s="1"/>
  <c r="AA62" i="5"/>
  <c r="AA66" i="5"/>
  <c r="AC66" i="5" s="1"/>
  <c r="AC42" i="5"/>
  <c r="AC31" i="5"/>
  <c r="AC23" i="5"/>
  <c r="AC27" i="5"/>
  <c r="AC55" i="5"/>
  <c r="AC67" i="5"/>
  <c r="AB17" i="5"/>
  <c r="AB25" i="5"/>
  <c r="AB21" i="5"/>
  <c r="AB36" i="5"/>
  <c r="AC36" i="5" s="1"/>
  <c r="AB33" i="5"/>
  <c r="AB41" i="5"/>
  <c r="AB49" i="5"/>
  <c r="AB57" i="5"/>
  <c r="AB65" i="5"/>
  <c r="AB89" i="5"/>
  <c r="AB97" i="5"/>
  <c r="AB105" i="5"/>
  <c r="AB113" i="5"/>
  <c r="AB121" i="5"/>
  <c r="AB129" i="5"/>
  <c r="AB137" i="5"/>
  <c r="AB40" i="4"/>
  <c r="AB41" i="4"/>
  <c r="AC41" i="4" s="1"/>
  <c r="AA40" i="4"/>
  <c r="AC45" i="4"/>
  <c r="AB22" i="4"/>
  <c r="AC22" i="4" s="1"/>
  <c r="AC25" i="4"/>
  <c r="AA18" i="4"/>
  <c r="AC98" i="5"/>
  <c r="AC106" i="5"/>
  <c r="AC122" i="5"/>
  <c r="AC130" i="5"/>
  <c r="AA89" i="5"/>
  <c r="AA93" i="5"/>
  <c r="AC93" i="5" s="1"/>
  <c r="AA97" i="5"/>
  <c r="AA101" i="5"/>
  <c r="AC101" i="5" s="1"/>
  <c r="AA105" i="5"/>
  <c r="AA109" i="5"/>
  <c r="AC109" i="5" s="1"/>
  <c r="AA113" i="5"/>
  <c r="AA117" i="5"/>
  <c r="AC117" i="5" s="1"/>
  <c r="AA121" i="5"/>
  <c r="AA125" i="5"/>
  <c r="AC125" i="5" s="1"/>
  <c r="AA129" i="5"/>
  <c r="AA133" i="5"/>
  <c r="AA137" i="5"/>
  <c r="AC62" i="5"/>
  <c r="AA17" i="5"/>
  <c r="AA21" i="5"/>
  <c r="AA25" i="5"/>
  <c r="AA29" i="5"/>
  <c r="AC29" i="5" s="1"/>
  <c r="AA33" i="5"/>
  <c r="AA37" i="5"/>
  <c r="AC37" i="5" s="1"/>
  <c r="AA41" i="5"/>
  <c r="AA45" i="5"/>
  <c r="AC45" i="5" s="1"/>
  <c r="AA49" i="5"/>
  <c r="AA53" i="5"/>
  <c r="AC53" i="5" s="1"/>
  <c r="AA57" i="5"/>
  <c r="AA61" i="5"/>
  <c r="AC61" i="5" s="1"/>
  <c r="AA65" i="5"/>
  <c r="AA69" i="5"/>
  <c r="AC69" i="5" s="1"/>
  <c r="AA42" i="4"/>
  <c r="AC42" i="4" s="1"/>
  <c r="AA46" i="4"/>
  <c r="AC46" i="4" s="1"/>
  <c r="AC17" i="4"/>
  <c r="S17" i="4" s="1"/>
  <c r="AA19" i="4"/>
  <c r="AC19" i="4" s="1"/>
  <c r="AA23" i="4"/>
  <c r="AA20" i="4"/>
  <c r="AC20" i="4" s="1"/>
  <c r="AA24" i="4"/>
  <c r="AC24" i="4" s="1"/>
  <c r="AB16" i="4"/>
  <c r="AC16" i="4" s="1"/>
  <c r="AB16" i="5"/>
  <c r="AC16" i="5" s="1"/>
  <c r="AC23" i="4" l="1"/>
  <c r="AC31" i="6"/>
  <c r="AC36" i="6"/>
  <c r="AC18" i="4"/>
  <c r="AC65" i="5"/>
  <c r="AC33" i="5"/>
  <c r="AC17" i="5"/>
  <c r="S17" i="5" s="1"/>
  <c r="AC121" i="5"/>
  <c r="AC89" i="5"/>
  <c r="AC73" i="6"/>
  <c r="AC119" i="5"/>
  <c r="AC81" i="6"/>
  <c r="AC65" i="6"/>
  <c r="AC32" i="6"/>
  <c r="AC41" i="5"/>
  <c r="AC25" i="5"/>
  <c r="AC111" i="5"/>
  <c r="AC44" i="6"/>
  <c r="AC82" i="6"/>
  <c r="AC66" i="6"/>
  <c r="AC23" i="6"/>
  <c r="AC68" i="6"/>
  <c r="AC133" i="5"/>
  <c r="AC49" i="5"/>
  <c r="AC113" i="5"/>
  <c r="R16" i="5"/>
  <c r="AC97" i="5"/>
  <c r="AC77" i="6"/>
  <c r="AC61" i="6"/>
  <c r="AC80" i="6"/>
  <c r="AC64" i="6"/>
  <c r="R16" i="6"/>
  <c r="AC137" i="5"/>
  <c r="AC105" i="5"/>
  <c r="R16" i="4"/>
  <c r="AC85" i="6"/>
  <c r="AC72" i="6"/>
  <c r="AC69" i="6"/>
  <c r="AC88" i="6"/>
  <c r="AC21" i="5"/>
  <c r="AC129" i="5"/>
  <c r="AC57" i="5"/>
  <c r="AC40" i="4"/>
  <c r="T17" i="5"/>
  <c r="T17" i="4"/>
  <c r="M46" i="6"/>
  <c r="L46" i="6"/>
  <c r="N46" i="6"/>
  <c r="M131" i="6"/>
  <c r="M173" i="6" s="1"/>
  <c r="M215" i="6" s="1"/>
  <c r="L131" i="6"/>
  <c r="L130" i="6"/>
  <c r="M129" i="6"/>
  <c r="M171" i="6" s="1"/>
  <c r="M213" i="6" s="1"/>
  <c r="M128" i="6"/>
  <c r="M170" i="6" s="1"/>
  <c r="M212" i="6" s="1"/>
  <c r="M127" i="6"/>
  <c r="M169" i="6" s="1"/>
  <c r="M211" i="6" s="1"/>
  <c r="L127" i="6"/>
  <c r="M126" i="6"/>
  <c r="M168" i="6" s="1"/>
  <c r="M210" i="6" s="1"/>
  <c r="L126" i="6"/>
  <c r="M125" i="6"/>
  <c r="M167" i="6" s="1"/>
  <c r="M209" i="6" s="1"/>
  <c r="M124" i="6"/>
  <c r="M166" i="6" s="1"/>
  <c r="M208" i="6" s="1"/>
  <c r="M123" i="6"/>
  <c r="M165" i="6" s="1"/>
  <c r="M207" i="6" s="1"/>
  <c r="L123" i="6"/>
  <c r="L122" i="6"/>
  <c r="M121" i="6"/>
  <c r="M163" i="6" s="1"/>
  <c r="M205" i="6" s="1"/>
  <c r="M120" i="6"/>
  <c r="M162" i="6" s="1"/>
  <c r="M204" i="6" s="1"/>
  <c r="M119" i="6"/>
  <c r="M161" i="6" s="1"/>
  <c r="M203" i="6" s="1"/>
  <c r="L119" i="6"/>
  <c r="M118" i="6"/>
  <c r="M160" i="6" s="1"/>
  <c r="M202" i="6" s="1"/>
  <c r="L118" i="6"/>
  <c r="M117" i="6"/>
  <c r="M159" i="6" s="1"/>
  <c r="M201" i="6" s="1"/>
  <c r="M116" i="6"/>
  <c r="M158" i="6" s="1"/>
  <c r="M200" i="6" s="1"/>
  <c r="M115" i="6"/>
  <c r="M157" i="6" s="1"/>
  <c r="M199" i="6" s="1"/>
  <c r="L115" i="6"/>
  <c r="M114" i="6"/>
  <c r="M156" i="6" s="1"/>
  <c r="M198" i="6" s="1"/>
  <c r="L114" i="6"/>
  <c r="M113" i="6"/>
  <c r="M155" i="6" s="1"/>
  <c r="M197" i="6" s="1"/>
  <c r="M112" i="6"/>
  <c r="M154" i="6" s="1"/>
  <c r="M196" i="6" s="1"/>
  <c r="M111" i="6"/>
  <c r="M153" i="6" s="1"/>
  <c r="M195" i="6" s="1"/>
  <c r="L111" i="6"/>
  <c r="M110" i="6"/>
  <c r="M152" i="6" s="1"/>
  <c r="M194" i="6" s="1"/>
  <c r="L110" i="6"/>
  <c r="M109" i="6"/>
  <c r="M151" i="6" s="1"/>
  <c r="M193" i="6" s="1"/>
  <c r="M108" i="6"/>
  <c r="M150" i="6" s="1"/>
  <c r="M192" i="6" s="1"/>
  <c r="M107" i="6"/>
  <c r="M149" i="6" s="1"/>
  <c r="M191" i="6" s="1"/>
  <c r="L107" i="6"/>
  <c r="L106" i="6"/>
  <c r="M105" i="6"/>
  <c r="M147" i="6" s="1"/>
  <c r="M189" i="6" s="1"/>
  <c r="M104" i="6"/>
  <c r="M146" i="6" s="1"/>
  <c r="M188" i="6" s="1"/>
  <c r="M102" i="6"/>
  <c r="M144" i="6" s="1"/>
  <c r="M186" i="6" s="1"/>
  <c r="AE59" i="6"/>
  <c r="AF45" i="6"/>
  <c r="AF44" i="6"/>
  <c r="AF43" i="6"/>
  <c r="AF42" i="6"/>
  <c r="AF41" i="6"/>
  <c r="AF40" i="6"/>
  <c r="AF39" i="6"/>
  <c r="AF38" i="6"/>
  <c r="AF37" i="6"/>
  <c r="AF36" i="6"/>
  <c r="AF35" i="6"/>
  <c r="AF34" i="6"/>
  <c r="AF33" i="6"/>
  <c r="AF32" i="6"/>
  <c r="AF31" i="6"/>
  <c r="AF30" i="6"/>
  <c r="AF29" i="6"/>
  <c r="AF28" i="6"/>
  <c r="AF27" i="6"/>
  <c r="AF26" i="6"/>
  <c r="AF25" i="6"/>
  <c r="AF24" i="6"/>
  <c r="AF23" i="6"/>
  <c r="AF22" i="6"/>
  <c r="AF21" i="6"/>
  <c r="AF20" i="6"/>
  <c r="AF19" i="6"/>
  <c r="AF18" i="6"/>
  <c r="AF17" i="6"/>
  <c r="S17" i="6" s="1"/>
  <c r="T17" i="6" s="1"/>
  <c r="AF16" i="6"/>
  <c r="S16" i="6" s="1"/>
  <c r="M206" i="5"/>
  <c r="M273" i="5" s="1"/>
  <c r="M340" i="5" s="1"/>
  <c r="M205" i="5"/>
  <c r="M272" i="5" s="1"/>
  <c r="M339" i="5" s="1"/>
  <c r="M204" i="5"/>
  <c r="M271" i="5" s="1"/>
  <c r="M338" i="5" s="1"/>
  <c r="M203" i="5"/>
  <c r="M270" i="5" s="1"/>
  <c r="M337" i="5" s="1"/>
  <c r="M202" i="5"/>
  <c r="M269" i="5" s="1"/>
  <c r="M336" i="5" s="1"/>
  <c r="M201" i="5"/>
  <c r="M268" i="5" s="1"/>
  <c r="M335" i="5" s="1"/>
  <c r="M200" i="5"/>
  <c r="M267" i="5" s="1"/>
  <c r="M334" i="5" s="1"/>
  <c r="M199" i="5"/>
  <c r="M266" i="5" s="1"/>
  <c r="M333" i="5" s="1"/>
  <c r="M198" i="5"/>
  <c r="M265" i="5" s="1"/>
  <c r="M332" i="5" s="1"/>
  <c r="M197" i="5"/>
  <c r="M264" i="5" s="1"/>
  <c r="M331" i="5" s="1"/>
  <c r="M196" i="5"/>
  <c r="M263" i="5" s="1"/>
  <c r="M330" i="5" s="1"/>
  <c r="M195" i="5"/>
  <c r="M262" i="5" s="1"/>
  <c r="M329" i="5" s="1"/>
  <c r="M194" i="5"/>
  <c r="M261" i="5" s="1"/>
  <c r="M328" i="5" s="1"/>
  <c r="M193" i="5"/>
  <c r="M260" i="5" s="1"/>
  <c r="M327" i="5" s="1"/>
  <c r="M192" i="5"/>
  <c r="M259" i="5" s="1"/>
  <c r="M326" i="5" s="1"/>
  <c r="M191" i="5"/>
  <c r="M258" i="5" s="1"/>
  <c r="M325" i="5" s="1"/>
  <c r="M190" i="5"/>
  <c r="M257" i="5" s="1"/>
  <c r="M324" i="5" s="1"/>
  <c r="M189" i="5"/>
  <c r="M256" i="5" s="1"/>
  <c r="M323" i="5" s="1"/>
  <c r="M188" i="5"/>
  <c r="M255" i="5" s="1"/>
  <c r="M322" i="5" s="1"/>
  <c r="M187" i="5"/>
  <c r="M254" i="5" s="1"/>
  <c r="M321" i="5" s="1"/>
  <c r="M186" i="5"/>
  <c r="M253" i="5" s="1"/>
  <c r="M320" i="5" s="1"/>
  <c r="M185" i="5"/>
  <c r="M252" i="5" s="1"/>
  <c r="M319" i="5" s="1"/>
  <c r="M184" i="5"/>
  <c r="M251" i="5" s="1"/>
  <c r="M318" i="5" s="1"/>
  <c r="M183" i="5"/>
  <c r="M250" i="5" s="1"/>
  <c r="M317" i="5" s="1"/>
  <c r="M182" i="5"/>
  <c r="M249" i="5" s="1"/>
  <c r="M316" i="5" s="1"/>
  <c r="M181" i="5"/>
  <c r="M248" i="5" s="1"/>
  <c r="M315" i="5" s="1"/>
  <c r="M180" i="5"/>
  <c r="M247" i="5" s="1"/>
  <c r="M314" i="5" s="1"/>
  <c r="M179" i="5"/>
  <c r="M246" i="5" s="1"/>
  <c r="M313" i="5" s="1"/>
  <c r="M178" i="5"/>
  <c r="M245" i="5" s="1"/>
  <c r="M312" i="5" s="1"/>
  <c r="M177" i="5"/>
  <c r="M244" i="5" s="1"/>
  <c r="M311" i="5" s="1"/>
  <c r="M176" i="5"/>
  <c r="M243" i="5" s="1"/>
  <c r="M310" i="5" s="1"/>
  <c r="M175" i="5"/>
  <c r="M242" i="5" s="1"/>
  <c r="M309" i="5" s="1"/>
  <c r="L175" i="5"/>
  <c r="AE175" i="5" s="1"/>
  <c r="M174" i="5"/>
  <c r="M241" i="5" s="1"/>
  <c r="M308" i="5" s="1"/>
  <c r="L174" i="5"/>
  <c r="M173" i="5"/>
  <c r="M240" i="5" s="1"/>
  <c r="M307" i="5" s="1"/>
  <c r="M172" i="5"/>
  <c r="M239" i="5" s="1"/>
  <c r="M306" i="5" s="1"/>
  <c r="M171" i="5"/>
  <c r="M238" i="5" s="1"/>
  <c r="M305" i="5" s="1"/>
  <c r="L171" i="5"/>
  <c r="M170" i="5"/>
  <c r="M237" i="5" s="1"/>
  <c r="M304" i="5" s="1"/>
  <c r="L170" i="5"/>
  <c r="AE170" i="5" s="1"/>
  <c r="M169" i="5"/>
  <c r="M236" i="5" s="1"/>
  <c r="M303" i="5" s="1"/>
  <c r="M168" i="5"/>
  <c r="M235" i="5" s="1"/>
  <c r="M302" i="5" s="1"/>
  <c r="M167" i="5"/>
  <c r="M234" i="5" s="1"/>
  <c r="M301" i="5" s="1"/>
  <c r="L167" i="5"/>
  <c r="M166" i="5"/>
  <c r="M233" i="5" s="1"/>
  <c r="M300" i="5" s="1"/>
  <c r="L166" i="5"/>
  <c r="M165" i="5"/>
  <c r="M232" i="5" s="1"/>
  <c r="M299" i="5" s="1"/>
  <c r="M164" i="5"/>
  <c r="M231" i="5" s="1"/>
  <c r="M298" i="5" s="1"/>
  <c r="M163" i="5"/>
  <c r="M230" i="5" s="1"/>
  <c r="M297" i="5" s="1"/>
  <c r="L163" i="5"/>
  <c r="M162" i="5"/>
  <c r="M229" i="5" s="1"/>
  <c r="M296" i="5" s="1"/>
  <c r="L162" i="5"/>
  <c r="M161" i="5"/>
  <c r="M228" i="5" s="1"/>
  <c r="M295" i="5" s="1"/>
  <c r="M160" i="5"/>
  <c r="M227" i="5" s="1"/>
  <c r="M294" i="5" s="1"/>
  <c r="M159" i="5"/>
  <c r="M226" i="5" s="1"/>
  <c r="M293" i="5" s="1"/>
  <c r="L159" i="5"/>
  <c r="M158" i="5"/>
  <c r="M225" i="5" s="1"/>
  <c r="M292" i="5" s="1"/>
  <c r="L158" i="5"/>
  <c r="M157" i="5"/>
  <c r="M224" i="5" s="1"/>
  <c r="M291" i="5" s="1"/>
  <c r="M156" i="5"/>
  <c r="M223" i="5" s="1"/>
  <c r="M290" i="5" s="1"/>
  <c r="M155" i="5"/>
  <c r="M222" i="5" s="1"/>
  <c r="M289" i="5" s="1"/>
  <c r="L155" i="5"/>
  <c r="M154" i="5"/>
  <c r="M221" i="5" s="1"/>
  <c r="M288" i="5" s="1"/>
  <c r="L154" i="5"/>
  <c r="M153" i="5"/>
  <c r="M220" i="5" s="1"/>
  <c r="M287" i="5" s="1"/>
  <c r="AE85" i="5"/>
  <c r="M152" i="5"/>
  <c r="AE84" i="5"/>
  <c r="M71" i="5"/>
  <c r="L71" i="5"/>
  <c r="M26" i="4"/>
  <c r="L26" i="4"/>
  <c r="M70" i="4"/>
  <c r="L70" i="4"/>
  <c r="M69" i="4"/>
  <c r="L69" i="4"/>
  <c r="L68" i="4"/>
  <c r="M67" i="4"/>
  <c r="M89" i="4" s="1"/>
  <c r="M111" i="4" s="1"/>
  <c r="M66" i="4"/>
  <c r="L66" i="4"/>
  <c r="M65" i="4"/>
  <c r="M87" i="4" s="1"/>
  <c r="L65" i="4"/>
  <c r="AE65" i="4" s="1"/>
  <c r="M64" i="4"/>
  <c r="M86" i="4" s="1"/>
  <c r="M108" i="4" s="1"/>
  <c r="L64" i="4"/>
  <c r="L63" i="4"/>
  <c r="M62" i="4"/>
  <c r="AE39" i="4"/>
  <c r="M61" i="4"/>
  <c r="M63" i="4"/>
  <c r="M85" i="4" s="1"/>
  <c r="AF70" i="5"/>
  <c r="AF69" i="5"/>
  <c r="AF68" i="5"/>
  <c r="AF67" i="5"/>
  <c r="AF66" i="5"/>
  <c r="AF65" i="5"/>
  <c r="AF64" i="5"/>
  <c r="AF63" i="5"/>
  <c r="AF62" i="5"/>
  <c r="AF61" i="5"/>
  <c r="AF60" i="5"/>
  <c r="AF59" i="5"/>
  <c r="AF58" i="5"/>
  <c r="AF57" i="5"/>
  <c r="AF56" i="5"/>
  <c r="AF55" i="5"/>
  <c r="AF54" i="5"/>
  <c r="AF53" i="5"/>
  <c r="AF52" i="5"/>
  <c r="AF51" i="5"/>
  <c r="AF50" i="5"/>
  <c r="AF49" i="5"/>
  <c r="AF48" i="5"/>
  <c r="AF47" i="5"/>
  <c r="AF46" i="5"/>
  <c r="AF45" i="5"/>
  <c r="AF44" i="5"/>
  <c r="AF43" i="5"/>
  <c r="AF42" i="5"/>
  <c r="AF41" i="5"/>
  <c r="AF40" i="5"/>
  <c r="AF39" i="5"/>
  <c r="AF38" i="5"/>
  <c r="AF37" i="5"/>
  <c r="AF36" i="5"/>
  <c r="AF35" i="5"/>
  <c r="AF34" i="5"/>
  <c r="AF33" i="5"/>
  <c r="AF32" i="5"/>
  <c r="AF31" i="5"/>
  <c r="AF30" i="5"/>
  <c r="AF29" i="5"/>
  <c r="AF28" i="5"/>
  <c r="AF27" i="5"/>
  <c r="AF26" i="5"/>
  <c r="AF25" i="5"/>
  <c r="AF24" i="5"/>
  <c r="AF23" i="5"/>
  <c r="AF22" i="5"/>
  <c r="AF21" i="5"/>
  <c r="AF20" i="5"/>
  <c r="AF19" i="5"/>
  <c r="AF18" i="5"/>
  <c r="AF17" i="5"/>
  <c r="AF16" i="5"/>
  <c r="S16" i="5" s="1"/>
  <c r="J47" i="4"/>
  <c r="J46" i="4"/>
  <c r="J45" i="4"/>
  <c r="J44" i="4"/>
  <c r="J43" i="4"/>
  <c r="J42" i="4"/>
  <c r="J41" i="4"/>
  <c r="J40" i="4"/>
  <c r="J39" i="4"/>
  <c r="AG25" i="4"/>
  <c r="AH25" i="4" s="1"/>
  <c r="AF25" i="4"/>
  <c r="AG24" i="4"/>
  <c r="AH24" i="4" s="1"/>
  <c r="AF24" i="4"/>
  <c r="AG23" i="4"/>
  <c r="AH23" i="4" s="1"/>
  <c r="AF23" i="4"/>
  <c r="AG22" i="4"/>
  <c r="AH22" i="4" s="1"/>
  <c r="AF22" i="4"/>
  <c r="AG21" i="4"/>
  <c r="AH21" i="4" s="1"/>
  <c r="AF21" i="4"/>
  <c r="AG20" i="4"/>
  <c r="AH20" i="4" s="1"/>
  <c r="AF20" i="4"/>
  <c r="AG19" i="4"/>
  <c r="AH19" i="4" s="1"/>
  <c r="AF19" i="4"/>
  <c r="AG18" i="4"/>
  <c r="AH18" i="4" s="1"/>
  <c r="AF18" i="4"/>
  <c r="AG17" i="4"/>
  <c r="AH17" i="4" s="1"/>
  <c r="AF17" i="4"/>
  <c r="AF16" i="4"/>
  <c r="S16" i="4" s="1"/>
  <c r="T16" i="4" s="1"/>
  <c r="T16" i="5" l="1"/>
  <c r="T16" i="6"/>
  <c r="L160" i="6"/>
  <c r="AE160" i="6" s="1"/>
  <c r="AE118" i="6"/>
  <c r="L169" i="6"/>
  <c r="AE169" i="6" s="1"/>
  <c r="AE127" i="6"/>
  <c r="L172" i="6"/>
  <c r="L149" i="6"/>
  <c r="AE149" i="6" s="1"/>
  <c r="AE107" i="6"/>
  <c r="L153" i="6"/>
  <c r="AE153" i="6" s="1"/>
  <c r="AE111" i="6"/>
  <c r="L156" i="6"/>
  <c r="AE156" i="6" s="1"/>
  <c r="AE114" i="6"/>
  <c r="L161" i="6"/>
  <c r="AE161" i="6" s="1"/>
  <c r="AE119" i="6"/>
  <c r="L164" i="6"/>
  <c r="AE122" i="6"/>
  <c r="L173" i="6"/>
  <c r="AE173" i="6" s="1"/>
  <c r="AE131" i="6"/>
  <c r="L152" i="6"/>
  <c r="AE152" i="6" s="1"/>
  <c r="AE110" i="6"/>
  <c r="L157" i="6"/>
  <c r="AE157" i="6" s="1"/>
  <c r="AE115" i="6"/>
  <c r="L165" i="6"/>
  <c r="AE165" i="6" s="1"/>
  <c r="AE123" i="6"/>
  <c r="L168" i="6"/>
  <c r="AE168" i="6" s="1"/>
  <c r="AE126" i="6"/>
  <c r="AE154" i="5"/>
  <c r="AE159" i="5"/>
  <c r="AE162" i="5"/>
  <c r="AE167" i="5"/>
  <c r="AE155" i="5"/>
  <c r="AE158" i="5"/>
  <c r="AE163" i="5"/>
  <c r="AE166" i="5"/>
  <c r="AE171" i="5"/>
  <c r="AE174" i="5"/>
  <c r="L88" i="4"/>
  <c r="AE66" i="4"/>
  <c r="L91" i="4"/>
  <c r="AE69" i="4"/>
  <c r="L92" i="4"/>
  <c r="AE70" i="4"/>
  <c r="L86" i="4"/>
  <c r="AE86" i="4" s="1"/>
  <c r="AE64" i="4"/>
  <c r="L85" i="4"/>
  <c r="AE63" i="4"/>
  <c r="AE38" i="4"/>
  <c r="R39" i="4"/>
  <c r="I39" i="4"/>
  <c r="P39" i="4"/>
  <c r="N39" i="4"/>
  <c r="AD39" i="4" s="1"/>
  <c r="AE60" i="6"/>
  <c r="L62" i="4"/>
  <c r="M68" i="4"/>
  <c r="M90" i="4" s="1"/>
  <c r="M112" i="4" s="1"/>
  <c r="L67" i="4"/>
  <c r="AE67" i="4" s="1"/>
  <c r="P26" i="4"/>
  <c r="L48" i="4"/>
  <c r="L139" i="5"/>
  <c r="M48" i="4"/>
  <c r="O71" i="5"/>
  <c r="L222" i="5"/>
  <c r="AE222" i="5" s="1"/>
  <c r="L221" i="5"/>
  <c r="AE221" i="5" s="1"/>
  <c r="L225" i="5"/>
  <c r="AE225" i="5" s="1"/>
  <c r="L229" i="5"/>
  <c r="AE229" i="5" s="1"/>
  <c r="L233" i="5"/>
  <c r="AE233" i="5" s="1"/>
  <c r="L237" i="5"/>
  <c r="AE237" i="5" s="1"/>
  <c r="L241" i="5"/>
  <c r="AE241" i="5" s="1"/>
  <c r="M88" i="4"/>
  <c r="M110" i="4" s="1"/>
  <c r="M84" i="4"/>
  <c r="M106" i="4" s="1"/>
  <c r="M92" i="4"/>
  <c r="M114" i="4" s="1"/>
  <c r="L87" i="4"/>
  <c r="M219" i="5"/>
  <c r="M207" i="5"/>
  <c r="L226" i="5"/>
  <c r="AE226" i="5" s="1"/>
  <c r="L230" i="5"/>
  <c r="AE230" i="5" s="1"/>
  <c r="L234" i="5"/>
  <c r="AE234" i="5" s="1"/>
  <c r="L238" i="5"/>
  <c r="AE238" i="5" s="1"/>
  <c r="L242" i="5"/>
  <c r="AE242" i="5" s="1"/>
  <c r="L61" i="4"/>
  <c r="AE61" i="4" s="1"/>
  <c r="L153" i="5"/>
  <c r="AE153" i="5" s="1"/>
  <c r="L157" i="5"/>
  <c r="AE157" i="5" s="1"/>
  <c r="L161" i="5"/>
  <c r="AE161" i="5" s="1"/>
  <c r="L165" i="5"/>
  <c r="AE165" i="5" s="1"/>
  <c r="L169" i="5"/>
  <c r="AE169" i="5" s="1"/>
  <c r="L173" i="5"/>
  <c r="AE173" i="5" s="1"/>
  <c r="L177" i="5"/>
  <c r="AE177" i="5" s="1"/>
  <c r="L181" i="5"/>
  <c r="AE181" i="5" s="1"/>
  <c r="L185" i="5"/>
  <c r="AE185" i="5" s="1"/>
  <c r="L189" i="5"/>
  <c r="AE189" i="5" s="1"/>
  <c r="L193" i="5"/>
  <c r="AE193" i="5" s="1"/>
  <c r="L197" i="5"/>
  <c r="AE197" i="5" s="1"/>
  <c r="L201" i="5"/>
  <c r="AE201" i="5" s="1"/>
  <c r="L205" i="5"/>
  <c r="AE205" i="5" s="1"/>
  <c r="M139" i="5"/>
  <c r="L152" i="5"/>
  <c r="AE152" i="5" s="1"/>
  <c r="L156" i="5"/>
  <c r="AE156" i="5" s="1"/>
  <c r="L160" i="5"/>
  <c r="AE160" i="5" s="1"/>
  <c r="L164" i="5"/>
  <c r="AE164" i="5" s="1"/>
  <c r="L168" i="5"/>
  <c r="AE168" i="5" s="1"/>
  <c r="L172" i="5"/>
  <c r="AE172" i="5" s="1"/>
  <c r="L176" i="5"/>
  <c r="AE176" i="5" s="1"/>
  <c r="L180" i="5"/>
  <c r="AE180" i="5" s="1"/>
  <c r="L184" i="5"/>
  <c r="AE184" i="5" s="1"/>
  <c r="L188" i="5"/>
  <c r="AE188" i="5" s="1"/>
  <c r="L192" i="5"/>
  <c r="AE192" i="5" s="1"/>
  <c r="L196" i="5"/>
  <c r="AE196" i="5" s="1"/>
  <c r="L200" i="5"/>
  <c r="AE200" i="5" s="1"/>
  <c r="L204" i="5"/>
  <c r="AE204" i="5" s="1"/>
  <c r="L179" i="5"/>
  <c r="AE179" i="5" s="1"/>
  <c r="L183" i="5"/>
  <c r="AE183" i="5" s="1"/>
  <c r="L187" i="5"/>
  <c r="AE187" i="5" s="1"/>
  <c r="L191" i="5"/>
  <c r="AE191" i="5" s="1"/>
  <c r="L195" i="5"/>
  <c r="AE195" i="5" s="1"/>
  <c r="L199" i="5"/>
  <c r="AE199" i="5" s="1"/>
  <c r="L203" i="5"/>
  <c r="AE203" i="5" s="1"/>
  <c r="L178" i="5"/>
  <c r="AE178" i="5" s="1"/>
  <c r="L182" i="5"/>
  <c r="AE182" i="5" s="1"/>
  <c r="L186" i="5"/>
  <c r="AE186" i="5" s="1"/>
  <c r="L190" i="5"/>
  <c r="AE190" i="5" s="1"/>
  <c r="L194" i="5"/>
  <c r="AE194" i="5" s="1"/>
  <c r="L198" i="5"/>
  <c r="AE198" i="5" s="1"/>
  <c r="L202" i="5"/>
  <c r="AE202" i="5" s="1"/>
  <c r="L206" i="5"/>
  <c r="AE206" i="5" s="1"/>
  <c r="M89" i="6"/>
  <c r="M103" i="6"/>
  <c r="M145" i="6" s="1"/>
  <c r="P71" i="5"/>
  <c r="L198" i="6"/>
  <c r="AE198" i="6" s="1"/>
  <c r="L206" i="6"/>
  <c r="L214" i="6"/>
  <c r="L194" i="6"/>
  <c r="AE194" i="6" s="1"/>
  <c r="L202" i="6"/>
  <c r="AE202" i="6" s="1"/>
  <c r="L210" i="6"/>
  <c r="AE210" i="6" s="1"/>
  <c r="L191" i="6"/>
  <c r="AE191" i="6" s="1"/>
  <c r="L105" i="6"/>
  <c r="AE105" i="6" s="1"/>
  <c r="M106" i="6"/>
  <c r="M148" i="6" s="1"/>
  <c r="M190" i="6" s="1"/>
  <c r="L109" i="6"/>
  <c r="AE109" i="6" s="1"/>
  <c r="L113" i="6"/>
  <c r="AE113" i="6" s="1"/>
  <c r="L117" i="6"/>
  <c r="AE117" i="6" s="1"/>
  <c r="L121" i="6"/>
  <c r="AE121" i="6" s="1"/>
  <c r="M122" i="6"/>
  <c r="M164" i="6" s="1"/>
  <c r="M206" i="6" s="1"/>
  <c r="L125" i="6"/>
  <c r="AE125" i="6" s="1"/>
  <c r="L129" i="6"/>
  <c r="AE129" i="6" s="1"/>
  <c r="M130" i="6"/>
  <c r="M172" i="6" s="1"/>
  <c r="M214" i="6" s="1"/>
  <c r="L148" i="6"/>
  <c r="AE148" i="6" s="1"/>
  <c r="L199" i="6"/>
  <c r="AE199" i="6" s="1"/>
  <c r="L211" i="6"/>
  <c r="AE211" i="6" s="1"/>
  <c r="L215" i="6"/>
  <c r="AE215" i="6" s="1"/>
  <c r="L89" i="6"/>
  <c r="L104" i="6"/>
  <c r="AE104" i="6" s="1"/>
  <c r="L108" i="6"/>
  <c r="AE108" i="6" s="1"/>
  <c r="L112" i="6"/>
  <c r="AE112" i="6" s="1"/>
  <c r="L116" i="6"/>
  <c r="AE116" i="6" s="1"/>
  <c r="L120" i="6"/>
  <c r="AE120" i="6" s="1"/>
  <c r="L124" i="6"/>
  <c r="AE124" i="6" s="1"/>
  <c r="L128" i="6"/>
  <c r="AE128" i="6" s="1"/>
  <c r="L195" i="6"/>
  <c r="AE195" i="6" s="1"/>
  <c r="L203" i="6"/>
  <c r="AE203" i="6" s="1"/>
  <c r="P46" i="6"/>
  <c r="L103" i="6"/>
  <c r="AE103" i="6" s="1"/>
  <c r="L102" i="6"/>
  <c r="AE102" i="6" s="1"/>
  <c r="M107" i="4"/>
  <c r="L110" i="4"/>
  <c r="AE110" i="4" s="1"/>
  <c r="L114" i="4"/>
  <c r="AE114" i="4" s="1"/>
  <c r="L108" i="4"/>
  <c r="AE108" i="4" s="1"/>
  <c r="M109" i="4"/>
  <c r="M83" i="4"/>
  <c r="L90" i="4"/>
  <c r="AE90" i="4" s="1"/>
  <c r="M91" i="4"/>
  <c r="M113" i="4" s="1"/>
  <c r="J66" i="11"/>
  <c r="I66" i="11"/>
  <c r="H66" i="11"/>
  <c r="G66" i="11"/>
  <c r="F66" i="11"/>
  <c r="J63" i="11"/>
  <c r="I63" i="11"/>
  <c r="H63" i="11"/>
  <c r="G63" i="11"/>
  <c r="J65" i="11"/>
  <c r="I65" i="11"/>
  <c r="H65" i="11"/>
  <c r="G65" i="11"/>
  <c r="F65" i="11"/>
  <c r="L207" i="6" l="1"/>
  <c r="AE207" i="6" s="1"/>
  <c r="AE106" i="6"/>
  <c r="AE164" i="6"/>
  <c r="AE214" i="6"/>
  <c r="AE130" i="6"/>
  <c r="AE206" i="6"/>
  <c r="AE172" i="6"/>
  <c r="AE68" i="4"/>
  <c r="L113" i="4"/>
  <c r="AE113" i="4" s="1"/>
  <c r="AE91" i="4"/>
  <c r="L109" i="4"/>
  <c r="AE109" i="4" s="1"/>
  <c r="AE87" i="4"/>
  <c r="L107" i="4"/>
  <c r="AE107" i="4" s="1"/>
  <c r="AE85" i="4"/>
  <c r="AE92" i="4"/>
  <c r="AE88" i="4"/>
  <c r="L84" i="4"/>
  <c r="AE62" i="4"/>
  <c r="M71" i="4"/>
  <c r="L89" i="4"/>
  <c r="AE89" i="4" s="1"/>
  <c r="M93" i="4"/>
  <c r="L272" i="5"/>
  <c r="AE272" i="5" s="1"/>
  <c r="L264" i="5"/>
  <c r="AE264" i="5" s="1"/>
  <c r="L256" i="5"/>
  <c r="AE256" i="5" s="1"/>
  <c r="L248" i="5"/>
  <c r="AE248" i="5" s="1"/>
  <c r="L240" i="5"/>
  <c r="AE240" i="5" s="1"/>
  <c r="L232" i="5"/>
  <c r="AE232" i="5" s="1"/>
  <c r="L224" i="5"/>
  <c r="AE224" i="5" s="1"/>
  <c r="L71" i="4"/>
  <c r="L83" i="4"/>
  <c r="AE83" i="4" s="1"/>
  <c r="L289" i="5"/>
  <c r="AE289" i="5" s="1"/>
  <c r="L144" i="6"/>
  <c r="AE144" i="6" s="1"/>
  <c r="L273" i="5"/>
  <c r="AE273" i="5" s="1"/>
  <c r="L265" i="5"/>
  <c r="AE265" i="5" s="1"/>
  <c r="L257" i="5"/>
  <c r="AE257" i="5" s="1"/>
  <c r="L249" i="5"/>
  <c r="AE249" i="5" s="1"/>
  <c r="L266" i="5"/>
  <c r="AE266" i="5" s="1"/>
  <c r="L258" i="5"/>
  <c r="AE258" i="5" s="1"/>
  <c r="L250" i="5"/>
  <c r="AE250" i="5" s="1"/>
  <c r="L271" i="5"/>
  <c r="AE271" i="5" s="1"/>
  <c r="L263" i="5"/>
  <c r="AE263" i="5" s="1"/>
  <c r="L255" i="5"/>
  <c r="AE255" i="5" s="1"/>
  <c r="L247" i="5"/>
  <c r="AE247" i="5" s="1"/>
  <c r="L239" i="5"/>
  <c r="AE239" i="5" s="1"/>
  <c r="L231" i="5"/>
  <c r="AE231" i="5" s="1"/>
  <c r="L223" i="5"/>
  <c r="AE223" i="5" s="1"/>
  <c r="L308" i="5"/>
  <c r="AE308" i="5" s="1"/>
  <c r="L304" i="5"/>
  <c r="AE304" i="5" s="1"/>
  <c r="L300" i="5"/>
  <c r="AE300" i="5" s="1"/>
  <c r="L296" i="5"/>
  <c r="AE296" i="5" s="1"/>
  <c r="L292" i="5"/>
  <c r="AE292" i="5" s="1"/>
  <c r="L288" i="5"/>
  <c r="AE288" i="5" s="1"/>
  <c r="L268" i="5"/>
  <c r="AE268" i="5" s="1"/>
  <c r="L260" i="5"/>
  <c r="AE260" i="5" s="1"/>
  <c r="L252" i="5"/>
  <c r="AE252" i="5" s="1"/>
  <c r="L244" i="5"/>
  <c r="AE244" i="5" s="1"/>
  <c r="L236" i="5"/>
  <c r="AE236" i="5" s="1"/>
  <c r="L228" i="5"/>
  <c r="AE228" i="5" s="1"/>
  <c r="L220" i="5"/>
  <c r="AE220" i="5" s="1"/>
  <c r="M286" i="5"/>
  <c r="M341" i="5" s="1"/>
  <c r="M274" i="5"/>
  <c r="L269" i="5"/>
  <c r="AE269" i="5" s="1"/>
  <c r="L261" i="5"/>
  <c r="AE261" i="5" s="1"/>
  <c r="L253" i="5"/>
  <c r="AE253" i="5" s="1"/>
  <c r="L245" i="5"/>
  <c r="AE245" i="5" s="1"/>
  <c r="L270" i="5"/>
  <c r="AE270" i="5" s="1"/>
  <c r="L262" i="5"/>
  <c r="AE262" i="5" s="1"/>
  <c r="L254" i="5"/>
  <c r="AE254" i="5" s="1"/>
  <c r="L246" i="5"/>
  <c r="AE246" i="5" s="1"/>
  <c r="L267" i="5"/>
  <c r="AE267" i="5" s="1"/>
  <c r="L259" i="5"/>
  <c r="AE259" i="5" s="1"/>
  <c r="L251" i="5"/>
  <c r="AE251" i="5" s="1"/>
  <c r="L243" i="5"/>
  <c r="AE243" i="5" s="1"/>
  <c r="L235" i="5"/>
  <c r="AE235" i="5" s="1"/>
  <c r="L227" i="5"/>
  <c r="AE227" i="5" s="1"/>
  <c r="L219" i="5"/>
  <c r="AE219" i="5" s="1"/>
  <c r="L207" i="5"/>
  <c r="L309" i="5"/>
  <c r="AE309" i="5" s="1"/>
  <c r="L305" i="5"/>
  <c r="AE305" i="5" s="1"/>
  <c r="L301" i="5"/>
  <c r="AE301" i="5" s="1"/>
  <c r="L297" i="5"/>
  <c r="AE297" i="5" s="1"/>
  <c r="L293" i="5"/>
  <c r="AE293" i="5" s="1"/>
  <c r="L132" i="6"/>
  <c r="L145" i="6"/>
  <c r="AE145" i="6" s="1"/>
  <c r="L154" i="6"/>
  <c r="AE154" i="6" s="1"/>
  <c r="L162" i="6"/>
  <c r="AE162" i="6" s="1"/>
  <c r="L159" i="6"/>
  <c r="AE159" i="6" s="1"/>
  <c r="L151" i="6"/>
  <c r="AE151" i="6" s="1"/>
  <c r="L167" i="6"/>
  <c r="AE167" i="6" s="1"/>
  <c r="L147" i="6"/>
  <c r="AE147" i="6" s="1"/>
  <c r="L170" i="6"/>
  <c r="AE170" i="6" s="1"/>
  <c r="L150" i="6"/>
  <c r="AE150" i="6" s="1"/>
  <c r="L190" i="6"/>
  <c r="AE190" i="6" s="1"/>
  <c r="L171" i="6"/>
  <c r="AE171" i="6" s="1"/>
  <c r="L166" i="6"/>
  <c r="AE166" i="6" s="1"/>
  <c r="M174" i="6"/>
  <c r="M187" i="6"/>
  <c r="M216" i="6" s="1"/>
  <c r="L158" i="6"/>
  <c r="AE158" i="6" s="1"/>
  <c r="L146" i="6"/>
  <c r="AE146" i="6" s="1"/>
  <c r="L163" i="6"/>
  <c r="AE163" i="6" s="1"/>
  <c r="L155" i="6"/>
  <c r="AE155" i="6" s="1"/>
  <c r="M132" i="6"/>
  <c r="M105" i="4"/>
  <c r="L112" i="4"/>
  <c r="AE112" i="4" s="1"/>
  <c r="J60" i="11"/>
  <c r="I60" i="11"/>
  <c r="H60" i="11"/>
  <c r="G60" i="11"/>
  <c r="F60" i="11"/>
  <c r="L106" i="4" l="1"/>
  <c r="AE106" i="4" s="1"/>
  <c r="AE84" i="4"/>
  <c r="L111" i="4"/>
  <c r="AE111" i="4" s="1"/>
  <c r="M115" i="4"/>
  <c r="L286" i="5"/>
  <c r="AE286" i="5" s="1"/>
  <c r="L274" i="5"/>
  <c r="L302" i="5"/>
  <c r="AE302" i="5" s="1"/>
  <c r="L318" i="5"/>
  <c r="AE318" i="5" s="1"/>
  <c r="L334" i="5"/>
  <c r="AE334" i="5" s="1"/>
  <c r="L321" i="5"/>
  <c r="AE321" i="5" s="1"/>
  <c r="L337" i="5"/>
  <c r="AE337" i="5" s="1"/>
  <c r="L320" i="5"/>
  <c r="AE320" i="5" s="1"/>
  <c r="L336" i="5"/>
  <c r="AE336" i="5" s="1"/>
  <c r="L287" i="5"/>
  <c r="AE287" i="5" s="1"/>
  <c r="L303" i="5"/>
  <c r="AE303" i="5" s="1"/>
  <c r="L319" i="5"/>
  <c r="AE319" i="5" s="1"/>
  <c r="L335" i="5"/>
  <c r="AE335" i="5" s="1"/>
  <c r="L290" i="5"/>
  <c r="AE290" i="5" s="1"/>
  <c r="L306" i="5"/>
  <c r="AE306" i="5" s="1"/>
  <c r="L322" i="5"/>
  <c r="AE322" i="5" s="1"/>
  <c r="L338" i="5"/>
  <c r="AE338" i="5" s="1"/>
  <c r="L325" i="5"/>
  <c r="AE325" i="5" s="1"/>
  <c r="L324" i="5"/>
  <c r="AE324" i="5" s="1"/>
  <c r="L340" i="5"/>
  <c r="AE340" i="5" s="1"/>
  <c r="L291" i="5"/>
  <c r="AE291" i="5" s="1"/>
  <c r="L307" i="5"/>
  <c r="AE307" i="5" s="1"/>
  <c r="L323" i="5"/>
  <c r="AE323" i="5" s="1"/>
  <c r="L339" i="5"/>
  <c r="AE339" i="5" s="1"/>
  <c r="L294" i="5"/>
  <c r="AE294" i="5" s="1"/>
  <c r="L310" i="5"/>
  <c r="AE310" i="5" s="1"/>
  <c r="L326" i="5"/>
  <c r="AE326" i="5" s="1"/>
  <c r="L313" i="5"/>
  <c r="AE313" i="5" s="1"/>
  <c r="L329" i="5"/>
  <c r="AE329" i="5" s="1"/>
  <c r="L312" i="5"/>
  <c r="AE312" i="5" s="1"/>
  <c r="L328" i="5"/>
  <c r="AE328" i="5" s="1"/>
  <c r="L295" i="5"/>
  <c r="AE295" i="5" s="1"/>
  <c r="L311" i="5"/>
  <c r="AE311" i="5" s="1"/>
  <c r="L327" i="5"/>
  <c r="AE327" i="5" s="1"/>
  <c r="L298" i="5"/>
  <c r="AE298" i="5" s="1"/>
  <c r="L314" i="5"/>
  <c r="AE314" i="5" s="1"/>
  <c r="L330" i="5"/>
  <c r="AE330" i="5" s="1"/>
  <c r="L317" i="5"/>
  <c r="AE317" i="5" s="1"/>
  <c r="L333" i="5"/>
  <c r="AE333" i="5" s="1"/>
  <c r="L316" i="5"/>
  <c r="AE316" i="5" s="1"/>
  <c r="L332" i="5"/>
  <c r="AE332" i="5" s="1"/>
  <c r="L186" i="6"/>
  <c r="AE186" i="6" s="1"/>
  <c r="L105" i="4"/>
  <c r="L93" i="4"/>
  <c r="L299" i="5"/>
  <c r="AE299" i="5" s="1"/>
  <c r="L315" i="5"/>
  <c r="AE315" i="5" s="1"/>
  <c r="L331" i="5"/>
  <c r="AE331" i="5" s="1"/>
  <c r="L213" i="6"/>
  <c r="AE213" i="6" s="1"/>
  <c r="L196" i="6"/>
  <c r="AE196" i="6" s="1"/>
  <c r="L200" i="6"/>
  <c r="AE200" i="6" s="1"/>
  <c r="L193" i="6"/>
  <c r="AE193" i="6" s="1"/>
  <c r="L174" i="6"/>
  <c r="L187" i="6"/>
  <c r="AE187" i="6" s="1"/>
  <c r="L197" i="6"/>
  <c r="AE197" i="6" s="1"/>
  <c r="L209" i="6"/>
  <c r="AE209" i="6" s="1"/>
  <c r="L205" i="6"/>
  <c r="AE205" i="6" s="1"/>
  <c r="L208" i="6"/>
  <c r="AE208" i="6" s="1"/>
  <c r="L204" i="6"/>
  <c r="AE204" i="6" s="1"/>
  <c r="L189" i="6"/>
  <c r="AE189" i="6" s="1"/>
  <c r="L188" i="6"/>
  <c r="AE188" i="6" s="1"/>
  <c r="L192" i="6"/>
  <c r="AE192" i="6" s="1"/>
  <c r="L212" i="6"/>
  <c r="AE212" i="6" s="1"/>
  <c r="L201" i="6"/>
  <c r="AE201" i="6" s="1"/>
  <c r="L16" i="3"/>
  <c r="K16" i="3"/>
  <c r="J16" i="3"/>
  <c r="I16" i="3"/>
  <c r="I31" i="3"/>
  <c r="J31" i="3" s="1"/>
  <c r="H24" i="7"/>
  <c r="L115" i="4" l="1"/>
  <c r="AE105" i="4"/>
  <c r="L341" i="5"/>
  <c r="L216" i="6"/>
  <c r="K31" i="3"/>
  <c r="L31" i="3" l="1"/>
  <c r="F55" i="12" l="1"/>
  <c r="F46" i="12"/>
  <c r="F38" i="12"/>
  <c r="F42" i="12" s="1"/>
  <c r="F23" i="12"/>
  <c r="F15" i="12"/>
  <c r="F17" i="12" s="1"/>
  <c r="F25" i="12" s="1"/>
  <c r="F8" i="12"/>
  <c r="F51" i="11"/>
  <c r="F32" i="12" l="1"/>
  <c r="F36" i="12" s="1"/>
  <c r="I43" i="3"/>
  <c r="J43" i="3" s="1"/>
  <c r="K43" i="3" s="1"/>
  <c r="L43" i="3" s="1"/>
  <c r="I42" i="3"/>
  <c r="J42" i="3" s="1"/>
  <c r="K42" i="3" s="1"/>
  <c r="L42" i="3" s="1"/>
  <c r="I41" i="3"/>
  <c r="J41" i="3" s="1"/>
  <c r="K41" i="3" s="1"/>
  <c r="L41" i="3" s="1"/>
  <c r="I40" i="3"/>
  <c r="J40" i="3" s="1"/>
  <c r="K40" i="3" s="1"/>
  <c r="L40" i="3" s="1"/>
  <c r="I39" i="3"/>
  <c r="J39" i="3" s="1"/>
  <c r="K39" i="3" s="1"/>
  <c r="L39" i="3" s="1"/>
  <c r="F57" i="12" l="1"/>
  <c r="I33" i="3"/>
  <c r="J33" i="3" s="1"/>
  <c r="K33" i="3" s="1"/>
  <c r="L33" i="3" s="1"/>
  <c r="H30" i="3"/>
  <c r="H34" i="3" s="1"/>
  <c r="H90" i="7" l="1"/>
  <c r="D33" i="19" l="1"/>
  <c r="D32" i="19"/>
  <c r="H37" i="3" s="1"/>
  <c r="D31" i="19"/>
  <c r="H36" i="3" s="1"/>
  <c r="D34" i="19" l="1"/>
  <c r="I95" i="3"/>
  <c r="J95" i="3" s="1"/>
  <c r="K95" i="3" s="1"/>
  <c r="L95" i="3" s="1"/>
  <c r="I94" i="3"/>
  <c r="J94" i="3" s="1"/>
  <c r="K94" i="3" s="1"/>
  <c r="L94" i="3" s="1"/>
  <c r="I93" i="3"/>
  <c r="J93" i="3" s="1"/>
  <c r="K93" i="3" s="1"/>
  <c r="L93" i="3" s="1"/>
  <c r="I92" i="3"/>
  <c r="J92" i="3" s="1"/>
  <c r="K92" i="3" s="1"/>
  <c r="L92" i="3" s="1"/>
  <c r="I71" i="3"/>
  <c r="J71" i="3" s="1"/>
  <c r="K71" i="3" s="1"/>
  <c r="L71" i="3" s="1"/>
  <c r="E16" i="19" l="1"/>
  <c r="E14" i="19"/>
  <c r="E32" i="19" l="1"/>
  <c r="L54" i="21"/>
  <c r="L53" i="21"/>
  <c r="L52" i="21"/>
  <c r="L51" i="21"/>
  <c r="L50" i="21"/>
  <c r="L49" i="21"/>
  <c r="L42" i="21"/>
  <c r="L41" i="21"/>
  <c r="L40" i="21"/>
  <c r="L39" i="21"/>
  <c r="L38" i="21"/>
  <c r="L37" i="21"/>
  <c r="L30" i="21"/>
  <c r="L29" i="21"/>
  <c r="L28" i="21"/>
  <c r="L27" i="21"/>
  <c r="L26" i="21"/>
  <c r="L25" i="21"/>
  <c r="L14" i="21"/>
  <c r="L15" i="21"/>
  <c r="L16" i="21"/>
  <c r="L17" i="21"/>
  <c r="L18" i="21"/>
  <c r="W102" i="19"/>
  <c r="W103" i="19"/>
  <c r="I37" i="3" l="1"/>
  <c r="L37" i="3"/>
  <c r="K37" i="3"/>
  <c r="J37" i="3"/>
  <c r="J36" i="3"/>
  <c r="E34" i="19"/>
  <c r="K36" i="3"/>
  <c r="I36" i="3"/>
  <c r="L36" i="3"/>
  <c r="F38" i="11"/>
  <c r="F22" i="11"/>
  <c r="F21" i="11"/>
  <c r="F19" i="11"/>
  <c r="F45" i="14" s="1"/>
  <c r="I4" i="19" l="1"/>
  <c r="F8" i="11"/>
  <c r="C5" i="21" l="1"/>
  <c r="R55" i="21"/>
  <c r="O55" i="21"/>
  <c r="T54" i="21"/>
  <c r="T53" i="21"/>
  <c r="T52" i="21"/>
  <c r="T51" i="21"/>
  <c r="T50" i="21"/>
  <c r="T42" i="21"/>
  <c r="T41" i="21"/>
  <c r="T40" i="21"/>
  <c r="T39" i="21"/>
  <c r="T38" i="21"/>
  <c r="T30" i="21"/>
  <c r="T29" i="21"/>
  <c r="T28" i="21"/>
  <c r="T27" i="21"/>
  <c r="T26" i="21"/>
  <c r="T18" i="21"/>
  <c r="T17" i="21"/>
  <c r="T16" i="21"/>
  <c r="T15" i="21"/>
  <c r="T14" i="21"/>
  <c r="R43" i="21"/>
  <c r="O43" i="21"/>
  <c r="R31" i="21"/>
  <c r="O31" i="21"/>
  <c r="R19" i="21"/>
  <c r="O19" i="21"/>
  <c r="L31" i="21" l="1"/>
  <c r="T31" i="21" s="1"/>
  <c r="L55" i="21"/>
  <c r="T55" i="21" s="1"/>
  <c r="L43" i="21"/>
  <c r="T43" i="21" s="1"/>
  <c r="T49" i="21"/>
  <c r="T25" i="21"/>
  <c r="T37" i="21"/>
  <c r="H25" i="2"/>
  <c r="I25" i="2" s="1"/>
  <c r="J25" i="2" l="1"/>
  <c r="L30" i="3" s="1"/>
  <c r="K30" i="3"/>
  <c r="K34" i="3" s="1"/>
  <c r="D23" i="19" l="1"/>
  <c r="I30" i="3" l="1"/>
  <c r="I34" i="3" s="1"/>
  <c r="F52" i="2"/>
  <c r="F39" i="2" l="1"/>
  <c r="F40" i="2" l="1"/>
  <c r="H190" i="7" l="1"/>
  <c r="I190" i="7"/>
  <c r="J190" i="7"/>
  <c r="K190" i="7"/>
  <c r="L190" i="7"/>
  <c r="I55" i="14"/>
  <c r="H55" i="14"/>
  <c r="G55" i="14"/>
  <c r="F55" i="14"/>
  <c r="F13" i="8"/>
  <c r="G13" i="8" s="1"/>
  <c r="H13" i="8" s="1"/>
  <c r="I13" i="8" s="1"/>
  <c r="J13" i="8" s="1"/>
  <c r="K13" i="8" s="1"/>
  <c r="L13" i="8" s="1"/>
  <c r="M13" i="8" s="1"/>
  <c r="N13" i="8" s="1"/>
  <c r="O13" i="8" s="1"/>
  <c r="F23" i="8" s="1"/>
  <c r="G23" i="8" s="1"/>
  <c r="H23" i="8" s="1"/>
  <c r="I23" i="8" s="1"/>
  <c r="J23" i="8" s="1"/>
  <c r="K23" i="8" s="1"/>
  <c r="L23" i="8" s="1"/>
  <c r="M23" i="8" s="1"/>
  <c r="N23" i="8" s="1"/>
  <c r="O23" i="8" s="1"/>
  <c r="C5" i="10"/>
  <c r="F8" i="10"/>
  <c r="G8" i="10" s="1"/>
  <c r="H8" i="10" s="1"/>
  <c r="I8" i="10" s="1"/>
  <c r="J8" i="10" s="1"/>
  <c r="S46" i="6"/>
  <c r="G124" i="19"/>
  <c r="G125" i="19" s="1"/>
  <c r="E123" i="19"/>
  <c r="F123" i="19" s="1"/>
  <c r="F122" i="19"/>
  <c r="F121" i="19"/>
  <c r="F120" i="19"/>
  <c r="F119" i="19"/>
  <c r="C152" i="19"/>
  <c r="C153" i="19" s="1"/>
  <c r="C154" i="19" s="1"/>
  <c r="C155" i="19" s="1"/>
  <c r="C156" i="19" s="1"/>
  <c r="C157" i="19" s="1"/>
  <c r="C158" i="19" s="1"/>
  <c r="C159" i="19" s="1"/>
  <c r="C160" i="19" s="1"/>
  <c r="C161" i="19" s="1"/>
  <c r="C162" i="19" s="1"/>
  <c r="C163" i="19" s="1"/>
  <c r="C164" i="19" s="1"/>
  <c r="C165" i="19" s="1"/>
  <c r="C166" i="19" s="1"/>
  <c r="C5" i="12"/>
  <c r="H14" i="12"/>
  <c r="I14" i="12" s="1"/>
  <c r="H16" i="12"/>
  <c r="I16" i="12" s="1"/>
  <c r="J16" i="12" s="1"/>
  <c r="K16" i="12" s="1"/>
  <c r="H19" i="12"/>
  <c r="I19" i="12" s="1"/>
  <c r="H20" i="12"/>
  <c r="H21" i="12"/>
  <c r="I21" i="12" s="1"/>
  <c r="J21" i="12" s="1"/>
  <c r="H33" i="12"/>
  <c r="I33" i="12" s="1"/>
  <c r="J33" i="12" s="1"/>
  <c r="K33" i="12" s="1"/>
  <c r="H34" i="12"/>
  <c r="I34" i="12" s="1"/>
  <c r="J34" i="12" s="1"/>
  <c r="K34" i="12" s="1"/>
  <c r="H35" i="12"/>
  <c r="I35" i="12" s="1"/>
  <c r="J35" i="12" s="1"/>
  <c r="K35" i="12" s="1"/>
  <c r="H41" i="12"/>
  <c r="I41" i="12" s="1"/>
  <c r="J41" i="12" s="1"/>
  <c r="K41" i="12" s="1"/>
  <c r="H44" i="12"/>
  <c r="I44" i="12" s="1"/>
  <c r="H45" i="12"/>
  <c r="I45" i="12" s="1"/>
  <c r="J45" i="12" s="1"/>
  <c r="K45" i="12" s="1"/>
  <c r="G46" i="12"/>
  <c r="H48" i="12"/>
  <c r="I48" i="12" s="1"/>
  <c r="H49" i="12"/>
  <c r="I49" i="12" s="1"/>
  <c r="J49" i="12" s="1"/>
  <c r="K49" i="12" s="1"/>
  <c r="H50" i="12"/>
  <c r="I50" i="12" s="1"/>
  <c r="H51" i="12"/>
  <c r="I51" i="12" s="1"/>
  <c r="J51" i="12" s="1"/>
  <c r="K51" i="12" s="1"/>
  <c r="H52" i="12"/>
  <c r="I52" i="12" s="1"/>
  <c r="J52" i="12" s="1"/>
  <c r="K52" i="12" s="1"/>
  <c r="H53" i="12"/>
  <c r="I53" i="12" s="1"/>
  <c r="J53" i="12" s="1"/>
  <c r="K53" i="12" s="1"/>
  <c r="H54" i="12"/>
  <c r="I54" i="12" s="1"/>
  <c r="J54" i="12" s="1"/>
  <c r="K54" i="12" s="1"/>
  <c r="G55" i="12"/>
  <c r="J48" i="10"/>
  <c r="I48" i="10"/>
  <c r="H48" i="10"/>
  <c r="G48" i="10"/>
  <c r="F48" i="10"/>
  <c r="F18" i="10"/>
  <c r="C5" i="9"/>
  <c r="F19" i="8"/>
  <c r="G38" i="12"/>
  <c r="G42" i="12" s="1"/>
  <c r="F29" i="13" s="1"/>
  <c r="G16" i="8"/>
  <c r="G19" i="8" s="1"/>
  <c r="H38" i="12" s="1"/>
  <c r="H42" i="12" s="1"/>
  <c r="F48" i="2"/>
  <c r="F47" i="2"/>
  <c r="F71" i="2"/>
  <c r="F76" i="2" s="1"/>
  <c r="G8" i="12"/>
  <c r="F9" i="13" s="1"/>
  <c r="J14" i="12"/>
  <c r="K14" i="12" s="1"/>
  <c r="J48" i="12"/>
  <c r="K48" i="12" s="1"/>
  <c r="J19" i="12"/>
  <c r="K19" i="12" s="1"/>
  <c r="F46" i="2"/>
  <c r="J30" i="3"/>
  <c r="H26" i="2"/>
  <c r="I26" i="2" s="1"/>
  <c r="AI17" i="5"/>
  <c r="G85" i="5"/>
  <c r="AI85" i="5" s="1"/>
  <c r="J85" i="5"/>
  <c r="W62" i="19"/>
  <c r="W63" i="19"/>
  <c r="W64" i="19"/>
  <c r="W65" i="19"/>
  <c r="W66" i="19"/>
  <c r="W67" i="19"/>
  <c r="W68" i="19"/>
  <c r="W69" i="19"/>
  <c r="W70" i="19"/>
  <c r="W71" i="19"/>
  <c r="W72" i="19"/>
  <c r="W76" i="19"/>
  <c r="W77" i="19"/>
  <c r="W78" i="19"/>
  <c r="W79" i="19"/>
  <c r="W80" i="19"/>
  <c r="W83" i="19"/>
  <c r="W84" i="19"/>
  <c r="W85" i="19"/>
  <c r="W86" i="19"/>
  <c r="W87" i="19"/>
  <c r="W88" i="19"/>
  <c r="W89" i="19"/>
  <c r="W90" i="19"/>
  <c r="W91" i="19"/>
  <c r="W92" i="19"/>
  <c r="W93" i="19"/>
  <c r="W94" i="19"/>
  <c r="W95" i="19"/>
  <c r="W82" i="19"/>
  <c r="L13" i="21"/>
  <c r="L13" i="9"/>
  <c r="O13" i="9" s="1"/>
  <c r="D22" i="19"/>
  <c r="D24" i="19"/>
  <c r="D25" i="19"/>
  <c r="D26" i="19"/>
  <c r="D27" i="19"/>
  <c r="H22" i="3"/>
  <c r="H25" i="3"/>
  <c r="H26" i="3"/>
  <c r="H27" i="3"/>
  <c r="E9" i="4"/>
  <c r="E9" i="5" s="1"/>
  <c r="AK17" i="5"/>
  <c r="AL17" i="5" s="1"/>
  <c r="AM17" i="5" s="1"/>
  <c r="AI16" i="5"/>
  <c r="AK18" i="5"/>
  <c r="AL18" i="5" s="1"/>
  <c r="AM18" i="5" s="1"/>
  <c r="AK19" i="5"/>
  <c r="AL19" i="5" s="1"/>
  <c r="AM19" i="5" s="1"/>
  <c r="AK20" i="5"/>
  <c r="AL20" i="5" s="1"/>
  <c r="AM20" i="5" s="1"/>
  <c r="AK21" i="5"/>
  <c r="AL21" i="5" s="1"/>
  <c r="AM21" i="5" s="1"/>
  <c r="AK22" i="5"/>
  <c r="AL22" i="5" s="1"/>
  <c r="AM22" i="5" s="1"/>
  <c r="AK23" i="5"/>
  <c r="AL23" i="5" s="1"/>
  <c r="AM23" i="5" s="1"/>
  <c r="AK24" i="5"/>
  <c r="AL24" i="5" s="1"/>
  <c r="AM24" i="5" s="1"/>
  <c r="AK25" i="5"/>
  <c r="AL25" i="5" s="1"/>
  <c r="AM25" i="5" s="1"/>
  <c r="AK26" i="5"/>
  <c r="AL26" i="5" s="1"/>
  <c r="AM26" i="5" s="1"/>
  <c r="AK27" i="5"/>
  <c r="AL27" i="5" s="1"/>
  <c r="AM27" i="5" s="1"/>
  <c r="AK28" i="5"/>
  <c r="AL28" i="5" s="1"/>
  <c r="AM28" i="5" s="1"/>
  <c r="AK29" i="5"/>
  <c r="AL29" i="5" s="1"/>
  <c r="AM29" i="5" s="1"/>
  <c r="AK30" i="5"/>
  <c r="AL30" i="5" s="1"/>
  <c r="AM30" i="5" s="1"/>
  <c r="AK31" i="5"/>
  <c r="AL31" i="5" s="1"/>
  <c r="AM31" i="5" s="1"/>
  <c r="AK32" i="5"/>
  <c r="AL32" i="5" s="1"/>
  <c r="AM32" i="5" s="1"/>
  <c r="AK33" i="5"/>
  <c r="AL33" i="5" s="1"/>
  <c r="AM33" i="5" s="1"/>
  <c r="AK34" i="5"/>
  <c r="AL34" i="5" s="1"/>
  <c r="AM34" i="5" s="1"/>
  <c r="AK35" i="5"/>
  <c r="AL35" i="5" s="1"/>
  <c r="AM35" i="5" s="1"/>
  <c r="AK36" i="5"/>
  <c r="AL36" i="5" s="1"/>
  <c r="AM36" i="5" s="1"/>
  <c r="AK37" i="5"/>
  <c r="AL37" i="5" s="1"/>
  <c r="AM37" i="5" s="1"/>
  <c r="AK38" i="5"/>
  <c r="AL38" i="5" s="1"/>
  <c r="AM38" i="5" s="1"/>
  <c r="AK39" i="5"/>
  <c r="AL39" i="5" s="1"/>
  <c r="AM39" i="5" s="1"/>
  <c r="AK40" i="5"/>
  <c r="AL40" i="5" s="1"/>
  <c r="AM40" i="5" s="1"/>
  <c r="AK41" i="5"/>
  <c r="AL41" i="5" s="1"/>
  <c r="AM41" i="5" s="1"/>
  <c r="AK42" i="5"/>
  <c r="AL42" i="5" s="1"/>
  <c r="AM42" i="5" s="1"/>
  <c r="AK43" i="5"/>
  <c r="AL43" i="5" s="1"/>
  <c r="AM43" i="5" s="1"/>
  <c r="AK44" i="5"/>
  <c r="AL44" i="5" s="1"/>
  <c r="AM44" i="5" s="1"/>
  <c r="AK45" i="5"/>
  <c r="AL45" i="5" s="1"/>
  <c r="AM45" i="5" s="1"/>
  <c r="AK46" i="5"/>
  <c r="AL46" i="5" s="1"/>
  <c r="AM46" i="5" s="1"/>
  <c r="AK47" i="5"/>
  <c r="AL47" i="5" s="1"/>
  <c r="AM47" i="5" s="1"/>
  <c r="AK48" i="5"/>
  <c r="AL48" i="5" s="1"/>
  <c r="AM48" i="5" s="1"/>
  <c r="AK49" i="5"/>
  <c r="AL49" i="5" s="1"/>
  <c r="AM49" i="5" s="1"/>
  <c r="AK50" i="5"/>
  <c r="AL50" i="5" s="1"/>
  <c r="AM50" i="5" s="1"/>
  <c r="AK51" i="5"/>
  <c r="AL51" i="5" s="1"/>
  <c r="AM51" i="5" s="1"/>
  <c r="AK52" i="5"/>
  <c r="AL52" i="5" s="1"/>
  <c r="AM52" i="5" s="1"/>
  <c r="AK53" i="5"/>
  <c r="AL53" i="5" s="1"/>
  <c r="AM53" i="5" s="1"/>
  <c r="AK54" i="5"/>
  <c r="AL54" i="5" s="1"/>
  <c r="AM54" i="5" s="1"/>
  <c r="AK55" i="5"/>
  <c r="AL55" i="5" s="1"/>
  <c r="AM55" i="5" s="1"/>
  <c r="AK56" i="5"/>
  <c r="AL56" i="5" s="1"/>
  <c r="AM56" i="5" s="1"/>
  <c r="AK57" i="5"/>
  <c r="AL57" i="5" s="1"/>
  <c r="AM57" i="5" s="1"/>
  <c r="AK58" i="5"/>
  <c r="AL58" i="5" s="1"/>
  <c r="AM58" i="5" s="1"/>
  <c r="AK59" i="5"/>
  <c r="AL59" i="5" s="1"/>
  <c r="AM59" i="5" s="1"/>
  <c r="AK60" i="5"/>
  <c r="AL60" i="5" s="1"/>
  <c r="AM60" i="5" s="1"/>
  <c r="AK61" i="5"/>
  <c r="AL61" i="5" s="1"/>
  <c r="AM61" i="5" s="1"/>
  <c r="AK62" i="5"/>
  <c r="AL62" i="5" s="1"/>
  <c r="AM62" i="5" s="1"/>
  <c r="AK63" i="5"/>
  <c r="AL63" i="5" s="1"/>
  <c r="AM63" i="5" s="1"/>
  <c r="AK64" i="5"/>
  <c r="AL64" i="5" s="1"/>
  <c r="AM64" i="5" s="1"/>
  <c r="AK65" i="5"/>
  <c r="AL65" i="5" s="1"/>
  <c r="AM65" i="5" s="1"/>
  <c r="AK66" i="5"/>
  <c r="AL66" i="5" s="1"/>
  <c r="AM66" i="5" s="1"/>
  <c r="AK67" i="5"/>
  <c r="AL67" i="5" s="1"/>
  <c r="AM67" i="5" s="1"/>
  <c r="AK68" i="5"/>
  <c r="AL68" i="5" s="1"/>
  <c r="AM68" i="5" s="1"/>
  <c r="AK69" i="5"/>
  <c r="AL69" i="5" s="1"/>
  <c r="AM69" i="5" s="1"/>
  <c r="AK70" i="5"/>
  <c r="AL70" i="5" s="1"/>
  <c r="AM70" i="5" s="1"/>
  <c r="E28" i="19"/>
  <c r="I22" i="3" s="1"/>
  <c r="J123" i="19"/>
  <c r="K123" i="19" s="1"/>
  <c r="L124" i="19"/>
  <c r="L125" i="19" s="1"/>
  <c r="I17" i="7"/>
  <c r="I18" i="7"/>
  <c r="H38" i="3"/>
  <c r="H44" i="3" s="1"/>
  <c r="I31" i="7"/>
  <c r="G71" i="2"/>
  <c r="G76" i="2" s="1"/>
  <c r="I28" i="7"/>
  <c r="E38" i="4"/>
  <c r="J38" i="4"/>
  <c r="E39" i="4"/>
  <c r="H39" i="4"/>
  <c r="AF39" i="4" s="1"/>
  <c r="E40" i="4"/>
  <c r="E41" i="4"/>
  <c r="E42" i="4"/>
  <c r="E43" i="4"/>
  <c r="E44" i="4"/>
  <c r="E45" i="4"/>
  <c r="E46" i="4"/>
  <c r="E47" i="4"/>
  <c r="E84" i="5"/>
  <c r="E152" i="5" s="1"/>
  <c r="H84" i="5"/>
  <c r="AF84" i="5" s="1"/>
  <c r="J84" i="5"/>
  <c r="E85" i="5"/>
  <c r="H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59" i="6"/>
  <c r="H59" i="6"/>
  <c r="H102" i="6" s="1"/>
  <c r="J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I119" i="7"/>
  <c r="AG16" i="5"/>
  <c r="AH16" i="5" s="1"/>
  <c r="AG17" i="5"/>
  <c r="AH17" i="5" s="1"/>
  <c r="AG16" i="6"/>
  <c r="AH16" i="6" s="1"/>
  <c r="F38" i="4"/>
  <c r="AG38" i="4" s="1"/>
  <c r="AH38" i="4" s="1"/>
  <c r="F39" i="4"/>
  <c r="AG39" i="4" s="1"/>
  <c r="AH39" i="4" s="1"/>
  <c r="F40" i="4"/>
  <c r="AG40" i="4" s="1"/>
  <c r="AH40" i="4" s="1"/>
  <c r="F41" i="4"/>
  <c r="AG41" i="4" s="1"/>
  <c r="AH41" i="4" s="1"/>
  <c r="F42" i="4"/>
  <c r="AG42" i="4" s="1"/>
  <c r="AH42" i="4" s="1"/>
  <c r="F43" i="4"/>
  <c r="AG43" i="4" s="1"/>
  <c r="AH43" i="4" s="1"/>
  <c r="F44" i="4"/>
  <c r="AG44" i="4" s="1"/>
  <c r="AH44" i="4" s="1"/>
  <c r="F45" i="4"/>
  <c r="AG45" i="4" s="1"/>
  <c r="AH45" i="4" s="1"/>
  <c r="F46" i="4"/>
  <c r="AG46" i="4" s="1"/>
  <c r="AH46" i="4" s="1"/>
  <c r="F47" i="4"/>
  <c r="AG47" i="4" s="1"/>
  <c r="AH47" i="4" s="1"/>
  <c r="F84" i="5"/>
  <c r="AG84" i="5" s="1"/>
  <c r="AH84" i="5" s="1"/>
  <c r="F85" i="5"/>
  <c r="AG85" i="5" s="1"/>
  <c r="AH85" i="5" s="1"/>
  <c r="F86" i="5"/>
  <c r="AG86" i="5" s="1"/>
  <c r="AH86" i="5" s="1"/>
  <c r="F87" i="5"/>
  <c r="AG87" i="5" s="1"/>
  <c r="AH87" i="5" s="1"/>
  <c r="F88" i="5"/>
  <c r="AG88" i="5" s="1"/>
  <c r="F89" i="5"/>
  <c r="F90" i="5"/>
  <c r="AG90" i="5" s="1"/>
  <c r="AH90" i="5" s="1"/>
  <c r="F91" i="5"/>
  <c r="F92" i="5"/>
  <c r="AG92" i="5" s="1"/>
  <c r="AH92" i="5" s="1"/>
  <c r="F93" i="5"/>
  <c r="F94" i="5"/>
  <c r="AG94" i="5" s="1"/>
  <c r="AH94" i="5" s="1"/>
  <c r="F95" i="5"/>
  <c r="AG95" i="5" s="1"/>
  <c r="AH95" i="5" s="1"/>
  <c r="F96" i="5"/>
  <c r="AG96" i="5" s="1"/>
  <c r="AH96" i="5" s="1"/>
  <c r="F97" i="5"/>
  <c r="F98" i="5"/>
  <c r="AG98" i="5" s="1"/>
  <c r="AH98" i="5" s="1"/>
  <c r="F99" i="5"/>
  <c r="AG99" i="5" s="1"/>
  <c r="AH99" i="5" s="1"/>
  <c r="F100" i="5"/>
  <c r="AG100" i="5" s="1"/>
  <c r="AH100" i="5" s="1"/>
  <c r="F101" i="5"/>
  <c r="F102" i="5"/>
  <c r="AG102" i="5" s="1"/>
  <c r="AH102" i="5" s="1"/>
  <c r="F103" i="5"/>
  <c r="AG103" i="5" s="1"/>
  <c r="AH103" i="5" s="1"/>
  <c r="F104" i="5"/>
  <c r="AG104" i="5" s="1"/>
  <c r="AH104" i="5" s="1"/>
  <c r="F105" i="5"/>
  <c r="AG105" i="5" s="1"/>
  <c r="AH105" i="5" s="1"/>
  <c r="F106" i="5"/>
  <c r="AG106" i="5" s="1"/>
  <c r="AH106" i="5" s="1"/>
  <c r="F107" i="5"/>
  <c r="AG107" i="5" s="1"/>
  <c r="AH107" i="5" s="1"/>
  <c r="F108" i="5"/>
  <c r="AG108" i="5" s="1"/>
  <c r="AH108" i="5" s="1"/>
  <c r="F109" i="5"/>
  <c r="F110" i="5"/>
  <c r="AG110" i="5" s="1"/>
  <c r="AH110" i="5" s="1"/>
  <c r="F111" i="5"/>
  <c r="AG111" i="5" s="1"/>
  <c r="AH111" i="5" s="1"/>
  <c r="F112" i="5"/>
  <c r="AG112" i="5" s="1"/>
  <c r="AH112" i="5" s="1"/>
  <c r="F113" i="5"/>
  <c r="F114" i="5"/>
  <c r="AG114" i="5" s="1"/>
  <c r="AH114" i="5" s="1"/>
  <c r="F115" i="5"/>
  <c r="AG115" i="5" s="1"/>
  <c r="AH115" i="5" s="1"/>
  <c r="F116" i="5"/>
  <c r="AG116" i="5" s="1"/>
  <c r="AH116" i="5" s="1"/>
  <c r="F117" i="5"/>
  <c r="AG117" i="5" s="1"/>
  <c r="AH117" i="5" s="1"/>
  <c r="F118" i="5"/>
  <c r="AG118" i="5" s="1"/>
  <c r="AH118" i="5" s="1"/>
  <c r="F119" i="5"/>
  <c r="AG119" i="5" s="1"/>
  <c r="AH119" i="5" s="1"/>
  <c r="F120" i="5"/>
  <c r="AG120" i="5" s="1"/>
  <c r="AH120" i="5" s="1"/>
  <c r="F121" i="5"/>
  <c r="F122" i="5"/>
  <c r="AG122" i="5" s="1"/>
  <c r="AH122" i="5" s="1"/>
  <c r="F123" i="5"/>
  <c r="AG123" i="5" s="1"/>
  <c r="AH123" i="5" s="1"/>
  <c r="F124" i="5"/>
  <c r="AG124" i="5" s="1"/>
  <c r="AH124" i="5" s="1"/>
  <c r="F125" i="5"/>
  <c r="F126" i="5"/>
  <c r="AG126" i="5" s="1"/>
  <c r="AH126" i="5" s="1"/>
  <c r="F127" i="5"/>
  <c r="AG127" i="5" s="1"/>
  <c r="AH127" i="5" s="1"/>
  <c r="F128" i="5"/>
  <c r="AG128" i="5" s="1"/>
  <c r="AH128" i="5" s="1"/>
  <c r="F129" i="5"/>
  <c r="F130" i="5"/>
  <c r="AG130" i="5" s="1"/>
  <c r="AH130" i="5" s="1"/>
  <c r="F131" i="5"/>
  <c r="AG131" i="5" s="1"/>
  <c r="AH131" i="5" s="1"/>
  <c r="F132" i="5"/>
  <c r="AG132" i="5" s="1"/>
  <c r="AH132" i="5" s="1"/>
  <c r="F133" i="5"/>
  <c r="F134" i="5"/>
  <c r="AG134" i="5" s="1"/>
  <c r="AH134" i="5" s="1"/>
  <c r="F135" i="5"/>
  <c r="AG135" i="5" s="1"/>
  <c r="AH135" i="5" s="1"/>
  <c r="F136" i="5"/>
  <c r="AG136" i="5" s="1"/>
  <c r="AH136" i="5" s="1"/>
  <c r="F137" i="5"/>
  <c r="AG137" i="5" s="1"/>
  <c r="AH137" i="5" s="1"/>
  <c r="F138" i="5"/>
  <c r="AG138" i="5" s="1"/>
  <c r="AH138" i="5" s="1"/>
  <c r="F59" i="6"/>
  <c r="F102" i="6" s="1"/>
  <c r="F60" i="6"/>
  <c r="AG60" i="6" s="1"/>
  <c r="F61" i="6"/>
  <c r="F62" i="6"/>
  <c r="AG62" i="6" s="1"/>
  <c r="F63" i="6"/>
  <c r="AG63" i="6" s="1"/>
  <c r="AH63" i="6" s="1"/>
  <c r="F64" i="6"/>
  <c r="AG64" i="6" s="1"/>
  <c r="F65" i="6"/>
  <c r="AG65" i="6" s="1"/>
  <c r="F66" i="6"/>
  <c r="AG66" i="6" s="1"/>
  <c r="F67" i="6"/>
  <c r="AG67" i="6" s="1"/>
  <c r="AH67" i="6" s="1"/>
  <c r="F68" i="6"/>
  <c r="AG68" i="6" s="1"/>
  <c r="F69" i="6"/>
  <c r="F70" i="6"/>
  <c r="F113" i="6" s="1"/>
  <c r="F71" i="6"/>
  <c r="AG71" i="6" s="1"/>
  <c r="F72" i="6"/>
  <c r="AG72" i="6" s="1"/>
  <c r="AH72" i="6" s="1"/>
  <c r="F73" i="6"/>
  <c r="F74" i="6"/>
  <c r="AG74" i="6" s="1"/>
  <c r="F75" i="6"/>
  <c r="AG75" i="6" s="1"/>
  <c r="AH75" i="6" s="1"/>
  <c r="F76" i="6"/>
  <c r="AG76" i="6" s="1"/>
  <c r="F77" i="6"/>
  <c r="F78" i="6"/>
  <c r="F121" i="6" s="1"/>
  <c r="F79" i="6"/>
  <c r="AG79" i="6" s="1"/>
  <c r="AH79" i="6" s="1"/>
  <c r="F80" i="6"/>
  <c r="AG80" i="6" s="1"/>
  <c r="AH80" i="6" s="1"/>
  <c r="F81" i="6"/>
  <c r="F82" i="6"/>
  <c r="AG82" i="6" s="1"/>
  <c r="AH82" i="6" s="1"/>
  <c r="F83" i="6"/>
  <c r="AG83" i="6" s="1"/>
  <c r="AH83" i="6" s="1"/>
  <c r="F84" i="6"/>
  <c r="AG84" i="6" s="1"/>
  <c r="AH84" i="6" s="1"/>
  <c r="F85" i="6"/>
  <c r="AG85" i="6" s="1"/>
  <c r="AH85" i="6" s="1"/>
  <c r="F86" i="6"/>
  <c r="F129" i="6" s="1"/>
  <c r="F171" i="6" s="1"/>
  <c r="F213" i="6" s="1"/>
  <c r="AG213" i="6" s="1"/>
  <c r="AH213" i="6" s="1"/>
  <c r="F87" i="6"/>
  <c r="AG87" i="6" s="1"/>
  <c r="AH87" i="6" s="1"/>
  <c r="F88" i="6"/>
  <c r="AG88" i="6" s="1"/>
  <c r="AH88" i="6" s="1"/>
  <c r="H31" i="2"/>
  <c r="H30" i="2"/>
  <c r="I30" i="2" s="1"/>
  <c r="C5" i="13"/>
  <c r="H136" i="3"/>
  <c r="H59" i="3"/>
  <c r="F52" i="19"/>
  <c r="F50" i="19"/>
  <c r="W61" i="19"/>
  <c r="J21" i="7"/>
  <c r="K21" i="7" s="1"/>
  <c r="L21" i="7" s="1"/>
  <c r="I86" i="7"/>
  <c r="J86" i="7" s="1"/>
  <c r="H17" i="7"/>
  <c r="I27" i="3"/>
  <c r="I26" i="3"/>
  <c r="I25" i="3"/>
  <c r="I38" i="3"/>
  <c r="I44" i="3" s="1"/>
  <c r="D51" i="19"/>
  <c r="D53" i="19" s="1"/>
  <c r="D50" i="19"/>
  <c r="I74" i="3"/>
  <c r="J74" i="3" s="1"/>
  <c r="K74" i="3" s="1"/>
  <c r="L74" i="3" s="1"/>
  <c r="I75" i="3"/>
  <c r="J75" i="3" s="1"/>
  <c r="K75" i="3" s="1"/>
  <c r="L75" i="3" s="1"/>
  <c r="F17" i="2"/>
  <c r="G17" i="2"/>
  <c r="H17" i="2"/>
  <c r="I17" i="2"/>
  <c r="J17" i="2"/>
  <c r="C5" i="2"/>
  <c r="C5" i="8" s="1"/>
  <c r="C5" i="3"/>
  <c r="C5" i="4"/>
  <c r="C5" i="5"/>
  <c r="C5" i="6"/>
  <c r="C5" i="7"/>
  <c r="C5" i="11"/>
  <c r="C5" i="14"/>
  <c r="C5" i="15"/>
  <c r="C5" i="16"/>
  <c r="F164" i="5"/>
  <c r="AG164" i="5" s="1"/>
  <c r="AH164" i="5" s="1"/>
  <c r="F173" i="5"/>
  <c r="F180" i="5"/>
  <c r="AG180" i="5" s="1"/>
  <c r="AH180" i="5" s="1"/>
  <c r="F196" i="5"/>
  <c r="AG196" i="5" s="1"/>
  <c r="AH196" i="5" s="1"/>
  <c r="H172" i="7"/>
  <c r="F26" i="11" s="1"/>
  <c r="H119" i="7"/>
  <c r="H130" i="7" s="1"/>
  <c r="F25" i="11" s="1"/>
  <c r="I114" i="3"/>
  <c r="J114" i="3" s="1"/>
  <c r="K114" i="3" s="1"/>
  <c r="I115" i="3"/>
  <c r="J115" i="3" s="1"/>
  <c r="K115" i="3" s="1"/>
  <c r="L115" i="3" s="1"/>
  <c r="AG16" i="4"/>
  <c r="AH16" i="4" s="1"/>
  <c r="AG18" i="5"/>
  <c r="AH18" i="5" s="1"/>
  <c r="AG19" i="5"/>
  <c r="AG20" i="5"/>
  <c r="AH20" i="5" s="1"/>
  <c r="AG21" i="5"/>
  <c r="AH21" i="5" s="1"/>
  <c r="AG22" i="5"/>
  <c r="AH22" i="5" s="1"/>
  <c r="AG23" i="5"/>
  <c r="AH23" i="5" s="1"/>
  <c r="AG24" i="5"/>
  <c r="AH24" i="5" s="1"/>
  <c r="AG25" i="5"/>
  <c r="AH25" i="5" s="1"/>
  <c r="AG26" i="5"/>
  <c r="AH26" i="5" s="1"/>
  <c r="AG27" i="5"/>
  <c r="AH27" i="5" s="1"/>
  <c r="AG28" i="5"/>
  <c r="AH28" i="5" s="1"/>
  <c r="AG29" i="5"/>
  <c r="AH29" i="5" s="1"/>
  <c r="AG30" i="5"/>
  <c r="AH30" i="5" s="1"/>
  <c r="AG31" i="5"/>
  <c r="AH31" i="5" s="1"/>
  <c r="AG32" i="5"/>
  <c r="AH32" i="5" s="1"/>
  <c r="AG33" i="5"/>
  <c r="AH33" i="5" s="1"/>
  <c r="AG34" i="5"/>
  <c r="AH34" i="5" s="1"/>
  <c r="AG35" i="5"/>
  <c r="AH35" i="5" s="1"/>
  <c r="AG36" i="5"/>
  <c r="AH36" i="5" s="1"/>
  <c r="AG37" i="5"/>
  <c r="AH37" i="5" s="1"/>
  <c r="AG38" i="5"/>
  <c r="AH38" i="5" s="1"/>
  <c r="AG39" i="5"/>
  <c r="AH39" i="5" s="1"/>
  <c r="AG40" i="5"/>
  <c r="AH40" i="5" s="1"/>
  <c r="AG41" i="5"/>
  <c r="AH41" i="5" s="1"/>
  <c r="AG42" i="5"/>
  <c r="AH42" i="5" s="1"/>
  <c r="AG43" i="5"/>
  <c r="AH43" i="5" s="1"/>
  <c r="AG44" i="5"/>
  <c r="AH44" i="5" s="1"/>
  <c r="AG45" i="5"/>
  <c r="AH45" i="5" s="1"/>
  <c r="AG46" i="5"/>
  <c r="AH46" i="5" s="1"/>
  <c r="AG47" i="5"/>
  <c r="AH47" i="5" s="1"/>
  <c r="AG48" i="5"/>
  <c r="AH48" i="5" s="1"/>
  <c r="AG49" i="5"/>
  <c r="AH49" i="5" s="1"/>
  <c r="AG50" i="5"/>
  <c r="AH50" i="5" s="1"/>
  <c r="AG51" i="5"/>
  <c r="AH51" i="5" s="1"/>
  <c r="AG52" i="5"/>
  <c r="AH52" i="5" s="1"/>
  <c r="AG53" i="5"/>
  <c r="AH53" i="5" s="1"/>
  <c r="AG54" i="5"/>
  <c r="AH54" i="5" s="1"/>
  <c r="AG55" i="5"/>
  <c r="AH55" i="5" s="1"/>
  <c r="AG56" i="5"/>
  <c r="AH56" i="5" s="1"/>
  <c r="AG57" i="5"/>
  <c r="AH57" i="5" s="1"/>
  <c r="AG58" i="5"/>
  <c r="AH58" i="5" s="1"/>
  <c r="AG59" i="5"/>
  <c r="AH59" i="5" s="1"/>
  <c r="AG60" i="5"/>
  <c r="AH60" i="5" s="1"/>
  <c r="AG61" i="5"/>
  <c r="AH61" i="5" s="1"/>
  <c r="AG62" i="5"/>
  <c r="AH62" i="5" s="1"/>
  <c r="AG63" i="5"/>
  <c r="AH63" i="5" s="1"/>
  <c r="AG64" i="5"/>
  <c r="AH64" i="5" s="1"/>
  <c r="AG65" i="5"/>
  <c r="AH65" i="5" s="1"/>
  <c r="AG66" i="5"/>
  <c r="AH66" i="5" s="1"/>
  <c r="AG67" i="5"/>
  <c r="AH67" i="5" s="1"/>
  <c r="AG68" i="5"/>
  <c r="AH68" i="5" s="1"/>
  <c r="AG69" i="5"/>
  <c r="AH69" i="5" s="1"/>
  <c r="AG70" i="5"/>
  <c r="AH70" i="5" s="1"/>
  <c r="AG17" i="6"/>
  <c r="AH17" i="6" s="1"/>
  <c r="AG18" i="6"/>
  <c r="AG19" i="6"/>
  <c r="AH19" i="6" s="1"/>
  <c r="AG20" i="6"/>
  <c r="AH20" i="6" s="1"/>
  <c r="AG21" i="6"/>
  <c r="AH21" i="6" s="1"/>
  <c r="AG22" i="6"/>
  <c r="AH22" i="6" s="1"/>
  <c r="AG23" i="6"/>
  <c r="AH23" i="6" s="1"/>
  <c r="AG24" i="6"/>
  <c r="AH24" i="6" s="1"/>
  <c r="AG25" i="6"/>
  <c r="AH25" i="6" s="1"/>
  <c r="AG26" i="6"/>
  <c r="AH26" i="6" s="1"/>
  <c r="AG27" i="6"/>
  <c r="AH27" i="6" s="1"/>
  <c r="AG28" i="6"/>
  <c r="AH28" i="6" s="1"/>
  <c r="AG29" i="6"/>
  <c r="AH29" i="6" s="1"/>
  <c r="AG30" i="6"/>
  <c r="AH30" i="6" s="1"/>
  <c r="AG31" i="6"/>
  <c r="AH31" i="6" s="1"/>
  <c r="AG32" i="6"/>
  <c r="AH32" i="6" s="1"/>
  <c r="AG33" i="6"/>
  <c r="AH33" i="6" s="1"/>
  <c r="AG34" i="6"/>
  <c r="AH34" i="6" s="1"/>
  <c r="AG35" i="6"/>
  <c r="AH35" i="6" s="1"/>
  <c r="AG36" i="6"/>
  <c r="AH36" i="6" s="1"/>
  <c r="AG37" i="6"/>
  <c r="AH37" i="6" s="1"/>
  <c r="AG38" i="6"/>
  <c r="AH38" i="6" s="1"/>
  <c r="AG39" i="6"/>
  <c r="AH39" i="6" s="1"/>
  <c r="AG40" i="6"/>
  <c r="AH40" i="6" s="1"/>
  <c r="AG41" i="6"/>
  <c r="AH41" i="6" s="1"/>
  <c r="AG42" i="6"/>
  <c r="AH42" i="6" s="1"/>
  <c r="AG43" i="6"/>
  <c r="AH43" i="6" s="1"/>
  <c r="AG44" i="6"/>
  <c r="AH44" i="6" s="1"/>
  <c r="AG45" i="6"/>
  <c r="AH45" i="6" s="1"/>
  <c r="G84" i="5"/>
  <c r="G152" i="5" s="1"/>
  <c r="G219" i="5" s="1"/>
  <c r="AI219" i="5" s="1"/>
  <c r="E76" i="4"/>
  <c r="E212" i="5" s="1"/>
  <c r="G86" i="5"/>
  <c r="G154" i="5" s="1"/>
  <c r="J86" i="5"/>
  <c r="G87" i="5"/>
  <c r="AI87" i="5" s="1"/>
  <c r="J87" i="5"/>
  <c r="G88" i="5"/>
  <c r="AI88" i="5" s="1"/>
  <c r="J88" i="5"/>
  <c r="G89" i="5"/>
  <c r="J89" i="5"/>
  <c r="G90" i="5"/>
  <c r="AK90" i="5" s="1"/>
  <c r="AL90" i="5" s="1"/>
  <c r="J90" i="5"/>
  <c r="G91" i="5"/>
  <c r="J91" i="5"/>
  <c r="G92" i="5"/>
  <c r="J92" i="5"/>
  <c r="G93" i="5"/>
  <c r="G161" i="5" s="1"/>
  <c r="AI161" i="5" s="1"/>
  <c r="J93" i="5"/>
  <c r="G94" i="5"/>
  <c r="AI94" i="5" s="1"/>
  <c r="J94" i="5"/>
  <c r="G95" i="5"/>
  <c r="AK95" i="5" s="1"/>
  <c r="AL95" i="5" s="1"/>
  <c r="J95" i="5"/>
  <c r="G96" i="5"/>
  <c r="AK96" i="5" s="1"/>
  <c r="AL96" i="5" s="1"/>
  <c r="J96" i="5"/>
  <c r="G97" i="5"/>
  <c r="AK97" i="5" s="1"/>
  <c r="AL97" i="5" s="1"/>
  <c r="J97" i="5"/>
  <c r="G98" i="5"/>
  <c r="J98" i="5"/>
  <c r="G99" i="5"/>
  <c r="J99" i="5"/>
  <c r="G100" i="5"/>
  <c r="J100" i="5"/>
  <c r="G101" i="5"/>
  <c r="J101" i="5"/>
  <c r="G102" i="5"/>
  <c r="AI102" i="5" s="1"/>
  <c r="J102" i="5"/>
  <c r="G103" i="5"/>
  <c r="G171" i="5" s="1"/>
  <c r="J103" i="5"/>
  <c r="G104" i="5"/>
  <c r="J104" i="5"/>
  <c r="G105" i="5"/>
  <c r="J105" i="5"/>
  <c r="G106" i="5"/>
  <c r="AI106" i="5" s="1"/>
  <c r="J106" i="5"/>
  <c r="G107" i="5"/>
  <c r="AK107" i="5" s="1"/>
  <c r="AL107" i="5" s="1"/>
  <c r="J107" i="5"/>
  <c r="G108" i="5"/>
  <c r="J108" i="5"/>
  <c r="G109" i="5"/>
  <c r="AI109" i="5" s="1"/>
  <c r="J109" i="5"/>
  <c r="G110" i="5"/>
  <c r="AI110" i="5" s="1"/>
  <c r="J110" i="5"/>
  <c r="G111" i="5"/>
  <c r="J111" i="5"/>
  <c r="G112" i="5"/>
  <c r="G180" i="5" s="1"/>
  <c r="J112" i="5"/>
  <c r="G113" i="5"/>
  <c r="AK113" i="5" s="1"/>
  <c r="AL113" i="5" s="1"/>
  <c r="J113" i="5"/>
  <c r="G114" i="5"/>
  <c r="AI114" i="5" s="1"/>
  <c r="J114" i="5"/>
  <c r="G115" i="5"/>
  <c r="J115" i="5"/>
  <c r="G116" i="5"/>
  <c r="AK116" i="5" s="1"/>
  <c r="AL116" i="5" s="1"/>
  <c r="J116" i="5"/>
  <c r="G117" i="5"/>
  <c r="J117" i="5"/>
  <c r="G118" i="5"/>
  <c r="AI118" i="5" s="1"/>
  <c r="J118" i="5"/>
  <c r="G119" i="5"/>
  <c r="AI119" i="5" s="1"/>
  <c r="J119" i="5"/>
  <c r="G120" i="5"/>
  <c r="AI120" i="5" s="1"/>
  <c r="J120" i="5"/>
  <c r="G121" i="5"/>
  <c r="J121" i="5"/>
  <c r="G122" i="5"/>
  <c r="AI122" i="5" s="1"/>
  <c r="J122" i="5"/>
  <c r="G123" i="5"/>
  <c r="J123" i="5"/>
  <c r="G124" i="5"/>
  <c r="AK124" i="5" s="1"/>
  <c r="AL124" i="5" s="1"/>
  <c r="J124" i="5"/>
  <c r="G125" i="5"/>
  <c r="AI125" i="5" s="1"/>
  <c r="J125" i="5"/>
  <c r="G126" i="5"/>
  <c r="AI126" i="5" s="1"/>
  <c r="J126" i="5"/>
  <c r="G127" i="5"/>
  <c r="J127" i="5"/>
  <c r="G128" i="5"/>
  <c r="J128" i="5"/>
  <c r="G129" i="5"/>
  <c r="J129" i="5"/>
  <c r="G130" i="5"/>
  <c r="J130" i="5"/>
  <c r="G131" i="5"/>
  <c r="J131" i="5"/>
  <c r="G132" i="5"/>
  <c r="J132" i="5"/>
  <c r="G133" i="5"/>
  <c r="J133" i="5"/>
  <c r="G134" i="5"/>
  <c r="AI134" i="5" s="1"/>
  <c r="J134" i="5"/>
  <c r="G135" i="5"/>
  <c r="AI135" i="5" s="1"/>
  <c r="J135" i="5"/>
  <c r="G136" i="5"/>
  <c r="J136" i="5"/>
  <c r="G137" i="5"/>
  <c r="AK137" i="5" s="1"/>
  <c r="AL137" i="5" s="1"/>
  <c r="J137" i="5"/>
  <c r="G138" i="5"/>
  <c r="AI138" i="5" s="1"/>
  <c r="J138" i="5"/>
  <c r="E54" i="4"/>
  <c r="E145" i="5" s="1"/>
  <c r="E31" i="4"/>
  <c r="E77" i="5" s="1"/>
  <c r="J17" i="7"/>
  <c r="H27" i="2"/>
  <c r="J18" i="7" s="1"/>
  <c r="G44" i="2"/>
  <c r="G61" i="2"/>
  <c r="G66" i="2" s="1"/>
  <c r="G43" i="2"/>
  <c r="F61" i="2"/>
  <c r="F66" i="2" s="1"/>
  <c r="G56" i="2"/>
  <c r="H56" i="2" s="1"/>
  <c r="I56" i="2" s="1"/>
  <c r="J56" i="2" s="1"/>
  <c r="H29" i="7"/>
  <c r="H31" i="7"/>
  <c r="H18" i="7"/>
  <c r="H152" i="5"/>
  <c r="AF152" i="5" s="1"/>
  <c r="I32" i="3"/>
  <c r="I59" i="3"/>
  <c r="I53" i="7"/>
  <c r="J22" i="7"/>
  <c r="K22" i="7" s="1"/>
  <c r="L22" i="7" s="1"/>
  <c r="J23" i="7"/>
  <c r="K23" i="7" s="1"/>
  <c r="L23" i="7" s="1"/>
  <c r="J53" i="7"/>
  <c r="J59" i="3"/>
  <c r="K53" i="7"/>
  <c r="K59" i="3"/>
  <c r="L53" i="7"/>
  <c r="L25" i="3"/>
  <c r="I70" i="3"/>
  <c r="J70" i="3" s="1"/>
  <c r="I72" i="3"/>
  <c r="I73" i="3"/>
  <c r="J73" i="3" s="1"/>
  <c r="K73" i="3" s="1"/>
  <c r="L73" i="3" s="1"/>
  <c r="I64" i="7"/>
  <c r="J64" i="7" s="1"/>
  <c r="K64" i="7" s="1"/>
  <c r="L64" i="7" s="1"/>
  <c r="I65" i="7"/>
  <c r="J65" i="7" s="1"/>
  <c r="I66" i="7"/>
  <c r="I67" i="7"/>
  <c r="J67" i="7" s="1"/>
  <c r="K67" i="7" s="1"/>
  <c r="L67" i="7" s="1"/>
  <c r="I68" i="7"/>
  <c r="J68" i="7" s="1"/>
  <c r="K68" i="7" s="1"/>
  <c r="L68" i="7" s="1"/>
  <c r="I88" i="3"/>
  <c r="J88" i="3" s="1"/>
  <c r="K88" i="3" s="1"/>
  <c r="I82" i="7"/>
  <c r="H194" i="7" s="1"/>
  <c r="I89" i="3"/>
  <c r="J89" i="3" s="1"/>
  <c r="I90" i="3"/>
  <c r="J90" i="3" s="1"/>
  <c r="I91" i="3"/>
  <c r="J91" i="3" s="1"/>
  <c r="K91" i="3" s="1"/>
  <c r="L91" i="3" s="1"/>
  <c r="I83" i="7"/>
  <c r="J83" i="7" s="1"/>
  <c r="K83" i="7" s="1"/>
  <c r="L83" i="7" s="1"/>
  <c r="I84" i="7"/>
  <c r="J84" i="7" s="1"/>
  <c r="I85" i="7"/>
  <c r="J85" i="7" s="1"/>
  <c r="K85" i="7" s="1"/>
  <c r="L85" i="7" s="1"/>
  <c r="I87" i="7"/>
  <c r="J87" i="7" s="1"/>
  <c r="K87" i="7" s="1"/>
  <c r="L87" i="7" s="1"/>
  <c r="I88" i="7"/>
  <c r="J88" i="7" s="1"/>
  <c r="K88" i="7" s="1"/>
  <c r="L88" i="7" s="1"/>
  <c r="H38" i="4"/>
  <c r="E164" i="5"/>
  <c r="E103" i="6"/>
  <c r="E116" i="6"/>
  <c r="I116" i="3"/>
  <c r="J116" i="3" s="1"/>
  <c r="I117" i="3"/>
  <c r="J117" i="3" s="1"/>
  <c r="K117" i="3" s="1"/>
  <c r="L117" i="3" s="1"/>
  <c r="I118" i="3"/>
  <c r="J118" i="3" s="1"/>
  <c r="K118" i="3" s="1"/>
  <c r="L118" i="3" s="1"/>
  <c r="I119" i="3"/>
  <c r="J119" i="3" s="1"/>
  <c r="K119" i="3" s="1"/>
  <c r="L119" i="3" s="1"/>
  <c r="I120" i="3"/>
  <c r="J120" i="3" s="1"/>
  <c r="K120" i="3" s="1"/>
  <c r="L120" i="3" s="1"/>
  <c r="I121" i="3"/>
  <c r="J121" i="3" s="1"/>
  <c r="K121" i="3" s="1"/>
  <c r="L121" i="3" s="1"/>
  <c r="I122" i="3"/>
  <c r="J122" i="3" s="1"/>
  <c r="K122" i="3" s="1"/>
  <c r="L122" i="3" s="1"/>
  <c r="I123" i="3"/>
  <c r="J123" i="3" s="1"/>
  <c r="K123" i="3" s="1"/>
  <c r="L123" i="3" s="1"/>
  <c r="I124" i="3"/>
  <c r="J124" i="3" s="1"/>
  <c r="K124" i="3" s="1"/>
  <c r="L124" i="3" s="1"/>
  <c r="I125" i="3"/>
  <c r="J125" i="3" s="1"/>
  <c r="K125" i="3" s="1"/>
  <c r="L125" i="3" s="1"/>
  <c r="I126" i="3"/>
  <c r="J126" i="3" s="1"/>
  <c r="K126" i="3" s="1"/>
  <c r="L126" i="3" s="1"/>
  <c r="I127" i="3"/>
  <c r="J127" i="3" s="1"/>
  <c r="K127" i="3" s="1"/>
  <c r="L127" i="3" s="1"/>
  <c r="I128" i="3"/>
  <c r="J128" i="3" s="1"/>
  <c r="K128" i="3" s="1"/>
  <c r="L128" i="3" s="1"/>
  <c r="I129" i="3"/>
  <c r="J129" i="3" s="1"/>
  <c r="K129" i="3" s="1"/>
  <c r="L129" i="3" s="1"/>
  <c r="I130" i="3"/>
  <c r="J130" i="3" s="1"/>
  <c r="K130" i="3" s="1"/>
  <c r="L130" i="3" s="1"/>
  <c r="I131" i="3"/>
  <c r="J131" i="3" s="1"/>
  <c r="K131" i="3" s="1"/>
  <c r="L131" i="3" s="1"/>
  <c r="I132" i="3"/>
  <c r="J132" i="3" s="1"/>
  <c r="K132" i="3" s="1"/>
  <c r="L132" i="3" s="1"/>
  <c r="I133" i="3"/>
  <c r="J133" i="3" s="1"/>
  <c r="K133" i="3" s="1"/>
  <c r="L133" i="3" s="1"/>
  <c r="I134" i="3"/>
  <c r="J134" i="3" s="1"/>
  <c r="K134" i="3" s="1"/>
  <c r="L134" i="3" s="1"/>
  <c r="I120" i="7"/>
  <c r="J120" i="7" s="1"/>
  <c r="I121" i="7"/>
  <c r="J121" i="7" s="1"/>
  <c r="K121" i="7" s="1"/>
  <c r="L121" i="7" s="1"/>
  <c r="I122" i="7"/>
  <c r="J122" i="7" s="1"/>
  <c r="K122" i="7" s="1"/>
  <c r="L122" i="7" s="1"/>
  <c r="I123" i="7"/>
  <c r="J123" i="7" s="1"/>
  <c r="K123" i="7" s="1"/>
  <c r="L123" i="7" s="1"/>
  <c r="I124" i="7"/>
  <c r="J124" i="7" s="1"/>
  <c r="K124" i="7" s="1"/>
  <c r="L124" i="7" s="1"/>
  <c r="I125" i="7"/>
  <c r="J125" i="7" s="1"/>
  <c r="K125" i="7" s="1"/>
  <c r="L125" i="7" s="1"/>
  <c r="I126" i="7"/>
  <c r="J126" i="7" s="1"/>
  <c r="K126" i="7" s="1"/>
  <c r="L126" i="7" s="1"/>
  <c r="I127" i="7"/>
  <c r="J127" i="7" s="1"/>
  <c r="K127" i="7" s="1"/>
  <c r="L127" i="7" s="1"/>
  <c r="I128" i="7"/>
  <c r="J128" i="7" s="1"/>
  <c r="K128" i="7" s="1"/>
  <c r="L128" i="7" s="1"/>
  <c r="J119" i="7"/>
  <c r="K119" i="7"/>
  <c r="L119" i="7"/>
  <c r="I136" i="7"/>
  <c r="J136" i="7" s="1"/>
  <c r="I137" i="7"/>
  <c r="J137" i="7" s="1"/>
  <c r="K137" i="7" s="1"/>
  <c r="L137" i="7" s="1"/>
  <c r="I138" i="7"/>
  <c r="I139" i="7"/>
  <c r="J139" i="7" s="1"/>
  <c r="K139" i="7" s="1"/>
  <c r="L139" i="7" s="1"/>
  <c r="I140" i="7"/>
  <c r="J140" i="7" s="1"/>
  <c r="K140" i="7" s="1"/>
  <c r="L140" i="7" s="1"/>
  <c r="I141" i="7"/>
  <c r="J141" i="7" s="1"/>
  <c r="K141" i="7" s="1"/>
  <c r="L141" i="7" s="1"/>
  <c r="I142" i="7"/>
  <c r="J142" i="7" s="1"/>
  <c r="K142" i="7" s="1"/>
  <c r="L142" i="7" s="1"/>
  <c r="I143" i="7"/>
  <c r="J143" i="7" s="1"/>
  <c r="K143" i="7" s="1"/>
  <c r="L143" i="7" s="1"/>
  <c r="I144" i="7"/>
  <c r="J144" i="7" s="1"/>
  <c r="K144" i="7" s="1"/>
  <c r="L144" i="7" s="1"/>
  <c r="I145" i="7"/>
  <c r="J145" i="7" s="1"/>
  <c r="K145" i="7" s="1"/>
  <c r="L145" i="7" s="1"/>
  <c r="I146" i="7"/>
  <c r="J146" i="7" s="1"/>
  <c r="K146" i="7" s="1"/>
  <c r="L146" i="7" s="1"/>
  <c r="I147" i="7"/>
  <c r="J147" i="7" s="1"/>
  <c r="K147" i="7" s="1"/>
  <c r="L147" i="7" s="1"/>
  <c r="I148" i="7"/>
  <c r="J148" i="7" s="1"/>
  <c r="K148" i="7" s="1"/>
  <c r="L148" i="7" s="1"/>
  <c r="I149" i="7"/>
  <c r="J149" i="7" s="1"/>
  <c r="K149" i="7" s="1"/>
  <c r="L149" i="7" s="1"/>
  <c r="I150" i="7"/>
  <c r="J150" i="7" s="1"/>
  <c r="K150" i="7" s="1"/>
  <c r="L150" i="7" s="1"/>
  <c r="I151" i="7"/>
  <c r="J151" i="7" s="1"/>
  <c r="K151" i="7" s="1"/>
  <c r="L151" i="7" s="1"/>
  <c r="I152" i="7"/>
  <c r="J152" i="7" s="1"/>
  <c r="K152" i="7" s="1"/>
  <c r="L152" i="7" s="1"/>
  <c r="I153" i="7"/>
  <c r="J153" i="7" s="1"/>
  <c r="K153" i="7" s="1"/>
  <c r="L153" i="7" s="1"/>
  <c r="I154" i="7"/>
  <c r="J154" i="7" s="1"/>
  <c r="K154" i="7" s="1"/>
  <c r="L154" i="7" s="1"/>
  <c r="I155" i="7"/>
  <c r="J155" i="7" s="1"/>
  <c r="K155" i="7" s="1"/>
  <c r="L155" i="7" s="1"/>
  <c r="I156" i="7"/>
  <c r="J156" i="7" s="1"/>
  <c r="K156" i="7" s="1"/>
  <c r="L156" i="7" s="1"/>
  <c r="I157" i="7"/>
  <c r="J157" i="7" s="1"/>
  <c r="K157" i="7" s="1"/>
  <c r="L157" i="7" s="1"/>
  <c r="I158" i="7"/>
  <c r="J158" i="7" s="1"/>
  <c r="K158" i="7" s="1"/>
  <c r="L158" i="7" s="1"/>
  <c r="I159" i="7"/>
  <c r="J159" i="7" s="1"/>
  <c r="K159" i="7" s="1"/>
  <c r="L159" i="7" s="1"/>
  <c r="I160" i="7"/>
  <c r="J160" i="7" s="1"/>
  <c r="K160" i="7" s="1"/>
  <c r="L160" i="7" s="1"/>
  <c r="I161" i="7"/>
  <c r="J161" i="7" s="1"/>
  <c r="K161" i="7" s="1"/>
  <c r="L161" i="7" s="1"/>
  <c r="I162" i="7"/>
  <c r="J162" i="7" s="1"/>
  <c r="K162" i="7" s="1"/>
  <c r="L162" i="7" s="1"/>
  <c r="I163" i="7"/>
  <c r="J163" i="7" s="1"/>
  <c r="K163" i="7" s="1"/>
  <c r="L163" i="7" s="1"/>
  <c r="I164" i="7"/>
  <c r="J164" i="7" s="1"/>
  <c r="K164" i="7" s="1"/>
  <c r="L164" i="7" s="1"/>
  <c r="I165" i="7"/>
  <c r="J165" i="7" s="1"/>
  <c r="K165" i="7" s="1"/>
  <c r="L165" i="7" s="1"/>
  <c r="I166" i="7"/>
  <c r="J166" i="7" s="1"/>
  <c r="K166" i="7" s="1"/>
  <c r="L166" i="7" s="1"/>
  <c r="I167" i="7"/>
  <c r="J167" i="7" s="1"/>
  <c r="K167" i="7" s="1"/>
  <c r="L167" i="7" s="1"/>
  <c r="I168" i="7"/>
  <c r="J168" i="7" s="1"/>
  <c r="K168" i="7" s="1"/>
  <c r="L168" i="7" s="1"/>
  <c r="I169" i="7"/>
  <c r="J169" i="7" s="1"/>
  <c r="K169" i="7" s="1"/>
  <c r="L169" i="7" s="1"/>
  <c r="I170" i="7"/>
  <c r="J170" i="7" s="1"/>
  <c r="K170" i="7" s="1"/>
  <c r="L170" i="7" s="1"/>
  <c r="H53" i="7"/>
  <c r="H77" i="3"/>
  <c r="H70" i="7"/>
  <c r="H9" i="7"/>
  <c r="F72" i="2"/>
  <c r="F63" i="2"/>
  <c r="F68" i="2" s="1"/>
  <c r="F18" i="2"/>
  <c r="K122" i="19"/>
  <c r="K121" i="19"/>
  <c r="K120" i="19"/>
  <c r="K119" i="19"/>
  <c r="G64" i="14"/>
  <c r="G65" i="14"/>
  <c r="J64" i="4"/>
  <c r="J65" i="4"/>
  <c r="J66" i="4"/>
  <c r="J68" i="4"/>
  <c r="J69" i="4"/>
  <c r="J70" i="4"/>
  <c r="J60" i="6"/>
  <c r="I60" i="6" s="1"/>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F65" i="14"/>
  <c r="F64" i="14"/>
  <c r="G38" i="11"/>
  <c r="G23" i="13"/>
  <c r="G25" i="13"/>
  <c r="G38" i="13"/>
  <c r="G39" i="13"/>
  <c r="H60" i="6"/>
  <c r="H61" i="6"/>
  <c r="H62" i="6"/>
  <c r="H63" i="6"/>
  <c r="H64" i="6"/>
  <c r="H65" i="6"/>
  <c r="H66" i="6"/>
  <c r="H67" i="6"/>
  <c r="H68" i="6"/>
  <c r="H69" i="6"/>
  <c r="H70" i="6"/>
  <c r="H71" i="6"/>
  <c r="H72" i="6"/>
  <c r="H73" i="6"/>
  <c r="H74" i="6"/>
  <c r="H75" i="6"/>
  <c r="H76" i="6"/>
  <c r="H77" i="6"/>
  <c r="H78" i="6"/>
  <c r="H79" i="6"/>
  <c r="H80" i="6"/>
  <c r="H81" i="6"/>
  <c r="H82" i="6"/>
  <c r="H83" i="6"/>
  <c r="H84" i="6"/>
  <c r="H127" i="6" s="1"/>
  <c r="H85" i="6"/>
  <c r="H86" i="6"/>
  <c r="H87" i="6"/>
  <c r="H88" i="6"/>
  <c r="H138" i="5"/>
  <c r="H137" i="5"/>
  <c r="H136" i="5"/>
  <c r="H135" i="5"/>
  <c r="H134" i="5"/>
  <c r="H133" i="5"/>
  <c r="H132" i="5"/>
  <c r="H131" i="5"/>
  <c r="H130" i="5"/>
  <c r="H129" i="5"/>
  <c r="H128" i="5"/>
  <c r="H127" i="5"/>
  <c r="H126" i="5"/>
  <c r="H125" i="5"/>
  <c r="H124" i="5"/>
  <c r="H123" i="5"/>
  <c r="H122" i="5"/>
  <c r="H121" i="5"/>
  <c r="H120" i="5"/>
  <c r="H119" i="5"/>
  <c r="H118" i="5"/>
  <c r="H117" i="5"/>
  <c r="H116" i="5"/>
  <c r="H115" i="5"/>
  <c r="H183" i="5" s="1"/>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40" i="4"/>
  <c r="H63" i="4" s="1"/>
  <c r="H41" i="4"/>
  <c r="H42" i="4"/>
  <c r="H43" i="4"/>
  <c r="H44" i="4"/>
  <c r="H45" i="4"/>
  <c r="H46" i="4"/>
  <c r="H47" i="4"/>
  <c r="H38" i="11"/>
  <c r="I38" i="11"/>
  <c r="J38" i="11"/>
  <c r="G47" i="4"/>
  <c r="G70" i="4" s="1"/>
  <c r="D47" i="4"/>
  <c r="D70" i="4" s="1"/>
  <c r="G46" i="4"/>
  <c r="G69" i="4" s="1"/>
  <c r="D46" i="4"/>
  <c r="D69" i="4" s="1"/>
  <c r="G45" i="4"/>
  <c r="G68" i="4" s="1"/>
  <c r="D45" i="4"/>
  <c r="D68" i="4" s="1"/>
  <c r="G44" i="4"/>
  <c r="G67" i="4" s="1"/>
  <c r="D44" i="4"/>
  <c r="D67" i="4" s="1"/>
  <c r="G43" i="4"/>
  <c r="G66" i="4" s="1"/>
  <c r="D43" i="4"/>
  <c r="D66" i="4" s="1"/>
  <c r="G42" i="4"/>
  <c r="G65" i="4" s="1"/>
  <c r="D42" i="4"/>
  <c r="D65" i="4" s="1"/>
  <c r="G41" i="4"/>
  <c r="G64" i="4" s="1"/>
  <c r="D41" i="4"/>
  <c r="D64" i="4" s="1"/>
  <c r="G40" i="4"/>
  <c r="G63" i="4" s="1"/>
  <c r="D40" i="4"/>
  <c r="D63" i="4" s="1"/>
  <c r="G39" i="4"/>
  <c r="G62" i="4" s="1"/>
  <c r="D39" i="4"/>
  <c r="D62" i="4" s="1"/>
  <c r="G38" i="4"/>
  <c r="G61" i="4" s="1"/>
  <c r="D38" i="4"/>
  <c r="D61" i="4" s="1"/>
  <c r="E98" i="4"/>
  <c r="E179" i="6" s="1"/>
  <c r="J26" i="4"/>
  <c r="F56" i="14" s="1"/>
  <c r="F42" i="14" s="1"/>
  <c r="E97" i="4"/>
  <c r="E178" i="6" s="1"/>
  <c r="E75" i="4"/>
  <c r="E136" i="6" s="1"/>
  <c r="E53" i="4"/>
  <c r="E94" i="6" s="1"/>
  <c r="E30" i="4"/>
  <c r="E76" i="5" s="1"/>
  <c r="E8" i="4"/>
  <c r="E8" i="5" s="1"/>
  <c r="E8" i="6" s="1"/>
  <c r="N26" i="4"/>
  <c r="D62" i="2"/>
  <c r="D72" i="2" s="1"/>
  <c r="D63" i="2"/>
  <c r="D73" i="2" s="1"/>
  <c r="G73" i="2"/>
  <c r="G78" i="2" s="1"/>
  <c r="D71" i="2"/>
  <c r="D76" i="2" s="1"/>
  <c r="G63" i="2"/>
  <c r="G68" i="2" s="1"/>
  <c r="H39" i="13"/>
  <c r="L91" i="9"/>
  <c r="O91" i="9" s="1"/>
  <c r="N91" i="9"/>
  <c r="M91" i="9"/>
  <c r="L90" i="9"/>
  <c r="O90" i="9" s="1"/>
  <c r="N90" i="9"/>
  <c r="M90" i="9"/>
  <c r="L89" i="9"/>
  <c r="O89" i="9" s="1"/>
  <c r="N89" i="9"/>
  <c r="M89" i="9"/>
  <c r="L84" i="9"/>
  <c r="O84" i="9" s="1"/>
  <c r="M84" i="9"/>
  <c r="N84" i="9"/>
  <c r="L85" i="9"/>
  <c r="O85" i="9" s="1"/>
  <c r="M85" i="9"/>
  <c r="N85" i="9"/>
  <c r="L80" i="9"/>
  <c r="O80" i="9" s="1"/>
  <c r="M80" i="9"/>
  <c r="N80" i="9"/>
  <c r="L81" i="9"/>
  <c r="O81" i="9" s="1"/>
  <c r="M81" i="9"/>
  <c r="N81" i="9"/>
  <c r="L82" i="9"/>
  <c r="O82" i="9" s="1"/>
  <c r="M82" i="9"/>
  <c r="N82" i="9"/>
  <c r="L86" i="9"/>
  <c r="O86" i="9" s="1"/>
  <c r="M86" i="9"/>
  <c r="N86" i="9"/>
  <c r="L87" i="9"/>
  <c r="O87" i="9" s="1"/>
  <c r="M87" i="9"/>
  <c r="N87" i="9"/>
  <c r="L88" i="9"/>
  <c r="O88" i="9" s="1"/>
  <c r="M88" i="9"/>
  <c r="N88" i="9"/>
  <c r="L97" i="9"/>
  <c r="O97" i="9" s="1"/>
  <c r="N97" i="9"/>
  <c r="M97" i="9"/>
  <c r="L96" i="9"/>
  <c r="O96" i="9" s="1"/>
  <c r="N96" i="9"/>
  <c r="M96" i="9"/>
  <c r="L95" i="9"/>
  <c r="O95" i="9" s="1"/>
  <c r="N95" i="9"/>
  <c r="M95" i="9"/>
  <c r="L94" i="9"/>
  <c r="O94" i="9" s="1"/>
  <c r="N94" i="9"/>
  <c r="M94" i="9"/>
  <c r="L93" i="9"/>
  <c r="O93" i="9" s="1"/>
  <c r="N93" i="9"/>
  <c r="M93" i="9"/>
  <c r="L92" i="9"/>
  <c r="O92" i="9" s="1"/>
  <c r="N92" i="9"/>
  <c r="M92" i="9"/>
  <c r="L83" i="9"/>
  <c r="O83" i="9" s="1"/>
  <c r="N83" i="9"/>
  <c r="M83" i="9"/>
  <c r="L79" i="9"/>
  <c r="O79" i="9" s="1"/>
  <c r="N79" i="9"/>
  <c r="M79" i="9"/>
  <c r="L78" i="9"/>
  <c r="O78" i="9" s="1"/>
  <c r="N78" i="9"/>
  <c r="M78" i="9"/>
  <c r="L77" i="9"/>
  <c r="O77" i="9" s="1"/>
  <c r="N77" i="9"/>
  <c r="M77" i="9"/>
  <c r="L76" i="9"/>
  <c r="O76" i="9" s="1"/>
  <c r="N76" i="9"/>
  <c r="M76" i="9"/>
  <c r="L75" i="9"/>
  <c r="O75" i="9" s="1"/>
  <c r="N75" i="9"/>
  <c r="M75" i="9"/>
  <c r="L74" i="9"/>
  <c r="O74" i="9" s="1"/>
  <c r="N74" i="9"/>
  <c r="M74" i="9"/>
  <c r="L73" i="9"/>
  <c r="O73" i="9" s="1"/>
  <c r="N73" i="9"/>
  <c r="M73" i="9"/>
  <c r="L72" i="9"/>
  <c r="O72" i="9" s="1"/>
  <c r="N72" i="9"/>
  <c r="M72" i="9"/>
  <c r="L71" i="9"/>
  <c r="O71" i="9" s="1"/>
  <c r="N71" i="9"/>
  <c r="M71" i="9"/>
  <c r="L70" i="9"/>
  <c r="O70" i="9" s="1"/>
  <c r="N70" i="9"/>
  <c r="M70" i="9"/>
  <c r="L69" i="9"/>
  <c r="O69" i="9" s="1"/>
  <c r="N69" i="9"/>
  <c r="M69" i="9"/>
  <c r="L68" i="9"/>
  <c r="O68" i="9" s="1"/>
  <c r="N68" i="9"/>
  <c r="M68" i="9"/>
  <c r="L67" i="9"/>
  <c r="O67" i="9" s="1"/>
  <c r="N67" i="9"/>
  <c r="M67" i="9"/>
  <c r="L146" i="9"/>
  <c r="O146" i="9" s="1"/>
  <c r="N146" i="9"/>
  <c r="M146" i="9"/>
  <c r="N145" i="9"/>
  <c r="N144" i="9"/>
  <c r="N143" i="9"/>
  <c r="N142" i="9"/>
  <c r="N141" i="9"/>
  <c r="N140" i="9"/>
  <c r="N139" i="9"/>
  <c r="N138" i="9"/>
  <c r="N137" i="9"/>
  <c r="N136" i="9"/>
  <c r="N135" i="9"/>
  <c r="N134" i="9"/>
  <c r="N133" i="9"/>
  <c r="N132" i="9"/>
  <c r="N131" i="9"/>
  <c r="N130" i="9"/>
  <c r="N129" i="9"/>
  <c r="N128" i="9"/>
  <c r="N127" i="9"/>
  <c r="N126" i="9"/>
  <c r="N125" i="9"/>
  <c r="N124" i="9"/>
  <c r="N123" i="9"/>
  <c r="N122" i="9"/>
  <c r="N121" i="9"/>
  <c r="N120" i="9"/>
  <c r="N119" i="9"/>
  <c r="N118" i="9"/>
  <c r="N117" i="9"/>
  <c r="N116" i="9"/>
  <c r="N115" i="9"/>
  <c r="N114" i="9"/>
  <c r="N113" i="9"/>
  <c r="N112" i="9"/>
  <c r="N111" i="9"/>
  <c r="N110" i="9"/>
  <c r="N109" i="9"/>
  <c r="N108" i="9"/>
  <c r="N107" i="9"/>
  <c r="N106" i="9"/>
  <c r="N105" i="9"/>
  <c r="N104" i="9"/>
  <c r="N103" i="9"/>
  <c r="N102" i="9"/>
  <c r="N101" i="9"/>
  <c r="N100" i="9"/>
  <c r="N99" i="9"/>
  <c r="N98"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L16" i="9"/>
  <c r="O16" i="9" s="1"/>
  <c r="L15" i="9"/>
  <c r="O15" i="9" s="1"/>
  <c r="L14" i="9"/>
  <c r="O14" i="9" s="1"/>
  <c r="L17" i="9"/>
  <c r="O17" i="9" s="1"/>
  <c r="L18" i="9"/>
  <c r="O18" i="9" s="1"/>
  <c r="L19" i="9"/>
  <c r="O19" i="9" s="1"/>
  <c r="L20" i="9"/>
  <c r="O20" i="9" s="1"/>
  <c r="L21" i="9"/>
  <c r="O21" i="9" s="1"/>
  <c r="L22" i="9"/>
  <c r="O22" i="9" s="1"/>
  <c r="L23" i="9"/>
  <c r="O23" i="9" s="1"/>
  <c r="L24" i="9"/>
  <c r="O24" i="9" s="1"/>
  <c r="L25" i="9"/>
  <c r="O25" i="9" s="1"/>
  <c r="L26" i="9"/>
  <c r="O26" i="9" s="1"/>
  <c r="L27" i="9"/>
  <c r="O27" i="9" s="1"/>
  <c r="L28" i="9"/>
  <c r="O28" i="9" s="1"/>
  <c r="L29" i="9"/>
  <c r="O29" i="9" s="1"/>
  <c r="L30" i="9"/>
  <c r="O30" i="9" s="1"/>
  <c r="L31" i="9"/>
  <c r="O31" i="9" s="1"/>
  <c r="L32" i="9"/>
  <c r="O32" i="9" s="1"/>
  <c r="L33" i="9"/>
  <c r="O33" i="9" s="1"/>
  <c r="L34" i="9"/>
  <c r="O34" i="9" s="1"/>
  <c r="L35" i="9"/>
  <c r="O35" i="9" s="1"/>
  <c r="L36" i="9"/>
  <c r="O36" i="9" s="1"/>
  <c r="L37" i="9"/>
  <c r="O37" i="9" s="1"/>
  <c r="L38" i="9"/>
  <c r="O38" i="9" s="1"/>
  <c r="L39" i="9"/>
  <c r="O39" i="9" s="1"/>
  <c r="L40" i="9"/>
  <c r="O40" i="9" s="1"/>
  <c r="L41" i="9"/>
  <c r="O41" i="9" s="1"/>
  <c r="L42" i="9"/>
  <c r="O42" i="9" s="1"/>
  <c r="L43" i="9"/>
  <c r="O43" i="9" s="1"/>
  <c r="L44" i="9"/>
  <c r="O44" i="9" s="1"/>
  <c r="L45" i="9"/>
  <c r="O45" i="9" s="1"/>
  <c r="L46" i="9"/>
  <c r="O46" i="9" s="1"/>
  <c r="L47" i="9"/>
  <c r="O47" i="9" s="1"/>
  <c r="L48" i="9"/>
  <c r="O48" i="9" s="1"/>
  <c r="L49" i="9"/>
  <c r="O49" i="9" s="1"/>
  <c r="L50" i="9"/>
  <c r="O50" i="9" s="1"/>
  <c r="L51" i="9"/>
  <c r="O51" i="9" s="1"/>
  <c r="L52" i="9"/>
  <c r="O52" i="9" s="1"/>
  <c r="L53" i="9"/>
  <c r="O53" i="9" s="1"/>
  <c r="L54" i="9"/>
  <c r="O54" i="9" s="1"/>
  <c r="L55" i="9"/>
  <c r="O55" i="9" s="1"/>
  <c r="L56" i="9"/>
  <c r="O56" i="9" s="1"/>
  <c r="L57" i="9"/>
  <c r="O57" i="9" s="1"/>
  <c r="L58" i="9"/>
  <c r="O58" i="9" s="1"/>
  <c r="L59" i="9"/>
  <c r="O59" i="9" s="1"/>
  <c r="L60" i="9"/>
  <c r="O60" i="9" s="1"/>
  <c r="L61" i="9"/>
  <c r="O61" i="9" s="1"/>
  <c r="L62" i="9"/>
  <c r="O62" i="9" s="1"/>
  <c r="L63" i="9"/>
  <c r="O63" i="9" s="1"/>
  <c r="L64" i="9"/>
  <c r="O64" i="9" s="1"/>
  <c r="L65" i="9"/>
  <c r="O65" i="9" s="1"/>
  <c r="L66" i="9"/>
  <c r="O66" i="9" s="1"/>
  <c r="L98" i="9"/>
  <c r="O98" i="9" s="1"/>
  <c r="L99" i="9"/>
  <c r="O99" i="9" s="1"/>
  <c r="L100" i="9"/>
  <c r="O100" i="9" s="1"/>
  <c r="L101" i="9"/>
  <c r="O101" i="9" s="1"/>
  <c r="L102" i="9"/>
  <c r="O102" i="9" s="1"/>
  <c r="L103" i="9"/>
  <c r="O103" i="9" s="1"/>
  <c r="L104" i="9"/>
  <c r="O104" i="9" s="1"/>
  <c r="L105" i="9"/>
  <c r="O105" i="9" s="1"/>
  <c r="L106" i="9"/>
  <c r="O106" i="9" s="1"/>
  <c r="L107" i="9"/>
  <c r="O107" i="9" s="1"/>
  <c r="L108" i="9"/>
  <c r="O108" i="9" s="1"/>
  <c r="L109" i="9"/>
  <c r="O109" i="9" s="1"/>
  <c r="L110" i="9"/>
  <c r="O110" i="9" s="1"/>
  <c r="L111" i="9"/>
  <c r="O111" i="9" s="1"/>
  <c r="L112" i="9"/>
  <c r="O112" i="9" s="1"/>
  <c r="L113" i="9"/>
  <c r="O113" i="9" s="1"/>
  <c r="L114" i="9"/>
  <c r="O114" i="9" s="1"/>
  <c r="L115" i="9"/>
  <c r="O115" i="9" s="1"/>
  <c r="L116" i="9"/>
  <c r="O116" i="9" s="1"/>
  <c r="L117" i="9"/>
  <c r="O117" i="9" s="1"/>
  <c r="L118" i="9"/>
  <c r="O118" i="9" s="1"/>
  <c r="L119" i="9"/>
  <c r="O119" i="9" s="1"/>
  <c r="L120" i="9"/>
  <c r="O120" i="9" s="1"/>
  <c r="L121" i="9"/>
  <c r="O121" i="9" s="1"/>
  <c r="L122" i="9"/>
  <c r="O122" i="9" s="1"/>
  <c r="L123" i="9"/>
  <c r="O123" i="9" s="1"/>
  <c r="L124" i="9"/>
  <c r="O124" i="9" s="1"/>
  <c r="L125" i="9"/>
  <c r="O125" i="9" s="1"/>
  <c r="L126" i="9"/>
  <c r="O126" i="9" s="1"/>
  <c r="L127" i="9"/>
  <c r="O127" i="9" s="1"/>
  <c r="L128" i="9"/>
  <c r="O128" i="9" s="1"/>
  <c r="L129" i="9"/>
  <c r="O129" i="9" s="1"/>
  <c r="L130" i="9"/>
  <c r="O130" i="9" s="1"/>
  <c r="L131" i="9"/>
  <c r="O131" i="9" s="1"/>
  <c r="L132" i="9"/>
  <c r="O132" i="9" s="1"/>
  <c r="L133" i="9"/>
  <c r="O133" i="9" s="1"/>
  <c r="L134" i="9"/>
  <c r="O134" i="9" s="1"/>
  <c r="L135" i="9"/>
  <c r="O135" i="9" s="1"/>
  <c r="L136" i="9"/>
  <c r="O136" i="9" s="1"/>
  <c r="L137" i="9"/>
  <c r="O137" i="9" s="1"/>
  <c r="L138" i="9"/>
  <c r="O138" i="9" s="1"/>
  <c r="L139" i="9"/>
  <c r="O139" i="9" s="1"/>
  <c r="L140" i="9"/>
  <c r="O140" i="9" s="1"/>
  <c r="L141" i="9"/>
  <c r="O141" i="9" s="1"/>
  <c r="L142" i="9"/>
  <c r="O142" i="9" s="1"/>
  <c r="L143" i="9"/>
  <c r="O143" i="9" s="1"/>
  <c r="L144" i="9"/>
  <c r="O144" i="9" s="1"/>
  <c r="L145" i="9"/>
  <c r="O145" i="9" s="1"/>
  <c r="M13" i="9"/>
  <c r="M145" i="9"/>
  <c r="M144" i="9"/>
  <c r="M143" i="9"/>
  <c r="M142" i="9"/>
  <c r="M141" i="9"/>
  <c r="M140" i="9"/>
  <c r="M139" i="9"/>
  <c r="M138" i="9"/>
  <c r="M137" i="9"/>
  <c r="M136" i="9"/>
  <c r="M135" i="9"/>
  <c r="M134" i="9"/>
  <c r="M133" i="9"/>
  <c r="M132" i="9"/>
  <c r="M131" i="9"/>
  <c r="M130" i="9"/>
  <c r="M129" i="9"/>
  <c r="M128" i="9"/>
  <c r="M127" i="9"/>
  <c r="M126" i="9"/>
  <c r="M125" i="9"/>
  <c r="M124" i="9"/>
  <c r="M123" i="9"/>
  <c r="M122" i="9"/>
  <c r="M121" i="9"/>
  <c r="M120" i="9"/>
  <c r="M119" i="9"/>
  <c r="M118" i="9"/>
  <c r="M117" i="9"/>
  <c r="M116" i="9"/>
  <c r="M115" i="9"/>
  <c r="M114" i="9"/>
  <c r="M113" i="9"/>
  <c r="M112" i="9"/>
  <c r="M111" i="9"/>
  <c r="M110" i="9"/>
  <c r="M109" i="9"/>
  <c r="M108" i="9"/>
  <c r="M107" i="9"/>
  <c r="M106" i="9"/>
  <c r="M105" i="9"/>
  <c r="M104" i="9"/>
  <c r="M103" i="9"/>
  <c r="M102" i="9"/>
  <c r="M101" i="9"/>
  <c r="M100" i="9"/>
  <c r="M99" i="9"/>
  <c r="M98"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M14" i="9"/>
  <c r="G88" i="6"/>
  <c r="G131" i="6" s="1"/>
  <c r="G173" i="6" s="1"/>
  <c r="G215" i="6" s="1"/>
  <c r="D88" i="6"/>
  <c r="D131" i="6" s="1"/>
  <c r="D173" i="6" s="1"/>
  <c r="D215" i="6" s="1"/>
  <c r="G87" i="6"/>
  <c r="G130" i="6" s="1"/>
  <c r="G172" i="6" s="1"/>
  <c r="G214" i="6" s="1"/>
  <c r="D87" i="6"/>
  <c r="D130" i="6" s="1"/>
  <c r="D172" i="6" s="1"/>
  <c r="D214" i="6" s="1"/>
  <c r="G86" i="6"/>
  <c r="G129" i="6" s="1"/>
  <c r="G171" i="6" s="1"/>
  <c r="G213" i="6" s="1"/>
  <c r="D86" i="6"/>
  <c r="D129" i="6" s="1"/>
  <c r="D171" i="6" s="1"/>
  <c r="D213" i="6" s="1"/>
  <c r="G85" i="6"/>
  <c r="G128" i="6" s="1"/>
  <c r="G170" i="6" s="1"/>
  <c r="G212" i="6" s="1"/>
  <c r="D85" i="6"/>
  <c r="D128" i="6" s="1"/>
  <c r="D170" i="6" s="1"/>
  <c r="D212" i="6" s="1"/>
  <c r="G84" i="6"/>
  <c r="G127" i="6" s="1"/>
  <c r="G169" i="6" s="1"/>
  <c r="G211" i="6" s="1"/>
  <c r="D84" i="6"/>
  <c r="D127" i="6" s="1"/>
  <c r="D169" i="6" s="1"/>
  <c r="D211" i="6" s="1"/>
  <c r="G83" i="6"/>
  <c r="G126" i="6" s="1"/>
  <c r="G168" i="6" s="1"/>
  <c r="G210" i="6" s="1"/>
  <c r="D83" i="6"/>
  <c r="D126" i="6" s="1"/>
  <c r="D168" i="6" s="1"/>
  <c r="D210" i="6" s="1"/>
  <c r="G82" i="6"/>
  <c r="G125" i="6" s="1"/>
  <c r="G167" i="6" s="1"/>
  <c r="G209" i="6" s="1"/>
  <c r="D82" i="6"/>
  <c r="G81" i="6"/>
  <c r="G124" i="6" s="1"/>
  <c r="G166" i="6" s="1"/>
  <c r="G208" i="6" s="1"/>
  <c r="D81" i="6"/>
  <c r="D124" i="6" s="1"/>
  <c r="D166" i="6" s="1"/>
  <c r="D208" i="6" s="1"/>
  <c r="G80" i="6"/>
  <c r="G123" i="6" s="1"/>
  <c r="G165" i="6" s="1"/>
  <c r="G207" i="6" s="1"/>
  <c r="D80" i="6"/>
  <c r="D123" i="6" s="1"/>
  <c r="D165" i="6" s="1"/>
  <c r="D207" i="6" s="1"/>
  <c r="G79" i="6"/>
  <c r="G122" i="6" s="1"/>
  <c r="G164" i="6" s="1"/>
  <c r="G206" i="6" s="1"/>
  <c r="D79" i="6"/>
  <c r="D122" i="6" s="1"/>
  <c r="D164" i="6" s="1"/>
  <c r="D206" i="6" s="1"/>
  <c r="G78" i="6"/>
  <c r="G121" i="6" s="1"/>
  <c r="G163" i="6" s="1"/>
  <c r="G205" i="6" s="1"/>
  <c r="D78" i="6"/>
  <c r="D121" i="6" s="1"/>
  <c r="D163" i="6" s="1"/>
  <c r="D205" i="6" s="1"/>
  <c r="G77" i="6"/>
  <c r="G120" i="6" s="1"/>
  <c r="G162" i="6" s="1"/>
  <c r="G204" i="6" s="1"/>
  <c r="D77" i="6"/>
  <c r="D120" i="6" s="1"/>
  <c r="D162" i="6" s="1"/>
  <c r="D204" i="6" s="1"/>
  <c r="G76" i="6"/>
  <c r="G119" i="6" s="1"/>
  <c r="G161" i="6" s="1"/>
  <c r="G203" i="6" s="1"/>
  <c r="D76" i="6"/>
  <c r="D119" i="6" s="1"/>
  <c r="D161" i="6" s="1"/>
  <c r="D203" i="6" s="1"/>
  <c r="G75" i="6"/>
  <c r="G118" i="6" s="1"/>
  <c r="G160" i="6" s="1"/>
  <c r="G202" i="6" s="1"/>
  <c r="D75" i="6"/>
  <c r="D118" i="6" s="1"/>
  <c r="D160" i="6" s="1"/>
  <c r="D202" i="6" s="1"/>
  <c r="G74" i="6"/>
  <c r="G117" i="6" s="1"/>
  <c r="G159" i="6" s="1"/>
  <c r="G201" i="6" s="1"/>
  <c r="D74" i="6"/>
  <c r="D117" i="6" s="1"/>
  <c r="D159" i="6" s="1"/>
  <c r="D201" i="6" s="1"/>
  <c r="G73" i="6"/>
  <c r="G116" i="6" s="1"/>
  <c r="G158" i="6" s="1"/>
  <c r="G200" i="6" s="1"/>
  <c r="D73" i="6"/>
  <c r="D116" i="6" s="1"/>
  <c r="D158" i="6" s="1"/>
  <c r="D200" i="6" s="1"/>
  <c r="G72" i="6"/>
  <c r="G115" i="6" s="1"/>
  <c r="G157" i="6" s="1"/>
  <c r="G199" i="6" s="1"/>
  <c r="D72" i="6"/>
  <c r="D115" i="6" s="1"/>
  <c r="D157" i="6" s="1"/>
  <c r="D199" i="6" s="1"/>
  <c r="G71" i="6"/>
  <c r="G114" i="6" s="1"/>
  <c r="G156" i="6" s="1"/>
  <c r="G198" i="6" s="1"/>
  <c r="D71" i="6"/>
  <c r="D114" i="6" s="1"/>
  <c r="D156" i="6" s="1"/>
  <c r="D198" i="6" s="1"/>
  <c r="G70" i="6"/>
  <c r="G113" i="6" s="1"/>
  <c r="G155" i="6" s="1"/>
  <c r="G197" i="6" s="1"/>
  <c r="D70" i="6"/>
  <c r="D113" i="6" s="1"/>
  <c r="D155" i="6" s="1"/>
  <c r="D197" i="6" s="1"/>
  <c r="G69" i="6"/>
  <c r="G112" i="6" s="1"/>
  <c r="G154" i="6" s="1"/>
  <c r="G196" i="6" s="1"/>
  <c r="D69" i="6"/>
  <c r="D112" i="6" s="1"/>
  <c r="D154" i="6" s="1"/>
  <c r="D196" i="6" s="1"/>
  <c r="G68" i="6"/>
  <c r="G111" i="6" s="1"/>
  <c r="G153" i="6" s="1"/>
  <c r="G195" i="6" s="1"/>
  <c r="D68" i="6"/>
  <c r="D111" i="6" s="1"/>
  <c r="D153" i="6" s="1"/>
  <c r="D195" i="6" s="1"/>
  <c r="G67" i="6"/>
  <c r="G110" i="6" s="1"/>
  <c r="G152" i="6" s="1"/>
  <c r="G194" i="6" s="1"/>
  <c r="D67" i="6"/>
  <c r="D110" i="6" s="1"/>
  <c r="D152" i="6" s="1"/>
  <c r="D194" i="6" s="1"/>
  <c r="G66" i="6"/>
  <c r="G109" i="6" s="1"/>
  <c r="G151" i="6" s="1"/>
  <c r="G193" i="6" s="1"/>
  <c r="D66" i="6"/>
  <c r="D109" i="6" s="1"/>
  <c r="D151" i="6" s="1"/>
  <c r="D193" i="6" s="1"/>
  <c r="G65" i="6"/>
  <c r="G108" i="6" s="1"/>
  <c r="G150" i="6" s="1"/>
  <c r="G192" i="6" s="1"/>
  <c r="D65" i="6"/>
  <c r="D108" i="6" s="1"/>
  <c r="D150" i="6" s="1"/>
  <c r="D192" i="6" s="1"/>
  <c r="G64" i="6"/>
  <c r="G107" i="6" s="1"/>
  <c r="G149" i="6" s="1"/>
  <c r="G191" i="6" s="1"/>
  <c r="D64" i="6"/>
  <c r="D107" i="6" s="1"/>
  <c r="D149" i="6" s="1"/>
  <c r="D191" i="6" s="1"/>
  <c r="G63" i="6"/>
  <c r="G106" i="6" s="1"/>
  <c r="G148" i="6" s="1"/>
  <c r="G190" i="6" s="1"/>
  <c r="D63" i="6"/>
  <c r="D106" i="6" s="1"/>
  <c r="D148" i="6" s="1"/>
  <c r="D190" i="6" s="1"/>
  <c r="G62" i="6"/>
  <c r="G105" i="6" s="1"/>
  <c r="G147" i="6" s="1"/>
  <c r="G189" i="6" s="1"/>
  <c r="D62" i="6"/>
  <c r="D105" i="6" s="1"/>
  <c r="D147" i="6" s="1"/>
  <c r="D189" i="6" s="1"/>
  <c r="G61" i="6"/>
  <c r="G104" i="6" s="1"/>
  <c r="G146" i="6" s="1"/>
  <c r="G188" i="6" s="1"/>
  <c r="D61" i="6"/>
  <c r="D104" i="6" s="1"/>
  <c r="D146" i="6" s="1"/>
  <c r="D188" i="6" s="1"/>
  <c r="G60" i="6"/>
  <c r="G103" i="6" s="1"/>
  <c r="G145" i="6" s="1"/>
  <c r="G187" i="6" s="1"/>
  <c r="D60" i="6"/>
  <c r="D103" i="6" s="1"/>
  <c r="D145" i="6" s="1"/>
  <c r="D187" i="6" s="1"/>
  <c r="G59" i="6"/>
  <c r="G102" i="6" s="1"/>
  <c r="G144" i="6" s="1"/>
  <c r="G186" i="6" s="1"/>
  <c r="D59" i="6"/>
  <c r="D102" i="6" s="1"/>
  <c r="D144" i="6" s="1"/>
  <c r="D186" i="6" s="1"/>
  <c r="J46" i="6"/>
  <c r="F58" i="14" s="1"/>
  <c r="F44" i="14" s="1"/>
  <c r="D125" i="6"/>
  <c r="D167" i="6" s="1"/>
  <c r="D209" i="6" s="1"/>
  <c r="E51" i="19"/>
  <c r="E53" i="19" s="1"/>
  <c r="D138" i="5"/>
  <c r="D206" i="5" s="1"/>
  <c r="D273" i="5" s="1"/>
  <c r="D340" i="5" s="1"/>
  <c r="D137" i="5"/>
  <c r="D205" i="5" s="1"/>
  <c r="D272" i="5" s="1"/>
  <c r="D339" i="5" s="1"/>
  <c r="D136" i="5"/>
  <c r="D204" i="5" s="1"/>
  <c r="D271" i="5" s="1"/>
  <c r="D338" i="5" s="1"/>
  <c r="D135" i="5"/>
  <c r="D203" i="5" s="1"/>
  <c r="D270" i="5" s="1"/>
  <c r="D337" i="5" s="1"/>
  <c r="D134" i="5"/>
  <c r="D202" i="5" s="1"/>
  <c r="D269" i="5" s="1"/>
  <c r="D336" i="5" s="1"/>
  <c r="D133" i="5"/>
  <c r="D201" i="5" s="1"/>
  <c r="D268" i="5" s="1"/>
  <c r="D335" i="5" s="1"/>
  <c r="D132" i="5"/>
  <c r="D200" i="5" s="1"/>
  <c r="D267" i="5" s="1"/>
  <c r="D334" i="5" s="1"/>
  <c r="D131" i="5"/>
  <c r="D199" i="5" s="1"/>
  <c r="D266" i="5" s="1"/>
  <c r="D333" i="5" s="1"/>
  <c r="D130" i="5"/>
  <c r="D198" i="5" s="1"/>
  <c r="D265" i="5" s="1"/>
  <c r="D332" i="5" s="1"/>
  <c r="D129" i="5"/>
  <c r="D197" i="5" s="1"/>
  <c r="D264" i="5" s="1"/>
  <c r="D331" i="5" s="1"/>
  <c r="D128" i="5"/>
  <c r="D196" i="5" s="1"/>
  <c r="D263" i="5" s="1"/>
  <c r="D330" i="5" s="1"/>
  <c r="D127" i="5"/>
  <c r="D195" i="5" s="1"/>
  <c r="D262" i="5" s="1"/>
  <c r="D329" i="5" s="1"/>
  <c r="D126" i="5"/>
  <c r="D194" i="5" s="1"/>
  <c r="D261" i="5" s="1"/>
  <c r="D328" i="5" s="1"/>
  <c r="D125" i="5"/>
  <c r="D193" i="5" s="1"/>
  <c r="D260" i="5" s="1"/>
  <c r="D327" i="5" s="1"/>
  <c r="D124" i="5"/>
  <c r="D192" i="5" s="1"/>
  <c r="D259" i="5" s="1"/>
  <c r="D326" i="5" s="1"/>
  <c r="D123" i="5"/>
  <c r="D191" i="5" s="1"/>
  <c r="D258" i="5" s="1"/>
  <c r="D325" i="5" s="1"/>
  <c r="D122" i="5"/>
  <c r="D190" i="5" s="1"/>
  <c r="D257" i="5" s="1"/>
  <c r="D324" i="5" s="1"/>
  <c r="D121" i="5"/>
  <c r="D189" i="5" s="1"/>
  <c r="D256" i="5" s="1"/>
  <c r="D323" i="5" s="1"/>
  <c r="D120" i="5"/>
  <c r="D188" i="5" s="1"/>
  <c r="D255" i="5" s="1"/>
  <c r="D322" i="5" s="1"/>
  <c r="D119" i="5"/>
  <c r="D187" i="5" s="1"/>
  <c r="D254" i="5" s="1"/>
  <c r="D321" i="5" s="1"/>
  <c r="D118" i="5"/>
  <c r="D186" i="5" s="1"/>
  <c r="D253" i="5" s="1"/>
  <c r="D320" i="5" s="1"/>
  <c r="D117" i="5"/>
  <c r="D185" i="5" s="1"/>
  <c r="D252" i="5" s="1"/>
  <c r="D319" i="5" s="1"/>
  <c r="D116" i="5"/>
  <c r="D184" i="5" s="1"/>
  <c r="D251" i="5" s="1"/>
  <c r="D318" i="5" s="1"/>
  <c r="D115" i="5"/>
  <c r="D183" i="5" s="1"/>
  <c r="D250" i="5" s="1"/>
  <c r="D317" i="5" s="1"/>
  <c r="D114" i="5"/>
  <c r="D182" i="5" s="1"/>
  <c r="D249" i="5" s="1"/>
  <c r="D316" i="5" s="1"/>
  <c r="D113" i="5"/>
  <c r="D181" i="5" s="1"/>
  <c r="D248" i="5" s="1"/>
  <c r="D315" i="5" s="1"/>
  <c r="D112" i="5"/>
  <c r="D180" i="5" s="1"/>
  <c r="D247" i="5" s="1"/>
  <c r="D314" i="5" s="1"/>
  <c r="D111" i="5"/>
  <c r="D179" i="5" s="1"/>
  <c r="D246" i="5" s="1"/>
  <c r="D313" i="5" s="1"/>
  <c r="D110" i="5"/>
  <c r="D178" i="5" s="1"/>
  <c r="D245" i="5" s="1"/>
  <c r="D312" i="5" s="1"/>
  <c r="D109" i="5"/>
  <c r="D177" i="5" s="1"/>
  <c r="D244" i="5" s="1"/>
  <c r="D311" i="5" s="1"/>
  <c r="D108" i="5"/>
  <c r="D176" i="5" s="1"/>
  <c r="D243" i="5" s="1"/>
  <c r="D310" i="5" s="1"/>
  <c r="D107" i="5"/>
  <c r="D175" i="5" s="1"/>
  <c r="D242" i="5" s="1"/>
  <c r="D309" i="5" s="1"/>
  <c r="D106" i="5"/>
  <c r="D174" i="5" s="1"/>
  <c r="D241" i="5" s="1"/>
  <c r="D308" i="5" s="1"/>
  <c r="D105" i="5"/>
  <c r="D173" i="5" s="1"/>
  <c r="D240" i="5" s="1"/>
  <c r="D307" i="5" s="1"/>
  <c r="D104" i="5"/>
  <c r="D172" i="5" s="1"/>
  <c r="D239" i="5" s="1"/>
  <c r="D306" i="5" s="1"/>
  <c r="D103" i="5"/>
  <c r="D171" i="5" s="1"/>
  <c r="D238" i="5" s="1"/>
  <c r="D305" i="5" s="1"/>
  <c r="D102" i="5"/>
  <c r="D170" i="5" s="1"/>
  <c r="D237" i="5" s="1"/>
  <c r="D304" i="5" s="1"/>
  <c r="D101" i="5"/>
  <c r="D169" i="5" s="1"/>
  <c r="D236" i="5" s="1"/>
  <c r="D303" i="5" s="1"/>
  <c r="D100" i="5"/>
  <c r="D168" i="5" s="1"/>
  <c r="D235" i="5" s="1"/>
  <c r="D302" i="5" s="1"/>
  <c r="D99" i="5"/>
  <c r="D98" i="5"/>
  <c r="D166" i="5" s="1"/>
  <c r="D233" i="5" s="1"/>
  <c r="D300" i="5" s="1"/>
  <c r="D97" i="5"/>
  <c r="D96" i="5"/>
  <c r="D164" i="5" s="1"/>
  <c r="D231" i="5" s="1"/>
  <c r="D298" i="5" s="1"/>
  <c r="D95" i="5"/>
  <c r="D163" i="5" s="1"/>
  <c r="D230" i="5" s="1"/>
  <c r="D297" i="5" s="1"/>
  <c r="D94" i="5"/>
  <c r="D162" i="5" s="1"/>
  <c r="D229" i="5" s="1"/>
  <c r="D296" i="5" s="1"/>
  <c r="D93" i="5"/>
  <c r="D161" i="5" s="1"/>
  <c r="D228" i="5" s="1"/>
  <c r="D295" i="5" s="1"/>
  <c r="D92" i="5"/>
  <c r="D160" i="5" s="1"/>
  <c r="D227" i="5" s="1"/>
  <c r="D294" i="5" s="1"/>
  <c r="D91" i="5"/>
  <c r="D159" i="5" s="1"/>
  <c r="D226" i="5" s="1"/>
  <c r="D293" i="5" s="1"/>
  <c r="D90" i="5"/>
  <c r="D158" i="5" s="1"/>
  <c r="D225" i="5" s="1"/>
  <c r="D292" i="5" s="1"/>
  <c r="D89" i="5"/>
  <c r="D157" i="5" s="1"/>
  <c r="D224" i="5" s="1"/>
  <c r="D291" i="5" s="1"/>
  <c r="D88" i="5"/>
  <c r="D156" i="5" s="1"/>
  <c r="D223" i="5" s="1"/>
  <c r="D290" i="5" s="1"/>
  <c r="D87" i="5"/>
  <c r="D155" i="5" s="1"/>
  <c r="D222" i="5" s="1"/>
  <c r="D289" i="5" s="1"/>
  <c r="D86" i="5"/>
  <c r="D154" i="5" s="1"/>
  <c r="D221" i="5" s="1"/>
  <c r="D288" i="5" s="1"/>
  <c r="D85" i="5"/>
  <c r="D84" i="5"/>
  <c r="D152" i="5" s="1"/>
  <c r="D219" i="5" s="1"/>
  <c r="D286" i="5" s="1"/>
  <c r="AI130" i="5"/>
  <c r="AI98" i="5"/>
  <c r="AI70" i="5"/>
  <c r="AI69" i="5"/>
  <c r="AI68" i="5"/>
  <c r="AI67" i="5"/>
  <c r="AI66" i="5"/>
  <c r="AI65" i="5"/>
  <c r="AI64" i="5"/>
  <c r="AI63" i="5"/>
  <c r="AI62" i="5"/>
  <c r="AI61" i="5"/>
  <c r="AI60" i="5"/>
  <c r="AI59" i="5"/>
  <c r="AI58" i="5"/>
  <c r="AI57" i="5"/>
  <c r="AI56" i="5"/>
  <c r="AI55" i="5"/>
  <c r="AI54" i="5"/>
  <c r="AI53" i="5"/>
  <c r="AI52" i="5"/>
  <c r="AI51" i="5"/>
  <c r="AI50" i="5"/>
  <c r="AI49" i="5"/>
  <c r="AI48" i="5"/>
  <c r="AI47" i="5"/>
  <c r="AI46" i="5"/>
  <c r="AI45" i="5"/>
  <c r="AI44" i="5"/>
  <c r="AI43" i="5"/>
  <c r="AI42" i="5"/>
  <c r="AI41" i="5"/>
  <c r="AI40" i="5"/>
  <c r="AI39" i="5"/>
  <c r="AI38" i="5"/>
  <c r="AI37" i="5"/>
  <c r="AI36" i="5"/>
  <c r="AI35" i="5"/>
  <c r="AI34" i="5"/>
  <c r="AI33" i="5"/>
  <c r="AI32" i="5"/>
  <c r="AI31" i="5"/>
  <c r="AI30" i="5"/>
  <c r="AI29" i="5"/>
  <c r="AI28" i="5"/>
  <c r="AI27" i="5"/>
  <c r="AI26" i="5"/>
  <c r="AI25" i="5"/>
  <c r="AI24" i="5"/>
  <c r="AI23" i="5"/>
  <c r="AI22" i="5"/>
  <c r="AI21" i="5"/>
  <c r="AI20" i="5"/>
  <c r="AI19" i="5"/>
  <c r="AI18" i="5"/>
  <c r="N71" i="5"/>
  <c r="J71" i="5"/>
  <c r="F57" i="14" s="1"/>
  <c r="F43" i="14" s="1"/>
  <c r="E144" i="5"/>
  <c r="D153" i="5"/>
  <c r="D220" i="5" s="1"/>
  <c r="D287" i="5" s="1"/>
  <c r="D165" i="5"/>
  <c r="D232" i="5" s="1"/>
  <c r="D299" i="5" s="1"/>
  <c r="D167" i="5"/>
  <c r="D234" i="5" s="1"/>
  <c r="D301" i="5" s="1"/>
  <c r="I135" i="3"/>
  <c r="J135" i="3" s="1"/>
  <c r="K135" i="3" s="1"/>
  <c r="L135" i="3" s="1"/>
  <c r="H9" i="3"/>
  <c r="L8" i="3"/>
  <c r="L83" i="3" s="1"/>
  <c r="K8" i="3"/>
  <c r="K83" i="3" s="1"/>
  <c r="J8" i="3"/>
  <c r="J83" i="3" s="1"/>
  <c r="I8" i="3"/>
  <c r="I83" i="3" s="1"/>
  <c r="H8" i="3"/>
  <c r="H83" i="3" s="1"/>
  <c r="I65" i="16"/>
  <c r="H65" i="16"/>
  <c r="G65" i="16"/>
  <c r="F65" i="16"/>
  <c r="I24" i="16"/>
  <c r="H24" i="16"/>
  <c r="G24" i="16"/>
  <c r="F24" i="16"/>
  <c r="F46" i="16"/>
  <c r="G45" i="16"/>
  <c r="F45" i="16"/>
  <c r="F21" i="16"/>
  <c r="F20" i="16"/>
  <c r="F19" i="16"/>
  <c r="I33" i="16"/>
  <c r="I32" i="16"/>
  <c r="H33" i="16"/>
  <c r="H32" i="16"/>
  <c r="G33" i="16"/>
  <c r="G32" i="16"/>
  <c r="F33" i="16"/>
  <c r="F32" i="16"/>
  <c r="E50" i="19"/>
  <c r="A152" i="19"/>
  <c r="A153" i="19" s="1"/>
  <c r="A154" i="19" s="1"/>
  <c r="A155" i="19" s="1"/>
  <c r="A156" i="19" s="1"/>
  <c r="D77" i="2"/>
  <c r="H28" i="7"/>
  <c r="H8" i="7"/>
  <c r="P8" i="9"/>
  <c r="R7" i="9" s="1"/>
  <c r="I9" i="7"/>
  <c r="J9" i="7" s="1"/>
  <c r="K9" i="7" s="1"/>
  <c r="L9" i="7" s="1"/>
  <c r="I27" i="2"/>
  <c r="F231" i="5"/>
  <c r="F298" i="5" s="1"/>
  <c r="AG298" i="5" s="1"/>
  <c r="AH298" i="5" s="1"/>
  <c r="E102" i="6"/>
  <c r="H61" i="2"/>
  <c r="H66" i="2" s="1"/>
  <c r="J31" i="7"/>
  <c r="H43" i="2"/>
  <c r="H63" i="2" s="1"/>
  <c r="H68" i="2" s="1"/>
  <c r="D68" i="2"/>
  <c r="E200" i="5"/>
  <c r="E267" i="5" s="1"/>
  <c r="E184" i="5"/>
  <c r="E168" i="5"/>
  <c r="E192" i="5"/>
  <c r="E176" i="5"/>
  <c r="E243" i="5" s="1"/>
  <c r="E204" i="5"/>
  <c r="E188" i="5"/>
  <c r="E172" i="5"/>
  <c r="G46" i="16"/>
  <c r="F62" i="2"/>
  <c r="F67" i="2" s="1"/>
  <c r="H103" i="6"/>
  <c r="H23" i="13"/>
  <c r="H25" i="13"/>
  <c r="I39" i="13"/>
  <c r="E203" i="5"/>
  <c r="E180" i="5"/>
  <c r="E160" i="5"/>
  <c r="E156" i="5"/>
  <c r="H156" i="5"/>
  <c r="H168" i="5"/>
  <c r="H172" i="5"/>
  <c r="H184" i="5"/>
  <c r="H188" i="5"/>
  <c r="H200" i="5"/>
  <c r="H204" i="5"/>
  <c r="Y200" i="5"/>
  <c r="H71" i="2"/>
  <c r="H76" i="2" s="1"/>
  <c r="I109" i="19"/>
  <c r="I114" i="19" s="1"/>
  <c r="D109" i="19"/>
  <c r="D114" i="19" s="1"/>
  <c r="J107" i="6"/>
  <c r="E196" i="5"/>
  <c r="G156" i="5"/>
  <c r="AI156" i="5" s="1"/>
  <c r="G188" i="5"/>
  <c r="AK188" i="5" s="1"/>
  <c r="AL188" i="5" s="1"/>
  <c r="H38" i="13"/>
  <c r="J39" i="13"/>
  <c r="H65" i="14"/>
  <c r="I8" i="7"/>
  <c r="I23" i="13"/>
  <c r="I38" i="13"/>
  <c r="J30" i="2"/>
  <c r="I65" i="14" s="1"/>
  <c r="J23" i="13"/>
  <c r="J38" i="13"/>
  <c r="K28" i="7"/>
  <c r="I71" i="2"/>
  <c r="I76" i="2" s="1"/>
  <c r="K29" i="7"/>
  <c r="I43" i="2"/>
  <c r="I63" i="2" s="1"/>
  <c r="I68" i="2" s="1"/>
  <c r="G8" i="11"/>
  <c r="H8" i="12" s="1"/>
  <c r="F16" i="16"/>
  <c r="G16" i="16" s="1"/>
  <c r="H16" i="16" s="1"/>
  <c r="I16" i="16" s="1"/>
  <c r="E25" i="19"/>
  <c r="E23" i="19"/>
  <c r="E27" i="19"/>
  <c r="E22" i="19"/>
  <c r="E26" i="19"/>
  <c r="E24" i="19"/>
  <c r="H44" i="2"/>
  <c r="L28" i="7"/>
  <c r="J71" i="2"/>
  <c r="J76" i="2" s="1"/>
  <c r="L29" i="7"/>
  <c r="N18" i="9"/>
  <c r="N17" i="9"/>
  <c r="N16" i="9"/>
  <c r="N15" i="9"/>
  <c r="N13" i="9"/>
  <c r="W100" i="19"/>
  <c r="K25" i="3"/>
  <c r="J25" i="3"/>
  <c r="I29" i="7"/>
  <c r="E69" i="4"/>
  <c r="E65" i="4"/>
  <c r="E70" i="4"/>
  <c r="E66" i="4"/>
  <c r="D67" i="2"/>
  <c r="J26" i="2"/>
  <c r="I46" i="16" s="1"/>
  <c r="H46" i="16"/>
  <c r="K27" i="3"/>
  <c r="D78" i="2"/>
  <c r="W75" i="19"/>
  <c r="J27" i="3"/>
  <c r="W74" i="19"/>
  <c r="F38" i="10"/>
  <c r="H110" i="7" s="1"/>
  <c r="F35" i="10"/>
  <c r="H107" i="7" s="1"/>
  <c r="F27" i="10"/>
  <c r="I39" i="10"/>
  <c r="K111" i="7" s="1"/>
  <c r="I34" i="10"/>
  <c r="K106" i="7" s="1"/>
  <c r="F28" i="10"/>
  <c r="H38" i="10"/>
  <c r="J110" i="7" s="1"/>
  <c r="G39" i="10"/>
  <c r="I111" i="7" s="1"/>
  <c r="G38" i="10"/>
  <c r="I110" i="7" s="1"/>
  <c r="G35" i="10"/>
  <c r="I107" i="7" s="1"/>
  <c r="J34" i="10"/>
  <c r="L106" i="7" s="1"/>
  <c r="J35" i="10"/>
  <c r="L107" i="7" s="1"/>
  <c r="I23" i="10"/>
  <c r="I28" i="10"/>
  <c r="H23" i="10"/>
  <c r="H24" i="10"/>
  <c r="G23" i="10"/>
  <c r="G27" i="10"/>
  <c r="J23" i="10"/>
  <c r="J28" i="10"/>
  <c r="AG86" i="6"/>
  <c r="AH86" i="6" s="1"/>
  <c r="E128" i="6"/>
  <c r="E124" i="6"/>
  <c r="E120" i="6"/>
  <c r="E112" i="6"/>
  <c r="E104" i="6"/>
  <c r="H35" i="10"/>
  <c r="J107" i="7" s="1"/>
  <c r="P13" i="9" l="1"/>
  <c r="P146" i="9"/>
  <c r="P142" i="9"/>
  <c r="P138" i="9"/>
  <c r="P134" i="9"/>
  <c r="P130" i="9"/>
  <c r="P126" i="9"/>
  <c r="P122" i="9"/>
  <c r="P118" i="9"/>
  <c r="P114" i="9"/>
  <c r="P110" i="9"/>
  <c r="P106" i="9"/>
  <c r="P102" i="9"/>
  <c r="P98" i="9"/>
  <c r="P94" i="9"/>
  <c r="P90" i="9"/>
  <c r="P86" i="9"/>
  <c r="P82" i="9"/>
  <c r="P78" i="9"/>
  <c r="P74" i="9"/>
  <c r="P70" i="9"/>
  <c r="P66" i="9"/>
  <c r="P62" i="9"/>
  <c r="P58" i="9"/>
  <c r="P54" i="9"/>
  <c r="P50" i="9"/>
  <c r="P46" i="9"/>
  <c r="P42" i="9"/>
  <c r="P38" i="9"/>
  <c r="P34" i="9"/>
  <c r="P30" i="9"/>
  <c r="P26" i="9"/>
  <c r="P22" i="9"/>
  <c r="P18" i="9"/>
  <c r="P14" i="9"/>
  <c r="P135" i="9"/>
  <c r="P99" i="9"/>
  <c r="P87" i="9"/>
  <c r="P75" i="9"/>
  <c r="P63" i="9"/>
  <c r="P51" i="9"/>
  <c r="P39" i="9"/>
  <c r="P23" i="9"/>
  <c r="P145" i="9"/>
  <c r="P141" i="9"/>
  <c r="P137" i="9"/>
  <c r="P133" i="9"/>
  <c r="P129" i="9"/>
  <c r="P125" i="9"/>
  <c r="P121" i="9"/>
  <c r="P117" i="9"/>
  <c r="P113" i="9"/>
  <c r="P109" i="9"/>
  <c r="P105" i="9"/>
  <c r="P101" i="9"/>
  <c r="P97" i="9"/>
  <c r="P93" i="9"/>
  <c r="P89" i="9"/>
  <c r="P85" i="9"/>
  <c r="P81" i="9"/>
  <c r="P77" i="9"/>
  <c r="P73" i="9"/>
  <c r="P69" i="9"/>
  <c r="P65" i="9"/>
  <c r="P61" i="9"/>
  <c r="P57" i="9"/>
  <c r="P53" i="9"/>
  <c r="P49" i="9"/>
  <c r="P45" i="9"/>
  <c r="P41" i="9"/>
  <c r="P37" i="9"/>
  <c r="P33" i="9"/>
  <c r="P29" i="9"/>
  <c r="P25" i="9"/>
  <c r="P21" i="9"/>
  <c r="P17" i="9"/>
  <c r="P139" i="9"/>
  <c r="P131" i="9"/>
  <c r="P123" i="9"/>
  <c r="P115" i="9"/>
  <c r="P107" i="9"/>
  <c r="P95" i="9"/>
  <c r="P83" i="9"/>
  <c r="P71" i="9"/>
  <c r="P59" i="9"/>
  <c r="P47" i="9"/>
  <c r="P35" i="9"/>
  <c r="P27" i="9"/>
  <c r="P15" i="9"/>
  <c r="P144" i="9"/>
  <c r="P140" i="9"/>
  <c r="P136" i="9"/>
  <c r="P132" i="9"/>
  <c r="P128" i="9"/>
  <c r="P124" i="9"/>
  <c r="P120" i="9"/>
  <c r="P116" i="9"/>
  <c r="P112" i="9"/>
  <c r="P108" i="9"/>
  <c r="P104" i="9"/>
  <c r="P100" i="9"/>
  <c r="P96" i="9"/>
  <c r="P92" i="9"/>
  <c r="P88" i="9"/>
  <c r="P84" i="9"/>
  <c r="P80" i="9"/>
  <c r="P76" i="9"/>
  <c r="P72" i="9"/>
  <c r="P68" i="9"/>
  <c r="P64" i="9"/>
  <c r="P60" i="9"/>
  <c r="P56" i="9"/>
  <c r="P52" i="9"/>
  <c r="P48" i="9"/>
  <c r="P44" i="9"/>
  <c r="P40" i="9"/>
  <c r="P36" i="9"/>
  <c r="P32" i="9"/>
  <c r="P28" i="9"/>
  <c r="P24" i="9"/>
  <c r="P20" i="9"/>
  <c r="P16" i="9"/>
  <c r="P143" i="9"/>
  <c r="P127" i="9"/>
  <c r="P119" i="9"/>
  <c r="P111" i="9"/>
  <c r="P103" i="9"/>
  <c r="P91" i="9"/>
  <c r="P79" i="9"/>
  <c r="P67" i="9"/>
  <c r="P55" i="9"/>
  <c r="P43" i="9"/>
  <c r="P31" i="9"/>
  <c r="P19" i="9"/>
  <c r="F53" i="2"/>
  <c r="G53" i="2" s="1"/>
  <c r="H53" i="2" s="1"/>
  <c r="I53" i="2" s="1"/>
  <c r="J53" i="2" s="1"/>
  <c r="F19" i="2"/>
  <c r="G19" i="2" s="1"/>
  <c r="H19" i="2" s="1"/>
  <c r="I19" i="2" s="1"/>
  <c r="J19" i="2" s="1"/>
  <c r="I28" i="3"/>
  <c r="H28" i="3"/>
  <c r="N14" i="9"/>
  <c r="R85" i="5"/>
  <c r="I85" i="5"/>
  <c r="N85" i="5"/>
  <c r="I59" i="6"/>
  <c r="Y59" i="6" s="1"/>
  <c r="N59" i="6"/>
  <c r="AD59" i="6" s="1"/>
  <c r="I84" i="5"/>
  <c r="O84" i="5" s="1"/>
  <c r="N84" i="5"/>
  <c r="I38" i="4"/>
  <c r="Y38" i="4" s="1"/>
  <c r="N38" i="4"/>
  <c r="AD38" i="4" s="1"/>
  <c r="N60" i="6"/>
  <c r="AD60" i="6" s="1"/>
  <c r="AB200" i="5"/>
  <c r="AA200" i="5"/>
  <c r="AC200" i="5" s="1"/>
  <c r="AK93" i="5"/>
  <c r="AL93" i="5" s="1"/>
  <c r="AM93" i="5" s="1"/>
  <c r="AI103" i="5"/>
  <c r="J123" i="6"/>
  <c r="J111" i="6"/>
  <c r="AI84" i="5"/>
  <c r="AJ84" i="5" s="1"/>
  <c r="AK84" i="5" s="1"/>
  <c r="AL84" i="5" s="1"/>
  <c r="AM84" i="5" s="1"/>
  <c r="H219" i="5"/>
  <c r="AF219" i="5" s="1"/>
  <c r="AK103" i="5"/>
  <c r="AL103" i="5" s="1"/>
  <c r="AM103" i="5" s="1"/>
  <c r="AI93" i="5"/>
  <c r="AJ93" i="5" s="1"/>
  <c r="AK120" i="5"/>
  <c r="AL120" i="5" s="1"/>
  <c r="AM120" i="5" s="1"/>
  <c r="AK88" i="5"/>
  <c r="AL88" i="5" s="1"/>
  <c r="AM88" i="5" s="1"/>
  <c r="AI90" i="5"/>
  <c r="AK86" i="5"/>
  <c r="AL86" i="5" s="1"/>
  <c r="AM86" i="5" s="1"/>
  <c r="E161" i="5"/>
  <c r="F119" i="6"/>
  <c r="F161" i="6" s="1"/>
  <c r="AG161" i="6" s="1"/>
  <c r="AH161" i="6" s="1"/>
  <c r="AI86" i="5"/>
  <c r="F155" i="5"/>
  <c r="AG155" i="5" s="1"/>
  <c r="AH155" i="5" s="1"/>
  <c r="AF45" i="4"/>
  <c r="AF41" i="4"/>
  <c r="AF47" i="4"/>
  <c r="AF44" i="4"/>
  <c r="AF43" i="4"/>
  <c r="AF40" i="4"/>
  <c r="H85" i="4"/>
  <c r="AF63" i="4"/>
  <c r="AF46" i="4"/>
  <c r="AF42" i="4"/>
  <c r="E154" i="6"/>
  <c r="E87" i="4"/>
  <c r="Y87" i="4" s="1"/>
  <c r="Y69" i="4"/>
  <c r="J149" i="6"/>
  <c r="Y267" i="5"/>
  <c r="AF204" i="5"/>
  <c r="AF172" i="5"/>
  <c r="AF88" i="5"/>
  <c r="AF92" i="5"/>
  <c r="AF96" i="5"/>
  <c r="AF100" i="5"/>
  <c r="AF104" i="5"/>
  <c r="AF108" i="5"/>
  <c r="AF112" i="5"/>
  <c r="AF116" i="5"/>
  <c r="AF120" i="5"/>
  <c r="AF124" i="5"/>
  <c r="AF128" i="5"/>
  <c r="AF132" i="5"/>
  <c r="AF136" i="5"/>
  <c r="AF87" i="6"/>
  <c r="AF83" i="6"/>
  <c r="AF79" i="6"/>
  <c r="H118" i="6"/>
  <c r="H160" i="6" s="1"/>
  <c r="AF75" i="6"/>
  <c r="H114" i="6"/>
  <c r="H156" i="6" s="1"/>
  <c r="AF71" i="6"/>
  <c r="AF67" i="6"/>
  <c r="AF63" i="6"/>
  <c r="J126" i="6"/>
  <c r="J110" i="6"/>
  <c r="J205" i="5"/>
  <c r="J203" i="5"/>
  <c r="J201" i="5"/>
  <c r="J268" i="5" s="1"/>
  <c r="J199" i="5"/>
  <c r="J197" i="5"/>
  <c r="J264" i="5" s="1"/>
  <c r="J195" i="5"/>
  <c r="J262" i="5" s="1"/>
  <c r="J193" i="5"/>
  <c r="J191" i="5"/>
  <c r="J258" i="5" s="1"/>
  <c r="J189" i="5"/>
  <c r="J187" i="5"/>
  <c r="J185" i="5"/>
  <c r="J183" i="5"/>
  <c r="J250" i="5" s="1"/>
  <c r="J181" i="5"/>
  <c r="J179" i="5"/>
  <c r="J177" i="5"/>
  <c r="J175" i="5"/>
  <c r="J173" i="5"/>
  <c r="J240" i="5" s="1"/>
  <c r="J171" i="5"/>
  <c r="J169" i="5"/>
  <c r="J167" i="5"/>
  <c r="J165" i="5"/>
  <c r="J163" i="5"/>
  <c r="J161" i="5"/>
  <c r="J228" i="5" s="1"/>
  <c r="J159" i="5"/>
  <c r="J157" i="5"/>
  <c r="J155" i="5"/>
  <c r="E130" i="6"/>
  <c r="E118" i="6"/>
  <c r="Y118" i="6" s="1"/>
  <c r="E114" i="6"/>
  <c r="Y114" i="6" s="1"/>
  <c r="E106" i="6"/>
  <c r="Y106" i="6" s="1"/>
  <c r="J102" i="6"/>
  <c r="E197" i="5"/>
  <c r="Y197" i="5" s="1"/>
  <c r="E165" i="5"/>
  <c r="Y165" i="5" s="1"/>
  <c r="E157" i="5"/>
  <c r="Y157" i="5" s="1"/>
  <c r="AF85" i="5"/>
  <c r="E63" i="4"/>
  <c r="Y63" i="4" s="1"/>
  <c r="E61" i="4"/>
  <c r="Y66" i="4"/>
  <c r="AF183" i="5"/>
  <c r="AF200" i="5"/>
  <c r="AF168" i="5"/>
  <c r="AF103" i="6"/>
  <c r="AF89" i="5"/>
  <c r="AF93" i="5"/>
  <c r="AF97" i="5"/>
  <c r="AF101" i="5"/>
  <c r="AF105" i="5"/>
  <c r="AF109" i="5"/>
  <c r="AF113" i="5"/>
  <c r="AF117" i="5"/>
  <c r="AF121" i="5"/>
  <c r="AF125" i="5"/>
  <c r="AF129" i="5"/>
  <c r="AF133" i="5"/>
  <c r="AF137" i="5"/>
  <c r="AF86" i="6"/>
  <c r="AF82" i="6"/>
  <c r="AF78" i="6"/>
  <c r="H117" i="6"/>
  <c r="AF74" i="6"/>
  <c r="AF70" i="6"/>
  <c r="AF66" i="6"/>
  <c r="AF62" i="6"/>
  <c r="J129" i="6"/>
  <c r="J125" i="6"/>
  <c r="J121" i="6"/>
  <c r="J117" i="6"/>
  <c r="J113" i="6"/>
  <c r="J109" i="6"/>
  <c r="J105" i="6"/>
  <c r="J147" i="6" s="1"/>
  <c r="J91" i="4"/>
  <c r="E121" i="6"/>
  <c r="Y121" i="6" s="1"/>
  <c r="E117" i="6"/>
  <c r="Y117" i="6" s="1"/>
  <c r="E113" i="6"/>
  <c r="Y113" i="6" s="1"/>
  <c r="E109" i="6"/>
  <c r="Y109" i="6" s="1"/>
  <c r="E105" i="6"/>
  <c r="E147" i="6" s="1"/>
  <c r="Y147" i="6" s="1"/>
  <c r="AF59" i="6"/>
  <c r="E146" i="6"/>
  <c r="E310" i="5"/>
  <c r="J153" i="6"/>
  <c r="AF188" i="5"/>
  <c r="AF156" i="5"/>
  <c r="AF127" i="6"/>
  <c r="E271" i="5"/>
  <c r="E338" i="5" s="1"/>
  <c r="H144" i="6"/>
  <c r="H186" i="6" s="1"/>
  <c r="AF102" i="6"/>
  <c r="AF86" i="5"/>
  <c r="AF90" i="5"/>
  <c r="AF94" i="5"/>
  <c r="AF98" i="5"/>
  <c r="AF102" i="5"/>
  <c r="AF106" i="5"/>
  <c r="AF110" i="5"/>
  <c r="AF114" i="5"/>
  <c r="AF118" i="5"/>
  <c r="AF122" i="5"/>
  <c r="AF126" i="5"/>
  <c r="AF130" i="5"/>
  <c r="AF134" i="5"/>
  <c r="AF138" i="5"/>
  <c r="AF85" i="6"/>
  <c r="AF81" i="6"/>
  <c r="AF77" i="6"/>
  <c r="AF73" i="6"/>
  <c r="AF69" i="6"/>
  <c r="AF65" i="6"/>
  <c r="AF61" i="6"/>
  <c r="J128" i="6"/>
  <c r="J170" i="6" s="1"/>
  <c r="J124" i="6"/>
  <c r="J120" i="6"/>
  <c r="J116" i="6"/>
  <c r="J158" i="6" s="1"/>
  <c r="J112" i="6"/>
  <c r="J154" i="6" s="1"/>
  <c r="J108" i="6"/>
  <c r="J104" i="6"/>
  <c r="J90" i="4"/>
  <c r="E158" i="6"/>
  <c r="Y158" i="6" s="1"/>
  <c r="J206" i="5"/>
  <c r="J202" i="5"/>
  <c r="J198" i="5"/>
  <c r="J194" i="5"/>
  <c r="J190" i="5"/>
  <c r="J186" i="5"/>
  <c r="J253" i="5" s="1"/>
  <c r="J182" i="5"/>
  <c r="J178" i="5"/>
  <c r="J245" i="5" s="1"/>
  <c r="J174" i="5"/>
  <c r="J170" i="5"/>
  <c r="J166" i="5"/>
  <c r="J162" i="5"/>
  <c r="J158" i="5"/>
  <c r="F107" i="6"/>
  <c r="F149" i="6" s="1"/>
  <c r="AG149" i="6" s="1"/>
  <c r="AH149" i="6" s="1"/>
  <c r="Y116" i="6"/>
  <c r="E199" i="5"/>
  <c r="E266" i="5" s="1"/>
  <c r="E195" i="5"/>
  <c r="Y195" i="5" s="1"/>
  <c r="E191" i="5"/>
  <c r="Y191" i="5" s="1"/>
  <c r="E187" i="5"/>
  <c r="E254" i="5" s="1"/>
  <c r="E183" i="5"/>
  <c r="E179" i="5"/>
  <c r="Y179" i="5" s="1"/>
  <c r="E175" i="5"/>
  <c r="Y175" i="5" s="1"/>
  <c r="E171" i="5"/>
  <c r="Y171" i="5" s="1"/>
  <c r="E167" i="5"/>
  <c r="Y167" i="5" s="1"/>
  <c r="E163" i="5"/>
  <c r="Y163" i="5" s="1"/>
  <c r="E159" i="5"/>
  <c r="E226" i="5" s="1"/>
  <c r="E155" i="5"/>
  <c r="E222" i="5" s="1"/>
  <c r="J152" i="5"/>
  <c r="N152" i="5" s="1"/>
  <c r="AF184" i="5"/>
  <c r="E219" i="5"/>
  <c r="E144" i="6"/>
  <c r="E186" i="6" s="1"/>
  <c r="AF87" i="5"/>
  <c r="AF91" i="5"/>
  <c r="AF95" i="5"/>
  <c r="AF99" i="5"/>
  <c r="AF103" i="5"/>
  <c r="AF107" i="5"/>
  <c r="AF111" i="5"/>
  <c r="AF115" i="5"/>
  <c r="AF119" i="5"/>
  <c r="AF123" i="5"/>
  <c r="AF127" i="5"/>
  <c r="AF131" i="5"/>
  <c r="AF135" i="5"/>
  <c r="AF88" i="6"/>
  <c r="AF84" i="6"/>
  <c r="AF80" i="6"/>
  <c r="AF76" i="6"/>
  <c r="AF72" i="6"/>
  <c r="AF68" i="6"/>
  <c r="H107" i="6"/>
  <c r="H149" i="6" s="1"/>
  <c r="AF64" i="6"/>
  <c r="AF60" i="6"/>
  <c r="J119" i="6"/>
  <c r="J103" i="6"/>
  <c r="I103" i="6" s="1"/>
  <c r="Y103" i="6" s="1"/>
  <c r="E145" i="6"/>
  <c r="E127" i="6"/>
  <c r="Y127" i="6" s="1"/>
  <c r="E119" i="6"/>
  <c r="Y119" i="6" s="1"/>
  <c r="E115" i="6"/>
  <c r="E111" i="6"/>
  <c r="E107" i="6"/>
  <c r="E149" i="6" s="1"/>
  <c r="E198" i="5"/>
  <c r="Y198" i="5" s="1"/>
  <c r="E166" i="5"/>
  <c r="E233" i="5" s="1"/>
  <c r="E158" i="5"/>
  <c r="J61" i="4"/>
  <c r="J48" i="4"/>
  <c r="G56" i="14" s="1"/>
  <c r="G42" i="14" s="1"/>
  <c r="J153" i="5"/>
  <c r="E108" i="6"/>
  <c r="H112" i="6"/>
  <c r="H154" i="6" s="1"/>
  <c r="AG70" i="6"/>
  <c r="AH70" i="6" s="1"/>
  <c r="J115" i="6"/>
  <c r="H123" i="6"/>
  <c r="R46" i="6"/>
  <c r="AG46" i="6"/>
  <c r="AH18" i="6"/>
  <c r="AH46" i="6" s="1"/>
  <c r="AG78" i="6"/>
  <c r="AH78" i="6" s="1"/>
  <c r="E110" i="6"/>
  <c r="H108" i="6"/>
  <c r="E126" i="6"/>
  <c r="AG59" i="6"/>
  <c r="AH59" i="6" s="1"/>
  <c r="F106" i="6"/>
  <c r="F148" i="6" s="1"/>
  <c r="F190" i="6" s="1"/>
  <c r="AG190" i="6" s="1"/>
  <c r="AH190" i="6" s="1"/>
  <c r="H122" i="6"/>
  <c r="F123" i="6"/>
  <c r="AG123" i="6" s="1"/>
  <c r="AH123" i="6" s="1"/>
  <c r="F163" i="6"/>
  <c r="AG121" i="6"/>
  <c r="AH121" i="6" s="1"/>
  <c r="Y130" i="6"/>
  <c r="F110" i="6"/>
  <c r="AG110" i="6" s="1"/>
  <c r="AH110" i="6" s="1"/>
  <c r="F126" i="6"/>
  <c r="F168" i="6" s="1"/>
  <c r="F210" i="6" s="1"/>
  <c r="AG210" i="6" s="1"/>
  <c r="AH210" i="6" s="1"/>
  <c r="F105" i="6"/>
  <c r="AG105" i="6" s="1"/>
  <c r="AH105" i="6" s="1"/>
  <c r="H124" i="6"/>
  <c r="H131" i="6"/>
  <c r="F109" i="6"/>
  <c r="AG109" i="6" s="1"/>
  <c r="AH109" i="6" s="1"/>
  <c r="H165" i="6"/>
  <c r="H109" i="6"/>
  <c r="H111" i="6"/>
  <c r="AG119" i="6"/>
  <c r="AH119" i="6" s="1"/>
  <c r="E122" i="6"/>
  <c r="E164" i="6" s="1"/>
  <c r="H153" i="5"/>
  <c r="H220" i="5" s="1"/>
  <c r="E263" i="5"/>
  <c r="Y180" i="5"/>
  <c r="H190" i="5"/>
  <c r="AG231" i="5"/>
  <c r="AH231" i="5" s="1"/>
  <c r="AM137" i="5"/>
  <c r="AM113" i="5"/>
  <c r="AM95" i="5"/>
  <c r="AM97" i="5"/>
  <c r="AM107" i="5"/>
  <c r="E223" i="5"/>
  <c r="H167" i="5"/>
  <c r="F247" i="5"/>
  <c r="F314" i="5" s="1"/>
  <c r="AG314" i="5" s="1"/>
  <c r="AH314" i="5" s="1"/>
  <c r="AM90" i="5"/>
  <c r="F204" i="5"/>
  <c r="F271" i="5" s="1"/>
  <c r="F338" i="5" s="1"/>
  <c r="AG338" i="5" s="1"/>
  <c r="AH338" i="5" s="1"/>
  <c r="F172" i="5"/>
  <c r="F239" i="5" s="1"/>
  <c r="AG239" i="5" s="1"/>
  <c r="AH239" i="5" s="1"/>
  <c r="H199" i="5"/>
  <c r="Y156" i="5"/>
  <c r="AM96" i="5"/>
  <c r="H174" i="5"/>
  <c r="H162" i="5"/>
  <c r="G153" i="5"/>
  <c r="G220" i="5" s="1"/>
  <c r="AK220" i="5" s="1"/>
  <c r="AL220" i="5" s="1"/>
  <c r="E247" i="5"/>
  <c r="E255" i="5"/>
  <c r="H155" i="5"/>
  <c r="H222" i="5" s="1"/>
  <c r="H159" i="5"/>
  <c r="H163" i="5"/>
  <c r="H171" i="5"/>
  <c r="H175" i="5"/>
  <c r="H242" i="5" s="1"/>
  <c r="H179" i="5"/>
  <c r="H187" i="5"/>
  <c r="H254" i="5" s="1"/>
  <c r="H191" i="5"/>
  <c r="H195" i="5"/>
  <c r="H203" i="5"/>
  <c r="AG173" i="5"/>
  <c r="AH173" i="5" s="1"/>
  <c r="F240" i="5"/>
  <c r="AG240" i="5" s="1"/>
  <c r="AH240" i="5" s="1"/>
  <c r="AG204" i="5"/>
  <c r="AH204" i="5" s="1"/>
  <c r="AG91" i="5"/>
  <c r="AH91" i="5" s="1"/>
  <c r="F159" i="5"/>
  <c r="E206" i="5"/>
  <c r="E202" i="5"/>
  <c r="E190" i="5"/>
  <c r="E186" i="5"/>
  <c r="E182" i="5"/>
  <c r="E178" i="5"/>
  <c r="E170" i="5"/>
  <c r="E162" i="5"/>
  <c r="E154" i="5"/>
  <c r="E194" i="5"/>
  <c r="E174" i="5"/>
  <c r="G205" i="5"/>
  <c r="G272" i="5" s="1"/>
  <c r="AI137" i="5"/>
  <c r="AJ137" i="5" s="1"/>
  <c r="G203" i="5"/>
  <c r="AK203" i="5" s="1"/>
  <c r="AL203" i="5" s="1"/>
  <c r="AK135" i="5"/>
  <c r="AL135" i="5" s="1"/>
  <c r="AM135" i="5" s="1"/>
  <c r="G201" i="5"/>
  <c r="AI133" i="5"/>
  <c r="AJ133" i="5" s="1"/>
  <c r="AK133" i="5"/>
  <c r="AL133" i="5" s="1"/>
  <c r="AM133" i="5" s="1"/>
  <c r="G199" i="5"/>
  <c r="AK199" i="5" s="1"/>
  <c r="AL199" i="5" s="1"/>
  <c r="AM199" i="5" s="1"/>
  <c r="AI131" i="5"/>
  <c r="AJ131" i="5" s="1"/>
  <c r="AK131" i="5"/>
  <c r="AL131" i="5" s="1"/>
  <c r="AM131" i="5" s="1"/>
  <c r="G197" i="5"/>
  <c r="AI129" i="5"/>
  <c r="AJ129" i="5" s="1"/>
  <c r="AK129" i="5"/>
  <c r="AL129" i="5" s="1"/>
  <c r="AM129" i="5" s="1"/>
  <c r="G195" i="5"/>
  <c r="AK127" i="5"/>
  <c r="AL127" i="5" s="1"/>
  <c r="AM127" i="5" s="1"/>
  <c r="AI127" i="5"/>
  <c r="AJ127" i="5" s="1"/>
  <c r="G193" i="5"/>
  <c r="AK125" i="5"/>
  <c r="AL125" i="5" s="1"/>
  <c r="AM125" i="5" s="1"/>
  <c r="G191" i="5"/>
  <c r="AI123" i="5"/>
  <c r="AJ123" i="5" s="1"/>
  <c r="AK123" i="5"/>
  <c r="AL123" i="5" s="1"/>
  <c r="AM123" i="5" s="1"/>
  <c r="G189" i="5"/>
  <c r="AI121" i="5"/>
  <c r="AJ121" i="5" s="1"/>
  <c r="AK121" i="5"/>
  <c r="AL121" i="5" s="1"/>
  <c r="AM121" i="5" s="1"/>
  <c r="G187" i="5"/>
  <c r="AK119" i="5"/>
  <c r="AL119" i="5" s="1"/>
  <c r="AM119" i="5" s="1"/>
  <c r="G185" i="5"/>
  <c r="AK117" i="5"/>
  <c r="AL117" i="5" s="1"/>
  <c r="AM117" i="5" s="1"/>
  <c r="AI117" i="5"/>
  <c r="AJ117" i="5" s="1"/>
  <c r="G183" i="5"/>
  <c r="AK115" i="5"/>
  <c r="AL115" i="5" s="1"/>
  <c r="AM115" i="5" s="1"/>
  <c r="AI115" i="5"/>
  <c r="AJ115" i="5" s="1"/>
  <c r="G181" i="5"/>
  <c r="G248" i="5" s="1"/>
  <c r="AI113" i="5"/>
  <c r="AJ113" i="5" s="1"/>
  <c r="G179" i="5"/>
  <c r="AI111" i="5"/>
  <c r="AJ111" i="5" s="1"/>
  <c r="AK111" i="5"/>
  <c r="AL111" i="5" s="1"/>
  <c r="AM111" i="5" s="1"/>
  <c r="G177" i="5"/>
  <c r="G244" i="5" s="1"/>
  <c r="AK109" i="5"/>
  <c r="AL109" i="5" s="1"/>
  <c r="AM109" i="5" s="1"/>
  <c r="G175" i="5"/>
  <c r="AI107" i="5"/>
  <c r="AJ107" i="5" s="1"/>
  <c r="G173" i="5"/>
  <c r="AI105" i="5"/>
  <c r="AJ105" i="5" s="1"/>
  <c r="AK105" i="5"/>
  <c r="AL105" i="5" s="1"/>
  <c r="AM105" i="5" s="1"/>
  <c r="G169" i="5"/>
  <c r="AK169" i="5" s="1"/>
  <c r="AL169" i="5" s="1"/>
  <c r="AI101" i="5"/>
  <c r="AJ101" i="5" s="1"/>
  <c r="AK101" i="5"/>
  <c r="AL101" i="5" s="1"/>
  <c r="AM101" i="5" s="1"/>
  <c r="G167" i="5"/>
  <c r="G234" i="5" s="1"/>
  <c r="AK99" i="5"/>
  <c r="AL99" i="5" s="1"/>
  <c r="AM99" i="5" s="1"/>
  <c r="AI99" i="5"/>
  <c r="AJ99" i="5" s="1"/>
  <c r="G165" i="5"/>
  <c r="AI165" i="5" s="1"/>
  <c r="AJ165" i="5" s="1"/>
  <c r="AI97" i="5"/>
  <c r="AJ97" i="5" s="1"/>
  <c r="G163" i="5"/>
  <c r="AK163" i="5" s="1"/>
  <c r="AL163" i="5" s="1"/>
  <c r="AI95" i="5"/>
  <c r="AJ95" i="5" s="1"/>
  <c r="AK161" i="5"/>
  <c r="AL161" i="5" s="1"/>
  <c r="G228" i="5"/>
  <c r="AK228" i="5" s="1"/>
  <c r="AL228" i="5" s="1"/>
  <c r="G159" i="5"/>
  <c r="AI91" i="5"/>
  <c r="AJ91" i="5" s="1"/>
  <c r="AK91" i="5"/>
  <c r="AL91" i="5" s="1"/>
  <c r="AM91" i="5" s="1"/>
  <c r="G157" i="5"/>
  <c r="AI157" i="5" s="1"/>
  <c r="AJ157" i="5" s="1"/>
  <c r="AI89" i="5"/>
  <c r="AJ89" i="5" s="1"/>
  <c r="AK89" i="5"/>
  <c r="AL89" i="5" s="1"/>
  <c r="AM89" i="5" s="1"/>
  <c r="G155" i="5"/>
  <c r="AK155" i="5" s="1"/>
  <c r="AL155" i="5" s="1"/>
  <c r="AK87" i="5"/>
  <c r="AL87" i="5" s="1"/>
  <c r="AM87" i="5" s="1"/>
  <c r="Y176" i="5"/>
  <c r="AK85" i="5"/>
  <c r="AL85" i="5" s="1"/>
  <c r="AM85" i="5" s="1"/>
  <c r="F188" i="5"/>
  <c r="J62" i="4"/>
  <c r="E62" i="4"/>
  <c r="E84" i="4" s="1"/>
  <c r="H61" i="4"/>
  <c r="AF38" i="4"/>
  <c r="H65" i="4"/>
  <c r="H67" i="4"/>
  <c r="E279" i="5"/>
  <c r="Y39" i="4"/>
  <c r="E67" i="4"/>
  <c r="E89" i="4" s="1"/>
  <c r="H70" i="4"/>
  <c r="H68" i="4"/>
  <c r="I169" i="3"/>
  <c r="F61" i="4"/>
  <c r="AG61" i="4" s="1"/>
  <c r="AH61" i="4" s="1"/>
  <c r="Y65" i="4"/>
  <c r="AJ106" i="5"/>
  <c r="F70" i="4"/>
  <c r="AG70" i="4" s="1"/>
  <c r="AH70" i="4" s="1"/>
  <c r="E68" i="4"/>
  <c r="AJ130" i="5"/>
  <c r="D90" i="4"/>
  <c r="D112" i="4" s="1"/>
  <c r="G83" i="4"/>
  <c r="G105" i="4" s="1"/>
  <c r="D85" i="4"/>
  <c r="D107" i="4" s="1"/>
  <c r="G87" i="4"/>
  <c r="G109" i="4" s="1"/>
  <c r="D89" i="4"/>
  <c r="D111" i="4" s="1"/>
  <c r="G91" i="4"/>
  <c r="G113" i="4" s="1"/>
  <c r="J92" i="4"/>
  <c r="J88" i="4"/>
  <c r="F66" i="4"/>
  <c r="AG66" i="4" s="1"/>
  <c r="AH66" i="4" s="1"/>
  <c r="G84" i="4"/>
  <c r="G106" i="4" s="1"/>
  <c r="G88" i="4"/>
  <c r="G110" i="4" s="1"/>
  <c r="G92" i="4"/>
  <c r="G114" i="4" s="1"/>
  <c r="D84" i="4"/>
  <c r="D106" i="4" s="1"/>
  <c r="G86" i="4"/>
  <c r="G108" i="4" s="1"/>
  <c r="D88" i="4"/>
  <c r="D110" i="4" s="1"/>
  <c r="G90" i="4"/>
  <c r="G112" i="4" s="1"/>
  <c r="D92" i="4"/>
  <c r="D114" i="4" s="1"/>
  <c r="F62" i="4"/>
  <c r="AG62" i="4" s="1"/>
  <c r="AH62" i="4" s="1"/>
  <c r="Y70" i="4"/>
  <c r="E92" i="4"/>
  <c r="D86" i="4"/>
  <c r="D108" i="4" s="1"/>
  <c r="E64" i="4"/>
  <c r="E88" i="4"/>
  <c r="E91" i="4"/>
  <c r="J87" i="4"/>
  <c r="D83" i="4"/>
  <c r="D105" i="4" s="1"/>
  <c r="G85" i="4"/>
  <c r="G107" i="4" s="1"/>
  <c r="D87" i="4"/>
  <c r="D109" i="4" s="1"/>
  <c r="G89" i="4"/>
  <c r="G111" i="4" s="1"/>
  <c r="D91" i="4"/>
  <c r="D113" i="4" s="1"/>
  <c r="J86" i="4"/>
  <c r="G29" i="13"/>
  <c r="L24" i="7"/>
  <c r="H145" i="6"/>
  <c r="AI152" i="5"/>
  <c r="AJ152" i="5" s="1"/>
  <c r="AK152" i="5" s="1"/>
  <c r="AL152" i="5" s="1"/>
  <c r="Y204" i="5"/>
  <c r="AK156" i="5"/>
  <c r="AL156" i="5" s="1"/>
  <c r="H271" i="5"/>
  <c r="Y168" i="5"/>
  <c r="J32" i="3"/>
  <c r="H101" i="7"/>
  <c r="H10" i="7"/>
  <c r="G52" i="2"/>
  <c r="I10" i="7"/>
  <c r="I156" i="3"/>
  <c r="I9" i="3"/>
  <c r="H10" i="3"/>
  <c r="E211" i="5"/>
  <c r="AJ32" i="5"/>
  <c r="AJ18" i="5"/>
  <c r="AJ50" i="5"/>
  <c r="AJ66" i="5"/>
  <c r="AJ70" i="5"/>
  <c r="AJ119" i="5"/>
  <c r="AJ67" i="5"/>
  <c r="AJ35" i="5"/>
  <c r="AJ85" i="5"/>
  <c r="AJ64" i="5"/>
  <c r="AJ51" i="5"/>
  <c r="AJ56" i="5"/>
  <c r="AJ19" i="5"/>
  <c r="I130" i="7"/>
  <c r="G25" i="11" s="1"/>
  <c r="I76" i="14" s="1"/>
  <c r="G18" i="2"/>
  <c r="H18" i="2" s="1"/>
  <c r="I18" i="2" s="1"/>
  <c r="J18" i="2" s="1"/>
  <c r="E278" i="5"/>
  <c r="AJ17" i="5"/>
  <c r="AJ118" i="5"/>
  <c r="J155" i="3"/>
  <c r="I155" i="3"/>
  <c r="G17" i="11" s="1"/>
  <c r="H70" i="14" s="1"/>
  <c r="I157" i="3"/>
  <c r="AJ87" i="5"/>
  <c r="AJ102" i="5"/>
  <c r="AJ122" i="5"/>
  <c r="AJ44" i="5"/>
  <c r="AJ40" i="5"/>
  <c r="AJ43" i="5"/>
  <c r="AJ47" i="5"/>
  <c r="AJ23" i="5"/>
  <c r="AJ38" i="5"/>
  <c r="AJ63" i="5"/>
  <c r="AJ39" i="5"/>
  <c r="AJ54" i="5"/>
  <c r="AJ24" i="5"/>
  <c r="AJ27" i="5"/>
  <c r="AJ109" i="5"/>
  <c r="AJ125" i="5"/>
  <c r="AJ86" i="5"/>
  <c r="AJ98" i="5"/>
  <c r="AJ135" i="5"/>
  <c r="AJ114" i="5"/>
  <c r="AJ31" i="5"/>
  <c r="AJ62" i="5"/>
  <c r="AJ22" i="5"/>
  <c r="AJ36" i="5"/>
  <c r="AJ45" i="5"/>
  <c r="AJ16" i="5"/>
  <c r="AK16" i="5" s="1"/>
  <c r="AL16" i="5" s="1"/>
  <c r="AM16" i="5" s="1"/>
  <c r="I15" i="3" s="1"/>
  <c r="I21" i="3" s="1"/>
  <c r="AJ52" i="5"/>
  <c r="AJ34" i="5"/>
  <c r="AJ68" i="5"/>
  <c r="AJ30" i="5"/>
  <c r="E9" i="6"/>
  <c r="AJ134" i="5"/>
  <c r="AJ21" i="5"/>
  <c r="AJ25" i="5"/>
  <c r="AJ29" i="5"/>
  <c r="AJ33" i="5"/>
  <c r="AJ37" i="5"/>
  <c r="AJ41" i="5"/>
  <c r="AJ49" i="5"/>
  <c r="AJ53" i="5"/>
  <c r="AJ57" i="5"/>
  <c r="AJ61" i="5"/>
  <c r="AJ65" i="5"/>
  <c r="AJ69" i="5"/>
  <c r="AJ94" i="5"/>
  <c r="AJ126" i="5"/>
  <c r="AJ103" i="5"/>
  <c r="AJ138" i="5"/>
  <c r="AJ110" i="5"/>
  <c r="AJ20" i="5"/>
  <c r="AJ60" i="5"/>
  <c r="AJ55" i="5"/>
  <c r="AJ26" i="5"/>
  <c r="AJ59" i="5"/>
  <c r="AJ46" i="5"/>
  <c r="AJ42" i="5"/>
  <c r="AJ48" i="5"/>
  <c r="AJ58" i="5"/>
  <c r="AJ28" i="5"/>
  <c r="E52" i="6"/>
  <c r="AJ120" i="5"/>
  <c r="AJ88" i="5"/>
  <c r="Y243" i="5"/>
  <c r="I31" i="2"/>
  <c r="J38" i="3"/>
  <c r="J44" i="3" s="1"/>
  <c r="AG81" i="6"/>
  <c r="AH81" i="6" s="1"/>
  <c r="F124" i="6"/>
  <c r="AG77" i="6"/>
  <c r="AH77" i="6" s="1"/>
  <c r="F120" i="6"/>
  <c r="AG73" i="6"/>
  <c r="F116" i="6"/>
  <c r="F158" i="6" s="1"/>
  <c r="AG158" i="6" s="1"/>
  <c r="AH158" i="6" s="1"/>
  <c r="AG69" i="6"/>
  <c r="AH69" i="6" s="1"/>
  <c r="F112" i="6"/>
  <c r="AG61" i="6"/>
  <c r="F104" i="6"/>
  <c r="AG133" i="5"/>
  <c r="AH133" i="5" s="1"/>
  <c r="F201" i="5"/>
  <c r="AG129" i="5"/>
  <c r="AH129" i="5" s="1"/>
  <c r="F197" i="5"/>
  <c r="AG197" i="5" s="1"/>
  <c r="AH197" i="5" s="1"/>
  <c r="AG125" i="5"/>
  <c r="AH125" i="5" s="1"/>
  <c r="F193" i="5"/>
  <c r="F260" i="5" s="1"/>
  <c r="AG260" i="5" s="1"/>
  <c r="AH260" i="5" s="1"/>
  <c r="AG121" i="5"/>
  <c r="AH121" i="5" s="1"/>
  <c r="F189" i="5"/>
  <c r="AG113" i="5"/>
  <c r="AH113" i="5" s="1"/>
  <c r="F181" i="5"/>
  <c r="AG109" i="5"/>
  <c r="AH109" i="5" s="1"/>
  <c r="F177" i="5"/>
  <c r="AG101" i="5"/>
  <c r="AH101" i="5" s="1"/>
  <c r="F169" i="5"/>
  <c r="AG169" i="5" s="1"/>
  <c r="AH169" i="5" s="1"/>
  <c r="AG97" i="5"/>
  <c r="AH97" i="5" s="1"/>
  <c r="F165" i="5"/>
  <c r="AG93" i="5"/>
  <c r="AH93" i="5" s="1"/>
  <c r="F161" i="5"/>
  <c r="AG89" i="5"/>
  <c r="AH89" i="5" s="1"/>
  <c r="F157" i="5"/>
  <c r="F153" i="5"/>
  <c r="F68" i="4"/>
  <c r="F64" i="4"/>
  <c r="AG64" i="4" s="1"/>
  <c r="AH64" i="4" s="1"/>
  <c r="E193" i="5"/>
  <c r="E181" i="5"/>
  <c r="E177" i="5"/>
  <c r="E224" i="5"/>
  <c r="J72" i="3"/>
  <c r="K72" i="3" s="1"/>
  <c r="L72" i="3" s="1"/>
  <c r="I77" i="3"/>
  <c r="I154" i="3" s="1"/>
  <c r="I20" i="12"/>
  <c r="J20" i="12" s="1"/>
  <c r="H66" i="4"/>
  <c r="H64" i="4"/>
  <c r="H154" i="5"/>
  <c r="H221" i="5" s="1"/>
  <c r="H158" i="5"/>
  <c r="H166" i="5"/>
  <c r="H170" i="5"/>
  <c r="H178" i="5"/>
  <c r="H182" i="5"/>
  <c r="H186" i="5"/>
  <c r="H194" i="5"/>
  <c r="H198" i="5"/>
  <c r="H202" i="5"/>
  <c r="H206" i="5"/>
  <c r="H128" i="6"/>
  <c r="H120" i="6"/>
  <c r="H116" i="6"/>
  <c r="H105" i="6"/>
  <c r="G24" i="13"/>
  <c r="J138" i="7"/>
  <c r="K138" i="7" s="1"/>
  <c r="L138" i="7" s="1"/>
  <c r="I172" i="7"/>
  <c r="G26" i="11" s="1"/>
  <c r="F77" i="14" s="1"/>
  <c r="E125" i="6"/>
  <c r="F205" i="5"/>
  <c r="F272" i="5" s="1"/>
  <c r="AG272" i="5" s="1"/>
  <c r="AH272" i="5" s="1"/>
  <c r="F185" i="5"/>
  <c r="J66" i="7"/>
  <c r="K66" i="7" s="1"/>
  <c r="L66" i="7" s="1"/>
  <c r="I70" i="7"/>
  <c r="G255" i="5"/>
  <c r="AI255" i="5" s="1"/>
  <c r="AJ255" i="5" s="1"/>
  <c r="H239" i="5"/>
  <c r="Y172" i="5"/>
  <c r="F263" i="5"/>
  <c r="G206" i="5"/>
  <c r="G273" i="5" s="1"/>
  <c r="AK138" i="5"/>
  <c r="AL138" i="5" s="1"/>
  <c r="AM138" i="5" s="1"/>
  <c r="G204" i="5"/>
  <c r="AK136" i="5"/>
  <c r="AL136" i="5" s="1"/>
  <c r="AM136" i="5" s="1"/>
  <c r="AI136" i="5"/>
  <c r="AJ136" i="5" s="1"/>
  <c r="G202" i="5"/>
  <c r="AK202" i="5" s="1"/>
  <c r="AL202" i="5" s="1"/>
  <c r="AM202" i="5" s="1"/>
  <c r="AK134" i="5"/>
  <c r="AL134" i="5" s="1"/>
  <c r="AM134" i="5" s="1"/>
  <c r="G200" i="5"/>
  <c r="G267" i="5" s="1"/>
  <c r="AK132" i="5"/>
  <c r="AL132" i="5" s="1"/>
  <c r="AM132" i="5" s="1"/>
  <c r="AI132" i="5"/>
  <c r="AJ132" i="5" s="1"/>
  <c r="G198" i="5"/>
  <c r="AK130" i="5"/>
  <c r="AL130" i="5" s="1"/>
  <c r="AM130" i="5" s="1"/>
  <c r="G196" i="5"/>
  <c r="AK128" i="5"/>
  <c r="AL128" i="5" s="1"/>
  <c r="AM128" i="5" s="1"/>
  <c r="AI128" i="5"/>
  <c r="AJ128" i="5" s="1"/>
  <c r="G194" i="5"/>
  <c r="AK126" i="5"/>
  <c r="AL126" i="5" s="1"/>
  <c r="AM126" i="5" s="1"/>
  <c r="G192" i="5"/>
  <c r="AI124" i="5"/>
  <c r="AJ124" i="5" s="1"/>
  <c r="G190" i="5"/>
  <c r="AK122" i="5"/>
  <c r="AL122" i="5" s="1"/>
  <c r="AM122" i="5" s="1"/>
  <c r="G186" i="5"/>
  <c r="AK118" i="5"/>
  <c r="AL118" i="5" s="1"/>
  <c r="AM118" i="5" s="1"/>
  <c r="G184" i="5"/>
  <c r="AK184" i="5" s="1"/>
  <c r="AL184" i="5" s="1"/>
  <c r="AI116" i="5"/>
  <c r="AJ116" i="5" s="1"/>
  <c r="G182" i="5"/>
  <c r="AK114" i="5"/>
  <c r="AL114" i="5" s="1"/>
  <c r="AM114" i="5" s="1"/>
  <c r="AI112" i="5"/>
  <c r="AJ112" i="5" s="1"/>
  <c r="AK112" i="5"/>
  <c r="AL112" i="5" s="1"/>
  <c r="AM112" i="5" s="1"/>
  <c r="G178" i="5"/>
  <c r="AK110" i="5"/>
  <c r="AL110" i="5" s="1"/>
  <c r="AM110" i="5" s="1"/>
  <c r="G176" i="5"/>
  <c r="AK108" i="5"/>
  <c r="AL108" i="5" s="1"/>
  <c r="AM108" i="5" s="1"/>
  <c r="AI108" i="5"/>
  <c r="AJ108" i="5" s="1"/>
  <c r="G174" i="5"/>
  <c r="AK106" i="5"/>
  <c r="AL106" i="5" s="1"/>
  <c r="AM106" i="5" s="1"/>
  <c r="AK104" i="5"/>
  <c r="AL104" i="5" s="1"/>
  <c r="AM104" i="5" s="1"/>
  <c r="AI104" i="5"/>
  <c r="AJ104" i="5" s="1"/>
  <c r="G172" i="5"/>
  <c r="G170" i="5"/>
  <c r="AI170" i="5" s="1"/>
  <c r="AJ170" i="5" s="1"/>
  <c r="AK102" i="5"/>
  <c r="AL102" i="5" s="1"/>
  <c r="AM102" i="5" s="1"/>
  <c r="G168" i="5"/>
  <c r="G235" i="5" s="1"/>
  <c r="AK100" i="5"/>
  <c r="AL100" i="5" s="1"/>
  <c r="AM100" i="5" s="1"/>
  <c r="AI100" i="5"/>
  <c r="AJ100" i="5" s="1"/>
  <c r="G166" i="5"/>
  <c r="AI166" i="5" s="1"/>
  <c r="AJ166" i="5" s="1"/>
  <c r="AK98" i="5"/>
  <c r="AL98" i="5" s="1"/>
  <c r="AM98" i="5" s="1"/>
  <c r="G164" i="5"/>
  <c r="AI96" i="5"/>
  <c r="AJ96" i="5" s="1"/>
  <c r="G162" i="5"/>
  <c r="AI162" i="5" s="1"/>
  <c r="AJ162" i="5" s="1"/>
  <c r="AK94" i="5"/>
  <c r="AL94" i="5" s="1"/>
  <c r="AM94" i="5" s="1"/>
  <c r="G160" i="5"/>
  <c r="AK160" i="5" s="1"/>
  <c r="AL160" i="5" s="1"/>
  <c r="AI92" i="5"/>
  <c r="AJ92" i="5" s="1"/>
  <c r="AK92" i="5"/>
  <c r="AL92" i="5" s="1"/>
  <c r="AM92" i="5" s="1"/>
  <c r="G158" i="5"/>
  <c r="AJ90" i="5"/>
  <c r="AH19" i="5"/>
  <c r="AH71" i="5" s="1"/>
  <c r="AG71" i="5"/>
  <c r="F128" i="6"/>
  <c r="F108" i="6"/>
  <c r="W98" i="19"/>
  <c r="E137" i="6"/>
  <c r="J124" i="19"/>
  <c r="K124" i="19" s="1"/>
  <c r="H16" i="8"/>
  <c r="H19" i="8" s="1"/>
  <c r="I16" i="8" s="1"/>
  <c r="I19" i="8" s="1"/>
  <c r="H69" i="4"/>
  <c r="F38" i="16"/>
  <c r="H223" i="5"/>
  <c r="H169" i="6"/>
  <c r="Y128" i="6"/>
  <c r="AK180" i="5"/>
  <c r="AL180" i="5" s="1"/>
  <c r="G247" i="5"/>
  <c r="E239" i="5"/>
  <c r="E259" i="5"/>
  <c r="Y192" i="5"/>
  <c r="G223" i="5"/>
  <c r="AK223" i="5" s="1"/>
  <c r="AL223" i="5" s="1"/>
  <c r="AI180" i="5"/>
  <c r="AJ180" i="5" s="1"/>
  <c r="H255" i="5"/>
  <c r="Y188" i="5"/>
  <c r="J27" i="2"/>
  <c r="L18" i="7" s="1"/>
  <c r="K18" i="7"/>
  <c r="H160" i="5"/>
  <c r="H164" i="5"/>
  <c r="H176" i="5"/>
  <c r="H180" i="5"/>
  <c r="H192" i="5"/>
  <c r="H196" i="5"/>
  <c r="H130" i="6"/>
  <c r="H126" i="6"/>
  <c r="J131" i="6"/>
  <c r="J127" i="6"/>
  <c r="H62" i="4"/>
  <c r="AF62" i="4" s="1"/>
  <c r="E123" i="6"/>
  <c r="F125" i="6"/>
  <c r="F206" i="5"/>
  <c r="F198" i="5"/>
  <c r="F190" i="5"/>
  <c r="F182" i="5"/>
  <c r="F174" i="5"/>
  <c r="F166" i="5"/>
  <c r="W97" i="19"/>
  <c r="F73" i="2"/>
  <c r="F78" i="2" s="1"/>
  <c r="E131" i="6"/>
  <c r="E153" i="5"/>
  <c r="J28" i="7"/>
  <c r="F158" i="5"/>
  <c r="W73" i="19"/>
  <c r="F69" i="4"/>
  <c r="W96" i="19"/>
  <c r="W101" i="19"/>
  <c r="H46" i="12"/>
  <c r="Y60" i="6"/>
  <c r="F306" i="5"/>
  <c r="AG306" i="5" s="1"/>
  <c r="AH306" i="5" s="1"/>
  <c r="H267" i="5"/>
  <c r="H251" i="5"/>
  <c r="H235" i="5"/>
  <c r="H115" i="6"/>
  <c r="H104" i="6"/>
  <c r="H159" i="6"/>
  <c r="H157" i="5"/>
  <c r="H165" i="5"/>
  <c r="H173" i="5"/>
  <c r="H181" i="5"/>
  <c r="H189" i="5"/>
  <c r="H197" i="5"/>
  <c r="H205" i="5"/>
  <c r="H110" i="6"/>
  <c r="H106" i="6"/>
  <c r="E235" i="5"/>
  <c r="J8" i="7"/>
  <c r="I101" i="7"/>
  <c r="J101" i="7" s="1"/>
  <c r="K101" i="7" s="1"/>
  <c r="L101" i="7" s="1"/>
  <c r="H119" i="6"/>
  <c r="H125" i="6"/>
  <c r="K155" i="3"/>
  <c r="L88" i="3"/>
  <c r="L155" i="3" s="1"/>
  <c r="I136" i="3"/>
  <c r="I164" i="3" s="1"/>
  <c r="G22" i="11" s="1"/>
  <c r="I74" i="14" s="1"/>
  <c r="K20" i="12"/>
  <c r="J24" i="13" s="1"/>
  <c r="I24" i="13"/>
  <c r="I38" i="12"/>
  <c r="I42" i="12" s="1"/>
  <c r="G38" i="16" s="1"/>
  <c r="I46" i="12"/>
  <c r="J44" i="12"/>
  <c r="K21" i="12"/>
  <c r="J25" i="13" s="1"/>
  <c r="I25" i="13"/>
  <c r="J29" i="7"/>
  <c r="F131" i="6"/>
  <c r="F173" i="6" s="1"/>
  <c r="F127" i="6"/>
  <c r="F117" i="6"/>
  <c r="F115" i="6"/>
  <c r="F111" i="6"/>
  <c r="F103" i="6"/>
  <c r="F202" i="5"/>
  <c r="F200" i="5"/>
  <c r="F194" i="5"/>
  <c r="F192" i="5"/>
  <c r="F186" i="5"/>
  <c r="F184" i="5"/>
  <c r="F178" i="5"/>
  <c r="F176" i="5"/>
  <c r="F170" i="5"/>
  <c r="F168" i="5"/>
  <c r="F162" i="5"/>
  <c r="F154" i="5"/>
  <c r="F65" i="4"/>
  <c r="W81" i="19"/>
  <c r="H55" i="12"/>
  <c r="E124" i="19"/>
  <c r="F124" i="19" s="1"/>
  <c r="E334" i="5"/>
  <c r="E251" i="5"/>
  <c r="Y184" i="5"/>
  <c r="H161" i="5"/>
  <c r="H169" i="5"/>
  <c r="H177" i="5"/>
  <c r="H185" i="5"/>
  <c r="H193" i="5"/>
  <c r="H201" i="5"/>
  <c r="H129" i="6"/>
  <c r="H121" i="6"/>
  <c r="H113" i="6"/>
  <c r="J130" i="6"/>
  <c r="J122" i="6"/>
  <c r="J118" i="6"/>
  <c r="J114" i="6"/>
  <c r="J106" i="6"/>
  <c r="G286" i="5"/>
  <c r="AI286" i="5" s="1"/>
  <c r="H250" i="5"/>
  <c r="Y124" i="6"/>
  <c r="Y104" i="6"/>
  <c r="AG129" i="6"/>
  <c r="AH129" i="6" s="1"/>
  <c r="Y263" i="5"/>
  <c r="Y203" i="5"/>
  <c r="J67" i="4"/>
  <c r="J63" i="4"/>
  <c r="J204" i="5"/>
  <c r="J200" i="5"/>
  <c r="J196" i="5"/>
  <c r="J192" i="5"/>
  <c r="J188" i="5"/>
  <c r="J184" i="5"/>
  <c r="J180" i="5"/>
  <c r="J176" i="5"/>
  <c r="J172" i="5"/>
  <c r="J168" i="5"/>
  <c r="J164" i="5"/>
  <c r="J160" i="5"/>
  <c r="J156" i="5"/>
  <c r="J154" i="5"/>
  <c r="J139" i="5"/>
  <c r="G57" i="14" s="1"/>
  <c r="G43" i="14" s="1"/>
  <c r="AG148" i="6"/>
  <c r="AH148" i="6" s="1"/>
  <c r="E249" i="5"/>
  <c r="E227" i="5"/>
  <c r="Y160" i="5"/>
  <c r="Y161" i="5"/>
  <c r="E228" i="5"/>
  <c r="E295" i="5" s="1"/>
  <c r="E172" i="6"/>
  <c r="E231" i="5"/>
  <c r="Y164" i="5"/>
  <c r="E270" i="5"/>
  <c r="J89" i="6"/>
  <c r="G58" i="14" s="1"/>
  <c r="G44" i="14" s="1"/>
  <c r="E173" i="5"/>
  <c r="E189" i="5"/>
  <c r="E205" i="5"/>
  <c r="F122" i="6"/>
  <c r="AM124" i="5"/>
  <c r="E169" i="5"/>
  <c r="E185" i="5"/>
  <c r="E201" i="5"/>
  <c r="E129" i="6"/>
  <c r="F118" i="6"/>
  <c r="F114" i="6"/>
  <c r="F203" i="5"/>
  <c r="F199" i="5"/>
  <c r="F195" i="5"/>
  <c r="F191" i="5"/>
  <c r="F187" i="5"/>
  <c r="F183" i="5"/>
  <c r="F179" i="5"/>
  <c r="F175" i="5"/>
  <c r="F171" i="5"/>
  <c r="F167" i="5"/>
  <c r="F163" i="5"/>
  <c r="AM116" i="5"/>
  <c r="F130" i="6"/>
  <c r="F160" i="5"/>
  <c r="F156" i="5"/>
  <c r="F152" i="5"/>
  <c r="F67" i="4"/>
  <c r="F63" i="4"/>
  <c r="E170" i="6"/>
  <c r="F144" i="6"/>
  <c r="F186" i="6" s="1"/>
  <c r="AG186" i="6" s="1"/>
  <c r="AH186" i="6" s="1"/>
  <c r="AG102" i="6"/>
  <c r="AH102" i="6" s="1"/>
  <c r="L27" i="3"/>
  <c r="H73" i="2"/>
  <c r="H78" i="2" s="1"/>
  <c r="I44" i="2"/>
  <c r="J44" i="2" s="1"/>
  <c r="J43" i="2"/>
  <c r="J63" i="2" s="1"/>
  <c r="J68" i="2" s="1"/>
  <c r="T13" i="21"/>
  <c r="L19" i="21"/>
  <c r="T19" i="21" s="1"/>
  <c r="W99" i="19"/>
  <c r="J26" i="3"/>
  <c r="J28" i="3" s="1"/>
  <c r="J16" i="8"/>
  <c r="J19" i="8" s="1"/>
  <c r="J38" i="12"/>
  <c r="J42" i="12" s="1"/>
  <c r="H38" i="16" s="1"/>
  <c r="L114" i="3"/>
  <c r="L166" i="3" s="1"/>
  <c r="I58" i="16" s="1"/>
  <c r="E166" i="6"/>
  <c r="Y120" i="6"/>
  <c r="E162" i="6"/>
  <c r="I55" i="12"/>
  <c r="J50" i="12"/>
  <c r="K50" i="12" s="1"/>
  <c r="K55" i="12" s="1"/>
  <c r="K166" i="3"/>
  <c r="H58" i="16" s="1"/>
  <c r="F77" i="2"/>
  <c r="J166" i="3"/>
  <c r="G58" i="16" s="1"/>
  <c r="H200" i="7"/>
  <c r="F72" i="11" s="1"/>
  <c r="H193" i="7"/>
  <c r="F63" i="11" s="1"/>
  <c r="G126" i="19"/>
  <c r="G127" i="19" s="1"/>
  <c r="G128" i="19" s="1"/>
  <c r="G129" i="19" s="1"/>
  <c r="G130" i="19" s="1"/>
  <c r="G131" i="19" s="1"/>
  <c r="G132" i="19" s="1"/>
  <c r="G133" i="19" s="1"/>
  <c r="G134" i="19" s="1"/>
  <c r="G135" i="19" s="1"/>
  <c r="G136" i="19" s="1"/>
  <c r="G137" i="19" s="1"/>
  <c r="G138" i="19" s="1"/>
  <c r="G139" i="19" s="1"/>
  <c r="G140" i="19" s="1"/>
  <c r="G141" i="19" s="1"/>
  <c r="G142" i="19" s="1"/>
  <c r="G143" i="19" s="1"/>
  <c r="G144" i="19" s="1"/>
  <c r="G145" i="19" s="1"/>
  <c r="G146" i="19" s="1"/>
  <c r="G147" i="19" s="1"/>
  <c r="G148" i="19" s="1"/>
  <c r="G149" i="19" s="1"/>
  <c r="G150" i="19" s="1"/>
  <c r="G151" i="19" s="1"/>
  <c r="G152" i="19" s="1"/>
  <c r="G153" i="19" s="1"/>
  <c r="G154" i="19" s="1"/>
  <c r="G155" i="19" s="1"/>
  <c r="G156" i="19" s="1"/>
  <c r="G157" i="19" s="1"/>
  <c r="G158" i="19" s="1"/>
  <c r="G159" i="19" s="1"/>
  <c r="G160" i="19" s="1"/>
  <c r="G161" i="19" s="1"/>
  <c r="G162" i="19" s="1"/>
  <c r="G163" i="19" s="1"/>
  <c r="G164" i="19" s="1"/>
  <c r="G165" i="19" s="1"/>
  <c r="G166" i="19" s="1"/>
  <c r="J22" i="3"/>
  <c r="K22" i="3"/>
  <c r="AI188" i="5"/>
  <c r="AJ188" i="5" s="1"/>
  <c r="Y158" i="5"/>
  <c r="E225" i="5"/>
  <c r="E51" i="6"/>
  <c r="E95" i="6"/>
  <c r="F59" i="10"/>
  <c r="G16" i="10" s="1"/>
  <c r="G59" i="10" s="1"/>
  <c r="H16" i="10" s="1"/>
  <c r="H8" i="11"/>
  <c r="J261" i="5"/>
  <c r="L126" i="19"/>
  <c r="L127" i="19" s="1"/>
  <c r="L128" i="19" s="1"/>
  <c r="L129" i="19" s="1"/>
  <c r="L130" i="19" s="1"/>
  <c r="L131" i="19" s="1"/>
  <c r="L132" i="19" s="1"/>
  <c r="L133" i="19" s="1"/>
  <c r="L134" i="19" s="1"/>
  <c r="L135" i="19" s="1"/>
  <c r="L136" i="19" s="1"/>
  <c r="L137" i="19" s="1"/>
  <c r="L138" i="19" s="1"/>
  <c r="L139" i="19" s="1"/>
  <c r="L140" i="19" s="1"/>
  <c r="L141" i="19" s="1"/>
  <c r="L142" i="19" s="1"/>
  <c r="L143" i="19" s="1"/>
  <c r="L144" i="19" s="1"/>
  <c r="L145" i="19" s="1"/>
  <c r="L146" i="19" s="1"/>
  <c r="L147" i="19" s="1"/>
  <c r="L148" i="19" s="1"/>
  <c r="L149" i="19" s="1"/>
  <c r="L150" i="19" s="1"/>
  <c r="L151" i="19" s="1"/>
  <c r="L152" i="19" s="1"/>
  <c r="L153" i="19" s="1"/>
  <c r="L154" i="19" s="1"/>
  <c r="L155" i="19" s="1"/>
  <c r="L156" i="19" s="1"/>
  <c r="L157" i="19" s="1"/>
  <c r="L158" i="19" s="1"/>
  <c r="L159" i="19" s="1"/>
  <c r="L160" i="19" s="1"/>
  <c r="L161" i="19" s="1"/>
  <c r="L162" i="19" s="1"/>
  <c r="L163" i="19" s="1"/>
  <c r="L164" i="19" s="1"/>
  <c r="L165" i="19" s="1"/>
  <c r="L166" i="19" s="1"/>
  <c r="F155" i="6"/>
  <c r="AG113" i="6"/>
  <c r="AH113" i="6" s="1"/>
  <c r="G221" i="5"/>
  <c r="G288" i="5" s="1"/>
  <c r="AK154" i="5"/>
  <c r="AL154" i="5" s="1"/>
  <c r="AI154" i="5"/>
  <c r="AJ154" i="5" s="1"/>
  <c r="R60" i="9"/>
  <c r="R82" i="9"/>
  <c r="R61" i="9"/>
  <c r="R28" i="9"/>
  <c r="R43" i="9"/>
  <c r="R141" i="9"/>
  <c r="R91" i="9"/>
  <c r="R102" i="9"/>
  <c r="R99" i="9"/>
  <c r="R132" i="9"/>
  <c r="R50" i="9"/>
  <c r="R69" i="9"/>
  <c r="R63" i="9"/>
  <c r="R29" i="9"/>
  <c r="R122" i="9"/>
  <c r="R111" i="9"/>
  <c r="R104" i="9"/>
  <c r="R54" i="9"/>
  <c r="R48" i="9"/>
  <c r="R46" i="9"/>
  <c r="R79" i="9"/>
  <c r="R109" i="9"/>
  <c r="R118" i="9"/>
  <c r="R135" i="9"/>
  <c r="R62" i="9"/>
  <c r="R72" i="9"/>
  <c r="R32" i="9"/>
  <c r="R49" i="9"/>
  <c r="U7" i="9"/>
  <c r="U15" i="9" s="1"/>
  <c r="R37" i="9"/>
  <c r="R24" i="9"/>
  <c r="R121" i="9"/>
  <c r="R106" i="9"/>
  <c r="R92" i="9"/>
  <c r="R77" i="9"/>
  <c r="R26" i="9"/>
  <c r="R80" i="9"/>
  <c r="R20" i="9"/>
  <c r="R101" i="9"/>
  <c r="R110" i="9"/>
  <c r="R139" i="9"/>
  <c r="R136" i="9"/>
  <c r="R90" i="9"/>
  <c r="R40" i="9"/>
  <c r="R35" i="9"/>
  <c r="R55" i="9"/>
  <c r="R134" i="9"/>
  <c r="R115" i="9"/>
  <c r="R116" i="9"/>
  <c r="R23" i="9"/>
  <c r="R21" i="9"/>
  <c r="R85" i="9"/>
  <c r="R39" i="9"/>
  <c r="R133" i="9"/>
  <c r="R138" i="9"/>
  <c r="R95" i="9"/>
  <c r="R112" i="9"/>
  <c r="R25" i="9"/>
  <c r="R31" i="9"/>
  <c r="R44" i="9"/>
  <c r="R38" i="9"/>
  <c r="R30" i="9"/>
  <c r="R57" i="9"/>
  <c r="R125" i="9"/>
  <c r="R130" i="9"/>
  <c r="R107" i="9"/>
  <c r="R52" i="9"/>
  <c r="R71" i="9"/>
  <c r="R45" i="9"/>
  <c r="R83" i="9"/>
  <c r="R78" i="9"/>
  <c r="R113" i="9"/>
  <c r="R126" i="9"/>
  <c r="R87" i="9"/>
  <c r="R140" i="9"/>
  <c r="R100" i="9"/>
  <c r="R42" i="9"/>
  <c r="R34" i="9"/>
  <c r="R81" i="9"/>
  <c r="R129" i="9"/>
  <c r="R127" i="9"/>
  <c r="R120" i="9"/>
  <c r="R97" i="9"/>
  <c r="X7" i="9"/>
  <c r="R76" i="9"/>
  <c r="R66" i="9"/>
  <c r="R143" i="9"/>
  <c r="R144" i="9"/>
  <c r="R98" i="9"/>
  <c r="R103" i="9"/>
  <c r="R84" i="9"/>
  <c r="R75" i="9"/>
  <c r="R53" i="9"/>
  <c r="R33" i="9"/>
  <c r="R137" i="9"/>
  <c r="R94" i="9"/>
  <c r="R123" i="9"/>
  <c r="R108" i="9"/>
  <c r="R59" i="9"/>
  <c r="R36" i="9"/>
  <c r="R58" i="9"/>
  <c r="R47" i="9"/>
  <c r="R117" i="9"/>
  <c r="R142" i="9"/>
  <c r="R146" i="9"/>
  <c r="R96" i="9"/>
  <c r="R128" i="9"/>
  <c r="R27" i="9"/>
  <c r="R74" i="9"/>
  <c r="R19" i="9"/>
  <c r="T7" i="9"/>
  <c r="T15" i="9" s="1"/>
  <c r="R68" i="9"/>
  <c r="R56" i="9"/>
  <c r="R51" i="9"/>
  <c r="R70" i="9"/>
  <c r="R145" i="9"/>
  <c r="R124" i="9"/>
  <c r="R93" i="9"/>
  <c r="R65" i="9"/>
  <c r="R67" i="9"/>
  <c r="S7" i="9"/>
  <c r="S17" i="9" s="1"/>
  <c r="R88" i="9"/>
  <c r="R114" i="9"/>
  <c r="R119" i="9"/>
  <c r="R86" i="9"/>
  <c r="R73" i="9"/>
  <c r="R41" i="9"/>
  <c r="R64" i="9"/>
  <c r="R22" i="9"/>
  <c r="R105" i="9"/>
  <c r="R131" i="9"/>
  <c r="R89" i="9"/>
  <c r="J168" i="6"/>
  <c r="J260" i="5"/>
  <c r="J220" i="5"/>
  <c r="J256" i="5"/>
  <c r="AI171" i="5"/>
  <c r="AJ171" i="5" s="1"/>
  <c r="AK171" i="5"/>
  <c r="AL171" i="5" s="1"/>
  <c r="G238" i="5"/>
  <c r="AH88" i="5"/>
  <c r="G9" i="13"/>
  <c r="F8" i="14"/>
  <c r="AJ161" i="5"/>
  <c r="J266" i="5"/>
  <c r="J226" i="5"/>
  <c r="AJ156" i="5"/>
  <c r="Y196" i="5"/>
  <c r="AJ219" i="5"/>
  <c r="AK219" i="5" s="1"/>
  <c r="AL219" i="5" s="1"/>
  <c r="R15" i="9"/>
  <c r="R14" i="9"/>
  <c r="R13" i="9"/>
  <c r="R17" i="9"/>
  <c r="R18" i="9"/>
  <c r="F39" i="10" s="1"/>
  <c r="F60" i="10" s="1"/>
  <c r="R16" i="9"/>
  <c r="AH64" i="6"/>
  <c r="AH71" i="6"/>
  <c r="AH60" i="6"/>
  <c r="AH76" i="6"/>
  <c r="Y112" i="6"/>
  <c r="AH66" i="6"/>
  <c r="K90" i="3"/>
  <c r="K157" i="3" s="1"/>
  <c r="J157" i="3"/>
  <c r="K70" i="3"/>
  <c r="K116" i="3"/>
  <c r="J136" i="3"/>
  <c r="J34" i="3"/>
  <c r="K32" i="3"/>
  <c r="J156" i="3"/>
  <c r="K89" i="3"/>
  <c r="I166" i="3"/>
  <c r="F58" i="16" s="1"/>
  <c r="J40" i="2"/>
  <c r="J47" i="2" s="1"/>
  <c r="G40" i="2"/>
  <c r="G47" i="2" s="1"/>
  <c r="G39" i="2"/>
  <c r="H40" i="2"/>
  <c r="H47" i="2" s="1"/>
  <c r="H39" i="2"/>
  <c r="I39" i="2"/>
  <c r="I40" i="2"/>
  <c r="I47" i="2" s="1"/>
  <c r="J82" i="7"/>
  <c r="K120" i="7"/>
  <c r="J130" i="7"/>
  <c r="K84" i="7"/>
  <c r="K65" i="7"/>
  <c r="G77" i="14"/>
  <c r="H77" i="14"/>
  <c r="K136" i="7"/>
  <c r="K86" i="7"/>
  <c r="K24" i="7"/>
  <c r="Y46" i="6"/>
  <c r="AH65" i="6"/>
  <c r="AH62" i="6"/>
  <c r="Y146" i="6"/>
  <c r="AG171" i="6"/>
  <c r="AH171" i="6" s="1"/>
  <c r="G24" i="10"/>
  <c r="F31" i="16" l="1"/>
  <c r="I77" i="14"/>
  <c r="H29" i="13"/>
  <c r="H24" i="13"/>
  <c r="F63" i="14"/>
  <c r="F11" i="14"/>
  <c r="F21" i="14"/>
  <c r="F40" i="14"/>
  <c r="J125" i="19"/>
  <c r="R153" i="5"/>
  <c r="I153" i="5"/>
  <c r="N153" i="5"/>
  <c r="R220" i="5"/>
  <c r="I220" i="5"/>
  <c r="N220" i="5"/>
  <c r="R62" i="4"/>
  <c r="I62" i="4"/>
  <c r="Y62" i="4" s="1"/>
  <c r="N62" i="4"/>
  <c r="AD62" i="4" s="1"/>
  <c r="P62" i="4"/>
  <c r="AA103" i="6"/>
  <c r="AB103" i="6"/>
  <c r="I102" i="6"/>
  <c r="Y102" i="6" s="1"/>
  <c r="AB102" i="6" s="1"/>
  <c r="N102" i="6"/>
  <c r="AD102" i="6" s="1"/>
  <c r="P59" i="6"/>
  <c r="AA59" i="6"/>
  <c r="AB59" i="6"/>
  <c r="N48" i="4"/>
  <c r="AD84" i="5"/>
  <c r="P84" i="5"/>
  <c r="I152" i="5"/>
  <c r="Y84" i="5"/>
  <c r="I61" i="4"/>
  <c r="Y61" i="4" s="1"/>
  <c r="N61" i="4"/>
  <c r="AD61" i="4" s="1"/>
  <c r="P38" i="4"/>
  <c r="P48" i="4" s="1"/>
  <c r="AB38" i="4"/>
  <c r="AA38" i="4"/>
  <c r="AA120" i="6"/>
  <c r="AB120" i="6"/>
  <c r="AB117" i="6"/>
  <c r="AA117" i="6"/>
  <c r="AB146" i="6"/>
  <c r="AA146" i="6"/>
  <c r="AA104" i="6"/>
  <c r="AB104" i="6"/>
  <c r="AC104" i="6" s="1"/>
  <c r="AB158" i="6"/>
  <c r="AA158" i="6"/>
  <c r="AB147" i="6"/>
  <c r="AA147" i="6"/>
  <c r="AB121" i="6"/>
  <c r="AA121" i="6"/>
  <c r="AB118" i="6"/>
  <c r="AA118" i="6"/>
  <c r="AA128" i="6"/>
  <c r="AB128" i="6"/>
  <c r="AB114" i="6"/>
  <c r="AA114" i="6"/>
  <c r="AC114" i="6" s="1"/>
  <c r="AA124" i="6"/>
  <c r="AB124" i="6"/>
  <c r="AA116" i="6"/>
  <c r="AB116" i="6"/>
  <c r="AC116" i="6" s="1"/>
  <c r="AB109" i="6"/>
  <c r="AA109" i="6"/>
  <c r="AA112" i="6"/>
  <c r="AB112" i="6"/>
  <c r="AC112" i="6" s="1"/>
  <c r="AB127" i="6"/>
  <c r="AA127" i="6"/>
  <c r="AB130" i="6"/>
  <c r="AA130" i="6"/>
  <c r="AC130" i="6" s="1"/>
  <c r="AB119" i="6"/>
  <c r="AA119" i="6"/>
  <c r="AB113" i="6"/>
  <c r="AA113" i="6"/>
  <c r="AC113" i="6" s="1"/>
  <c r="AB106" i="6"/>
  <c r="AA106" i="6"/>
  <c r="AA60" i="6"/>
  <c r="AB60" i="6"/>
  <c r="N103" i="6"/>
  <c r="AD103" i="6" s="1"/>
  <c r="P60" i="6"/>
  <c r="R60" i="6" s="1"/>
  <c r="AB263" i="5"/>
  <c r="AA263" i="5"/>
  <c r="AA198" i="5"/>
  <c r="AB198" i="5"/>
  <c r="AB157" i="5"/>
  <c r="AA157" i="5"/>
  <c r="AB164" i="5"/>
  <c r="AA164" i="5"/>
  <c r="AB161" i="5"/>
  <c r="AA161" i="5"/>
  <c r="AB184" i="5"/>
  <c r="AA184" i="5"/>
  <c r="AB204" i="5"/>
  <c r="AA204" i="5"/>
  <c r="AB180" i="5"/>
  <c r="AA180" i="5"/>
  <c r="AA171" i="5"/>
  <c r="AB171" i="5"/>
  <c r="AA165" i="5"/>
  <c r="AB165" i="5"/>
  <c r="AB196" i="5"/>
  <c r="AA196" i="5"/>
  <c r="AA167" i="5"/>
  <c r="AB167" i="5"/>
  <c r="AB160" i="5"/>
  <c r="AA160" i="5"/>
  <c r="AB188" i="5"/>
  <c r="AA188" i="5"/>
  <c r="AB192" i="5"/>
  <c r="AA192" i="5"/>
  <c r="AB172" i="5"/>
  <c r="AA172" i="5"/>
  <c r="AB168" i="5"/>
  <c r="AA168" i="5"/>
  <c r="AB176" i="5"/>
  <c r="AA176" i="5"/>
  <c r="AA175" i="5"/>
  <c r="AB175" i="5"/>
  <c r="AA191" i="5"/>
  <c r="AB191" i="5"/>
  <c r="AA197" i="5"/>
  <c r="AB197" i="5"/>
  <c r="AB267" i="5"/>
  <c r="AA267" i="5"/>
  <c r="AA158" i="5"/>
  <c r="AB158" i="5"/>
  <c r="AC158" i="5" s="1"/>
  <c r="AA203" i="5"/>
  <c r="AB203" i="5"/>
  <c r="AA243" i="5"/>
  <c r="AB243" i="5"/>
  <c r="AC243" i="5" s="1"/>
  <c r="AB156" i="5"/>
  <c r="AA156" i="5"/>
  <c r="AA163" i="5"/>
  <c r="AB163" i="5"/>
  <c r="AC163" i="5" s="1"/>
  <c r="AA179" i="5"/>
  <c r="AB179" i="5"/>
  <c r="AA195" i="5"/>
  <c r="AB195" i="5"/>
  <c r="AC195" i="5" s="1"/>
  <c r="O85" i="5"/>
  <c r="Y85" i="5"/>
  <c r="AA63" i="4"/>
  <c r="AB63" i="4"/>
  <c r="AC63" i="4" s="1"/>
  <c r="AB65" i="4"/>
  <c r="AA65" i="4"/>
  <c r="AB70" i="4"/>
  <c r="AA70" i="4"/>
  <c r="AB66" i="4"/>
  <c r="AA66" i="4"/>
  <c r="AB69" i="4"/>
  <c r="AA69" i="4"/>
  <c r="AB87" i="4"/>
  <c r="AA87" i="4"/>
  <c r="AA39" i="4"/>
  <c r="AB39" i="4"/>
  <c r="E258" i="5"/>
  <c r="Y159" i="5"/>
  <c r="E246" i="5"/>
  <c r="Y246" i="5" s="1"/>
  <c r="Y199" i="5"/>
  <c r="Y271" i="5"/>
  <c r="F307" i="5"/>
  <c r="AG307" i="5" s="1"/>
  <c r="AH307" i="5" s="1"/>
  <c r="E160" i="6"/>
  <c r="AG116" i="6"/>
  <c r="AH116" i="6" s="1"/>
  <c r="F200" i="6"/>
  <c r="AG200" i="6" s="1"/>
  <c r="AH200" i="6" s="1"/>
  <c r="Y155" i="5"/>
  <c r="E264" i="5"/>
  <c r="E331" i="5" s="1"/>
  <c r="Y331" i="5" s="1"/>
  <c r="E163" i="6"/>
  <c r="AM152" i="5"/>
  <c r="AM161" i="5"/>
  <c r="F191" i="6"/>
  <c r="AG191" i="6" s="1"/>
  <c r="AH191" i="6" s="1"/>
  <c r="AM169" i="5"/>
  <c r="AG106" i="6"/>
  <c r="AH106" i="6" s="1"/>
  <c r="H286" i="5"/>
  <c r="AF286" i="5" s="1"/>
  <c r="J161" i="6"/>
  <c r="J195" i="6"/>
  <c r="N89" i="6"/>
  <c r="G229" i="5"/>
  <c r="G296" i="5" s="1"/>
  <c r="E230" i="5"/>
  <c r="E262" i="5"/>
  <c r="E85" i="4"/>
  <c r="J165" i="6"/>
  <c r="J246" i="5"/>
  <c r="N139" i="5"/>
  <c r="Y166" i="5"/>
  <c r="Y111" i="6"/>
  <c r="AK157" i="5"/>
  <c r="AL157" i="5" s="1"/>
  <c r="AM157" i="5" s="1"/>
  <c r="AI199" i="5"/>
  <c r="AJ199" i="5" s="1"/>
  <c r="AG107" i="6"/>
  <c r="AH107" i="6" s="1"/>
  <c r="J225" i="5"/>
  <c r="J241" i="5"/>
  <c r="J273" i="5"/>
  <c r="J249" i="5"/>
  <c r="J316" i="5" s="1"/>
  <c r="AK167" i="5"/>
  <c r="AL167" i="5" s="1"/>
  <c r="AM167" i="5" s="1"/>
  <c r="AK166" i="5"/>
  <c r="AL166" i="5" s="1"/>
  <c r="AM166" i="5" s="1"/>
  <c r="AI228" i="5"/>
  <c r="AJ228" i="5" s="1"/>
  <c r="J265" i="5"/>
  <c r="F203" i="6"/>
  <c r="AG203" i="6" s="1"/>
  <c r="AH203" i="6" s="1"/>
  <c r="G224" i="5"/>
  <c r="G291" i="5" s="1"/>
  <c r="E265" i="5"/>
  <c r="AM155" i="5"/>
  <c r="AM203" i="5"/>
  <c r="F222" i="5"/>
  <c r="F289" i="5" s="1"/>
  <c r="AG289" i="5" s="1"/>
  <c r="AH289" i="5" s="1"/>
  <c r="AM171" i="5"/>
  <c r="AI167" i="5"/>
  <c r="AJ167" i="5" s="1"/>
  <c r="G266" i="5"/>
  <c r="AI266" i="5" s="1"/>
  <c r="AJ266" i="5" s="1"/>
  <c r="AM163" i="5"/>
  <c r="H91" i="4"/>
  <c r="AF69" i="4"/>
  <c r="H90" i="4"/>
  <c r="H112" i="4" s="1"/>
  <c r="AF68" i="4"/>
  <c r="H92" i="4"/>
  <c r="AF70" i="4"/>
  <c r="H89" i="4"/>
  <c r="H111" i="4" s="1"/>
  <c r="AF67" i="4"/>
  <c r="H83" i="4"/>
  <c r="AF61" i="4"/>
  <c r="H86" i="4"/>
  <c r="AF64" i="4"/>
  <c r="H87" i="4"/>
  <c r="AF65" i="4"/>
  <c r="H88" i="4"/>
  <c r="H110" i="4" s="1"/>
  <c r="AF66" i="4"/>
  <c r="AF85" i="4"/>
  <c r="AM220" i="5"/>
  <c r="Y166" i="6"/>
  <c r="F89" i="4"/>
  <c r="AG89" i="4" s="1"/>
  <c r="AH89" i="4" s="1"/>
  <c r="AG67" i="4"/>
  <c r="AH67" i="4" s="1"/>
  <c r="AF193" i="5"/>
  <c r="AF161" i="5"/>
  <c r="AF125" i="6"/>
  <c r="AF110" i="6"/>
  <c r="AF189" i="5"/>
  <c r="AF157" i="5"/>
  <c r="AF115" i="6"/>
  <c r="AF251" i="5"/>
  <c r="AF126" i="6"/>
  <c r="AF180" i="5"/>
  <c r="AF255" i="5"/>
  <c r="AF149" i="6"/>
  <c r="H158" i="6"/>
  <c r="AF116" i="6"/>
  <c r="AF202" i="5"/>
  <c r="AF182" i="5"/>
  <c r="AF158" i="5"/>
  <c r="E260" i="5"/>
  <c r="E327" i="5" s="1"/>
  <c r="F90" i="4"/>
  <c r="AG90" i="4" s="1"/>
  <c r="AH90" i="4" s="1"/>
  <c r="AG68" i="4"/>
  <c r="AH68" i="4" s="1"/>
  <c r="Y222" i="5"/>
  <c r="J200" i="6"/>
  <c r="E110" i="4"/>
  <c r="Y110" i="4" s="1"/>
  <c r="E114" i="4"/>
  <c r="Y114" i="4" s="1"/>
  <c r="J110" i="4"/>
  <c r="Y68" i="4"/>
  <c r="Y206" i="5"/>
  <c r="AF195" i="5"/>
  <c r="AF175" i="5"/>
  <c r="AF155" i="5"/>
  <c r="AF153" i="5"/>
  <c r="H151" i="6"/>
  <c r="AF109" i="6"/>
  <c r="H164" i="6"/>
  <c r="H206" i="6" s="1"/>
  <c r="AF122" i="6"/>
  <c r="E189" i="6"/>
  <c r="J83" i="4"/>
  <c r="J71" i="4"/>
  <c r="H56" i="14" s="1"/>
  <c r="H42" i="14" s="1"/>
  <c r="E153" i="6"/>
  <c r="Y153" i="6" s="1"/>
  <c r="E169" i="6"/>
  <c r="AF107" i="6"/>
  <c r="E238" i="5"/>
  <c r="Y187" i="5"/>
  <c r="J229" i="5"/>
  <c r="E200" i="6"/>
  <c r="J146" i="6"/>
  <c r="J150" i="6"/>
  <c r="J162" i="6"/>
  <c r="J166" i="6"/>
  <c r="Y105" i="6"/>
  <c r="J113" i="4"/>
  <c r="J151" i="6"/>
  <c r="J155" i="6"/>
  <c r="J159" i="6"/>
  <c r="J163" i="6"/>
  <c r="J167" i="6"/>
  <c r="J171" i="6"/>
  <c r="E232" i="5"/>
  <c r="J144" i="6"/>
  <c r="J224" i="5"/>
  <c r="J232" i="5"/>
  <c r="J248" i="5"/>
  <c r="J272" i="5"/>
  <c r="AF114" i="6"/>
  <c r="J191" i="6"/>
  <c r="J223" i="5"/>
  <c r="AM188" i="5"/>
  <c r="AF222" i="5"/>
  <c r="AF121" i="6"/>
  <c r="AF185" i="5"/>
  <c r="AF220" i="5"/>
  <c r="F87" i="4"/>
  <c r="AG87" i="4" s="1"/>
  <c r="AH87" i="4" s="1"/>
  <c r="AG65" i="4"/>
  <c r="AH65" i="4" s="1"/>
  <c r="AF119" i="6"/>
  <c r="AF181" i="5"/>
  <c r="AF159" i="6"/>
  <c r="AF267" i="5"/>
  <c r="AF160" i="6"/>
  <c r="AF130" i="6"/>
  <c r="AF176" i="5"/>
  <c r="AF169" i="6"/>
  <c r="AF254" i="5"/>
  <c r="AF120" i="6"/>
  <c r="AF198" i="5"/>
  <c r="AF178" i="5"/>
  <c r="AF154" i="5"/>
  <c r="Y177" i="5"/>
  <c r="J108" i="4"/>
  <c r="E86" i="4"/>
  <c r="Y86" i="4" s="1"/>
  <c r="J114" i="4"/>
  <c r="J84" i="4"/>
  <c r="AF191" i="5"/>
  <c r="AF171" i="5"/>
  <c r="E322" i="5"/>
  <c r="Y322" i="5" s="1"/>
  <c r="AF162" i="5"/>
  <c r="AF199" i="5"/>
  <c r="AF190" i="5"/>
  <c r="Y122" i="6"/>
  <c r="H207" i="6"/>
  <c r="AF165" i="6"/>
  <c r="E202" i="6"/>
  <c r="J189" i="6"/>
  <c r="E150" i="6"/>
  <c r="Y150" i="6" s="1"/>
  <c r="Y115" i="6"/>
  <c r="E157" i="6"/>
  <c r="J145" i="6"/>
  <c r="I145" i="6" s="1"/>
  <c r="Y145" i="6" s="1"/>
  <c r="E286" i="5"/>
  <c r="E242" i="5"/>
  <c r="J233" i="5"/>
  <c r="AF144" i="6"/>
  <c r="Y310" i="5"/>
  <c r="E151" i="6"/>
  <c r="AF117" i="6"/>
  <c r="E83" i="4"/>
  <c r="E148" i="6"/>
  <c r="J234" i="5"/>
  <c r="J242" i="5"/>
  <c r="J152" i="6"/>
  <c r="Y162" i="6"/>
  <c r="Y338" i="5"/>
  <c r="E212" i="6"/>
  <c r="Y212" i="6" s="1"/>
  <c r="J243" i="5"/>
  <c r="J271" i="5"/>
  <c r="AF250" i="5"/>
  <c r="AF129" i="6"/>
  <c r="AF177" i="5"/>
  <c r="AF186" i="6"/>
  <c r="Y235" i="5"/>
  <c r="AF205" i="5"/>
  <c r="AF173" i="5"/>
  <c r="AF156" i="6"/>
  <c r="AF242" i="5"/>
  <c r="J169" i="6"/>
  <c r="J211" i="6" s="1"/>
  <c r="AF196" i="5"/>
  <c r="AF164" i="5"/>
  <c r="AF223" i="5"/>
  <c r="AF239" i="5"/>
  <c r="AF128" i="6"/>
  <c r="AF194" i="5"/>
  <c r="AF170" i="5"/>
  <c r="E248" i="5"/>
  <c r="E315" i="5" s="1"/>
  <c r="H187" i="6"/>
  <c r="AF145" i="6"/>
  <c r="E191" i="6"/>
  <c r="E106" i="4"/>
  <c r="AF187" i="5"/>
  <c r="AF163" i="5"/>
  <c r="AF174" i="5"/>
  <c r="AF131" i="6"/>
  <c r="AF108" i="6"/>
  <c r="AF123" i="6"/>
  <c r="E161" i="6"/>
  <c r="E187" i="6"/>
  <c r="J237" i="5"/>
  <c r="J269" i="5"/>
  <c r="E188" i="6"/>
  <c r="Y188" i="6" s="1"/>
  <c r="E155" i="6"/>
  <c r="J236" i="5"/>
  <c r="J244" i="5"/>
  <c r="J252" i="5"/>
  <c r="E109" i="4"/>
  <c r="J292" i="5"/>
  <c r="F85" i="4"/>
  <c r="AG85" i="4" s="1"/>
  <c r="AH85" i="4" s="1"/>
  <c r="AG63" i="4"/>
  <c r="AH63" i="4" s="1"/>
  <c r="AF221" i="5"/>
  <c r="J231" i="5"/>
  <c r="J247" i="5"/>
  <c r="J263" i="5"/>
  <c r="Y258" i="5"/>
  <c r="AF113" i="6"/>
  <c r="AF201" i="5"/>
  <c r="AF169" i="5"/>
  <c r="AF106" i="6"/>
  <c r="AF197" i="5"/>
  <c r="AF165" i="5"/>
  <c r="AF104" i="6"/>
  <c r="AF235" i="5"/>
  <c r="AF154" i="6"/>
  <c r="F91" i="4"/>
  <c r="AG91" i="4" s="1"/>
  <c r="AH91" i="4" s="1"/>
  <c r="AG69" i="4"/>
  <c r="AH69" i="4" s="1"/>
  <c r="J173" i="6"/>
  <c r="AF192" i="5"/>
  <c r="H227" i="5"/>
  <c r="H294" i="5" s="1"/>
  <c r="AF160" i="5"/>
  <c r="Y259" i="5"/>
  <c r="AF105" i="6"/>
  <c r="AF206" i="5"/>
  <c r="AF186" i="5"/>
  <c r="AF166" i="5"/>
  <c r="E291" i="5"/>
  <c r="Y291" i="5" s="1"/>
  <c r="H338" i="5"/>
  <c r="AF271" i="5"/>
  <c r="H270" i="5"/>
  <c r="H337" i="5" s="1"/>
  <c r="AF203" i="5"/>
  <c r="AF179" i="5"/>
  <c r="AF159" i="5"/>
  <c r="AF167" i="5"/>
  <c r="E330" i="5"/>
  <c r="H153" i="6"/>
  <c r="H195" i="6" s="1"/>
  <c r="AF111" i="6"/>
  <c r="AF124" i="6"/>
  <c r="Y110" i="6"/>
  <c r="J157" i="6"/>
  <c r="AF112" i="6"/>
  <c r="Y107" i="6"/>
  <c r="J219" i="5"/>
  <c r="N219" i="5" s="1"/>
  <c r="E234" i="5"/>
  <c r="E250" i="5"/>
  <c r="Y183" i="5"/>
  <c r="J257" i="5"/>
  <c r="S26" i="4"/>
  <c r="E159" i="6"/>
  <c r="Y159" i="6" s="1"/>
  <c r="E156" i="6"/>
  <c r="Y156" i="6" s="1"/>
  <c r="J222" i="5"/>
  <c r="J230" i="5"/>
  <c r="J238" i="5"/>
  <c r="J254" i="5"/>
  <c r="J270" i="5"/>
  <c r="AF118" i="6"/>
  <c r="E196" i="6"/>
  <c r="H150" i="6"/>
  <c r="J164" i="6"/>
  <c r="J206" i="6" s="1"/>
  <c r="Y108" i="6"/>
  <c r="T46" i="6"/>
  <c r="AG168" i="6"/>
  <c r="AH168" i="6" s="1"/>
  <c r="F59" i="14"/>
  <c r="F41" i="14" s="1"/>
  <c r="AG126" i="6"/>
  <c r="AH126" i="6" s="1"/>
  <c r="F147" i="6"/>
  <c r="F189" i="6" s="1"/>
  <c r="AG189" i="6" s="1"/>
  <c r="AH189" i="6" s="1"/>
  <c r="F151" i="6"/>
  <c r="F193" i="6" s="1"/>
  <c r="AG193" i="6" s="1"/>
  <c r="AH193" i="6" s="1"/>
  <c r="H173" i="6"/>
  <c r="F165" i="6"/>
  <c r="E152" i="6"/>
  <c r="E168" i="6"/>
  <c r="Y126" i="6"/>
  <c r="H196" i="6"/>
  <c r="H166" i="6"/>
  <c r="F152" i="6"/>
  <c r="AG152" i="6" s="1"/>
  <c r="AH152" i="6" s="1"/>
  <c r="AG89" i="6"/>
  <c r="AG163" i="6"/>
  <c r="AH163" i="6" s="1"/>
  <c r="F205" i="6"/>
  <c r="AG205" i="6" s="1"/>
  <c r="AH205" i="6" s="1"/>
  <c r="AI205" i="5"/>
  <c r="AJ205" i="5" s="1"/>
  <c r="E314" i="5"/>
  <c r="Y247" i="5"/>
  <c r="H262" i="5"/>
  <c r="H329" i="5" s="1"/>
  <c r="H229" i="5"/>
  <c r="H296" i="5" s="1"/>
  <c r="G230" i="5"/>
  <c r="AI230" i="5" s="1"/>
  <c r="AJ230" i="5" s="1"/>
  <c r="H230" i="5"/>
  <c r="AG247" i="5"/>
  <c r="AH247" i="5" s="1"/>
  <c r="H248" i="5"/>
  <c r="AM154" i="5"/>
  <c r="H243" i="5"/>
  <c r="H266" i="5"/>
  <c r="AK162" i="5"/>
  <c r="AL162" i="5" s="1"/>
  <c r="AM162" i="5" s="1"/>
  <c r="AK206" i="5"/>
  <c r="AL206" i="5" s="1"/>
  <c r="AM206" i="5" s="1"/>
  <c r="H264" i="5"/>
  <c r="AI206" i="5"/>
  <c r="AJ206" i="5" s="1"/>
  <c r="H257" i="5"/>
  <c r="G233" i="5"/>
  <c r="G300" i="5" s="1"/>
  <c r="Y181" i="5"/>
  <c r="J221" i="5"/>
  <c r="J288" i="5" s="1"/>
  <c r="E316" i="5"/>
  <c r="Y316" i="5" s="1"/>
  <c r="H234" i="5"/>
  <c r="H301" i="5" s="1"/>
  <c r="H265" i="5"/>
  <c r="H259" i="5"/>
  <c r="H241" i="5"/>
  <c r="AK181" i="5"/>
  <c r="AL181" i="5" s="1"/>
  <c r="AM181" i="5" s="1"/>
  <c r="F327" i="5"/>
  <c r="AG327" i="5" s="1"/>
  <c r="AH327" i="5" s="1"/>
  <c r="AI163" i="5"/>
  <c r="AJ163" i="5" s="1"/>
  <c r="E261" i="5"/>
  <c r="AM228" i="5"/>
  <c r="AK205" i="5"/>
  <c r="AL205" i="5" s="1"/>
  <c r="AM205" i="5" s="1"/>
  <c r="AI169" i="5"/>
  <c r="AJ169" i="5" s="1"/>
  <c r="AK170" i="5"/>
  <c r="AL170" i="5" s="1"/>
  <c r="AM170" i="5" s="1"/>
  <c r="AI181" i="5"/>
  <c r="AJ181" i="5" s="1"/>
  <c r="H321" i="5"/>
  <c r="G295" i="5"/>
  <c r="AI295" i="5" s="1"/>
  <c r="AJ295" i="5" s="1"/>
  <c r="Y182" i="5"/>
  <c r="AI153" i="5"/>
  <c r="AJ153" i="5" s="1"/>
  <c r="Y223" i="5"/>
  <c r="E290" i="5"/>
  <c r="G236" i="5"/>
  <c r="AK236" i="5" s="1"/>
  <c r="AL236" i="5" s="1"/>
  <c r="AI160" i="5"/>
  <c r="AJ160" i="5" s="1"/>
  <c r="Y249" i="5"/>
  <c r="H226" i="5"/>
  <c r="H293" i="5" s="1"/>
  <c r="AK153" i="5"/>
  <c r="AL153" i="5" s="1"/>
  <c r="AM153" i="5" s="1"/>
  <c r="F236" i="5"/>
  <c r="AG236" i="5" s="1"/>
  <c r="AH236" i="5" s="1"/>
  <c r="Y266" i="5"/>
  <c r="G232" i="5"/>
  <c r="AI232" i="5" s="1"/>
  <c r="AJ232" i="5" s="1"/>
  <c r="AI155" i="5"/>
  <c r="AJ155" i="5" s="1"/>
  <c r="AI220" i="5"/>
  <c r="AJ220" i="5" s="1"/>
  <c r="G290" i="5"/>
  <c r="AK290" i="5" s="1"/>
  <c r="AL290" i="5" s="1"/>
  <c r="AI203" i="5"/>
  <c r="AJ203" i="5" s="1"/>
  <c r="AG193" i="5"/>
  <c r="AH193" i="5" s="1"/>
  <c r="E333" i="5"/>
  <c r="G287" i="5"/>
  <c r="AI287" i="5" s="1"/>
  <c r="AG172" i="5"/>
  <c r="AH172" i="5" s="1"/>
  <c r="AK177" i="5"/>
  <c r="AL177" i="5" s="1"/>
  <c r="AM177" i="5" s="1"/>
  <c r="Y174" i="5"/>
  <c r="E289" i="5"/>
  <c r="Y255" i="5"/>
  <c r="AG139" i="5"/>
  <c r="G269" i="5"/>
  <c r="AK269" i="5" s="1"/>
  <c r="AL269" i="5" s="1"/>
  <c r="AI177" i="5"/>
  <c r="AJ177" i="5" s="1"/>
  <c r="E241" i="5"/>
  <c r="AM184" i="5"/>
  <c r="AG271" i="5"/>
  <c r="AH271" i="5" s="1"/>
  <c r="AK179" i="5"/>
  <c r="AL179" i="5" s="1"/>
  <c r="AM179" i="5" s="1"/>
  <c r="G246" i="5"/>
  <c r="AI179" i="5"/>
  <c r="AJ179" i="5" s="1"/>
  <c r="AI185" i="5"/>
  <c r="AJ185" i="5" s="1"/>
  <c r="AK185" i="5"/>
  <c r="AL185" i="5" s="1"/>
  <c r="AM185" i="5" s="1"/>
  <c r="G252" i="5"/>
  <c r="AK191" i="5"/>
  <c r="AL191" i="5" s="1"/>
  <c r="AM191" i="5" s="1"/>
  <c r="G258" i="5"/>
  <c r="AI191" i="5"/>
  <c r="AJ191" i="5" s="1"/>
  <c r="H258" i="5"/>
  <c r="G251" i="5"/>
  <c r="AK251" i="5" s="1"/>
  <c r="AL251" i="5" s="1"/>
  <c r="G237" i="5"/>
  <c r="G304" i="5" s="1"/>
  <c r="AI200" i="5"/>
  <c r="AJ200" i="5" s="1"/>
  <c r="E244" i="5"/>
  <c r="E311" i="5" s="1"/>
  <c r="E257" i="5"/>
  <c r="H246" i="5"/>
  <c r="AI173" i="5"/>
  <c r="AJ173" i="5" s="1"/>
  <c r="AK173" i="5"/>
  <c r="AL173" i="5" s="1"/>
  <c r="AM173" i="5" s="1"/>
  <c r="G240" i="5"/>
  <c r="AK183" i="5"/>
  <c r="AL183" i="5" s="1"/>
  <c r="AM183" i="5" s="1"/>
  <c r="G250" i="5"/>
  <c r="AI183" i="5"/>
  <c r="AJ183" i="5" s="1"/>
  <c r="G256" i="5"/>
  <c r="AK189" i="5"/>
  <c r="AL189" i="5" s="1"/>
  <c r="AM189" i="5" s="1"/>
  <c r="AI189" i="5"/>
  <c r="AJ189" i="5" s="1"/>
  <c r="AK195" i="5"/>
  <c r="AL195" i="5" s="1"/>
  <c r="AM195" i="5" s="1"/>
  <c r="AI195" i="5"/>
  <c r="AJ195" i="5" s="1"/>
  <c r="G262" i="5"/>
  <c r="E253" i="5"/>
  <c r="Y186" i="5"/>
  <c r="Y202" i="5"/>
  <c r="E269" i="5"/>
  <c r="AK197" i="5"/>
  <c r="AL197" i="5" s="1"/>
  <c r="AM197" i="5" s="1"/>
  <c r="AI197" i="5"/>
  <c r="AJ197" i="5" s="1"/>
  <c r="G264" i="5"/>
  <c r="AI184" i="5"/>
  <c r="AJ184" i="5" s="1"/>
  <c r="G222" i="5"/>
  <c r="AK222" i="5" s="1"/>
  <c r="AL222" i="5" s="1"/>
  <c r="AK200" i="5"/>
  <c r="AL200" i="5" s="1"/>
  <c r="AM200" i="5" s="1"/>
  <c r="G270" i="5"/>
  <c r="AK270" i="5" s="1"/>
  <c r="AL270" i="5" s="1"/>
  <c r="H232" i="5"/>
  <c r="AM156" i="5"/>
  <c r="AK159" i="5"/>
  <c r="AL159" i="5" s="1"/>
  <c r="AM159" i="5" s="1"/>
  <c r="AI159" i="5"/>
  <c r="AJ159" i="5" s="1"/>
  <c r="G226" i="5"/>
  <c r="AI187" i="5"/>
  <c r="AJ187" i="5" s="1"/>
  <c r="G254" i="5"/>
  <c r="AK187" i="5"/>
  <c r="AL187" i="5" s="1"/>
  <c r="AM187" i="5" s="1"/>
  <c r="AK193" i="5"/>
  <c r="AL193" i="5" s="1"/>
  <c r="AM193" i="5" s="1"/>
  <c r="AI193" i="5"/>
  <c r="AJ193" i="5" s="1"/>
  <c r="G260" i="5"/>
  <c r="AI201" i="5"/>
  <c r="AJ201" i="5" s="1"/>
  <c r="G268" i="5"/>
  <c r="AK201" i="5"/>
  <c r="AL201" i="5" s="1"/>
  <c r="AM201" i="5" s="1"/>
  <c r="Y194" i="5"/>
  <c r="Y162" i="5"/>
  <c r="E229" i="5"/>
  <c r="Y178" i="5"/>
  <c r="E245" i="5"/>
  <c r="AK165" i="5"/>
  <c r="AL165" i="5" s="1"/>
  <c r="AM165" i="5" s="1"/>
  <c r="J239" i="5"/>
  <c r="AG205" i="5"/>
  <c r="AH205" i="5" s="1"/>
  <c r="Y190" i="5"/>
  <c r="H238" i="5"/>
  <c r="F255" i="5"/>
  <c r="AG188" i="5"/>
  <c r="AH188" i="5" s="1"/>
  <c r="AI175" i="5"/>
  <c r="AJ175" i="5" s="1"/>
  <c r="G242" i="5"/>
  <c r="AK175" i="5"/>
  <c r="AL175" i="5" s="1"/>
  <c r="AM175" i="5" s="1"/>
  <c r="E221" i="5"/>
  <c r="Y154" i="5"/>
  <c r="Y170" i="5"/>
  <c r="E237" i="5"/>
  <c r="E273" i="5"/>
  <c r="F226" i="5"/>
  <c r="AG159" i="5"/>
  <c r="AH159" i="5" s="1"/>
  <c r="AJ286" i="5"/>
  <c r="AK286" i="5" s="1"/>
  <c r="AL286" i="5" s="1"/>
  <c r="F92" i="4"/>
  <c r="AG92" i="4" s="1"/>
  <c r="AH92" i="4" s="1"/>
  <c r="Y67" i="4"/>
  <c r="F83" i="4"/>
  <c r="AG83" i="4" s="1"/>
  <c r="AH83" i="4" s="1"/>
  <c r="E90" i="4"/>
  <c r="Y64" i="4"/>
  <c r="F88" i="4"/>
  <c r="AG88" i="4" s="1"/>
  <c r="AH88" i="4" s="1"/>
  <c r="H84" i="4"/>
  <c r="AF84" i="4" s="1"/>
  <c r="J109" i="4"/>
  <c r="Y88" i="4"/>
  <c r="J89" i="4"/>
  <c r="Y91" i="4"/>
  <c r="J85" i="4"/>
  <c r="Y92" i="4"/>
  <c r="Y89" i="4"/>
  <c r="E111" i="4"/>
  <c r="F86" i="4"/>
  <c r="AG86" i="4" s="1"/>
  <c r="AH86" i="4" s="1"/>
  <c r="E113" i="4"/>
  <c r="F84" i="4"/>
  <c r="AG84" i="4" s="1"/>
  <c r="AH84" i="4" s="1"/>
  <c r="J169" i="3"/>
  <c r="J172" i="7"/>
  <c r="I200" i="7" s="1"/>
  <c r="G72" i="11" s="1"/>
  <c r="H211" i="6"/>
  <c r="AG131" i="6"/>
  <c r="AH131" i="6" s="1"/>
  <c r="H172" i="6"/>
  <c r="Y149" i="6"/>
  <c r="J132" i="6"/>
  <c r="H58" i="14" s="1"/>
  <c r="H44" i="14" s="1"/>
  <c r="G322" i="5"/>
  <c r="AI322" i="5" s="1"/>
  <c r="AJ322" i="5" s="1"/>
  <c r="F339" i="5"/>
  <c r="AG339" i="5" s="1"/>
  <c r="AH339" i="5" s="1"/>
  <c r="AK255" i="5"/>
  <c r="AL255" i="5" s="1"/>
  <c r="J335" i="5"/>
  <c r="AI223" i="5"/>
  <c r="AJ223" i="5" s="1"/>
  <c r="AI168" i="5"/>
  <c r="AJ168" i="5" s="1"/>
  <c r="Y193" i="5"/>
  <c r="AI202" i="5"/>
  <c r="AJ202" i="5" s="1"/>
  <c r="J255" i="5"/>
  <c r="H302" i="5"/>
  <c r="AK168" i="5"/>
  <c r="AL168" i="5" s="1"/>
  <c r="AM168" i="5" s="1"/>
  <c r="F264" i="5"/>
  <c r="AG264" i="5" s="1"/>
  <c r="AH264" i="5" s="1"/>
  <c r="J207" i="5"/>
  <c r="H57" i="14" s="1"/>
  <c r="H43" i="14" s="1"/>
  <c r="H334" i="5"/>
  <c r="E326" i="5"/>
  <c r="AM160" i="5"/>
  <c r="L32" i="3"/>
  <c r="J70" i="7"/>
  <c r="I193" i="7" s="1"/>
  <c r="I199" i="7"/>
  <c r="G71" i="11" s="1"/>
  <c r="H199" i="7"/>
  <c r="F71" i="11" s="1"/>
  <c r="H76" i="14"/>
  <c r="F76" i="14"/>
  <c r="G76" i="14"/>
  <c r="F30" i="16"/>
  <c r="K8" i="7"/>
  <c r="L8" i="7" s="1"/>
  <c r="J10" i="7"/>
  <c r="J9" i="3"/>
  <c r="I10" i="3"/>
  <c r="H16" i="7"/>
  <c r="H19" i="7" s="1"/>
  <c r="H41" i="7" s="1"/>
  <c r="E125" i="19"/>
  <c r="F125" i="19" s="1"/>
  <c r="G15" i="11"/>
  <c r="I70" i="14"/>
  <c r="J77" i="3"/>
  <c r="J154" i="3" s="1"/>
  <c r="U16" i="9"/>
  <c r="AK198" i="5"/>
  <c r="AL198" i="5" s="1"/>
  <c r="AM198" i="5" s="1"/>
  <c r="G265" i="5"/>
  <c r="AI198" i="5"/>
  <c r="AJ198" i="5" s="1"/>
  <c r="E167" i="6"/>
  <c r="Y125" i="6"/>
  <c r="H225" i="5"/>
  <c r="AH61" i="6"/>
  <c r="F25" i="16"/>
  <c r="T13" i="9"/>
  <c r="AH139" i="5"/>
  <c r="G227" i="5"/>
  <c r="G294" i="5" s="1"/>
  <c r="H52" i="2"/>
  <c r="H249" i="5"/>
  <c r="E206" i="6"/>
  <c r="F150" i="6"/>
  <c r="AG108" i="6"/>
  <c r="AH108" i="6" s="1"/>
  <c r="G245" i="5"/>
  <c r="AI178" i="5"/>
  <c r="AJ178" i="5" s="1"/>
  <c r="AK178" i="5"/>
  <c r="AL178" i="5" s="1"/>
  <c r="AM178" i="5" s="1"/>
  <c r="G249" i="5"/>
  <c r="AI182" i="5"/>
  <c r="AJ182" i="5" s="1"/>
  <c r="AK182" i="5"/>
  <c r="AL182" i="5" s="1"/>
  <c r="AM182" i="5" s="1"/>
  <c r="G253" i="5"/>
  <c r="AI186" i="5"/>
  <c r="AJ186" i="5" s="1"/>
  <c r="AK186" i="5"/>
  <c r="AL186" i="5" s="1"/>
  <c r="AM186" i="5" s="1"/>
  <c r="G259" i="5"/>
  <c r="AK192" i="5"/>
  <c r="AL192" i="5" s="1"/>
  <c r="AM192" i="5" s="1"/>
  <c r="AI192" i="5"/>
  <c r="AJ192" i="5" s="1"/>
  <c r="F220" i="5"/>
  <c r="AG153" i="5"/>
  <c r="AH153" i="5" s="1"/>
  <c r="AG161" i="5"/>
  <c r="AH161" i="5" s="1"/>
  <c r="F228" i="5"/>
  <c r="F248" i="5"/>
  <c r="AG181" i="5"/>
  <c r="AH181" i="5" s="1"/>
  <c r="F268" i="5"/>
  <c r="AG201" i="5"/>
  <c r="AH201" i="5" s="1"/>
  <c r="AG112" i="6"/>
  <c r="AH112" i="6" s="1"/>
  <c r="F154" i="6"/>
  <c r="AG120" i="6"/>
  <c r="AH120" i="6" s="1"/>
  <c r="F162" i="6"/>
  <c r="J15" i="3"/>
  <c r="H261" i="5"/>
  <c r="Y239" i="5"/>
  <c r="I29" i="13"/>
  <c r="F70" i="14"/>
  <c r="AG128" i="6"/>
  <c r="AH128" i="6" s="1"/>
  <c r="F170" i="6"/>
  <c r="G263" i="5"/>
  <c r="AI196" i="5"/>
  <c r="AJ196" i="5" s="1"/>
  <c r="AK196" i="5"/>
  <c r="AL196" i="5" s="1"/>
  <c r="AM196" i="5" s="1"/>
  <c r="AG263" i="5"/>
  <c r="AH263" i="5" s="1"/>
  <c r="F330" i="5"/>
  <c r="AG330" i="5" s="1"/>
  <c r="AH330" i="5" s="1"/>
  <c r="F252" i="5"/>
  <c r="AG185" i="5"/>
  <c r="AH185" i="5" s="1"/>
  <c r="H147" i="6"/>
  <c r="H162" i="6"/>
  <c r="H273" i="5"/>
  <c r="H253" i="5"/>
  <c r="H245" i="5"/>
  <c r="H233" i="5"/>
  <c r="J31" i="2"/>
  <c r="L38" i="3" s="1"/>
  <c r="L44" i="3" s="1"/>
  <c r="K38" i="3"/>
  <c r="K44" i="3" s="1"/>
  <c r="AK158" i="5"/>
  <c r="AL158" i="5" s="1"/>
  <c r="AM158" i="5" s="1"/>
  <c r="G225" i="5"/>
  <c r="AI158" i="5"/>
  <c r="AJ158" i="5" s="1"/>
  <c r="AI164" i="5"/>
  <c r="AJ164" i="5" s="1"/>
  <c r="AK164" i="5"/>
  <c r="AL164" i="5" s="1"/>
  <c r="AM164" i="5" s="1"/>
  <c r="G231" i="5"/>
  <c r="AI172" i="5"/>
  <c r="AJ172" i="5" s="1"/>
  <c r="G239" i="5"/>
  <c r="AK172" i="5"/>
  <c r="AL172" i="5" s="1"/>
  <c r="AM172" i="5" s="1"/>
  <c r="AK174" i="5"/>
  <c r="AL174" i="5" s="1"/>
  <c r="AM174" i="5" s="1"/>
  <c r="G241" i="5"/>
  <c r="AI174" i="5"/>
  <c r="AJ174" i="5" s="1"/>
  <c r="AI204" i="5"/>
  <c r="AJ204" i="5" s="1"/>
  <c r="AK204" i="5"/>
  <c r="AL204" i="5" s="1"/>
  <c r="AM204" i="5" s="1"/>
  <c r="G271" i="5"/>
  <c r="H170" i="6"/>
  <c r="H269" i="5"/>
  <c r="H237" i="5"/>
  <c r="Y224" i="5"/>
  <c r="G70" i="14"/>
  <c r="T17" i="9"/>
  <c r="H318" i="5"/>
  <c r="E306" i="5"/>
  <c r="H322" i="5"/>
  <c r="AI176" i="5"/>
  <c r="AJ176" i="5" s="1"/>
  <c r="AK176" i="5"/>
  <c r="AL176" i="5" s="1"/>
  <c r="AM176" i="5" s="1"/>
  <c r="G243" i="5"/>
  <c r="G257" i="5"/>
  <c r="AI190" i="5"/>
  <c r="AJ190" i="5" s="1"/>
  <c r="AK190" i="5"/>
  <c r="AL190" i="5" s="1"/>
  <c r="AM190" i="5" s="1"/>
  <c r="G261" i="5"/>
  <c r="AI194" i="5"/>
  <c r="AJ194" i="5" s="1"/>
  <c r="AK194" i="5"/>
  <c r="AL194" i="5" s="1"/>
  <c r="AM194" i="5" s="1"/>
  <c r="H306" i="5"/>
  <c r="AG157" i="5"/>
  <c r="AH157" i="5" s="1"/>
  <c r="F224" i="5"/>
  <c r="F232" i="5"/>
  <c r="AG165" i="5"/>
  <c r="AH165" i="5" s="1"/>
  <c r="AG177" i="5"/>
  <c r="AH177" i="5" s="1"/>
  <c r="F244" i="5"/>
  <c r="AG189" i="5"/>
  <c r="AH189" i="5" s="1"/>
  <c r="F256" i="5"/>
  <c r="AG104" i="6"/>
  <c r="AH104" i="6" s="1"/>
  <c r="F146" i="6"/>
  <c r="AG124" i="6"/>
  <c r="AH124" i="6" s="1"/>
  <c r="F166" i="6"/>
  <c r="H168" i="6"/>
  <c r="H107" i="4"/>
  <c r="AM180" i="5"/>
  <c r="H167" i="6"/>
  <c r="F39" i="16"/>
  <c r="G45" i="13"/>
  <c r="E220" i="5"/>
  <c r="AG174" i="5"/>
  <c r="AH174" i="5" s="1"/>
  <c r="F241" i="5"/>
  <c r="AG206" i="5"/>
  <c r="AH206" i="5" s="1"/>
  <c r="F273" i="5"/>
  <c r="H109" i="4"/>
  <c r="AG182" i="5"/>
  <c r="AH182" i="5" s="1"/>
  <c r="F249" i="5"/>
  <c r="H263" i="5"/>
  <c r="H231" i="5"/>
  <c r="Y228" i="5"/>
  <c r="H27" i="7"/>
  <c r="H30" i="7" s="1"/>
  <c r="F225" i="5"/>
  <c r="AG158" i="5"/>
  <c r="AH158" i="5" s="1"/>
  <c r="AG190" i="5"/>
  <c r="AH190" i="5" s="1"/>
  <c r="F257" i="5"/>
  <c r="H114" i="4"/>
  <c r="AI247" i="5"/>
  <c r="AJ247" i="5" s="1"/>
  <c r="AK247" i="5"/>
  <c r="AL247" i="5" s="1"/>
  <c r="G314" i="5"/>
  <c r="H290" i="5"/>
  <c r="E173" i="6"/>
  <c r="Y131" i="6"/>
  <c r="AG125" i="6"/>
  <c r="AH125" i="6" s="1"/>
  <c r="F167" i="6"/>
  <c r="Y254" i="5"/>
  <c r="E321" i="5"/>
  <c r="H247" i="5"/>
  <c r="J148" i="6"/>
  <c r="J55" i="12"/>
  <c r="Y170" i="6"/>
  <c r="F233" i="5"/>
  <c r="AG166" i="5"/>
  <c r="AH166" i="5" s="1"/>
  <c r="F265" i="5"/>
  <c r="AG198" i="5"/>
  <c r="AH198" i="5" s="1"/>
  <c r="E165" i="6"/>
  <c r="Y123" i="6"/>
  <c r="H191" i="6"/>
  <c r="Y164" i="6"/>
  <c r="H152" i="6"/>
  <c r="H272" i="5"/>
  <c r="H256" i="5"/>
  <c r="H240" i="5"/>
  <c r="H224" i="5"/>
  <c r="H201" i="6"/>
  <c r="H202" i="6"/>
  <c r="E302" i="5"/>
  <c r="H157" i="6"/>
  <c r="H148" i="6"/>
  <c r="H200" i="6"/>
  <c r="H309" i="5"/>
  <c r="H161" i="6"/>
  <c r="H146" i="6"/>
  <c r="H198" i="6"/>
  <c r="F28" i="16"/>
  <c r="H74" i="14"/>
  <c r="G74" i="14"/>
  <c r="F74" i="14"/>
  <c r="AG162" i="5"/>
  <c r="AH162" i="5" s="1"/>
  <c r="F229" i="5"/>
  <c r="F237" i="5"/>
  <c r="AG170" i="5"/>
  <c r="AH170" i="5" s="1"/>
  <c r="AG178" i="5"/>
  <c r="AH178" i="5" s="1"/>
  <c r="F245" i="5"/>
  <c r="F253" i="5"/>
  <c r="AG186" i="5"/>
  <c r="AH186" i="5" s="1"/>
  <c r="AG194" i="5"/>
  <c r="AH194" i="5" s="1"/>
  <c r="F261" i="5"/>
  <c r="F269" i="5"/>
  <c r="AG202" i="5"/>
  <c r="AH202" i="5" s="1"/>
  <c r="F153" i="6"/>
  <c r="AG111" i="6"/>
  <c r="AH111" i="6" s="1"/>
  <c r="F159" i="6"/>
  <c r="AG117" i="6"/>
  <c r="AH117" i="6" s="1"/>
  <c r="J46" i="12"/>
  <c r="J45" i="13" s="1"/>
  <c r="K44" i="12"/>
  <c r="K46" i="12" s="1"/>
  <c r="F40" i="16"/>
  <c r="G26" i="13"/>
  <c r="G27" i="13" s="1"/>
  <c r="AG154" i="5"/>
  <c r="AH154" i="5" s="1"/>
  <c r="F221" i="5"/>
  <c r="AG168" i="5"/>
  <c r="AH168" i="5" s="1"/>
  <c r="F235" i="5"/>
  <c r="F243" i="5"/>
  <c r="AG176" i="5"/>
  <c r="AH176" i="5" s="1"/>
  <c r="AG184" i="5"/>
  <c r="AH184" i="5" s="1"/>
  <c r="F251" i="5"/>
  <c r="F259" i="5"/>
  <c r="AG192" i="5"/>
  <c r="AH192" i="5" s="1"/>
  <c r="F267" i="5"/>
  <c r="AG200" i="5"/>
  <c r="AH200" i="5" s="1"/>
  <c r="AG103" i="6"/>
  <c r="AH103" i="6" s="1"/>
  <c r="F145" i="6"/>
  <c r="F157" i="6"/>
  <c r="AG115" i="6"/>
  <c r="AH115" i="6" s="1"/>
  <c r="F169" i="6"/>
  <c r="AG127" i="6"/>
  <c r="AH127" i="6" s="1"/>
  <c r="G39" i="16"/>
  <c r="H45" i="13"/>
  <c r="F37" i="10"/>
  <c r="H109" i="7" s="1"/>
  <c r="F36" i="10"/>
  <c r="H108" i="7" s="1"/>
  <c r="AG152" i="5"/>
  <c r="F219" i="5"/>
  <c r="F230" i="5"/>
  <c r="AG163" i="5"/>
  <c r="AH163" i="5" s="1"/>
  <c r="AG179" i="5"/>
  <c r="AH179" i="5" s="1"/>
  <c r="F246" i="5"/>
  <c r="AG195" i="5"/>
  <c r="AH195" i="5" s="1"/>
  <c r="F262" i="5"/>
  <c r="F160" i="6"/>
  <c r="AG118" i="6"/>
  <c r="AH118" i="6" s="1"/>
  <c r="Y169" i="5"/>
  <c r="E236" i="5"/>
  <c r="AG122" i="6"/>
  <c r="AH122" i="6" s="1"/>
  <c r="F164" i="6"/>
  <c r="E256" i="5"/>
  <c r="Y189" i="5"/>
  <c r="F215" i="6"/>
  <c r="AG215" i="6" s="1"/>
  <c r="AH215" i="6" s="1"/>
  <c r="AG173" i="6"/>
  <c r="AH173" i="6" s="1"/>
  <c r="E293" i="5"/>
  <c r="Y226" i="5"/>
  <c r="E325" i="5"/>
  <c r="H155" i="6"/>
  <c r="H171" i="6"/>
  <c r="H236" i="5"/>
  <c r="H228" i="5"/>
  <c r="E318" i="5"/>
  <c r="Y251" i="5"/>
  <c r="Y334" i="5"/>
  <c r="J212" i="6"/>
  <c r="E313" i="5"/>
  <c r="J160" i="6"/>
  <c r="J172" i="6"/>
  <c r="AG191" i="5"/>
  <c r="AH191" i="5" s="1"/>
  <c r="F258" i="5"/>
  <c r="E252" i="5"/>
  <c r="Y185" i="5"/>
  <c r="E272" i="5"/>
  <c r="Y205" i="5"/>
  <c r="F227" i="5"/>
  <c r="AG160" i="5"/>
  <c r="AH160" i="5" s="1"/>
  <c r="F238" i="5"/>
  <c r="AG171" i="5"/>
  <c r="AH171" i="5" s="1"/>
  <c r="F254" i="5"/>
  <c r="AG187" i="5"/>
  <c r="AH187" i="5" s="1"/>
  <c r="F270" i="5"/>
  <c r="AG203" i="5"/>
  <c r="AH203" i="5" s="1"/>
  <c r="E268" i="5"/>
  <c r="Y201" i="5"/>
  <c r="E298" i="5"/>
  <c r="Y231" i="5"/>
  <c r="J227" i="5"/>
  <c r="J235" i="5"/>
  <c r="J251" i="5"/>
  <c r="J259" i="5"/>
  <c r="J267" i="5"/>
  <c r="H317" i="5"/>
  <c r="H163" i="6"/>
  <c r="H268" i="5"/>
  <c r="H260" i="5"/>
  <c r="H252" i="5"/>
  <c r="H244" i="5"/>
  <c r="H287" i="5"/>
  <c r="AG144" i="6"/>
  <c r="AH144" i="6" s="1"/>
  <c r="F172" i="6"/>
  <c r="AG130" i="6"/>
  <c r="AH130" i="6" s="1"/>
  <c r="AG175" i="5"/>
  <c r="AH175" i="5" s="1"/>
  <c r="F242" i="5"/>
  <c r="AG114" i="6"/>
  <c r="F156" i="6"/>
  <c r="F223" i="5"/>
  <c r="AG156" i="5"/>
  <c r="AH156" i="5" s="1"/>
  <c r="F234" i="5"/>
  <c r="AG167" i="5"/>
  <c r="AH167" i="5" s="1"/>
  <c r="AG183" i="5"/>
  <c r="AH183" i="5" s="1"/>
  <c r="F250" i="5"/>
  <c r="F266" i="5"/>
  <c r="AG199" i="5"/>
  <c r="AH199" i="5" s="1"/>
  <c r="E171" i="6"/>
  <c r="Y129" i="6"/>
  <c r="E240" i="5"/>
  <c r="Y173" i="5"/>
  <c r="Y270" i="5"/>
  <c r="E337" i="5"/>
  <c r="E214" i="6"/>
  <c r="Y172" i="6"/>
  <c r="H288" i="5"/>
  <c r="E294" i="5"/>
  <c r="Y227" i="5"/>
  <c r="H289" i="5"/>
  <c r="J156" i="6"/>
  <c r="J73" i="2"/>
  <c r="J78" i="2" s="1"/>
  <c r="I39" i="16"/>
  <c r="I73" i="2"/>
  <c r="I78" i="2" s="1"/>
  <c r="S16" i="9"/>
  <c r="S13" i="9"/>
  <c r="T14" i="9"/>
  <c r="S15" i="9"/>
  <c r="T16" i="9"/>
  <c r="T18" i="9"/>
  <c r="H39" i="10" s="1"/>
  <c r="J111" i="7" s="1"/>
  <c r="S14" i="9"/>
  <c r="S18" i="9"/>
  <c r="H34" i="10"/>
  <c r="J106" i="7" s="1"/>
  <c r="H37" i="10"/>
  <c r="J109" i="7" s="1"/>
  <c r="K17" i="7"/>
  <c r="K31" i="7"/>
  <c r="H64" i="14"/>
  <c r="I61" i="2"/>
  <c r="I66" i="2" s="1"/>
  <c r="K26" i="3"/>
  <c r="K28" i="3" s="1"/>
  <c r="H45" i="16"/>
  <c r="G40" i="16"/>
  <c r="H26" i="13"/>
  <c r="H27" i="13" s="1"/>
  <c r="H40" i="16"/>
  <c r="I26" i="13"/>
  <c r="I27" i="13" s="1"/>
  <c r="I40" i="16"/>
  <c r="J26" i="13"/>
  <c r="J27" i="13" s="1"/>
  <c r="E204" i="6"/>
  <c r="E208" i="6"/>
  <c r="K16" i="8"/>
  <c r="K19" i="8" s="1"/>
  <c r="L16" i="8" s="1"/>
  <c r="L19" i="8" s="1"/>
  <c r="M16" i="8" s="1"/>
  <c r="M19" i="8" s="1"/>
  <c r="N16" i="8" s="1"/>
  <c r="N19" i="8" s="1"/>
  <c r="O16" i="8" s="1"/>
  <c r="O19" i="8" s="1"/>
  <c r="F26" i="8" s="1"/>
  <c r="F29" i="8" s="1"/>
  <c r="G26" i="8" s="1"/>
  <c r="G29" i="8" s="1"/>
  <c r="H26" i="8" s="1"/>
  <c r="H29" i="8" s="1"/>
  <c r="I26" i="8" s="1"/>
  <c r="I29" i="8" s="1"/>
  <c r="J26" i="8" s="1"/>
  <c r="J29" i="8" s="1"/>
  <c r="K26" i="8" s="1"/>
  <c r="K29" i="8" s="1"/>
  <c r="L26" i="8" s="1"/>
  <c r="L29" i="8" s="1"/>
  <c r="M26" i="8" s="1"/>
  <c r="M29" i="8" s="1"/>
  <c r="N26" i="8" s="1"/>
  <c r="N29" i="8" s="1"/>
  <c r="O26" i="8" s="1"/>
  <c r="O29" i="8" s="1"/>
  <c r="K38" i="12"/>
  <c r="K42" i="12" s="1"/>
  <c r="J97" i="3"/>
  <c r="Y295" i="5"/>
  <c r="AK273" i="5"/>
  <c r="AL273" i="5" s="1"/>
  <c r="AI273" i="5"/>
  <c r="AJ273" i="5" s="1"/>
  <c r="G340" i="5"/>
  <c r="E292" i="5"/>
  <c r="Y225" i="5"/>
  <c r="AK267" i="5"/>
  <c r="AL267" i="5" s="1"/>
  <c r="AI267" i="5"/>
  <c r="AJ267" i="5" s="1"/>
  <c r="G334" i="5"/>
  <c r="E300" i="5"/>
  <c r="Y233" i="5"/>
  <c r="H297" i="5"/>
  <c r="AK235" i="5"/>
  <c r="AL235" i="5" s="1"/>
  <c r="AI235" i="5"/>
  <c r="AJ235" i="5" s="1"/>
  <c r="G302" i="5"/>
  <c r="J307" i="5"/>
  <c r="J332" i="5"/>
  <c r="I8" i="12"/>
  <c r="I8" i="11"/>
  <c r="H15" i="3"/>
  <c r="H21" i="3" s="1"/>
  <c r="U18" i="9"/>
  <c r="U13" i="9"/>
  <c r="H111" i="7"/>
  <c r="U17" i="9"/>
  <c r="I38" i="10" s="1"/>
  <c r="K110" i="7" s="1"/>
  <c r="U14" i="9"/>
  <c r="I35" i="10" s="1"/>
  <c r="K107" i="7" s="1"/>
  <c r="G315" i="5"/>
  <c r="AI248" i="5"/>
  <c r="AJ248" i="5" s="1"/>
  <c r="AK248" i="5"/>
  <c r="AL248" i="5" s="1"/>
  <c r="J328" i="5"/>
  <c r="K125" i="19"/>
  <c r="J126" i="19"/>
  <c r="X83" i="9"/>
  <c r="X36" i="9"/>
  <c r="X76" i="9"/>
  <c r="X114" i="9"/>
  <c r="X92" i="9"/>
  <c r="X45" i="9"/>
  <c r="X108" i="9"/>
  <c r="X144" i="9"/>
  <c r="X69" i="9"/>
  <c r="X48" i="9"/>
  <c r="X88" i="9"/>
  <c r="X96" i="9"/>
  <c r="X95" i="9"/>
  <c r="X103" i="9"/>
  <c r="X82" i="9"/>
  <c r="X106" i="9"/>
  <c r="X135" i="9"/>
  <c r="X46" i="9"/>
  <c r="X134" i="9"/>
  <c r="X19" i="9"/>
  <c r="X139" i="9"/>
  <c r="X97" i="9"/>
  <c r="X52" i="9"/>
  <c r="X22" i="9"/>
  <c r="X132" i="9"/>
  <c r="X38" i="9"/>
  <c r="X61" i="9"/>
  <c r="X17" i="9"/>
  <c r="X57" i="9"/>
  <c r="X31" i="9"/>
  <c r="X73" i="9"/>
  <c r="X113" i="9"/>
  <c r="X62" i="9"/>
  <c r="X129" i="9"/>
  <c r="X78" i="9"/>
  <c r="X41" i="9"/>
  <c r="X65" i="9"/>
  <c r="X28" i="9"/>
  <c r="X116" i="9"/>
  <c r="X35" i="9"/>
  <c r="X75" i="9"/>
  <c r="X145" i="9"/>
  <c r="X142" i="9"/>
  <c r="X107" i="9"/>
  <c r="X115" i="9"/>
  <c r="X74" i="9"/>
  <c r="X39" i="9"/>
  <c r="X79" i="9"/>
  <c r="X14" i="9"/>
  <c r="F24" i="10" s="1"/>
  <c r="F56" i="10" s="1"/>
  <c r="G13" i="10" s="1"/>
  <c r="G56" i="10" s="1"/>
  <c r="H13" i="10" s="1"/>
  <c r="H56" i="10" s="1"/>
  <c r="I13" i="10" s="1"/>
  <c r="X102" i="9"/>
  <c r="X25" i="9"/>
  <c r="X49" i="9"/>
  <c r="X137" i="9"/>
  <c r="X34" i="9"/>
  <c r="X122" i="9"/>
  <c r="X125" i="9"/>
  <c r="X131" i="9"/>
  <c r="X126" i="9"/>
  <c r="X27" i="9"/>
  <c r="X141" i="9"/>
  <c r="X54" i="9"/>
  <c r="X120" i="9"/>
  <c r="X58" i="9"/>
  <c r="X98" i="9"/>
  <c r="X138" i="9"/>
  <c r="X47" i="9"/>
  <c r="X71" i="9"/>
  <c r="X63" i="9"/>
  <c r="X87" i="9"/>
  <c r="X59" i="9"/>
  <c r="X67" i="9"/>
  <c r="X26" i="9"/>
  <c r="X50" i="9"/>
  <c r="X37" i="9"/>
  <c r="X77" i="9"/>
  <c r="X85" i="9"/>
  <c r="X84" i="9"/>
  <c r="X109" i="9"/>
  <c r="X117" i="9"/>
  <c r="X32" i="9"/>
  <c r="X136" i="9"/>
  <c r="X81" i="9"/>
  <c r="X20" i="9"/>
  <c r="X44" i="9"/>
  <c r="X43" i="9"/>
  <c r="X51" i="9"/>
  <c r="X91" i="9"/>
  <c r="X72" i="9"/>
  <c r="X80" i="9"/>
  <c r="X15" i="9"/>
  <c r="X133" i="9"/>
  <c r="X68" i="9"/>
  <c r="X29" i="9"/>
  <c r="X99" i="9"/>
  <c r="X60" i="9"/>
  <c r="X86" i="9"/>
  <c r="X143" i="9"/>
  <c r="X140" i="9"/>
  <c r="X64" i="9"/>
  <c r="X146" i="9"/>
  <c r="X119" i="9"/>
  <c r="X124" i="9"/>
  <c r="X40" i="9"/>
  <c r="X55" i="9"/>
  <c r="X56" i="9"/>
  <c r="X127" i="9"/>
  <c r="X121" i="9"/>
  <c r="X24" i="9"/>
  <c r="X130" i="9"/>
  <c r="X93" i="9"/>
  <c r="X94" i="9"/>
  <c r="X105" i="9"/>
  <c r="X90" i="9"/>
  <c r="X16" i="9"/>
  <c r="X23" i="9"/>
  <c r="X33" i="9"/>
  <c r="X89" i="9"/>
  <c r="X18" i="9"/>
  <c r="X104" i="9"/>
  <c r="X111" i="9"/>
  <c r="X100" i="9"/>
  <c r="X123" i="9"/>
  <c r="X112" i="9"/>
  <c r="X30" i="9"/>
  <c r="X13" i="9"/>
  <c r="X110" i="9"/>
  <c r="X128" i="9"/>
  <c r="X21" i="9"/>
  <c r="X42" i="9"/>
  <c r="X53" i="9"/>
  <c r="X70" i="9"/>
  <c r="X118" i="9"/>
  <c r="X66" i="9"/>
  <c r="X101" i="9"/>
  <c r="U34" i="9"/>
  <c r="U39" i="9"/>
  <c r="U37" i="9"/>
  <c r="U61" i="9"/>
  <c r="U49" i="9"/>
  <c r="U83" i="9"/>
  <c r="U53" i="9"/>
  <c r="U137" i="9"/>
  <c r="U114" i="9"/>
  <c r="U116" i="9"/>
  <c r="U24" i="9"/>
  <c r="U109" i="9"/>
  <c r="U118" i="9"/>
  <c r="U139" i="9"/>
  <c r="U62" i="9"/>
  <c r="U105" i="9"/>
  <c r="U145" i="9"/>
  <c r="U92" i="9"/>
  <c r="U128" i="9"/>
  <c r="U97" i="9"/>
  <c r="U20" i="9"/>
  <c r="U113" i="9"/>
  <c r="U134" i="9"/>
  <c r="U115" i="9"/>
  <c r="U120" i="9"/>
  <c r="U59" i="9"/>
  <c r="U41" i="9"/>
  <c r="AA7" i="9"/>
  <c r="U46" i="9"/>
  <c r="U56" i="9"/>
  <c r="U35" i="9"/>
  <c r="U43" i="9"/>
  <c r="U51" i="9"/>
  <c r="U82" i="9"/>
  <c r="U80" i="9"/>
  <c r="U60" i="9"/>
  <c r="U50" i="9"/>
  <c r="U36" i="9"/>
  <c r="U33" i="9"/>
  <c r="U19" i="9"/>
  <c r="U70" i="9"/>
  <c r="U69" i="9"/>
  <c r="U122" i="9"/>
  <c r="U119" i="9"/>
  <c r="U66" i="9"/>
  <c r="U125" i="9"/>
  <c r="U88" i="9"/>
  <c r="U95" i="9"/>
  <c r="U112" i="9"/>
  <c r="U117" i="9"/>
  <c r="U102" i="9"/>
  <c r="U77" i="9"/>
  <c r="U23" i="9"/>
  <c r="U32" i="9"/>
  <c r="U22" i="9"/>
  <c r="U130" i="9"/>
  <c r="U127" i="9"/>
  <c r="U104" i="9"/>
  <c r="U133" i="9"/>
  <c r="U94" i="9"/>
  <c r="U98" i="9"/>
  <c r="U136" i="9"/>
  <c r="U141" i="9"/>
  <c r="U106" i="9"/>
  <c r="U111" i="9"/>
  <c r="U89" i="9"/>
  <c r="U100" i="9"/>
  <c r="U64" i="9"/>
  <c r="U78" i="9"/>
  <c r="U142" i="9"/>
  <c r="U87" i="9"/>
  <c r="U99" i="9"/>
  <c r="U21" i="9"/>
  <c r="U26" i="9"/>
  <c r="U40" i="9"/>
  <c r="U54" i="9"/>
  <c r="U68" i="9"/>
  <c r="U76" i="9"/>
  <c r="U74" i="9"/>
  <c r="U84" i="9"/>
  <c r="U67" i="9"/>
  <c r="U75" i="9"/>
  <c r="U52" i="9"/>
  <c r="U65" i="9"/>
  <c r="U25" i="9"/>
  <c r="U48" i="9"/>
  <c r="U45" i="9"/>
  <c r="U121" i="9"/>
  <c r="U146" i="9"/>
  <c r="U108" i="9"/>
  <c r="U143" i="9"/>
  <c r="U101" i="9"/>
  <c r="U110" i="9"/>
  <c r="U135" i="9"/>
  <c r="U81" i="9"/>
  <c r="U91" i="9"/>
  <c r="U123" i="9"/>
  <c r="U96" i="9"/>
  <c r="U124" i="9"/>
  <c r="U72" i="9"/>
  <c r="U73" i="9"/>
  <c r="U144" i="9"/>
  <c r="U126" i="9"/>
  <c r="U103" i="9"/>
  <c r="U90" i="9"/>
  <c r="U85" i="9"/>
  <c r="U86" i="9"/>
  <c r="U79" i="9"/>
  <c r="U71" i="9"/>
  <c r="U38" i="9"/>
  <c r="U58" i="9"/>
  <c r="U31" i="9"/>
  <c r="U29" i="9"/>
  <c r="U57" i="9"/>
  <c r="U132" i="9"/>
  <c r="U42" i="9"/>
  <c r="U63" i="9"/>
  <c r="U93" i="9"/>
  <c r="U131" i="9"/>
  <c r="U44" i="9"/>
  <c r="U55" i="9"/>
  <c r="U140" i="9"/>
  <c r="U138" i="9"/>
  <c r="U30" i="9"/>
  <c r="U47" i="9"/>
  <c r="U107" i="9"/>
  <c r="U129" i="9"/>
  <c r="U28" i="9"/>
  <c r="U27" i="9"/>
  <c r="AI221" i="5"/>
  <c r="AJ221" i="5" s="1"/>
  <c r="AK221" i="5"/>
  <c r="AL221" i="5" s="1"/>
  <c r="P11" i="9"/>
  <c r="S77" i="9"/>
  <c r="S131" i="9"/>
  <c r="S40" i="9"/>
  <c r="S127" i="9"/>
  <c r="S29" i="9"/>
  <c r="S90" i="9"/>
  <c r="S125" i="9"/>
  <c r="S30" i="9"/>
  <c r="S45" i="9"/>
  <c r="S81" i="9"/>
  <c r="S139" i="9"/>
  <c r="S119" i="9"/>
  <c r="S104" i="9"/>
  <c r="S132" i="9"/>
  <c r="S38" i="9"/>
  <c r="S123" i="9"/>
  <c r="S89" i="9"/>
  <c r="S85" i="9"/>
  <c r="S84" i="9"/>
  <c r="S135" i="9"/>
  <c r="S78" i="9"/>
  <c r="S110" i="9"/>
  <c r="S142" i="9"/>
  <c r="S66" i="9"/>
  <c r="S35" i="9"/>
  <c r="S103" i="9"/>
  <c r="S137" i="9"/>
  <c r="S27" i="9"/>
  <c r="S42" i="9"/>
  <c r="S32" i="9"/>
  <c r="S36" i="9"/>
  <c r="S94" i="9"/>
  <c r="S43" i="9"/>
  <c r="S72" i="9"/>
  <c r="S134" i="9"/>
  <c r="S128" i="9"/>
  <c r="S133" i="9"/>
  <c r="S28" i="9"/>
  <c r="S102" i="9"/>
  <c r="S33" i="9"/>
  <c r="S114" i="9"/>
  <c r="S113" i="9"/>
  <c r="S88" i="9"/>
  <c r="S101" i="9"/>
  <c r="S61" i="9"/>
  <c r="S34" i="9"/>
  <c r="S37" i="9"/>
  <c r="S122" i="9"/>
  <c r="S105" i="9"/>
  <c r="S70" i="9"/>
  <c r="S93" i="9"/>
  <c r="S62" i="9"/>
  <c r="S141" i="9"/>
  <c r="S75" i="9"/>
  <c r="S47" i="9"/>
  <c r="V7" i="9"/>
  <c r="S83" i="9"/>
  <c r="S143" i="9"/>
  <c r="S109" i="9"/>
  <c r="S53" i="9"/>
  <c r="S44" i="9"/>
  <c r="S126" i="9"/>
  <c r="S120" i="9"/>
  <c r="S124" i="9"/>
  <c r="S74" i="9"/>
  <c r="S56" i="9"/>
  <c r="S46" i="9"/>
  <c r="S57" i="9"/>
  <c r="S130" i="9"/>
  <c r="S121" i="9"/>
  <c r="S92" i="9"/>
  <c r="S91" i="9"/>
  <c r="S108" i="9"/>
  <c r="S129" i="9"/>
  <c r="S65" i="9"/>
  <c r="S22" i="9"/>
  <c r="S86" i="9"/>
  <c r="S80" i="9"/>
  <c r="S68" i="9"/>
  <c r="S112" i="9"/>
  <c r="S23" i="9"/>
  <c r="S50" i="9"/>
  <c r="S58" i="9"/>
  <c r="S71" i="9"/>
  <c r="S24" i="9"/>
  <c r="Y7" i="9"/>
  <c r="S118" i="9"/>
  <c r="S39" i="9"/>
  <c r="S79" i="9"/>
  <c r="S145" i="9"/>
  <c r="S140" i="9"/>
  <c r="S64" i="9"/>
  <c r="S48" i="9"/>
  <c r="S59" i="9"/>
  <c r="S111" i="9"/>
  <c r="S54" i="9"/>
  <c r="S55" i="9"/>
  <c r="S116" i="9"/>
  <c r="S67" i="9"/>
  <c r="S63" i="9"/>
  <c r="S100" i="9"/>
  <c r="S25" i="9"/>
  <c r="S31" i="9"/>
  <c r="S96" i="9"/>
  <c r="S117" i="9"/>
  <c r="S76" i="9"/>
  <c r="S98" i="9"/>
  <c r="S26" i="9"/>
  <c r="S136" i="9"/>
  <c r="S41" i="9"/>
  <c r="S21" i="9"/>
  <c r="S138" i="9"/>
  <c r="S52" i="9"/>
  <c r="S49" i="9"/>
  <c r="S107" i="9"/>
  <c r="S106" i="9"/>
  <c r="S146" i="9"/>
  <c r="S95" i="9"/>
  <c r="S99" i="9"/>
  <c r="S87" i="9"/>
  <c r="S20" i="9"/>
  <c r="S115" i="9"/>
  <c r="S51" i="9"/>
  <c r="S60" i="9"/>
  <c r="S144" i="9"/>
  <c r="S19" i="9"/>
  <c r="S82" i="9"/>
  <c r="S97" i="9"/>
  <c r="S73" i="9"/>
  <c r="S69" i="9"/>
  <c r="T62" i="9"/>
  <c r="T81" i="9"/>
  <c r="T83" i="9"/>
  <c r="T138" i="9"/>
  <c r="T25" i="9"/>
  <c r="T139" i="9"/>
  <c r="T67" i="9"/>
  <c r="T38" i="9"/>
  <c r="T46" i="9"/>
  <c r="T70" i="9"/>
  <c r="T132" i="9"/>
  <c r="T112" i="9"/>
  <c r="T60" i="9"/>
  <c r="T103" i="9"/>
  <c r="T102" i="9"/>
  <c r="T128" i="9"/>
  <c r="T55" i="9"/>
  <c r="T101" i="9"/>
  <c r="T142" i="9"/>
  <c r="T44" i="9"/>
  <c r="T26" i="9"/>
  <c r="T64" i="9"/>
  <c r="T86" i="9"/>
  <c r="T137" i="9"/>
  <c r="T144" i="9"/>
  <c r="T58" i="9"/>
  <c r="T51" i="9"/>
  <c r="T97" i="9"/>
  <c r="T52" i="9"/>
  <c r="T78" i="9"/>
  <c r="T80" i="9"/>
  <c r="T94" i="9"/>
  <c r="T61" i="9"/>
  <c r="T71" i="9"/>
  <c r="T40" i="9"/>
  <c r="T54" i="9"/>
  <c r="T66" i="9"/>
  <c r="T110" i="9"/>
  <c r="T100" i="9"/>
  <c r="T85" i="9"/>
  <c r="T49" i="9"/>
  <c r="T56" i="9"/>
  <c r="T89" i="9"/>
  <c r="T131" i="9"/>
  <c r="T104" i="9"/>
  <c r="T82" i="9"/>
  <c r="T33" i="9"/>
  <c r="T114" i="9"/>
  <c r="T140" i="9"/>
  <c r="T135" i="9"/>
  <c r="T19" i="9"/>
  <c r="T39" i="9"/>
  <c r="T21" i="9"/>
  <c r="T79" i="9"/>
  <c r="T111" i="9"/>
  <c r="T59" i="9"/>
  <c r="T133" i="9"/>
  <c r="T43" i="9"/>
  <c r="T28" i="9"/>
  <c r="T119" i="9"/>
  <c r="T88" i="9"/>
  <c r="T108" i="9"/>
  <c r="T125" i="9"/>
  <c r="T57" i="9"/>
  <c r="T90" i="9"/>
  <c r="T27" i="9"/>
  <c r="T72" i="9"/>
  <c r="T31" i="9"/>
  <c r="T48" i="9"/>
  <c r="T130" i="9"/>
  <c r="T41" i="9"/>
  <c r="T36" i="9"/>
  <c r="T98" i="9"/>
  <c r="T45" i="9"/>
  <c r="T117" i="9"/>
  <c r="T32" i="9"/>
  <c r="T109" i="9"/>
  <c r="T23" i="9"/>
  <c r="T120" i="9"/>
  <c r="T99" i="9"/>
  <c r="T37" i="9"/>
  <c r="T106" i="9"/>
  <c r="T145" i="9"/>
  <c r="T75" i="9"/>
  <c r="T47" i="9"/>
  <c r="T34" i="9"/>
  <c r="T123" i="9"/>
  <c r="T91" i="9"/>
  <c r="T129" i="9"/>
  <c r="T68" i="9"/>
  <c r="T29" i="9"/>
  <c r="T115" i="9"/>
  <c r="T96" i="9"/>
  <c r="T93" i="9"/>
  <c r="T63" i="9"/>
  <c r="T113" i="9"/>
  <c r="T74" i="9"/>
  <c r="T118" i="9"/>
  <c r="T107" i="9"/>
  <c r="T141" i="9"/>
  <c r="T69" i="9"/>
  <c r="T24" i="9"/>
  <c r="T50" i="9"/>
  <c r="T116" i="9"/>
  <c r="T77" i="9"/>
  <c r="T143" i="9"/>
  <c r="Z7" i="9"/>
  <c r="T30" i="9"/>
  <c r="T136" i="9"/>
  <c r="T127" i="9"/>
  <c r="T92" i="9"/>
  <c r="T73" i="9"/>
  <c r="T95" i="9"/>
  <c r="T35" i="9"/>
  <c r="T124" i="9"/>
  <c r="T134" i="9"/>
  <c r="T87" i="9"/>
  <c r="T122" i="9"/>
  <c r="T65" i="9"/>
  <c r="T146" i="9"/>
  <c r="T126" i="9"/>
  <c r="T53" i="9"/>
  <c r="T84" i="9"/>
  <c r="T76" i="9"/>
  <c r="T105" i="9"/>
  <c r="T20" i="9"/>
  <c r="T22" i="9"/>
  <c r="T121" i="9"/>
  <c r="T42" i="9"/>
  <c r="F197" i="6"/>
  <c r="AG197" i="6" s="1"/>
  <c r="AG155" i="6"/>
  <c r="AH155" i="6" s="1"/>
  <c r="J317" i="5"/>
  <c r="I20" i="3"/>
  <c r="I19" i="3"/>
  <c r="J293" i="5"/>
  <c r="J320" i="5"/>
  <c r="J333" i="5"/>
  <c r="AK238" i="5"/>
  <c r="AL238" i="5" s="1"/>
  <c r="G305" i="5"/>
  <c r="AI238" i="5"/>
  <c r="AJ238" i="5" s="1"/>
  <c r="J323" i="5"/>
  <c r="G339" i="5"/>
  <c r="AK272" i="5"/>
  <c r="AL272" i="5" s="1"/>
  <c r="AI272" i="5"/>
  <c r="AJ272" i="5" s="1"/>
  <c r="J287" i="5"/>
  <c r="J210" i="6"/>
  <c r="J331" i="5"/>
  <c r="AK244" i="5"/>
  <c r="AL244" i="5" s="1"/>
  <c r="G311" i="5"/>
  <c r="AI244" i="5"/>
  <c r="AJ244" i="5" s="1"/>
  <c r="AK234" i="5"/>
  <c r="AL234" i="5" s="1"/>
  <c r="AI234" i="5"/>
  <c r="AJ234" i="5" s="1"/>
  <c r="G301" i="5"/>
  <c r="J327" i="5"/>
  <c r="J295" i="5"/>
  <c r="J325" i="5"/>
  <c r="J329" i="5"/>
  <c r="J312" i="5"/>
  <c r="G34" i="10"/>
  <c r="F34" i="10"/>
  <c r="R11" i="9"/>
  <c r="J196" i="6"/>
  <c r="J203" i="6"/>
  <c r="AH74" i="6"/>
  <c r="Y154" i="6"/>
  <c r="J112" i="4"/>
  <c r="L89" i="3"/>
  <c r="L156" i="3" s="1"/>
  <c r="K136" i="3"/>
  <c r="K164" i="3" s="1"/>
  <c r="I22" i="11" s="1"/>
  <c r="H28" i="16" s="1"/>
  <c r="L116" i="3"/>
  <c r="L136" i="3" s="1"/>
  <c r="J164" i="3"/>
  <c r="H22" i="11" s="1"/>
  <c r="G28" i="16" s="1"/>
  <c r="L90" i="3"/>
  <c r="L157" i="3" s="1"/>
  <c r="L70" i="3"/>
  <c r="L77" i="3" s="1"/>
  <c r="K156" i="3"/>
  <c r="I72" i="2"/>
  <c r="K27" i="7" s="1"/>
  <c r="I48" i="2"/>
  <c r="I46" i="2"/>
  <c r="I62" i="2"/>
  <c r="H48" i="2"/>
  <c r="H46" i="2"/>
  <c r="H72" i="2"/>
  <c r="J27" i="7" s="1"/>
  <c r="H62" i="2"/>
  <c r="G48" i="2"/>
  <c r="G46" i="2"/>
  <c r="G62" i="2"/>
  <c r="G72" i="2"/>
  <c r="I27" i="7" s="1"/>
  <c r="H26" i="11"/>
  <c r="G31" i="16" s="1"/>
  <c r="K82" i="7"/>
  <c r="H17" i="11"/>
  <c r="G25" i="16" s="1"/>
  <c r="H25" i="11"/>
  <c r="G30" i="16" s="1"/>
  <c r="I194" i="7"/>
  <c r="L86" i="7"/>
  <c r="K172" i="7"/>
  <c r="L136" i="7"/>
  <c r="L172" i="7" s="1"/>
  <c r="L84" i="7"/>
  <c r="L65" i="7"/>
  <c r="L70" i="7" s="1"/>
  <c r="K70" i="7"/>
  <c r="L120" i="7"/>
  <c r="L130" i="7" s="1"/>
  <c r="L199" i="7" s="1"/>
  <c r="J71" i="11" s="1"/>
  <c r="K130" i="7"/>
  <c r="AH73" i="6"/>
  <c r="Y200" i="6"/>
  <c r="AI288" i="5"/>
  <c r="AJ288" i="5" s="1"/>
  <c r="AK288" i="5"/>
  <c r="AL288" i="5" s="1"/>
  <c r="I97" i="3"/>
  <c r="G17" i="10"/>
  <c r="E126" i="19" l="1"/>
  <c r="H69" i="14"/>
  <c r="AC103" i="6"/>
  <c r="H36" i="10"/>
  <c r="J108" i="7" s="1"/>
  <c r="AC65" i="4"/>
  <c r="AC179" i="5"/>
  <c r="AC156" i="5"/>
  <c r="AC203" i="5"/>
  <c r="AC191" i="5"/>
  <c r="AC176" i="5"/>
  <c r="AC172" i="5"/>
  <c r="AC188" i="5"/>
  <c r="AC167" i="5"/>
  <c r="AC180" i="5"/>
  <c r="AC184" i="5"/>
  <c r="AC164" i="5"/>
  <c r="AC198" i="5"/>
  <c r="AC109" i="6"/>
  <c r="AC124" i="6"/>
  <c r="AC128" i="6"/>
  <c r="AC121" i="6"/>
  <c r="AC120" i="6"/>
  <c r="R59" i="6"/>
  <c r="R287" i="5"/>
  <c r="I287" i="5"/>
  <c r="N287" i="5"/>
  <c r="R38" i="4"/>
  <c r="J106" i="4"/>
  <c r="R84" i="4"/>
  <c r="I84" i="4"/>
  <c r="N84" i="4"/>
  <c r="AD84" i="4" s="1"/>
  <c r="P84" i="4"/>
  <c r="P103" i="6"/>
  <c r="R103" i="6" s="1"/>
  <c r="AC60" i="6"/>
  <c r="AA102" i="6"/>
  <c r="AC102" i="6" s="1"/>
  <c r="I144" i="6"/>
  <c r="Y144" i="6" s="1"/>
  <c r="AA144" i="6" s="1"/>
  <c r="N144" i="6"/>
  <c r="AD144" i="6" s="1"/>
  <c r="P144" i="6"/>
  <c r="P89" i="6"/>
  <c r="AC59" i="6"/>
  <c r="S59" i="6" s="1"/>
  <c r="P102" i="6"/>
  <c r="Y139" i="5"/>
  <c r="I219" i="5"/>
  <c r="AA84" i="5"/>
  <c r="AB84" i="5"/>
  <c r="R84" i="5" s="1"/>
  <c r="I83" i="4"/>
  <c r="N83" i="4"/>
  <c r="AD83" i="4" s="1"/>
  <c r="P83" i="4"/>
  <c r="AC38" i="4"/>
  <c r="S38" i="4" s="1"/>
  <c r="P61" i="4"/>
  <c r="AA107" i="6"/>
  <c r="AB107" i="6"/>
  <c r="AB122" i="6"/>
  <c r="AA122" i="6"/>
  <c r="AB200" i="6"/>
  <c r="AA200" i="6"/>
  <c r="AB164" i="6"/>
  <c r="AA164" i="6"/>
  <c r="AC164" i="6" s="1"/>
  <c r="AB170" i="6"/>
  <c r="AA170" i="6"/>
  <c r="AB131" i="6"/>
  <c r="AA131" i="6"/>
  <c r="AA149" i="6"/>
  <c r="AB149" i="6"/>
  <c r="AB159" i="6"/>
  <c r="AA159" i="6"/>
  <c r="AB212" i="6"/>
  <c r="AA212" i="6"/>
  <c r="AB111" i="6"/>
  <c r="AA111" i="6"/>
  <c r="S103" i="6"/>
  <c r="T103" i="6" s="1"/>
  <c r="AC118" i="6"/>
  <c r="AC147" i="6"/>
  <c r="AC117" i="6"/>
  <c r="AB105" i="6"/>
  <c r="AA105" i="6"/>
  <c r="AB154" i="6"/>
  <c r="AA154" i="6"/>
  <c r="AB172" i="6"/>
  <c r="AA172" i="6"/>
  <c r="AA108" i="6"/>
  <c r="AB108" i="6"/>
  <c r="AC108" i="6" s="1"/>
  <c r="AA115" i="6"/>
  <c r="AB115" i="6"/>
  <c r="AB129" i="6"/>
  <c r="AA129" i="6"/>
  <c r="AC129" i="6" s="1"/>
  <c r="AB125" i="6"/>
  <c r="AA125" i="6"/>
  <c r="AB156" i="6"/>
  <c r="AA156" i="6"/>
  <c r="AC156" i="6" s="1"/>
  <c r="AB166" i="6"/>
  <c r="AA166" i="6"/>
  <c r="AB123" i="6"/>
  <c r="AA123" i="6"/>
  <c r="AB126" i="6"/>
  <c r="AA126" i="6"/>
  <c r="AB110" i="6"/>
  <c r="AA110" i="6"/>
  <c r="AC110" i="6" s="1"/>
  <c r="AB188" i="6"/>
  <c r="AA188" i="6"/>
  <c r="AB162" i="6"/>
  <c r="AA162" i="6"/>
  <c r="AB150" i="6"/>
  <c r="AA150" i="6"/>
  <c r="AA153" i="6"/>
  <c r="AB153" i="6"/>
  <c r="AC153" i="6" s="1"/>
  <c r="AC106" i="6"/>
  <c r="AC119" i="6"/>
  <c r="AC127" i="6"/>
  <c r="AC158" i="6"/>
  <c r="AC146" i="6"/>
  <c r="AB144" i="6"/>
  <c r="AA145" i="6"/>
  <c r="AB145" i="6"/>
  <c r="N145" i="6"/>
  <c r="AD145" i="6" s="1"/>
  <c r="T60" i="6"/>
  <c r="S60" i="6"/>
  <c r="AC175" i="5"/>
  <c r="AC168" i="5"/>
  <c r="AC192" i="5"/>
  <c r="AC160" i="5"/>
  <c r="AC196" i="5"/>
  <c r="AC171" i="5"/>
  <c r="AC204" i="5"/>
  <c r="AC161" i="5"/>
  <c r="AC157" i="5"/>
  <c r="AA270" i="5"/>
  <c r="AB270" i="5"/>
  <c r="AB228" i="5"/>
  <c r="AA228" i="5"/>
  <c r="AA338" i="5"/>
  <c r="AB338" i="5"/>
  <c r="AB173" i="5"/>
  <c r="AA173" i="5"/>
  <c r="AA254" i="5"/>
  <c r="AB254" i="5"/>
  <c r="AA170" i="5"/>
  <c r="AB170" i="5"/>
  <c r="AA162" i="5"/>
  <c r="AB162" i="5"/>
  <c r="AA202" i="5"/>
  <c r="AB202" i="5"/>
  <c r="AB182" i="5"/>
  <c r="AA182" i="5"/>
  <c r="AB316" i="5"/>
  <c r="AA316" i="5"/>
  <c r="AA291" i="5"/>
  <c r="AB291" i="5"/>
  <c r="AA310" i="5"/>
  <c r="AB310" i="5"/>
  <c r="AB177" i="5"/>
  <c r="AA177" i="5"/>
  <c r="AA187" i="5"/>
  <c r="AB187" i="5"/>
  <c r="AB206" i="5"/>
  <c r="AA206" i="5"/>
  <c r="AA166" i="5"/>
  <c r="AB166" i="5"/>
  <c r="AB271" i="5"/>
  <c r="AA271" i="5"/>
  <c r="AC267" i="5"/>
  <c r="AC165" i="5"/>
  <c r="AB231" i="5"/>
  <c r="AA231" i="5"/>
  <c r="AB239" i="5"/>
  <c r="AA239" i="5"/>
  <c r="AA235" i="5"/>
  <c r="AB235" i="5"/>
  <c r="AB201" i="5"/>
  <c r="AA201" i="5"/>
  <c r="AB185" i="5"/>
  <c r="AA185" i="5"/>
  <c r="AA226" i="5"/>
  <c r="AB226" i="5"/>
  <c r="AA189" i="5"/>
  <c r="AB189" i="5"/>
  <c r="AB224" i="5"/>
  <c r="AA224" i="5"/>
  <c r="AB193" i="5"/>
  <c r="AA193" i="5"/>
  <c r="AA154" i="5"/>
  <c r="AB154" i="5"/>
  <c r="AA190" i="5"/>
  <c r="AB190" i="5"/>
  <c r="AA194" i="5"/>
  <c r="AB194" i="5"/>
  <c r="AB186" i="5"/>
  <c r="AA186" i="5"/>
  <c r="AB255" i="5"/>
  <c r="AA255" i="5"/>
  <c r="AA183" i="5"/>
  <c r="AB183" i="5"/>
  <c r="AB259" i="5"/>
  <c r="AA259" i="5"/>
  <c r="AA258" i="5"/>
  <c r="AB258" i="5"/>
  <c r="AB322" i="5"/>
  <c r="AA322" i="5"/>
  <c r="AA199" i="5"/>
  <c r="AB199" i="5"/>
  <c r="AB295" i="5"/>
  <c r="AA295" i="5"/>
  <c r="AB205" i="5"/>
  <c r="AA205" i="5"/>
  <c r="AB174" i="5"/>
  <c r="AA174" i="5"/>
  <c r="AA155" i="5"/>
  <c r="AB155" i="5"/>
  <c r="AA159" i="5"/>
  <c r="AB159" i="5"/>
  <c r="AB233" i="5"/>
  <c r="AA233" i="5"/>
  <c r="AA227" i="5"/>
  <c r="AB227" i="5"/>
  <c r="AA334" i="5"/>
  <c r="AB334" i="5"/>
  <c r="AB225" i="5"/>
  <c r="AA225" i="5"/>
  <c r="AB251" i="5"/>
  <c r="AA251" i="5"/>
  <c r="AB169" i="5"/>
  <c r="AA169" i="5"/>
  <c r="AB178" i="5"/>
  <c r="AA178" i="5"/>
  <c r="AA266" i="5"/>
  <c r="AB266" i="5"/>
  <c r="AB249" i="5"/>
  <c r="AA249" i="5"/>
  <c r="AA223" i="5"/>
  <c r="AB223" i="5"/>
  <c r="AA181" i="5"/>
  <c r="AB181" i="5"/>
  <c r="AB247" i="5"/>
  <c r="AA247" i="5"/>
  <c r="AA222" i="5"/>
  <c r="AB222" i="5"/>
  <c r="AB331" i="5"/>
  <c r="AA331" i="5"/>
  <c r="AA246" i="5"/>
  <c r="AB246" i="5"/>
  <c r="AC197" i="5"/>
  <c r="AC263" i="5"/>
  <c r="O152" i="5"/>
  <c r="Y152" i="5"/>
  <c r="Y153" i="5"/>
  <c r="O153" i="5"/>
  <c r="AB85" i="5"/>
  <c r="AA85" i="5"/>
  <c r="AD85" i="5"/>
  <c r="P85" i="5"/>
  <c r="AA89" i="4"/>
  <c r="AB89" i="4"/>
  <c r="AA67" i="4"/>
  <c r="AB67" i="4"/>
  <c r="AA110" i="4"/>
  <c r="AB110" i="4"/>
  <c r="AB61" i="4"/>
  <c r="AA61" i="4"/>
  <c r="AC87" i="4"/>
  <c r="AC66" i="4"/>
  <c r="AA91" i="4"/>
  <c r="AB91" i="4"/>
  <c r="AA114" i="4"/>
  <c r="AB114" i="4"/>
  <c r="AB92" i="4"/>
  <c r="AA92" i="4"/>
  <c r="AA88" i="4"/>
  <c r="AB88" i="4"/>
  <c r="AB64" i="4"/>
  <c r="AA64" i="4"/>
  <c r="AB68" i="4"/>
  <c r="AA68" i="4"/>
  <c r="AB86" i="4"/>
  <c r="AA86" i="4"/>
  <c r="AC69" i="4"/>
  <c r="AC70" i="4"/>
  <c r="AB62" i="4"/>
  <c r="AA62" i="4"/>
  <c r="AC39" i="4"/>
  <c r="S39" i="4" s="1"/>
  <c r="T39" i="4"/>
  <c r="Y264" i="5"/>
  <c r="Y160" i="6"/>
  <c r="AI229" i="5"/>
  <c r="AJ229" i="5" s="1"/>
  <c r="AM238" i="5"/>
  <c r="AG222" i="5"/>
  <c r="AH222" i="5" s="1"/>
  <c r="Y163" i="6"/>
  <c r="AK224" i="5"/>
  <c r="AL224" i="5" s="1"/>
  <c r="E205" i="6"/>
  <c r="Y205" i="6" s="1"/>
  <c r="Y248" i="5"/>
  <c r="AM272" i="5"/>
  <c r="E332" i="5"/>
  <c r="AK266" i="5"/>
  <c r="AL266" i="5" s="1"/>
  <c r="AM266" i="5" s="1"/>
  <c r="AK229" i="5"/>
  <c r="AL229" i="5" s="1"/>
  <c r="AM229" i="5" s="1"/>
  <c r="E107" i="4"/>
  <c r="Y260" i="5"/>
  <c r="G289" i="5"/>
  <c r="AK230" i="5"/>
  <c r="AL230" i="5" s="1"/>
  <c r="AM230" i="5" s="1"/>
  <c r="E297" i="5"/>
  <c r="Y297" i="5" s="1"/>
  <c r="Y230" i="5"/>
  <c r="Y85" i="4"/>
  <c r="AI237" i="5"/>
  <c r="AJ237" i="5" s="1"/>
  <c r="AI224" i="5"/>
  <c r="AJ224" i="5" s="1"/>
  <c r="AM234" i="5"/>
  <c r="AM247" i="5"/>
  <c r="Y262" i="5"/>
  <c r="J308" i="5"/>
  <c r="Y265" i="5"/>
  <c r="G297" i="5"/>
  <c r="AK295" i="5"/>
  <c r="AL295" i="5" s="1"/>
  <c r="AM295" i="5" s="1"/>
  <c r="G333" i="5"/>
  <c r="AI333" i="5" s="1"/>
  <c r="AJ333" i="5" s="1"/>
  <c r="AM224" i="5"/>
  <c r="AM273" i="5"/>
  <c r="J207" i="6"/>
  <c r="G336" i="5"/>
  <c r="AK336" i="5" s="1"/>
  <c r="AL336" i="5" s="1"/>
  <c r="AK237" i="5"/>
  <c r="AL237" i="5" s="1"/>
  <c r="AM237" i="5" s="1"/>
  <c r="AI269" i="5"/>
  <c r="AJ269" i="5" s="1"/>
  <c r="AM244" i="5"/>
  <c r="AM223" i="5"/>
  <c r="AM236" i="5"/>
  <c r="J340" i="5"/>
  <c r="AM221" i="5"/>
  <c r="J313" i="5"/>
  <c r="E329" i="5"/>
  <c r="N207" i="5"/>
  <c r="N132" i="6"/>
  <c r="N71" i="4"/>
  <c r="R26" i="4"/>
  <c r="AM248" i="5"/>
  <c r="AM222" i="5"/>
  <c r="AM269" i="5"/>
  <c r="AF111" i="4"/>
  <c r="AF90" i="4"/>
  <c r="AF114" i="4"/>
  <c r="AF86" i="4"/>
  <c r="AF92" i="4"/>
  <c r="AF109" i="4"/>
  <c r="AF87" i="4"/>
  <c r="AF89" i="4"/>
  <c r="AF110" i="4"/>
  <c r="AF112" i="4"/>
  <c r="AF107" i="4"/>
  <c r="AF88" i="4"/>
  <c r="AF83" i="4"/>
  <c r="H105" i="4"/>
  <c r="AF105" i="4" s="1"/>
  <c r="AF91" i="4"/>
  <c r="AF297" i="5"/>
  <c r="AF244" i="5"/>
  <c r="AF163" i="6"/>
  <c r="AF236" i="5"/>
  <c r="AF161" i="6"/>
  <c r="AF148" i="6"/>
  <c r="AF201" i="6"/>
  <c r="AF256" i="5"/>
  <c r="AF191" i="6"/>
  <c r="AF231" i="5"/>
  <c r="AF337" i="5"/>
  <c r="AF168" i="6"/>
  <c r="AF269" i="5"/>
  <c r="AF245" i="5"/>
  <c r="AF147" i="6"/>
  <c r="AF294" i="5"/>
  <c r="AF293" i="5"/>
  <c r="Y90" i="4"/>
  <c r="AF238" i="5"/>
  <c r="AM270" i="5"/>
  <c r="AF246" i="5"/>
  <c r="AF226" i="5"/>
  <c r="AF166" i="6"/>
  <c r="J321" i="5"/>
  <c r="E198" i="6"/>
  <c r="Y198" i="6" s="1"/>
  <c r="J324" i="5"/>
  <c r="Y234" i="5"/>
  <c r="E301" i="5"/>
  <c r="J199" i="6"/>
  <c r="AF270" i="5"/>
  <c r="AF227" i="5"/>
  <c r="J314" i="5"/>
  <c r="J311" i="5"/>
  <c r="E197" i="6"/>
  <c r="Y155" i="6"/>
  <c r="J338" i="5"/>
  <c r="J301" i="5"/>
  <c r="J187" i="6"/>
  <c r="I187" i="6" s="1"/>
  <c r="Y187" i="6" s="1"/>
  <c r="E192" i="6"/>
  <c r="Y192" i="6" s="1"/>
  <c r="AF207" i="6"/>
  <c r="E108" i="4"/>
  <c r="J315" i="5"/>
  <c r="J208" i="6"/>
  <c r="J204" i="6"/>
  <c r="S71" i="5"/>
  <c r="E195" i="6"/>
  <c r="Y195" i="6" s="1"/>
  <c r="J93" i="4"/>
  <c r="I56" i="14" s="1"/>
  <c r="I42" i="14" s="1"/>
  <c r="J105" i="4"/>
  <c r="H193" i="6"/>
  <c r="AF151" i="6"/>
  <c r="AF252" i="5"/>
  <c r="AF317" i="5"/>
  <c r="AF171" i="6"/>
  <c r="AF309" i="5"/>
  <c r="AF157" i="6"/>
  <c r="AF195" i="6"/>
  <c r="AF272" i="5"/>
  <c r="AF263" i="5"/>
  <c r="AF306" i="5"/>
  <c r="AF170" i="6"/>
  <c r="AF253" i="5"/>
  <c r="AF261" i="5"/>
  <c r="AF329" i="5"/>
  <c r="AF172" i="6"/>
  <c r="Y333" i="5"/>
  <c r="Y327" i="5"/>
  <c r="AF321" i="5"/>
  <c r="AF259" i="5"/>
  <c r="AF257" i="5"/>
  <c r="AF248" i="5"/>
  <c r="AF229" i="5"/>
  <c r="AF196" i="6"/>
  <c r="J305" i="5"/>
  <c r="E201" i="6"/>
  <c r="J286" i="5"/>
  <c r="N286" i="5" s="1"/>
  <c r="J298" i="5"/>
  <c r="J303" i="5"/>
  <c r="E203" i="6"/>
  <c r="Y161" i="6"/>
  <c r="J310" i="5"/>
  <c r="Y148" i="6"/>
  <c r="E190" i="6"/>
  <c r="E193" i="6"/>
  <c r="Y151" i="6"/>
  <c r="J300" i="5"/>
  <c r="E199" i="6"/>
  <c r="Y157" i="6"/>
  <c r="Y202" i="6"/>
  <c r="J290" i="5"/>
  <c r="J299" i="5"/>
  <c r="E305" i="5"/>
  <c r="Y238" i="5"/>
  <c r="AF164" i="6"/>
  <c r="AF289" i="5"/>
  <c r="AF260" i="5"/>
  <c r="AF155" i="6"/>
  <c r="AF301" i="5"/>
  <c r="AF198" i="6"/>
  <c r="AF200" i="6"/>
  <c r="AF224" i="5"/>
  <c r="AF152" i="6"/>
  <c r="AF290" i="5"/>
  <c r="AF273" i="5"/>
  <c r="AF249" i="5"/>
  <c r="AF225" i="5"/>
  <c r="AF296" i="5"/>
  <c r="AF302" i="5"/>
  <c r="Y84" i="4"/>
  <c r="J107" i="4"/>
  <c r="Y244" i="5"/>
  <c r="AF258" i="5"/>
  <c r="Y241" i="5"/>
  <c r="AF265" i="5"/>
  <c r="AF266" i="5"/>
  <c r="AF262" i="5"/>
  <c r="AF173" i="6"/>
  <c r="J297" i="5"/>
  <c r="T26" i="4"/>
  <c r="H109" i="3" s="1"/>
  <c r="AF153" i="6"/>
  <c r="J215" i="6"/>
  <c r="J336" i="5"/>
  <c r="AF187" i="6"/>
  <c r="J194" i="6"/>
  <c r="E105" i="4"/>
  <c r="Y242" i="5"/>
  <c r="E309" i="5"/>
  <c r="J291" i="5"/>
  <c r="J186" i="6"/>
  <c r="J192" i="6"/>
  <c r="J188" i="6"/>
  <c r="Y189" i="6"/>
  <c r="Y83" i="4"/>
  <c r="AM219" i="5"/>
  <c r="AF288" i="5"/>
  <c r="AF287" i="5"/>
  <c r="AF268" i="5"/>
  <c r="AF228" i="5"/>
  <c r="AF146" i="6"/>
  <c r="AF206" i="6"/>
  <c r="AF202" i="6"/>
  <c r="AF240" i="5"/>
  <c r="AF247" i="5"/>
  <c r="AF167" i="6"/>
  <c r="AF322" i="5"/>
  <c r="AF318" i="5"/>
  <c r="AF237" i="5"/>
  <c r="AF233" i="5"/>
  <c r="AF162" i="6"/>
  <c r="AF334" i="5"/>
  <c r="AF211" i="6"/>
  <c r="J306" i="5"/>
  <c r="AF232" i="5"/>
  <c r="Y261" i="5"/>
  <c r="AF241" i="5"/>
  <c r="AF234" i="5"/>
  <c r="Y315" i="5"/>
  <c r="AF264" i="5"/>
  <c r="AF243" i="5"/>
  <c r="AF230" i="5"/>
  <c r="AF150" i="6"/>
  <c r="J337" i="5"/>
  <c r="J289" i="5"/>
  <c r="Y250" i="5"/>
  <c r="E317" i="5"/>
  <c r="Y330" i="5"/>
  <c r="AF338" i="5"/>
  <c r="J330" i="5"/>
  <c r="Y109" i="4"/>
  <c r="J319" i="5"/>
  <c r="J304" i="5"/>
  <c r="Y191" i="6"/>
  <c r="J309" i="5"/>
  <c r="O139" i="5"/>
  <c r="J339" i="5"/>
  <c r="E299" i="5"/>
  <c r="Y232" i="5"/>
  <c r="J213" i="6"/>
  <c r="J209" i="6"/>
  <c r="J205" i="6"/>
  <c r="J201" i="6"/>
  <c r="J197" i="6"/>
  <c r="J193" i="6"/>
  <c r="J296" i="5"/>
  <c r="R71" i="5"/>
  <c r="E211" i="6"/>
  <c r="Y169" i="6"/>
  <c r="AF158" i="6"/>
  <c r="H192" i="6"/>
  <c r="J190" i="6"/>
  <c r="AG147" i="6"/>
  <c r="AH147" i="6" s="1"/>
  <c r="F194" i="6"/>
  <c r="AG194" i="6" s="1"/>
  <c r="AH194" i="6" s="1"/>
  <c r="AG151" i="6"/>
  <c r="AH151" i="6" s="1"/>
  <c r="H215" i="6"/>
  <c r="Y152" i="6"/>
  <c r="E194" i="6"/>
  <c r="F207" i="6"/>
  <c r="AG207" i="6" s="1"/>
  <c r="AH207" i="6" s="1"/>
  <c r="AG165" i="6"/>
  <c r="AH165" i="6" s="1"/>
  <c r="H208" i="6"/>
  <c r="E210" i="6"/>
  <c r="Y168" i="6"/>
  <c r="F61" i="16"/>
  <c r="Y314" i="5"/>
  <c r="G337" i="5"/>
  <c r="AI337" i="5" s="1"/>
  <c r="AJ337" i="5" s="1"/>
  <c r="H308" i="5"/>
  <c r="H310" i="5"/>
  <c r="H331" i="5"/>
  <c r="G303" i="5"/>
  <c r="AI303" i="5" s="1"/>
  <c r="AJ303" i="5" s="1"/>
  <c r="H315" i="5"/>
  <c r="H333" i="5"/>
  <c r="E328" i="5"/>
  <c r="Y328" i="5" s="1"/>
  <c r="G318" i="5"/>
  <c r="AI318" i="5" s="1"/>
  <c r="AJ318" i="5" s="1"/>
  <c r="H324" i="5"/>
  <c r="AI233" i="5"/>
  <c r="AJ233" i="5" s="1"/>
  <c r="AK233" i="5"/>
  <c r="AL233" i="5" s="1"/>
  <c r="AM233" i="5" s="1"/>
  <c r="H326" i="5"/>
  <c r="AI290" i="5"/>
  <c r="AJ290" i="5" s="1"/>
  <c r="F303" i="5"/>
  <c r="AG303" i="5" s="1"/>
  <c r="AH303" i="5" s="1"/>
  <c r="AK287" i="5"/>
  <c r="AL287" i="5" s="1"/>
  <c r="AM287" i="5" s="1"/>
  <c r="AJ287" i="5"/>
  <c r="AI236" i="5"/>
  <c r="AJ236" i="5" s="1"/>
  <c r="G299" i="5"/>
  <c r="AK299" i="5" s="1"/>
  <c r="AL299" i="5" s="1"/>
  <c r="E308" i="5"/>
  <c r="H332" i="5"/>
  <c r="Y289" i="5"/>
  <c r="Y257" i="5"/>
  <c r="Y290" i="5"/>
  <c r="J322" i="5"/>
  <c r="AI251" i="5"/>
  <c r="AJ251" i="5" s="1"/>
  <c r="AK232" i="5"/>
  <c r="AL232" i="5" s="1"/>
  <c r="AM232" i="5" s="1"/>
  <c r="F331" i="5"/>
  <c r="AG331" i="5" s="1"/>
  <c r="AH331" i="5" s="1"/>
  <c r="AM255" i="5"/>
  <c r="AI222" i="5"/>
  <c r="AJ222" i="5" s="1"/>
  <c r="H299" i="5"/>
  <c r="G323" i="5"/>
  <c r="AK256" i="5"/>
  <c r="AL256" i="5" s="1"/>
  <c r="AM256" i="5" s="1"/>
  <c r="AI256" i="5"/>
  <c r="AJ256" i="5" s="1"/>
  <c r="AK322" i="5"/>
  <c r="AL322" i="5" s="1"/>
  <c r="E288" i="5"/>
  <c r="Y221" i="5"/>
  <c r="AK240" i="5"/>
  <c r="AL240" i="5" s="1"/>
  <c r="AM240" i="5" s="1"/>
  <c r="G307" i="5"/>
  <c r="AI240" i="5"/>
  <c r="AJ240" i="5" s="1"/>
  <c r="F293" i="5"/>
  <c r="AG293" i="5" s="1"/>
  <c r="AH293" i="5" s="1"/>
  <c r="AG226" i="5"/>
  <c r="AH226" i="5" s="1"/>
  <c r="AK260" i="5"/>
  <c r="AL260" i="5" s="1"/>
  <c r="AM260" i="5" s="1"/>
  <c r="G327" i="5"/>
  <c r="AI260" i="5"/>
  <c r="AJ260" i="5" s="1"/>
  <c r="AK254" i="5"/>
  <c r="AL254" i="5" s="1"/>
  <c r="AM254" i="5" s="1"/>
  <c r="G321" i="5"/>
  <c r="AI254" i="5"/>
  <c r="AJ254" i="5" s="1"/>
  <c r="E336" i="5"/>
  <c r="Y269" i="5"/>
  <c r="G319" i="5"/>
  <c r="AI252" i="5"/>
  <c r="AJ252" i="5" s="1"/>
  <c r="AK252" i="5"/>
  <c r="AL252" i="5" s="1"/>
  <c r="AM252" i="5" s="1"/>
  <c r="AK227" i="5"/>
  <c r="AL227" i="5" s="1"/>
  <c r="AM227" i="5" s="1"/>
  <c r="AI270" i="5"/>
  <c r="AJ270" i="5" s="1"/>
  <c r="H313" i="5"/>
  <c r="E304" i="5"/>
  <c r="Y237" i="5"/>
  <c r="F322" i="5"/>
  <c r="AG322" i="5" s="1"/>
  <c r="AH322" i="5" s="1"/>
  <c r="AG255" i="5"/>
  <c r="AH255" i="5" s="1"/>
  <c r="G331" i="5"/>
  <c r="AK264" i="5"/>
  <c r="AL264" i="5" s="1"/>
  <c r="AM264" i="5" s="1"/>
  <c r="AI264" i="5"/>
  <c r="AJ264" i="5" s="1"/>
  <c r="G317" i="5"/>
  <c r="AK250" i="5"/>
  <c r="AL250" i="5" s="1"/>
  <c r="AM250" i="5" s="1"/>
  <c r="AI250" i="5"/>
  <c r="AJ250" i="5" s="1"/>
  <c r="E324" i="5"/>
  <c r="H325" i="5"/>
  <c r="G313" i="5"/>
  <c r="AI246" i="5"/>
  <c r="AJ246" i="5" s="1"/>
  <c r="AK246" i="5"/>
  <c r="AL246" i="5" s="1"/>
  <c r="AM246" i="5" s="1"/>
  <c r="E340" i="5"/>
  <c r="Y273" i="5"/>
  <c r="G309" i="5"/>
  <c r="AK242" i="5"/>
  <c r="AL242" i="5" s="1"/>
  <c r="AM242" i="5" s="1"/>
  <c r="AI242" i="5"/>
  <c r="AJ242" i="5" s="1"/>
  <c r="H305" i="5"/>
  <c r="E312" i="5"/>
  <c r="Y245" i="5"/>
  <c r="E296" i="5"/>
  <c r="Y229" i="5"/>
  <c r="G335" i="5"/>
  <c r="AK268" i="5"/>
  <c r="AL268" i="5" s="1"/>
  <c r="AM268" i="5" s="1"/>
  <c r="AI268" i="5"/>
  <c r="AJ268" i="5" s="1"/>
  <c r="AI226" i="5"/>
  <c r="AJ226" i="5" s="1"/>
  <c r="AK226" i="5"/>
  <c r="AL226" i="5" s="1"/>
  <c r="AM226" i="5" s="1"/>
  <c r="G293" i="5"/>
  <c r="E320" i="5"/>
  <c r="Y253" i="5"/>
  <c r="AI262" i="5"/>
  <c r="AJ262" i="5" s="1"/>
  <c r="AK262" i="5"/>
  <c r="AL262" i="5" s="1"/>
  <c r="AM262" i="5" s="1"/>
  <c r="G329" i="5"/>
  <c r="AK258" i="5"/>
  <c r="AL258" i="5" s="1"/>
  <c r="AM258" i="5" s="1"/>
  <c r="G325" i="5"/>
  <c r="AI258" i="5"/>
  <c r="AJ258" i="5" s="1"/>
  <c r="F114" i="4"/>
  <c r="AG114" i="4" s="1"/>
  <c r="AH114" i="4" s="1"/>
  <c r="E112" i="4"/>
  <c r="Y112" i="4" s="1"/>
  <c r="H106" i="4"/>
  <c r="F105" i="4"/>
  <c r="AG105" i="4" s="1"/>
  <c r="AH105" i="4" s="1"/>
  <c r="F108" i="4"/>
  <c r="AG108" i="4" s="1"/>
  <c r="AH108" i="4" s="1"/>
  <c r="I47" i="3"/>
  <c r="I52" i="3" s="1"/>
  <c r="I61" i="3" s="1"/>
  <c r="F106" i="4"/>
  <c r="AG106" i="4" s="1"/>
  <c r="AH106" i="4" s="1"/>
  <c r="Y111" i="4"/>
  <c r="J111" i="4"/>
  <c r="Y113" i="4"/>
  <c r="F110" i="4"/>
  <c r="AG110" i="4" s="1"/>
  <c r="AH110" i="4" s="1"/>
  <c r="L169" i="3"/>
  <c r="K169" i="3"/>
  <c r="H209" i="6"/>
  <c r="H214" i="6"/>
  <c r="AI227" i="5"/>
  <c r="AJ227" i="5" s="1"/>
  <c r="Y326" i="5"/>
  <c r="H316" i="5"/>
  <c r="J274" i="5"/>
  <c r="I57" i="14" s="1"/>
  <c r="I43" i="14" s="1"/>
  <c r="AM288" i="5"/>
  <c r="AM235" i="5"/>
  <c r="Y329" i="5"/>
  <c r="H15" i="11"/>
  <c r="H32" i="7"/>
  <c r="J52" i="2"/>
  <c r="L10" i="7"/>
  <c r="H46" i="7"/>
  <c r="H55" i="7" s="1"/>
  <c r="I52" i="2"/>
  <c r="K10" i="7"/>
  <c r="K9" i="3"/>
  <c r="J10" i="3"/>
  <c r="I152" i="3"/>
  <c r="J152" i="3" s="1"/>
  <c r="K152" i="3" s="1"/>
  <c r="L152" i="3" s="1"/>
  <c r="F69" i="14"/>
  <c r="F23" i="16"/>
  <c r="I69" i="14"/>
  <c r="G69" i="14"/>
  <c r="J20" i="3"/>
  <c r="K15" i="3"/>
  <c r="J19" i="3"/>
  <c r="J21" i="3"/>
  <c r="F208" i="6"/>
  <c r="AG208" i="6" s="1"/>
  <c r="AH208" i="6" s="1"/>
  <c r="AG166" i="6"/>
  <c r="AH166" i="6" s="1"/>
  <c r="F112" i="4"/>
  <c r="AG112" i="4" s="1"/>
  <c r="AH112" i="4" s="1"/>
  <c r="AG170" i="6"/>
  <c r="AH170" i="6" s="1"/>
  <c r="F212" i="6"/>
  <c r="AG212" i="6" s="1"/>
  <c r="AH212" i="6" s="1"/>
  <c r="Y206" i="6"/>
  <c r="AM251" i="5"/>
  <c r="F59" i="16"/>
  <c r="F299" i="5"/>
  <c r="AG299" i="5" s="1"/>
  <c r="AH299" i="5" s="1"/>
  <c r="AG232" i="5"/>
  <c r="AH232" i="5" s="1"/>
  <c r="G324" i="5"/>
  <c r="AK257" i="5"/>
  <c r="AL257" i="5" s="1"/>
  <c r="AM257" i="5" s="1"/>
  <c r="AI257" i="5"/>
  <c r="AJ257" i="5" s="1"/>
  <c r="AK239" i="5"/>
  <c r="AL239" i="5" s="1"/>
  <c r="AM239" i="5" s="1"/>
  <c r="AI239" i="5"/>
  <c r="AJ239" i="5" s="1"/>
  <c r="G306" i="5"/>
  <c r="H300" i="5"/>
  <c r="H320" i="5"/>
  <c r="H204" i="6"/>
  <c r="AG162" i="6"/>
  <c r="AH162" i="6" s="1"/>
  <c r="F204" i="6"/>
  <c r="AG204" i="6" s="1"/>
  <c r="AH204" i="6" s="1"/>
  <c r="AG228" i="5"/>
  <c r="AH228" i="5" s="1"/>
  <c r="F295" i="5"/>
  <c r="AG295" i="5" s="1"/>
  <c r="AH295" i="5" s="1"/>
  <c r="AK249" i="5"/>
  <c r="AL249" i="5" s="1"/>
  <c r="AM249" i="5" s="1"/>
  <c r="G316" i="5"/>
  <c r="AI249" i="5"/>
  <c r="AJ249" i="5" s="1"/>
  <c r="H212" i="6"/>
  <c r="F315" i="5"/>
  <c r="AG315" i="5" s="1"/>
  <c r="AH315" i="5" s="1"/>
  <c r="AG248" i="5"/>
  <c r="AH248" i="5" s="1"/>
  <c r="AG220" i="5"/>
  <c r="AH220" i="5" s="1"/>
  <c r="F287" i="5"/>
  <c r="AG287" i="5" s="1"/>
  <c r="AH287" i="5" s="1"/>
  <c r="AI245" i="5"/>
  <c r="AJ245" i="5" s="1"/>
  <c r="AK245" i="5"/>
  <c r="AL245" i="5" s="1"/>
  <c r="AM245" i="5" s="1"/>
  <c r="G312" i="5"/>
  <c r="F188" i="6"/>
  <c r="AG188" i="6" s="1"/>
  <c r="AH188" i="6" s="1"/>
  <c r="AG146" i="6"/>
  <c r="AH146" i="6" s="1"/>
  <c r="AG244" i="5"/>
  <c r="AH244" i="5" s="1"/>
  <c r="F311" i="5"/>
  <c r="AG311" i="5" s="1"/>
  <c r="AH311" i="5" s="1"/>
  <c r="F291" i="5"/>
  <c r="AG291" i="5" s="1"/>
  <c r="AH291" i="5" s="1"/>
  <c r="AG224" i="5"/>
  <c r="AH224" i="5" s="1"/>
  <c r="G328" i="5"/>
  <c r="AK261" i="5"/>
  <c r="AL261" i="5" s="1"/>
  <c r="AM261" i="5" s="1"/>
  <c r="AI261" i="5"/>
  <c r="AJ261" i="5" s="1"/>
  <c r="G310" i="5"/>
  <c r="AI243" i="5"/>
  <c r="AJ243" i="5" s="1"/>
  <c r="AK243" i="5"/>
  <c r="AL243" i="5" s="1"/>
  <c r="AM243" i="5" s="1"/>
  <c r="H108" i="4"/>
  <c r="H336" i="5"/>
  <c r="G338" i="5"/>
  <c r="AI271" i="5"/>
  <c r="AJ271" i="5" s="1"/>
  <c r="AK271" i="5"/>
  <c r="AL271" i="5" s="1"/>
  <c r="AM271" i="5" s="1"/>
  <c r="G308" i="5"/>
  <c r="AK241" i="5"/>
  <c r="AL241" i="5" s="1"/>
  <c r="AM241" i="5" s="1"/>
  <c r="AI241" i="5"/>
  <c r="AJ241" i="5" s="1"/>
  <c r="AG252" i="5"/>
  <c r="AH252" i="5" s="1"/>
  <c r="F319" i="5"/>
  <c r="AG319" i="5" s="1"/>
  <c r="AH319" i="5" s="1"/>
  <c r="AG268" i="5"/>
  <c r="AH268" i="5" s="1"/>
  <c r="F335" i="5"/>
  <c r="AG335" i="5" s="1"/>
  <c r="AH335" i="5" s="1"/>
  <c r="AK253" i="5"/>
  <c r="AL253" i="5" s="1"/>
  <c r="AM253" i="5" s="1"/>
  <c r="AI253" i="5"/>
  <c r="AJ253" i="5" s="1"/>
  <c r="G320" i="5"/>
  <c r="AG150" i="6"/>
  <c r="AH150" i="6" s="1"/>
  <c r="F192" i="6"/>
  <c r="AG192" i="6" s="1"/>
  <c r="AH192" i="6" s="1"/>
  <c r="H292" i="5"/>
  <c r="AK265" i="5"/>
  <c r="AL265" i="5" s="1"/>
  <c r="AM265" i="5" s="1"/>
  <c r="G332" i="5"/>
  <c r="AI265" i="5"/>
  <c r="AJ265" i="5" s="1"/>
  <c r="AG256" i="5"/>
  <c r="AH256" i="5" s="1"/>
  <c r="F323" i="5"/>
  <c r="AG323" i="5" s="1"/>
  <c r="AH323" i="5" s="1"/>
  <c r="Y306" i="5"/>
  <c r="H304" i="5"/>
  <c r="AM267" i="5"/>
  <c r="AK231" i="5"/>
  <c r="AL231" i="5" s="1"/>
  <c r="AM231" i="5" s="1"/>
  <c r="AI231" i="5"/>
  <c r="AJ231" i="5" s="1"/>
  <c r="G298" i="5"/>
  <c r="AI225" i="5"/>
  <c r="AJ225" i="5" s="1"/>
  <c r="AK225" i="5"/>
  <c r="AL225" i="5" s="1"/>
  <c r="AM225" i="5" s="1"/>
  <c r="G292" i="5"/>
  <c r="H312" i="5"/>
  <c r="H340" i="5"/>
  <c r="H189" i="6"/>
  <c r="AI263" i="5"/>
  <c r="AJ263" i="5" s="1"/>
  <c r="G330" i="5"/>
  <c r="AK263" i="5"/>
  <c r="AL263" i="5" s="1"/>
  <c r="AM263" i="5" s="1"/>
  <c r="H328" i="5"/>
  <c r="AG154" i="6"/>
  <c r="AH154" i="6" s="1"/>
  <c r="F196" i="6"/>
  <c r="AG196" i="6" s="1"/>
  <c r="AH196" i="6" s="1"/>
  <c r="AI259" i="5"/>
  <c r="AJ259" i="5" s="1"/>
  <c r="AK259" i="5"/>
  <c r="AL259" i="5" s="1"/>
  <c r="AM259" i="5" s="1"/>
  <c r="G326" i="5"/>
  <c r="E209" i="6"/>
  <c r="Y167" i="6"/>
  <c r="F209" i="6"/>
  <c r="AG209" i="6" s="1"/>
  <c r="AH209" i="6" s="1"/>
  <c r="AG167" i="6"/>
  <c r="AH167" i="6" s="1"/>
  <c r="AG265" i="5"/>
  <c r="AH265" i="5" s="1"/>
  <c r="F332" i="5"/>
  <c r="AG332" i="5" s="1"/>
  <c r="AH332" i="5" s="1"/>
  <c r="H314" i="5"/>
  <c r="H113" i="4"/>
  <c r="H330" i="5"/>
  <c r="AG241" i="5"/>
  <c r="AH241" i="5" s="1"/>
  <c r="F308" i="5"/>
  <c r="AG308" i="5" s="1"/>
  <c r="AH308" i="5" s="1"/>
  <c r="G61" i="16"/>
  <c r="F25" i="10"/>
  <c r="F57" i="10" s="1"/>
  <c r="G14" i="10" s="1"/>
  <c r="J174" i="6"/>
  <c r="I58" i="14" s="1"/>
  <c r="I44" i="14" s="1"/>
  <c r="Y165" i="6"/>
  <c r="E207" i="6"/>
  <c r="AG233" i="5"/>
  <c r="AH233" i="5" s="1"/>
  <c r="F300" i="5"/>
  <c r="AG300" i="5" s="1"/>
  <c r="AH300" i="5" s="1"/>
  <c r="Y321" i="5"/>
  <c r="F292" i="5"/>
  <c r="AG292" i="5" s="1"/>
  <c r="AH292" i="5" s="1"/>
  <c r="AG225" i="5"/>
  <c r="AH225" i="5" s="1"/>
  <c r="H298" i="5"/>
  <c r="AG249" i="5"/>
  <c r="AH249" i="5" s="1"/>
  <c r="F316" i="5"/>
  <c r="AG316" i="5" s="1"/>
  <c r="AH316" i="5" s="1"/>
  <c r="F340" i="5"/>
  <c r="AG340" i="5" s="1"/>
  <c r="AH340" i="5" s="1"/>
  <c r="AG273" i="5"/>
  <c r="AH273" i="5" s="1"/>
  <c r="H210" i="6"/>
  <c r="E287" i="5"/>
  <c r="F113" i="4"/>
  <c r="AG113" i="4" s="1"/>
  <c r="AH113" i="4" s="1"/>
  <c r="E215" i="6"/>
  <c r="Y173" i="6"/>
  <c r="AK314" i="5"/>
  <c r="AL314" i="5" s="1"/>
  <c r="AI314" i="5"/>
  <c r="AJ314" i="5" s="1"/>
  <c r="F324" i="5"/>
  <c r="AG324" i="5" s="1"/>
  <c r="AH324" i="5" s="1"/>
  <c r="AG257" i="5"/>
  <c r="AH257" i="5" s="1"/>
  <c r="Y302" i="5"/>
  <c r="H291" i="5"/>
  <c r="H323" i="5"/>
  <c r="H194" i="6"/>
  <c r="H188" i="6"/>
  <c r="H190" i="6"/>
  <c r="H197" i="6"/>
  <c r="H339" i="5"/>
  <c r="H203" i="6"/>
  <c r="H199" i="6"/>
  <c r="H307" i="5"/>
  <c r="H20" i="3"/>
  <c r="H19" i="3"/>
  <c r="J158" i="3"/>
  <c r="F211" i="6"/>
  <c r="AG211" i="6" s="1"/>
  <c r="AH211" i="6" s="1"/>
  <c r="AG169" i="6"/>
  <c r="AH169" i="6" s="1"/>
  <c r="F199" i="6"/>
  <c r="AG199" i="6" s="1"/>
  <c r="AH199" i="6" s="1"/>
  <c r="AG157" i="6"/>
  <c r="AH157" i="6" s="1"/>
  <c r="AG267" i="5"/>
  <c r="AH267" i="5" s="1"/>
  <c r="F334" i="5"/>
  <c r="AG334" i="5" s="1"/>
  <c r="AH334" i="5" s="1"/>
  <c r="AG259" i="5"/>
  <c r="AH259" i="5" s="1"/>
  <c r="F326" i="5"/>
  <c r="AG326" i="5" s="1"/>
  <c r="AH326" i="5" s="1"/>
  <c r="AG243" i="5"/>
  <c r="AH243" i="5" s="1"/>
  <c r="F310" i="5"/>
  <c r="AG310" i="5" s="1"/>
  <c r="AH310" i="5" s="1"/>
  <c r="H39" i="16"/>
  <c r="I45" i="13"/>
  <c r="F328" i="5"/>
  <c r="AG328" i="5" s="1"/>
  <c r="AH328" i="5" s="1"/>
  <c r="AG261" i="5"/>
  <c r="AH261" i="5" s="1"/>
  <c r="F312" i="5"/>
  <c r="AG312" i="5" s="1"/>
  <c r="AH312" i="5" s="1"/>
  <c r="AG245" i="5"/>
  <c r="AH245" i="5" s="1"/>
  <c r="F296" i="5"/>
  <c r="AG296" i="5" s="1"/>
  <c r="AH296" i="5" s="1"/>
  <c r="AG229" i="5"/>
  <c r="AH229" i="5" s="1"/>
  <c r="AG145" i="6"/>
  <c r="AH145" i="6" s="1"/>
  <c r="F187" i="6"/>
  <c r="AG187" i="6" s="1"/>
  <c r="AH187" i="6" s="1"/>
  <c r="F318" i="5"/>
  <c r="AG318" i="5" s="1"/>
  <c r="AH318" i="5" s="1"/>
  <c r="AG251" i="5"/>
  <c r="AH251" i="5" s="1"/>
  <c r="F302" i="5"/>
  <c r="AG302" i="5" s="1"/>
  <c r="AH302" i="5" s="1"/>
  <c r="AG235" i="5"/>
  <c r="AH235" i="5" s="1"/>
  <c r="AG221" i="5"/>
  <c r="AH221" i="5" s="1"/>
  <c r="F288" i="5"/>
  <c r="AG288" i="5" s="1"/>
  <c r="AH288" i="5" s="1"/>
  <c r="AG159" i="6"/>
  <c r="AH159" i="6" s="1"/>
  <c r="F201" i="6"/>
  <c r="AG201" i="6" s="1"/>
  <c r="AH201" i="6" s="1"/>
  <c r="AG153" i="6"/>
  <c r="AH153" i="6" s="1"/>
  <c r="F195" i="6"/>
  <c r="AG195" i="6" s="1"/>
  <c r="AH195" i="6" s="1"/>
  <c r="AG269" i="5"/>
  <c r="AH269" i="5" s="1"/>
  <c r="F336" i="5"/>
  <c r="AG336" i="5" s="1"/>
  <c r="AH336" i="5" s="1"/>
  <c r="AG253" i="5"/>
  <c r="AH253" i="5" s="1"/>
  <c r="F320" i="5"/>
  <c r="AG320" i="5" s="1"/>
  <c r="AH320" i="5" s="1"/>
  <c r="AG237" i="5"/>
  <c r="AH237" i="5" s="1"/>
  <c r="F304" i="5"/>
  <c r="AG304" i="5" s="1"/>
  <c r="AH304" i="5" s="1"/>
  <c r="F109" i="4"/>
  <c r="AG109" i="4" s="1"/>
  <c r="AH109" i="4" s="1"/>
  <c r="I37" i="10"/>
  <c r="K109" i="7" s="1"/>
  <c r="I36" i="10"/>
  <c r="K108" i="7" s="1"/>
  <c r="G37" i="10"/>
  <c r="I109" i="7" s="1"/>
  <c r="G36" i="10"/>
  <c r="I108" i="7" s="1"/>
  <c r="F333" i="5"/>
  <c r="AG333" i="5" s="1"/>
  <c r="AH333" i="5" s="1"/>
  <c r="AG266" i="5"/>
  <c r="AH266" i="5" s="1"/>
  <c r="F301" i="5"/>
  <c r="AG301" i="5" s="1"/>
  <c r="AH301" i="5" s="1"/>
  <c r="AG234" i="5"/>
  <c r="AH234" i="5" s="1"/>
  <c r="F290" i="5"/>
  <c r="AG290" i="5" s="1"/>
  <c r="AH290" i="5" s="1"/>
  <c r="AG223" i="5"/>
  <c r="AH223" i="5" s="1"/>
  <c r="H311" i="5"/>
  <c r="H205" i="6"/>
  <c r="J302" i="5"/>
  <c r="E335" i="5"/>
  <c r="Y268" i="5"/>
  <c r="Y313" i="5"/>
  <c r="H295" i="5"/>
  <c r="Y293" i="5"/>
  <c r="E323" i="5"/>
  <c r="Y256" i="5"/>
  <c r="E303" i="5"/>
  <c r="Y236" i="5"/>
  <c r="F297" i="5"/>
  <c r="AG297" i="5" s="1"/>
  <c r="AH297" i="5" s="1"/>
  <c r="AG230" i="5"/>
  <c r="AH230" i="5" s="1"/>
  <c r="AG242" i="5"/>
  <c r="AH242" i="5" s="1"/>
  <c r="F309" i="5"/>
  <c r="AG309" i="5" s="1"/>
  <c r="AH309" i="5" s="1"/>
  <c r="F111" i="4"/>
  <c r="AG111" i="4" s="1"/>
  <c r="AH111" i="4" s="1"/>
  <c r="J334" i="5"/>
  <c r="J318" i="5"/>
  <c r="J294" i="5"/>
  <c r="AG270" i="5"/>
  <c r="AH270" i="5" s="1"/>
  <c r="F337" i="5"/>
  <c r="AG337" i="5" s="1"/>
  <c r="AH337" i="5" s="1"/>
  <c r="AG238" i="5"/>
  <c r="AH238" i="5" s="1"/>
  <c r="F305" i="5"/>
  <c r="AG305" i="5" s="1"/>
  <c r="AH305" i="5" s="1"/>
  <c r="F107" i="4"/>
  <c r="AG107" i="4" s="1"/>
  <c r="AH107" i="4" s="1"/>
  <c r="J214" i="6"/>
  <c r="Y325" i="5"/>
  <c r="F329" i="5"/>
  <c r="AG329" i="5" s="1"/>
  <c r="AH329" i="5" s="1"/>
  <c r="AG262" i="5"/>
  <c r="AH262" i="5" s="1"/>
  <c r="J198" i="6"/>
  <c r="Y337" i="5"/>
  <c r="E213" i="6"/>
  <c r="Y171" i="6"/>
  <c r="AH114" i="6"/>
  <c r="AH132" i="6" s="1"/>
  <c r="AG132" i="6"/>
  <c r="AG172" i="6"/>
  <c r="AH172" i="6" s="1"/>
  <c r="F214" i="6"/>
  <c r="AG214" i="6" s="1"/>
  <c r="AH214" i="6" s="1"/>
  <c r="H319" i="5"/>
  <c r="H335" i="5"/>
  <c r="Y272" i="5"/>
  <c r="E339" i="5"/>
  <c r="Y311" i="5"/>
  <c r="Y318" i="5"/>
  <c r="AG164" i="6"/>
  <c r="AH164" i="6" s="1"/>
  <c r="F206" i="6"/>
  <c r="AG206" i="6" s="1"/>
  <c r="AH206" i="6" s="1"/>
  <c r="F202" i="6"/>
  <c r="AG202" i="6" s="1"/>
  <c r="AH202" i="6" s="1"/>
  <c r="AG160" i="6"/>
  <c r="AH160" i="6" s="1"/>
  <c r="AH152" i="5"/>
  <c r="AH207" i="5" s="1"/>
  <c r="AG207" i="5"/>
  <c r="Y294" i="5"/>
  <c r="Y214" i="6"/>
  <c r="E307" i="5"/>
  <c r="Y240" i="5"/>
  <c r="F317" i="5"/>
  <c r="AG317" i="5" s="1"/>
  <c r="AH317" i="5" s="1"/>
  <c r="AG250" i="5"/>
  <c r="AH250" i="5" s="1"/>
  <c r="AG156" i="6"/>
  <c r="F198" i="6"/>
  <c r="AG198" i="6" s="1"/>
  <c r="AH198" i="6" s="1"/>
  <c r="H327" i="5"/>
  <c r="J326" i="5"/>
  <c r="Y298" i="5"/>
  <c r="AG254" i="5"/>
  <c r="AH254" i="5" s="1"/>
  <c r="F321" i="5"/>
  <c r="AG321" i="5" s="1"/>
  <c r="AH321" i="5" s="1"/>
  <c r="AG227" i="5"/>
  <c r="AH227" i="5" s="1"/>
  <c r="F294" i="5"/>
  <c r="AG294" i="5" s="1"/>
  <c r="AH294" i="5" s="1"/>
  <c r="E319" i="5"/>
  <c r="Y252" i="5"/>
  <c r="F325" i="5"/>
  <c r="AG325" i="5" s="1"/>
  <c r="AH325" i="5" s="1"/>
  <c r="AG258" i="5"/>
  <c r="AH258" i="5" s="1"/>
  <c r="J202" i="6"/>
  <c r="H303" i="5"/>
  <c r="H213" i="6"/>
  <c r="AG246" i="5"/>
  <c r="AH246" i="5" s="1"/>
  <c r="F313" i="5"/>
  <c r="AG313" i="5" s="1"/>
  <c r="AH313" i="5" s="1"/>
  <c r="AG219" i="5"/>
  <c r="F286" i="5"/>
  <c r="AG286" i="5" s="1"/>
  <c r="L154" i="3"/>
  <c r="J15" i="11" s="1"/>
  <c r="L164" i="3"/>
  <c r="J22" i="11" s="1"/>
  <c r="I28" i="16" s="1"/>
  <c r="J113" i="7"/>
  <c r="H20" i="13" s="1"/>
  <c r="H40" i="10"/>
  <c r="H50" i="10" s="1"/>
  <c r="H24" i="11" s="1"/>
  <c r="U11" i="9"/>
  <c r="F26" i="10"/>
  <c r="F58" i="10" s="1"/>
  <c r="G15" i="10" s="1"/>
  <c r="I38" i="16"/>
  <c r="J29" i="13"/>
  <c r="Y208" i="6"/>
  <c r="Y204" i="6"/>
  <c r="L17" i="7"/>
  <c r="J61" i="2"/>
  <c r="J66" i="2" s="1"/>
  <c r="I45" i="16"/>
  <c r="I64" i="14"/>
  <c r="L26" i="3"/>
  <c r="L28" i="3" s="1"/>
  <c r="L31" i="7"/>
  <c r="J39" i="2"/>
  <c r="L22" i="3"/>
  <c r="E127" i="19"/>
  <c r="F126" i="19"/>
  <c r="L34" i="3"/>
  <c r="AI302" i="5"/>
  <c r="AJ302" i="5" s="1"/>
  <c r="AK302" i="5"/>
  <c r="AL302" i="5" s="1"/>
  <c r="Y300" i="5"/>
  <c r="Y332" i="5"/>
  <c r="AI334" i="5"/>
  <c r="AJ334" i="5" s="1"/>
  <c r="AK334" i="5"/>
  <c r="AL334" i="5" s="1"/>
  <c r="Y292" i="5"/>
  <c r="AK340" i="5"/>
  <c r="AL340" i="5" s="1"/>
  <c r="AI340" i="5"/>
  <c r="AJ340" i="5" s="1"/>
  <c r="S11" i="9"/>
  <c r="H9" i="13"/>
  <c r="G8" i="14"/>
  <c r="J8" i="12"/>
  <c r="J8" i="11"/>
  <c r="K8" i="12" s="1"/>
  <c r="AI291" i="5"/>
  <c r="AJ291" i="5" s="1"/>
  <c r="AK291" i="5"/>
  <c r="AL291" i="5" s="1"/>
  <c r="AK297" i="5"/>
  <c r="AL297" i="5" s="1"/>
  <c r="AI297" i="5"/>
  <c r="AJ297" i="5" s="1"/>
  <c r="AI315" i="5"/>
  <c r="AJ315" i="5" s="1"/>
  <c r="AK315" i="5"/>
  <c r="AL315" i="5" s="1"/>
  <c r="AM315" i="5" s="1"/>
  <c r="I23" i="3"/>
  <c r="K126" i="19"/>
  <c r="J127" i="19"/>
  <c r="T11" i="9"/>
  <c r="AH197" i="6"/>
  <c r="Y53" i="9"/>
  <c r="Y54" i="9"/>
  <c r="Y29" i="9"/>
  <c r="Y127" i="9"/>
  <c r="Y56" i="9"/>
  <c r="Y77" i="9"/>
  <c r="Y135" i="9"/>
  <c r="Y76" i="9"/>
  <c r="Y18" i="9"/>
  <c r="G28" i="10" s="1"/>
  <c r="G60" i="10" s="1"/>
  <c r="Y86" i="9"/>
  <c r="Y19" i="9"/>
  <c r="Y132" i="9"/>
  <c r="Y110" i="9"/>
  <c r="Y133" i="9"/>
  <c r="Y118" i="9"/>
  <c r="Y134" i="9"/>
  <c r="Y137" i="9"/>
  <c r="Y142" i="9"/>
  <c r="Y104" i="9"/>
  <c r="Y80" i="9"/>
  <c r="Y98" i="9"/>
  <c r="Y47" i="9"/>
  <c r="Y61" i="9"/>
  <c r="Y62" i="9"/>
  <c r="Y25" i="9"/>
  <c r="Y38" i="9"/>
  <c r="Y99" i="9"/>
  <c r="Y58" i="9"/>
  <c r="Y103" i="9"/>
  <c r="Y51" i="9"/>
  <c r="Y144" i="9"/>
  <c r="Y75" i="9"/>
  <c r="Y91" i="9"/>
  <c r="Y15" i="9"/>
  <c r="Y46" i="9"/>
  <c r="Y139" i="9"/>
  <c r="Y52" i="9"/>
  <c r="Y22" i="9"/>
  <c r="Y16" i="9"/>
  <c r="Y145" i="9"/>
  <c r="Y26" i="9"/>
  <c r="Y81" i="9"/>
  <c r="Y73" i="9"/>
  <c r="Y70" i="9"/>
  <c r="Y40" i="9"/>
  <c r="Y112" i="9"/>
  <c r="Y143" i="9"/>
  <c r="Y114" i="9"/>
  <c r="Y130" i="9"/>
  <c r="Y84" i="9"/>
  <c r="Y95" i="9"/>
  <c r="Y71" i="9"/>
  <c r="Y109" i="9"/>
  <c r="Y85" i="9"/>
  <c r="Y59" i="9"/>
  <c r="Y78" i="9"/>
  <c r="Y48" i="9"/>
  <c r="Y21" i="9"/>
  <c r="Y41" i="9"/>
  <c r="Y111" i="9"/>
  <c r="Y120" i="9"/>
  <c r="Y115" i="9"/>
  <c r="Y129" i="9"/>
  <c r="Y14" i="9"/>
  <c r="Y105" i="9"/>
  <c r="Y121" i="9"/>
  <c r="Y13" i="9"/>
  <c r="Y27" i="9"/>
  <c r="Y24" i="9"/>
  <c r="Y94" i="9"/>
  <c r="Y119" i="9"/>
  <c r="Y28" i="9"/>
  <c r="Y32" i="9"/>
  <c r="Y88" i="9"/>
  <c r="Y64" i="9"/>
  <c r="Y82" i="9"/>
  <c r="Y31" i="9"/>
  <c r="Y146" i="9"/>
  <c r="Y124" i="9"/>
  <c r="Y72" i="9"/>
  <c r="Y50" i="9"/>
  <c r="Y66" i="9"/>
  <c r="Y126" i="9"/>
  <c r="Y138" i="9"/>
  <c r="Y100" i="9"/>
  <c r="Y92" i="9"/>
  <c r="Y34" i="9"/>
  <c r="Y102" i="9"/>
  <c r="Y23" i="9"/>
  <c r="Y60" i="9"/>
  <c r="Y33" i="9"/>
  <c r="Y37" i="9"/>
  <c r="Y123" i="9"/>
  <c r="Y87" i="9"/>
  <c r="Y125" i="9"/>
  <c r="Y141" i="9"/>
  <c r="Y128" i="9"/>
  <c r="Y101" i="9"/>
  <c r="Y117" i="9"/>
  <c r="Y67" i="9"/>
  <c r="Y57" i="9"/>
  <c r="Y20" i="9"/>
  <c r="Y17" i="9"/>
  <c r="Y90" i="9"/>
  <c r="Y44" i="9"/>
  <c r="Y65" i="9"/>
  <c r="Y131" i="9"/>
  <c r="Y55" i="9"/>
  <c r="Y93" i="9"/>
  <c r="Y69" i="9"/>
  <c r="Y43" i="9"/>
  <c r="Y36" i="9"/>
  <c r="Y136" i="9"/>
  <c r="Y68" i="9"/>
  <c r="Y96" i="9"/>
  <c r="Y106" i="9"/>
  <c r="Y122" i="9"/>
  <c r="Y107" i="9"/>
  <c r="Y83" i="9"/>
  <c r="Y42" i="9"/>
  <c r="Y97" i="9"/>
  <c r="Y89" i="9"/>
  <c r="Y35" i="9"/>
  <c r="Y140" i="9"/>
  <c r="Y45" i="9"/>
  <c r="Y49" i="9"/>
  <c r="Y30" i="9"/>
  <c r="Y116" i="9"/>
  <c r="Y108" i="9"/>
  <c r="Y74" i="9"/>
  <c r="Y39" i="9"/>
  <c r="Y113" i="9"/>
  <c r="Y63" i="9"/>
  <c r="Y79" i="9"/>
  <c r="AA13" i="9"/>
  <c r="AA19" i="9"/>
  <c r="AA28" i="9"/>
  <c r="AA63" i="9"/>
  <c r="AA46" i="9"/>
  <c r="AA123" i="9"/>
  <c r="AA76" i="9"/>
  <c r="AA111" i="9"/>
  <c r="AA75" i="9"/>
  <c r="AA68" i="9"/>
  <c r="AA35" i="9"/>
  <c r="AA14" i="9"/>
  <c r="I24" i="10" s="1"/>
  <c r="I56" i="10" s="1"/>
  <c r="J13" i="10" s="1"/>
  <c r="AA70" i="9"/>
  <c r="AA121" i="9"/>
  <c r="AA88" i="9"/>
  <c r="AA15" i="9"/>
  <c r="AA125" i="9"/>
  <c r="AA136" i="9"/>
  <c r="AA78" i="9"/>
  <c r="AA134" i="9"/>
  <c r="AA38" i="9"/>
  <c r="AA51" i="9"/>
  <c r="AA30" i="9"/>
  <c r="AA43" i="9"/>
  <c r="AA139" i="9"/>
  <c r="AA86" i="9"/>
  <c r="AA34" i="9"/>
  <c r="AA89" i="9"/>
  <c r="AA56" i="9"/>
  <c r="AA23" i="9"/>
  <c r="AA95" i="9"/>
  <c r="AA122" i="9"/>
  <c r="AA135" i="9"/>
  <c r="AA58" i="9"/>
  <c r="AA71" i="9"/>
  <c r="AA120" i="9"/>
  <c r="AA113" i="9"/>
  <c r="AA21" i="9"/>
  <c r="AA26" i="9"/>
  <c r="AA65" i="9"/>
  <c r="AA97" i="9"/>
  <c r="AA69" i="9"/>
  <c r="AA17" i="9"/>
  <c r="I27" i="10" s="1"/>
  <c r="AA22" i="9"/>
  <c r="AA110" i="9"/>
  <c r="AA129" i="9"/>
  <c r="AA112" i="9"/>
  <c r="AA79" i="9"/>
  <c r="AA42" i="9"/>
  <c r="AA138" i="9"/>
  <c r="AA83" i="9"/>
  <c r="AA92" i="9"/>
  <c r="AA40" i="9"/>
  <c r="AA146" i="9"/>
  <c r="AA16" i="9"/>
  <c r="I26" i="10" s="1"/>
  <c r="AA25" i="9"/>
  <c r="AA143" i="9"/>
  <c r="AA128" i="9"/>
  <c r="AA81" i="9"/>
  <c r="AA64" i="9"/>
  <c r="AA91" i="9"/>
  <c r="AA47" i="9"/>
  <c r="AA119" i="9"/>
  <c r="AA144" i="9"/>
  <c r="AA117" i="9"/>
  <c r="AA100" i="9"/>
  <c r="AA109" i="9"/>
  <c r="AA36" i="9"/>
  <c r="AA45" i="9"/>
  <c r="AA74" i="9"/>
  <c r="AA87" i="9"/>
  <c r="AA118" i="9"/>
  <c r="AA131" i="9"/>
  <c r="AA39" i="9"/>
  <c r="AA48" i="9"/>
  <c r="AA59" i="9"/>
  <c r="AA96" i="9"/>
  <c r="AA127" i="9"/>
  <c r="AA72" i="9"/>
  <c r="AA103" i="9"/>
  <c r="AA66" i="9"/>
  <c r="AA37" i="9"/>
  <c r="AA20" i="9"/>
  <c r="AA52" i="9"/>
  <c r="AA57" i="9"/>
  <c r="AA62" i="9"/>
  <c r="AA141" i="9"/>
  <c r="AA130" i="9"/>
  <c r="AA101" i="9"/>
  <c r="AA106" i="9"/>
  <c r="AA55" i="9"/>
  <c r="AA82" i="9"/>
  <c r="AA114" i="9"/>
  <c r="AA33" i="9"/>
  <c r="AA102" i="9"/>
  <c r="AA93" i="9"/>
  <c r="AA124" i="9"/>
  <c r="AA107" i="9"/>
  <c r="AA54" i="9"/>
  <c r="AA67" i="9"/>
  <c r="AA73" i="9"/>
  <c r="AA142" i="9"/>
  <c r="AA61" i="9"/>
  <c r="AA32" i="9"/>
  <c r="AA105" i="9"/>
  <c r="AA140" i="9"/>
  <c r="AA133" i="9"/>
  <c r="AA98" i="9"/>
  <c r="AA50" i="9"/>
  <c r="AA85" i="9"/>
  <c r="AA90" i="9"/>
  <c r="AA77" i="9"/>
  <c r="AA44" i="9"/>
  <c r="AA116" i="9"/>
  <c r="AA145" i="9"/>
  <c r="AA126" i="9"/>
  <c r="AA24" i="9"/>
  <c r="AA99" i="9"/>
  <c r="AA108" i="9"/>
  <c r="AA27" i="9"/>
  <c r="AA84" i="9"/>
  <c r="AA29" i="9"/>
  <c r="AA60" i="9"/>
  <c r="AA53" i="9"/>
  <c r="AA18" i="9"/>
  <c r="AA132" i="9"/>
  <c r="AA80" i="9"/>
  <c r="AA115" i="9"/>
  <c r="AA94" i="9"/>
  <c r="AA49" i="9"/>
  <c r="AA137" i="9"/>
  <c r="AA41" i="9"/>
  <c r="AA31" i="9"/>
  <c r="AA104" i="9"/>
  <c r="AK300" i="5"/>
  <c r="AL300" i="5" s="1"/>
  <c r="AI300" i="5"/>
  <c r="AJ300" i="5" s="1"/>
  <c r="AI289" i="5"/>
  <c r="AJ289" i="5" s="1"/>
  <c r="AK289" i="5"/>
  <c r="AL289" i="5" s="1"/>
  <c r="V76" i="9"/>
  <c r="V99" i="9"/>
  <c r="V131" i="9"/>
  <c r="V137" i="9"/>
  <c r="V26" i="9"/>
  <c r="V100" i="9"/>
  <c r="V83" i="9"/>
  <c r="V107" i="9"/>
  <c r="V75" i="9"/>
  <c r="V35" i="9"/>
  <c r="V92" i="9"/>
  <c r="V124" i="9"/>
  <c r="V138" i="9"/>
  <c r="V55" i="9"/>
  <c r="V19" i="9"/>
  <c r="V143" i="9"/>
  <c r="V50" i="9"/>
  <c r="V81" i="9"/>
  <c r="V69" i="9"/>
  <c r="V122" i="9"/>
  <c r="V123" i="9"/>
  <c r="V28" i="9"/>
  <c r="V33" i="9"/>
  <c r="V82" i="9"/>
  <c r="V37" i="9"/>
  <c r="V68" i="9"/>
  <c r="V51" i="9"/>
  <c r="V67" i="9"/>
  <c r="V30" i="9"/>
  <c r="V87" i="9"/>
  <c r="V145" i="9"/>
  <c r="V142" i="9"/>
  <c r="V27" i="9"/>
  <c r="V59" i="9"/>
  <c r="V49" i="9"/>
  <c r="V95" i="9"/>
  <c r="V54" i="9"/>
  <c r="V56" i="9"/>
  <c r="V63" i="9"/>
  <c r="V128" i="9"/>
  <c r="V90" i="9"/>
  <c r="V104" i="9"/>
  <c r="V102" i="9"/>
  <c r="V52" i="9"/>
  <c r="V24" i="9"/>
  <c r="V88" i="9"/>
  <c r="V22" i="9"/>
  <c r="V70" i="9"/>
  <c r="V29" i="9"/>
  <c r="V58" i="9"/>
  <c r="V60" i="9"/>
  <c r="V96" i="9"/>
  <c r="V98" i="9"/>
  <c r="V93" i="9"/>
  <c r="V117" i="9"/>
  <c r="V73" i="9"/>
  <c r="V38" i="9"/>
  <c r="V44" i="9"/>
  <c r="V144" i="9"/>
  <c r="V40" i="9"/>
  <c r="V80" i="9"/>
  <c r="V115" i="9"/>
  <c r="V94" i="9"/>
  <c r="V47" i="9"/>
  <c r="V118" i="9"/>
  <c r="V130" i="9"/>
  <c r="V120" i="9"/>
  <c r="V134" i="9"/>
  <c r="V135" i="9"/>
  <c r="V86" i="9"/>
  <c r="V146" i="9"/>
  <c r="V108" i="9"/>
  <c r="V105" i="9"/>
  <c r="V65" i="9"/>
  <c r="V34" i="9"/>
  <c r="V127" i="9"/>
  <c r="V133" i="9"/>
  <c r="V42" i="9"/>
  <c r="AB7" i="9"/>
  <c r="V48" i="9"/>
  <c r="V45" i="9"/>
  <c r="V39" i="9"/>
  <c r="V20" i="9"/>
  <c r="V109" i="9"/>
  <c r="V139" i="9"/>
  <c r="V31" i="9"/>
  <c r="V141" i="9"/>
  <c r="V36" i="9"/>
  <c r="V126" i="9"/>
  <c r="V91" i="9"/>
  <c r="V62" i="9"/>
  <c r="V78" i="9"/>
  <c r="V110" i="9"/>
  <c r="V43" i="9"/>
  <c r="V132" i="9"/>
  <c r="V136" i="9"/>
  <c r="V121" i="9"/>
  <c r="V46" i="9"/>
  <c r="V32" i="9"/>
  <c r="V66" i="9"/>
  <c r="V84" i="9"/>
  <c r="V140" i="9"/>
  <c r="V113" i="9"/>
  <c r="V111" i="9"/>
  <c r="V74" i="9"/>
  <c r="V106" i="9"/>
  <c r="V129" i="9"/>
  <c r="V23" i="9"/>
  <c r="V77" i="9"/>
  <c r="V41" i="9"/>
  <c r="V116" i="9"/>
  <c r="V57" i="9"/>
  <c r="V71" i="9"/>
  <c r="V72" i="9"/>
  <c r="V103" i="9"/>
  <c r="V21" i="9"/>
  <c r="V25" i="9"/>
  <c r="V112" i="9"/>
  <c r="V53" i="9"/>
  <c r="V85" i="9"/>
  <c r="V61" i="9"/>
  <c r="V125" i="9"/>
  <c r="V101" i="9"/>
  <c r="V64" i="9"/>
  <c r="V79" i="9"/>
  <c r="V114" i="9"/>
  <c r="V97" i="9"/>
  <c r="V89" i="9"/>
  <c r="V119" i="9"/>
  <c r="V15" i="9"/>
  <c r="V16" i="9"/>
  <c r="V13" i="9"/>
  <c r="V14" i="9"/>
  <c r="V17" i="9"/>
  <c r="J38" i="10" s="1"/>
  <c r="V18" i="9"/>
  <c r="J39" i="10" s="1"/>
  <c r="L111" i="7" s="1"/>
  <c r="AK304" i="5"/>
  <c r="AL304" i="5" s="1"/>
  <c r="AI304" i="5"/>
  <c r="AJ304" i="5" s="1"/>
  <c r="Z23" i="9"/>
  <c r="Z109" i="9"/>
  <c r="Z85" i="9"/>
  <c r="Z43" i="9"/>
  <c r="Z65" i="9"/>
  <c r="Z132" i="9"/>
  <c r="Z49" i="9"/>
  <c r="Z114" i="9"/>
  <c r="Z137" i="9"/>
  <c r="Z30" i="9"/>
  <c r="Z111" i="9"/>
  <c r="Z105" i="9"/>
  <c r="Z112" i="9"/>
  <c r="Z63" i="9"/>
  <c r="Z62" i="9"/>
  <c r="Z14" i="9"/>
  <c r="Z118" i="9"/>
  <c r="Z99" i="9"/>
  <c r="Z78" i="9"/>
  <c r="Z125" i="9"/>
  <c r="Z130" i="9"/>
  <c r="Z87" i="9"/>
  <c r="Z117" i="9"/>
  <c r="Z133" i="9"/>
  <c r="Z66" i="9"/>
  <c r="Z38" i="9"/>
  <c r="Z86" i="9"/>
  <c r="Z104" i="9"/>
  <c r="Z127" i="9"/>
  <c r="Z17" i="9"/>
  <c r="H27" i="10" s="1"/>
  <c r="H59" i="10" s="1"/>
  <c r="I16" i="10" s="1"/>
  <c r="Z35" i="9"/>
  <c r="Z80" i="9"/>
  <c r="Z97" i="9"/>
  <c r="Z21" i="9"/>
  <c r="Z25" i="9"/>
  <c r="Z103" i="9"/>
  <c r="Z55" i="9"/>
  <c r="Z61" i="9"/>
  <c r="Z19" i="9"/>
  <c r="Z144" i="9"/>
  <c r="Z58" i="9"/>
  <c r="Z74" i="9"/>
  <c r="Z134" i="9"/>
  <c r="Z28" i="9"/>
  <c r="Z108" i="9"/>
  <c r="Z75" i="9"/>
  <c r="Z110" i="9"/>
  <c r="Z102" i="9"/>
  <c r="Z20" i="9"/>
  <c r="Z76" i="9"/>
  <c r="Z115" i="9"/>
  <c r="Z40" i="9"/>
  <c r="Z126" i="9"/>
  <c r="Z131" i="9"/>
  <c r="Z90" i="9"/>
  <c r="Z59" i="9"/>
  <c r="Z18" i="9"/>
  <c r="H28" i="10" s="1"/>
  <c r="Z107" i="9"/>
  <c r="Z31" i="9"/>
  <c r="Z54" i="9"/>
  <c r="Z95" i="9"/>
  <c r="Z81" i="9"/>
  <c r="Z124" i="9"/>
  <c r="Z128" i="9"/>
  <c r="Z142" i="9"/>
  <c r="Z70" i="9"/>
  <c r="Z106" i="9"/>
  <c r="Z26" i="9"/>
  <c r="Z100" i="9"/>
  <c r="Z121" i="9"/>
  <c r="Z33" i="9"/>
  <c r="Z71" i="9"/>
  <c r="Z101" i="9"/>
  <c r="Z32" i="9"/>
  <c r="Z44" i="9"/>
  <c r="Z39" i="9"/>
  <c r="Z16" i="9"/>
  <c r="Z145" i="9"/>
  <c r="Z123" i="9"/>
  <c r="Z68" i="9"/>
  <c r="Z60" i="9"/>
  <c r="Z138" i="9"/>
  <c r="Z50" i="9"/>
  <c r="Z56" i="9"/>
  <c r="Z79" i="9"/>
  <c r="Z48" i="9"/>
  <c r="Z27" i="9"/>
  <c r="Z47" i="9"/>
  <c r="Z53" i="9"/>
  <c r="Z88" i="9"/>
  <c r="Z57" i="9"/>
  <c r="Z113" i="9"/>
  <c r="Z51" i="9"/>
  <c r="Z45" i="9"/>
  <c r="Z93" i="9"/>
  <c r="Z139" i="9"/>
  <c r="Z83" i="9"/>
  <c r="Z67" i="9"/>
  <c r="Z119" i="9"/>
  <c r="Z84" i="9"/>
  <c r="Z13" i="9"/>
  <c r="Z29" i="9"/>
  <c r="Z91" i="9"/>
  <c r="Z42" i="9"/>
  <c r="Z73" i="9"/>
  <c r="Z22" i="9"/>
  <c r="Z146" i="9"/>
  <c r="Z136" i="9"/>
  <c r="Z69" i="9"/>
  <c r="Z129" i="9"/>
  <c r="Z141" i="9"/>
  <c r="Z72" i="9"/>
  <c r="Z82" i="9"/>
  <c r="Z34" i="9"/>
  <c r="Z24" i="9"/>
  <c r="Z64" i="9"/>
  <c r="Z41" i="9"/>
  <c r="Z143" i="9"/>
  <c r="Z140" i="9"/>
  <c r="Z77" i="9"/>
  <c r="Z122" i="9"/>
  <c r="Z98" i="9"/>
  <c r="Z120" i="9"/>
  <c r="Z96" i="9"/>
  <c r="Z94" i="9"/>
  <c r="Z36" i="9"/>
  <c r="Z15" i="9"/>
  <c r="Z89" i="9"/>
  <c r="Z37" i="9"/>
  <c r="Z92" i="9"/>
  <c r="Z116" i="9"/>
  <c r="Z52" i="9"/>
  <c r="Z46" i="9"/>
  <c r="Z135" i="9"/>
  <c r="F23" i="10"/>
  <c r="X11" i="9"/>
  <c r="AK339" i="5"/>
  <c r="AL339" i="5" s="1"/>
  <c r="AM339" i="5" s="1"/>
  <c r="AI339" i="5"/>
  <c r="AJ339" i="5" s="1"/>
  <c r="AK305" i="5"/>
  <c r="AL305" i="5" s="1"/>
  <c r="AI305" i="5"/>
  <c r="AJ305" i="5" s="1"/>
  <c r="AI301" i="5"/>
  <c r="AJ301" i="5" s="1"/>
  <c r="AK301" i="5"/>
  <c r="AL301" i="5" s="1"/>
  <c r="AK311" i="5"/>
  <c r="AL311" i="5" s="1"/>
  <c r="AI311" i="5"/>
  <c r="AJ311" i="5" s="1"/>
  <c r="AI296" i="5"/>
  <c r="AJ296" i="5" s="1"/>
  <c r="AK296" i="5"/>
  <c r="AL296" i="5" s="1"/>
  <c r="AK294" i="5"/>
  <c r="AL294" i="5" s="1"/>
  <c r="AI294" i="5"/>
  <c r="AJ294" i="5" s="1"/>
  <c r="I106" i="7"/>
  <c r="H106" i="7"/>
  <c r="H113" i="7" s="1"/>
  <c r="H176" i="7" s="1"/>
  <c r="F40" i="10"/>
  <c r="F50" i="10" s="1"/>
  <c r="F24" i="11" s="1"/>
  <c r="F27" i="11" s="1"/>
  <c r="H111" i="3"/>
  <c r="Y201" i="6"/>
  <c r="Y196" i="6"/>
  <c r="K154" i="3"/>
  <c r="I15" i="11" s="1"/>
  <c r="H23" i="16" s="1"/>
  <c r="I77" i="2"/>
  <c r="K30" i="7"/>
  <c r="H77" i="2"/>
  <c r="J30" i="7"/>
  <c r="G77" i="2"/>
  <c r="I30" i="7"/>
  <c r="H67" i="2"/>
  <c r="J16" i="7"/>
  <c r="J19" i="7" s="1"/>
  <c r="J41" i="7" s="1"/>
  <c r="I67" i="2"/>
  <c r="K16" i="7"/>
  <c r="K19" i="7" s="1"/>
  <c r="K41" i="7" s="1"/>
  <c r="G67" i="2"/>
  <c r="I16" i="7"/>
  <c r="I19" i="7" s="1"/>
  <c r="I41" i="7" s="1"/>
  <c r="I25" i="11"/>
  <c r="H30" i="16" s="1"/>
  <c r="K199" i="7"/>
  <c r="I71" i="11" s="1"/>
  <c r="L193" i="7"/>
  <c r="I26" i="11"/>
  <c r="H31" i="16" s="1"/>
  <c r="K200" i="7"/>
  <c r="I72" i="11" s="1"/>
  <c r="J199" i="7"/>
  <c r="H71" i="11" s="1"/>
  <c r="J200" i="7"/>
  <c r="H72" i="11" s="1"/>
  <c r="K193" i="7"/>
  <c r="J26" i="11"/>
  <c r="I31" i="16" s="1"/>
  <c r="L200" i="7"/>
  <c r="J72" i="11" s="1"/>
  <c r="L82" i="7"/>
  <c r="K194" i="7" s="1"/>
  <c r="I17" i="11"/>
  <c r="H25" i="16" s="1"/>
  <c r="J193" i="7"/>
  <c r="J194" i="7"/>
  <c r="J25" i="11"/>
  <c r="I30" i="16" s="1"/>
  <c r="H97" i="3"/>
  <c r="I158" i="3" s="1"/>
  <c r="AH68" i="6"/>
  <c r="AH89" i="6" s="1"/>
  <c r="Y89" i="6"/>
  <c r="Y132" i="6"/>
  <c r="G29" i="16" l="1"/>
  <c r="F29" i="11"/>
  <c r="F42" i="11" s="1"/>
  <c r="F46" i="14"/>
  <c r="G23" i="16"/>
  <c r="I23" i="16"/>
  <c r="G63" i="14"/>
  <c r="G11" i="14"/>
  <c r="G21" i="14"/>
  <c r="G40" i="14"/>
  <c r="I25" i="10"/>
  <c r="AC67" i="4"/>
  <c r="H25" i="10"/>
  <c r="H23" i="3"/>
  <c r="AC68" i="4"/>
  <c r="AC88" i="4"/>
  <c r="AC114" i="4"/>
  <c r="AC110" i="4"/>
  <c r="AC89" i="4"/>
  <c r="AC246" i="5"/>
  <c r="AC222" i="5"/>
  <c r="AC334" i="5"/>
  <c r="AC155" i="5"/>
  <c r="AC205" i="5"/>
  <c r="AC199" i="5"/>
  <c r="AC258" i="5"/>
  <c r="AC183" i="5"/>
  <c r="AC190" i="5"/>
  <c r="AC193" i="5"/>
  <c r="AC189" i="5"/>
  <c r="AC185" i="5"/>
  <c r="AC235" i="5"/>
  <c r="AC271" i="5"/>
  <c r="AC177" i="5"/>
  <c r="AC291" i="5"/>
  <c r="AC162" i="5"/>
  <c r="AC254" i="5"/>
  <c r="AC270" i="5"/>
  <c r="R144" i="6"/>
  <c r="AC149" i="6"/>
  <c r="AC107" i="6"/>
  <c r="R102" i="6"/>
  <c r="R132" i="6" s="1"/>
  <c r="AC85" i="5"/>
  <c r="R61" i="4"/>
  <c r="R106" i="4"/>
  <c r="I106" i="4"/>
  <c r="Y106" i="4" s="1"/>
  <c r="P106" i="4"/>
  <c r="N106" i="4"/>
  <c r="AD106" i="4" s="1"/>
  <c r="P132" i="6"/>
  <c r="S89" i="6"/>
  <c r="I186" i="6"/>
  <c r="Y186" i="6" s="1"/>
  <c r="AB186" i="6" s="1"/>
  <c r="N186" i="6"/>
  <c r="AD186" i="6" s="1"/>
  <c r="S102" i="6"/>
  <c r="S132" i="6" s="1"/>
  <c r="T59" i="6"/>
  <c r="AC84" i="5"/>
  <c r="S84" i="5" s="1"/>
  <c r="T84" i="5" s="1"/>
  <c r="I286" i="5"/>
  <c r="AC61" i="4"/>
  <c r="S61" i="4" s="1"/>
  <c r="T61" i="4" s="1"/>
  <c r="T38" i="4"/>
  <c r="I105" i="4"/>
  <c r="Y105" i="4" s="1"/>
  <c r="N105" i="4"/>
  <c r="AD105" i="4" s="1"/>
  <c r="AC126" i="6"/>
  <c r="AC125" i="6"/>
  <c r="AC115" i="6"/>
  <c r="AC172" i="6"/>
  <c r="AC144" i="6"/>
  <c r="S144" i="6" s="1"/>
  <c r="AB167" i="6"/>
  <c r="AA167" i="6"/>
  <c r="AA161" i="6"/>
  <c r="AB161" i="6"/>
  <c r="AA201" i="6"/>
  <c r="AB201" i="6"/>
  <c r="AB208" i="6"/>
  <c r="AA208" i="6"/>
  <c r="AA195" i="6"/>
  <c r="AB195" i="6"/>
  <c r="AB192" i="6"/>
  <c r="AA192" i="6"/>
  <c r="AB163" i="6"/>
  <c r="AA163" i="6"/>
  <c r="AB160" i="6"/>
  <c r="AA160" i="6"/>
  <c r="AC162" i="6"/>
  <c r="AC123" i="6"/>
  <c r="AC154" i="6"/>
  <c r="AC111" i="6"/>
  <c r="AC159" i="6"/>
  <c r="AC131" i="6"/>
  <c r="AC122" i="6"/>
  <c r="AB204" i="6"/>
  <c r="AA204" i="6"/>
  <c r="AB152" i="6"/>
  <c r="AA152" i="6"/>
  <c r="AA157" i="6"/>
  <c r="AB157" i="6"/>
  <c r="AB214" i="6"/>
  <c r="AA214" i="6"/>
  <c r="AB206" i="6"/>
  <c r="AA206" i="6"/>
  <c r="AB168" i="6"/>
  <c r="AA168" i="6"/>
  <c r="AB148" i="6"/>
  <c r="AA148" i="6"/>
  <c r="AB155" i="6"/>
  <c r="AA155" i="6"/>
  <c r="AB196" i="6"/>
  <c r="AA196" i="6"/>
  <c r="AB171" i="6"/>
  <c r="AA171" i="6"/>
  <c r="AA169" i="6"/>
  <c r="AB169" i="6"/>
  <c r="AB198" i="6"/>
  <c r="AA198" i="6"/>
  <c r="AA173" i="6"/>
  <c r="AB173" i="6"/>
  <c r="AA165" i="6"/>
  <c r="AB165" i="6"/>
  <c r="AA191" i="6"/>
  <c r="AB191" i="6"/>
  <c r="AA189" i="6"/>
  <c r="AB189" i="6"/>
  <c r="AB202" i="6"/>
  <c r="AA202" i="6"/>
  <c r="AB151" i="6"/>
  <c r="AA151" i="6"/>
  <c r="AA205" i="6"/>
  <c r="AB205" i="6"/>
  <c r="AC150" i="6"/>
  <c r="AC188" i="6"/>
  <c r="AC166" i="6"/>
  <c r="AC105" i="6"/>
  <c r="AC212" i="6"/>
  <c r="AC170" i="6"/>
  <c r="AC200" i="6"/>
  <c r="AA187" i="6"/>
  <c r="AB187" i="6"/>
  <c r="N187" i="6"/>
  <c r="AD187" i="6" s="1"/>
  <c r="P145" i="6"/>
  <c r="R145" i="6" s="1"/>
  <c r="AC145" i="6"/>
  <c r="AC223" i="5"/>
  <c r="AC266" i="5"/>
  <c r="AC169" i="5"/>
  <c r="AC227" i="5"/>
  <c r="AC159" i="5"/>
  <c r="AC295" i="5"/>
  <c r="AC194" i="5"/>
  <c r="AC154" i="5"/>
  <c r="AC224" i="5"/>
  <c r="AC226" i="5"/>
  <c r="AC201" i="5"/>
  <c r="AC166" i="5"/>
  <c r="AC187" i="5"/>
  <c r="AC310" i="5"/>
  <c r="AC202" i="5"/>
  <c r="AC170" i="5"/>
  <c r="AC173" i="5"/>
  <c r="AC228" i="5"/>
  <c r="AA332" i="5"/>
  <c r="AB332" i="5"/>
  <c r="AB326" i="5"/>
  <c r="AA326" i="5"/>
  <c r="AB273" i="5"/>
  <c r="AA273" i="5"/>
  <c r="AA238" i="5"/>
  <c r="AB238" i="5"/>
  <c r="AA300" i="5"/>
  <c r="AB300" i="5"/>
  <c r="AA298" i="5"/>
  <c r="AB298" i="5"/>
  <c r="AB236" i="5"/>
  <c r="AA236" i="5"/>
  <c r="AB290" i="5"/>
  <c r="AA290" i="5"/>
  <c r="AB314" i="5"/>
  <c r="AA314" i="5"/>
  <c r="AB244" i="5"/>
  <c r="AA244" i="5"/>
  <c r="AA262" i="5"/>
  <c r="AB262" i="5"/>
  <c r="AB248" i="5"/>
  <c r="AA248" i="5"/>
  <c r="AA264" i="5"/>
  <c r="AB264" i="5"/>
  <c r="AC331" i="5"/>
  <c r="AC247" i="5"/>
  <c r="AC225" i="5"/>
  <c r="AC174" i="5"/>
  <c r="AC322" i="5"/>
  <c r="AC259" i="5"/>
  <c r="AC255" i="5"/>
  <c r="AC239" i="5"/>
  <c r="AC316" i="5"/>
  <c r="AB268" i="5"/>
  <c r="AA268" i="5"/>
  <c r="AB229" i="5"/>
  <c r="AA229" i="5"/>
  <c r="AB221" i="5"/>
  <c r="AA221" i="5"/>
  <c r="AA234" i="5"/>
  <c r="AB234" i="5"/>
  <c r="AA292" i="5"/>
  <c r="AB292" i="5"/>
  <c r="AB272" i="5"/>
  <c r="AA272" i="5"/>
  <c r="AB328" i="5"/>
  <c r="AA328" i="5"/>
  <c r="AB318" i="5"/>
  <c r="AA318" i="5"/>
  <c r="AA337" i="5"/>
  <c r="AB337" i="5"/>
  <c r="AA325" i="5"/>
  <c r="AB325" i="5"/>
  <c r="AB302" i="5"/>
  <c r="AA302" i="5"/>
  <c r="AB245" i="5"/>
  <c r="AA245" i="5"/>
  <c r="AB257" i="5"/>
  <c r="AA257" i="5"/>
  <c r="AB330" i="5"/>
  <c r="AA330" i="5"/>
  <c r="AA261" i="5"/>
  <c r="AB261" i="5"/>
  <c r="AA242" i="5"/>
  <c r="AB242" i="5"/>
  <c r="AA327" i="5"/>
  <c r="AB327" i="5"/>
  <c r="S85" i="5"/>
  <c r="AB240" i="5"/>
  <c r="AA240" i="5"/>
  <c r="AB321" i="5"/>
  <c r="AA321" i="5"/>
  <c r="AA253" i="5"/>
  <c r="AB253" i="5"/>
  <c r="AA250" i="5"/>
  <c r="AB250" i="5"/>
  <c r="AA297" i="5"/>
  <c r="AB297" i="5"/>
  <c r="AA293" i="5"/>
  <c r="AB293" i="5"/>
  <c r="AA252" i="5"/>
  <c r="AB252" i="5"/>
  <c r="AA294" i="5"/>
  <c r="AB294" i="5"/>
  <c r="AB311" i="5"/>
  <c r="AA311" i="5"/>
  <c r="AB256" i="5"/>
  <c r="AA256" i="5"/>
  <c r="AA313" i="5"/>
  <c r="AB313" i="5"/>
  <c r="AB306" i="5"/>
  <c r="AA306" i="5"/>
  <c r="AA329" i="5"/>
  <c r="AB329" i="5"/>
  <c r="AB237" i="5"/>
  <c r="AA237" i="5"/>
  <c r="AB269" i="5"/>
  <c r="AA269" i="5"/>
  <c r="AA289" i="5"/>
  <c r="AB289" i="5"/>
  <c r="AA232" i="5"/>
  <c r="AB232" i="5"/>
  <c r="AB315" i="5"/>
  <c r="AA315" i="5"/>
  <c r="AB241" i="5"/>
  <c r="AA241" i="5"/>
  <c r="AA333" i="5"/>
  <c r="AB333" i="5"/>
  <c r="AB265" i="5"/>
  <c r="AA265" i="5"/>
  <c r="AA230" i="5"/>
  <c r="AB230" i="5"/>
  <c r="AB260" i="5"/>
  <c r="AA260" i="5"/>
  <c r="AC181" i="5"/>
  <c r="AC249" i="5"/>
  <c r="AC178" i="5"/>
  <c r="AC251" i="5"/>
  <c r="AC233" i="5"/>
  <c r="AC186" i="5"/>
  <c r="AC231" i="5"/>
  <c r="AC206" i="5"/>
  <c r="AC182" i="5"/>
  <c r="AC338" i="5"/>
  <c r="AB152" i="5"/>
  <c r="AA152" i="5"/>
  <c r="Y207" i="5"/>
  <c r="O219" i="5"/>
  <c r="Y219" i="5"/>
  <c r="P152" i="5"/>
  <c r="AD152" i="5"/>
  <c r="Y220" i="5"/>
  <c r="O220" i="5"/>
  <c r="T85" i="5"/>
  <c r="P153" i="5"/>
  <c r="AD153" i="5"/>
  <c r="AB153" i="5"/>
  <c r="AA153" i="5"/>
  <c r="AC86" i="4"/>
  <c r="AC92" i="4"/>
  <c r="AC91" i="4"/>
  <c r="AB109" i="4"/>
  <c r="AA109" i="4"/>
  <c r="AB83" i="4"/>
  <c r="R83" i="4" s="1"/>
  <c r="AA83" i="4"/>
  <c r="AA85" i="4"/>
  <c r="AB85" i="4"/>
  <c r="AA111" i="4"/>
  <c r="AB111" i="4"/>
  <c r="AA90" i="4"/>
  <c r="AB90" i="4"/>
  <c r="AC64" i="4"/>
  <c r="AB113" i="4"/>
  <c r="AC113" i="4" s="1"/>
  <c r="AA113" i="4"/>
  <c r="AB112" i="4"/>
  <c r="AA112" i="4"/>
  <c r="AA84" i="4"/>
  <c r="AB84" i="4"/>
  <c r="AC62" i="4"/>
  <c r="S62" i="4" s="1"/>
  <c r="AM289" i="5"/>
  <c r="AM296" i="5"/>
  <c r="Y107" i="4"/>
  <c r="AM300" i="5"/>
  <c r="AM305" i="5"/>
  <c r="AM304" i="5"/>
  <c r="AK333" i="5"/>
  <c r="AL333" i="5" s="1"/>
  <c r="AM333" i="5" s="1"/>
  <c r="P71" i="4"/>
  <c r="AM299" i="5"/>
  <c r="AM340" i="5"/>
  <c r="O207" i="5"/>
  <c r="N93" i="4"/>
  <c r="AM297" i="5"/>
  <c r="AK337" i="5"/>
  <c r="AL337" i="5" s="1"/>
  <c r="AM337" i="5" s="1"/>
  <c r="AM314" i="5"/>
  <c r="AI336" i="5"/>
  <c r="AJ336" i="5" s="1"/>
  <c r="AM291" i="5"/>
  <c r="AM311" i="5"/>
  <c r="N274" i="5"/>
  <c r="N174" i="6"/>
  <c r="AK318" i="5"/>
  <c r="AL318" i="5" s="1"/>
  <c r="AM318" i="5" s="1"/>
  <c r="AM336" i="5"/>
  <c r="T71" i="5"/>
  <c r="H110" i="3" s="1"/>
  <c r="AM301" i="5"/>
  <c r="AF108" i="4"/>
  <c r="AF113" i="4"/>
  <c r="AF106" i="4"/>
  <c r="AF327" i="5"/>
  <c r="AF213" i="6"/>
  <c r="AF205" i="6"/>
  <c r="AF203" i="6"/>
  <c r="AF188" i="6"/>
  <c r="AF298" i="5"/>
  <c r="AF314" i="5"/>
  <c r="AF304" i="5"/>
  <c r="AF212" i="6"/>
  <c r="AF204" i="6"/>
  <c r="AF316" i="5"/>
  <c r="AF209" i="6"/>
  <c r="AF325" i="5"/>
  <c r="AF313" i="5"/>
  <c r="AF331" i="5"/>
  <c r="Y299" i="5"/>
  <c r="P139" i="5"/>
  <c r="Y317" i="5"/>
  <c r="AM286" i="5"/>
  <c r="AM290" i="5"/>
  <c r="AF303" i="5"/>
  <c r="AF335" i="5"/>
  <c r="AF311" i="5"/>
  <c r="AF339" i="5"/>
  <c r="AF194" i="6"/>
  <c r="AF328" i="5"/>
  <c r="AF189" i="6"/>
  <c r="AF320" i="5"/>
  <c r="AM322" i="5"/>
  <c r="AF299" i="5"/>
  <c r="AF333" i="5"/>
  <c r="AF310" i="5"/>
  <c r="AF208" i="6"/>
  <c r="R48" i="4"/>
  <c r="P174" i="6"/>
  <c r="Y309" i="5"/>
  <c r="Y190" i="6"/>
  <c r="Y203" i="6"/>
  <c r="AF193" i="6"/>
  <c r="AF319" i="5"/>
  <c r="AF307" i="5"/>
  <c r="AF197" i="6"/>
  <c r="AF323" i="5"/>
  <c r="AF330" i="5"/>
  <c r="AF340" i="5"/>
  <c r="AF300" i="5"/>
  <c r="AF324" i="5"/>
  <c r="AF315" i="5"/>
  <c r="AF308" i="5"/>
  <c r="AF215" i="6"/>
  <c r="Y305" i="5"/>
  <c r="J115" i="4"/>
  <c r="Y108" i="4"/>
  <c r="Y197" i="6"/>
  <c r="AF295" i="5"/>
  <c r="AF199" i="6"/>
  <c r="AF190" i="6"/>
  <c r="AF291" i="5"/>
  <c r="AF210" i="6"/>
  <c r="AF312" i="5"/>
  <c r="AF292" i="5"/>
  <c r="AF336" i="5"/>
  <c r="AF214" i="6"/>
  <c r="AF305" i="5"/>
  <c r="AF332" i="5"/>
  <c r="AF326" i="5"/>
  <c r="AF192" i="6"/>
  <c r="Y211" i="6"/>
  <c r="R89" i="6"/>
  <c r="Y199" i="6"/>
  <c r="Y193" i="6"/>
  <c r="Y301" i="5"/>
  <c r="Y194" i="6"/>
  <c r="Y210" i="6"/>
  <c r="S48" i="4"/>
  <c r="AK303" i="5"/>
  <c r="AL303" i="5" s="1"/>
  <c r="AM303" i="5" s="1"/>
  <c r="AI299" i="5"/>
  <c r="AJ299" i="5" s="1"/>
  <c r="Y308" i="5"/>
  <c r="AI325" i="5"/>
  <c r="AJ325" i="5" s="1"/>
  <c r="AK325" i="5"/>
  <c r="AL325" i="5" s="1"/>
  <c r="AM325" i="5" s="1"/>
  <c r="Y296" i="5"/>
  <c r="Y312" i="5"/>
  <c r="Y340" i="5"/>
  <c r="Y304" i="5"/>
  <c r="AI307" i="5"/>
  <c r="AJ307" i="5" s="1"/>
  <c r="AK307" i="5"/>
  <c r="AL307" i="5" s="1"/>
  <c r="AM307" i="5" s="1"/>
  <c r="Y320" i="5"/>
  <c r="AI335" i="5"/>
  <c r="AJ335" i="5" s="1"/>
  <c r="AK335" i="5"/>
  <c r="AL335" i="5" s="1"/>
  <c r="AM335" i="5" s="1"/>
  <c r="AI309" i="5"/>
  <c r="AJ309" i="5" s="1"/>
  <c r="AK309" i="5"/>
  <c r="AL309" i="5" s="1"/>
  <c r="AM309" i="5" s="1"/>
  <c r="AK313" i="5"/>
  <c r="AL313" i="5" s="1"/>
  <c r="AM313" i="5" s="1"/>
  <c r="AI313" i="5"/>
  <c r="AJ313" i="5" s="1"/>
  <c r="AI319" i="5"/>
  <c r="AJ319" i="5" s="1"/>
  <c r="AK319" i="5"/>
  <c r="AL319" i="5" s="1"/>
  <c r="AM319" i="5" s="1"/>
  <c r="AI329" i="5"/>
  <c r="AJ329" i="5" s="1"/>
  <c r="AK329" i="5"/>
  <c r="AL329" i="5" s="1"/>
  <c r="AM329" i="5" s="1"/>
  <c r="AK293" i="5"/>
  <c r="AL293" i="5" s="1"/>
  <c r="AM293" i="5" s="1"/>
  <c r="AI293" i="5"/>
  <c r="AJ293" i="5" s="1"/>
  <c r="AK331" i="5"/>
  <c r="AL331" i="5" s="1"/>
  <c r="AM331" i="5" s="1"/>
  <c r="AI331" i="5"/>
  <c r="AJ331" i="5" s="1"/>
  <c r="AK327" i="5"/>
  <c r="AL327" i="5" s="1"/>
  <c r="AM327" i="5" s="1"/>
  <c r="AI327" i="5"/>
  <c r="AJ327" i="5" s="1"/>
  <c r="Y324" i="5"/>
  <c r="AK317" i="5"/>
  <c r="AL317" i="5" s="1"/>
  <c r="AM317" i="5" s="1"/>
  <c r="AI317" i="5"/>
  <c r="AJ317" i="5" s="1"/>
  <c r="Y336" i="5"/>
  <c r="AI321" i="5"/>
  <c r="AJ321" i="5" s="1"/>
  <c r="AK321" i="5"/>
  <c r="AL321" i="5" s="1"/>
  <c r="AM321" i="5" s="1"/>
  <c r="Y288" i="5"/>
  <c r="AK323" i="5"/>
  <c r="AL323" i="5" s="1"/>
  <c r="AM323" i="5" s="1"/>
  <c r="AI323" i="5"/>
  <c r="AJ323" i="5" s="1"/>
  <c r="I64" i="3"/>
  <c r="H47" i="3"/>
  <c r="H52" i="3" s="1"/>
  <c r="H61" i="3" s="1"/>
  <c r="I159" i="3" s="1"/>
  <c r="G49" i="11" s="1"/>
  <c r="F62" i="16" s="1"/>
  <c r="J47" i="3"/>
  <c r="J52" i="3" s="1"/>
  <c r="J61" i="3" s="1"/>
  <c r="H38" i="7"/>
  <c r="H58" i="7" s="1"/>
  <c r="AM302" i="5"/>
  <c r="J23" i="3"/>
  <c r="L9" i="3"/>
  <c r="L10" i="3" s="1"/>
  <c r="K10" i="3"/>
  <c r="K113" i="7"/>
  <c r="K176" i="7" s="1"/>
  <c r="K21" i="3"/>
  <c r="K20" i="3"/>
  <c r="K19" i="3"/>
  <c r="I40" i="10"/>
  <c r="I50" i="10" s="1"/>
  <c r="I24" i="11" s="1"/>
  <c r="L15" i="3"/>
  <c r="Y209" i="6"/>
  <c r="AK308" i="5"/>
  <c r="AL308" i="5" s="1"/>
  <c r="AM308" i="5" s="1"/>
  <c r="AI308" i="5"/>
  <c r="AJ308" i="5" s="1"/>
  <c r="AI338" i="5"/>
  <c r="AJ338" i="5" s="1"/>
  <c r="AK338" i="5"/>
  <c r="AL338" i="5" s="1"/>
  <c r="AM338" i="5" s="1"/>
  <c r="AK310" i="5"/>
  <c r="AL310" i="5" s="1"/>
  <c r="AM310" i="5" s="1"/>
  <c r="AI310" i="5"/>
  <c r="AJ310" i="5" s="1"/>
  <c r="AK312" i="5"/>
  <c r="AL312" i="5" s="1"/>
  <c r="AM312" i="5" s="1"/>
  <c r="AI312" i="5"/>
  <c r="AJ312" i="5" s="1"/>
  <c r="AI316" i="5"/>
  <c r="AJ316" i="5" s="1"/>
  <c r="AK316" i="5"/>
  <c r="AL316" i="5" s="1"/>
  <c r="AM316" i="5" s="1"/>
  <c r="AK326" i="5"/>
  <c r="AL326" i="5" s="1"/>
  <c r="AM326" i="5" s="1"/>
  <c r="AI326" i="5"/>
  <c r="AJ326" i="5" s="1"/>
  <c r="AI330" i="5"/>
  <c r="AJ330" i="5" s="1"/>
  <c r="AK330" i="5"/>
  <c r="AL330" i="5" s="1"/>
  <c r="AM330" i="5" s="1"/>
  <c r="AK292" i="5"/>
  <c r="AL292" i="5" s="1"/>
  <c r="AM292" i="5" s="1"/>
  <c r="AI292" i="5"/>
  <c r="AJ292" i="5" s="1"/>
  <c r="AK332" i="5"/>
  <c r="AL332" i="5" s="1"/>
  <c r="AM332" i="5" s="1"/>
  <c r="AI332" i="5"/>
  <c r="AJ332" i="5" s="1"/>
  <c r="AI306" i="5"/>
  <c r="AJ306" i="5" s="1"/>
  <c r="AK306" i="5"/>
  <c r="AL306" i="5" s="1"/>
  <c r="AM306" i="5" s="1"/>
  <c r="AK298" i="5"/>
  <c r="AL298" i="5" s="1"/>
  <c r="AM298" i="5" s="1"/>
  <c r="AI298" i="5"/>
  <c r="AJ298" i="5" s="1"/>
  <c r="AI324" i="5"/>
  <c r="AJ324" i="5" s="1"/>
  <c r="AK324" i="5"/>
  <c r="AL324" i="5" s="1"/>
  <c r="AM324" i="5" s="1"/>
  <c r="AK320" i="5"/>
  <c r="AL320" i="5" s="1"/>
  <c r="AM320" i="5" s="1"/>
  <c r="AI320" i="5"/>
  <c r="AJ320" i="5" s="1"/>
  <c r="AI328" i="5"/>
  <c r="AJ328" i="5" s="1"/>
  <c r="AK328" i="5"/>
  <c r="AL328" i="5" s="1"/>
  <c r="AM328" i="5" s="1"/>
  <c r="AM294" i="5"/>
  <c r="H61" i="16"/>
  <c r="G40" i="10"/>
  <c r="G50" i="10" s="1"/>
  <c r="G24" i="11" s="1"/>
  <c r="AG216" i="6"/>
  <c r="Y215" i="6"/>
  <c r="Y207" i="6"/>
  <c r="AM334" i="5"/>
  <c r="J176" i="7"/>
  <c r="G25" i="10"/>
  <c r="G57" i="10" s="1"/>
  <c r="H14" i="10" s="1"/>
  <c r="H57" i="10" s="1"/>
  <c r="I14" i="10" s="1"/>
  <c r="I57" i="10" s="1"/>
  <c r="J14" i="10" s="1"/>
  <c r="J37" i="10"/>
  <c r="L109" i="7" s="1"/>
  <c r="J36" i="10"/>
  <c r="L108" i="7" s="1"/>
  <c r="AG341" i="5"/>
  <c r="AH156" i="6"/>
  <c r="AH174" i="6" s="1"/>
  <c r="AG174" i="6"/>
  <c r="Y339" i="5"/>
  <c r="Y335" i="5"/>
  <c r="AH216" i="6"/>
  <c r="Y319" i="5"/>
  <c r="Y323" i="5"/>
  <c r="J341" i="5"/>
  <c r="J216" i="6"/>
  <c r="Y213" i="6"/>
  <c r="AH219" i="5"/>
  <c r="AH274" i="5" s="1"/>
  <c r="AG274" i="5"/>
  <c r="Y307" i="5"/>
  <c r="Y303" i="5"/>
  <c r="F29" i="10"/>
  <c r="G26" i="10"/>
  <c r="G58" i="10" s="1"/>
  <c r="H15" i="10" s="1"/>
  <c r="I59" i="10"/>
  <c r="J16" i="10" s="1"/>
  <c r="H26" i="10"/>
  <c r="H29" i="10" s="1"/>
  <c r="J48" i="2"/>
  <c r="J72" i="2"/>
  <c r="J62" i="2"/>
  <c r="J46" i="2"/>
  <c r="F127" i="19"/>
  <c r="E128" i="19"/>
  <c r="H8" i="14"/>
  <c r="I9" i="13"/>
  <c r="I8" i="14"/>
  <c r="J9" i="13"/>
  <c r="F55" i="10"/>
  <c r="G12" i="10" s="1"/>
  <c r="K97" i="3"/>
  <c r="K158" i="3" s="1"/>
  <c r="K127" i="19"/>
  <c r="J128" i="19"/>
  <c r="V11" i="9"/>
  <c r="L110" i="7"/>
  <c r="Z11" i="9"/>
  <c r="AA11" i="9"/>
  <c r="Y11" i="9"/>
  <c r="AB13" i="9"/>
  <c r="AB50" i="9"/>
  <c r="AB123" i="9"/>
  <c r="AB15" i="9"/>
  <c r="AB113" i="9"/>
  <c r="AB30" i="9"/>
  <c r="AB53" i="9"/>
  <c r="AB122" i="9"/>
  <c r="AB64" i="9"/>
  <c r="AB141" i="9"/>
  <c r="AB24" i="9"/>
  <c r="AB146" i="9"/>
  <c r="AB80" i="9"/>
  <c r="AB54" i="9"/>
  <c r="AB105" i="9"/>
  <c r="AB115" i="9"/>
  <c r="AB19" i="9"/>
  <c r="AB18" i="9"/>
  <c r="AB140" i="9"/>
  <c r="AB44" i="9"/>
  <c r="AB31" i="9"/>
  <c r="AB78" i="9"/>
  <c r="AB134" i="9"/>
  <c r="AB83" i="9"/>
  <c r="AB82" i="9"/>
  <c r="AB138" i="9"/>
  <c r="AB42" i="9"/>
  <c r="AB73" i="9"/>
  <c r="AB142" i="9"/>
  <c r="AB101" i="9"/>
  <c r="AB89" i="9"/>
  <c r="AB91" i="9"/>
  <c r="AB106" i="9"/>
  <c r="AB81" i="9"/>
  <c r="AB108" i="9"/>
  <c r="AB97" i="9"/>
  <c r="AB69" i="9"/>
  <c r="AB94" i="9"/>
  <c r="AB67" i="9"/>
  <c r="AB143" i="9"/>
  <c r="AB103" i="9"/>
  <c r="AB48" i="9"/>
  <c r="AB125" i="9"/>
  <c r="AB79" i="9"/>
  <c r="AB62" i="9"/>
  <c r="AB118" i="9"/>
  <c r="AB22" i="9"/>
  <c r="AB110" i="9"/>
  <c r="AB75" i="9"/>
  <c r="AB114" i="9"/>
  <c r="AB133" i="9"/>
  <c r="AB130" i="9"/>
  <c r="AB34" i="9"/>
  <c r="AB132" i="9"/>
  <c r="AB36" i="9"/>
  <c r="AB92" i="9"/>
  <c r="AB29" i="9"/>
  <c r="AB40" i="9"/>
  <c r="AB128" i="9"/>
  <c r="AB32" i="9"/>
  <c r="AB43" i="9"/>
  <c r="AB100" i="9"/>
  <c r="AB87" i="9"/>
  <c r="AB59" i="9"/>
  <c r="AB37" i="9"/>
  <c r="AB96" i="9"/>
  <c r="AB35" i="9"/>
  <c r="AB98" i="9"/>
  <c r="AB51" i="9"/>
  <c r="AB55" i="9"/>
  <c r="AB52" i="9"/>
  <c r="AB77" i="9"/>
  <c r="AB99" i="9"/>
  <c r="AB49" i="9"/>
  <c r="AB137" i="9"/>
  <c r="AB63" i="9"/>
  <c r="AB116" i="9"/>
  <c r="AB20" i="9"/>
  <c r="AB76" i="9"/>
  <c r="AB139" i="9"/>
  <c r="AB68" i="9"/>
  <c r="AB21" i="9"/>
  <c r="AB16" i="9"/>
  <c r="AB72" i="9"/>
  <c r="AB119" i="9"/>
  <c r="AB88" i="9"/>
  <c r="AB71" i="9"/>
  <c r="AB90" i="9"/>
  <c r="AB145" i="9"/>
  <c r="AB144" i="9"/>
  <c r="AB136" i="9"/>
  <c r="AB14" i="9"/>
  <c r="J24" i="10" s="1"/>
  <c r="AB70" i="9"/>
  <c r="AB57" i="9"/>
  <c r="AB126" i="9"/>
  <c r="AB58" i="9"/>
  <c r="AB33" i="9"/>
  <c r="AB102" i="9"/>
  <c r="AB109" i="9"/>
  <c r="AB38" i="9"/>
  <c r="AB45" i="9"/>
  <c r="AB56" i="9"/>
  <c r="AB124" i="9"/>
  <c r="AB111" i="9"/>
  <c r="AB117" i="9"/>
  <c r="AB120" i="9"/>
  <c r="AB107" i="9"/>
  <c r="AB41" i="9"/>
  <c r="AB74" i="9"/>
  <c r="AB131" i="9"/>
  <c r="AB66" i="9"/>
  <c r="AB85" i="9"/>
  <c r="AB26" i="9"/>
  <c r="AB112" i="9"/>
  <c r="AB127" i="9"/>
  <c r="AB46" i="9"/>
  <c r="AB65" i="9"/>
  <c r="AB17" i="9"/>
  <c r="J27" i="10" s="1"/>
  <c r="AB86" i="9"/>
  <c r="AB93" i="9"/>
  <c r="AB104" i="9"/>
  <c r="AB23" i="9"/>
  <c r="AB129" i="9"/>
  <c r="AB28" i="9"/>
  <c r="AB27" i="9"/>
  <c r="AB84" i="9"/>
  <c r="AB95" i="9"/>
  <c r="AB61" i="9"/>
  <c r="AB60" i="9"/>
  <c r="AB47" i="9"/>
  <c r="AB121" i="9"/>
  <c r="AB25" i="9"/>
  <c r="AB135" i="9"/>
  <c r="AB39" i="9"/>
  <c r="I29" i="10"/>
  <c r="I113" i="7"/>
  <c r="H198" i="7" s="1"/>
  <c r="I46" i="7"/>
  <c r="I55" i="7" s="1"/>
  <c r="I32" i="7"/>
  <c r="J46" i="7"/>
  <c r="J55" i="7" s="1"/>
  <c r="J32" i="7"/>
  <c r="J38" i="7" s="1"/>
  <c r="K32" i="7"/>
  <c r="K38" i="7" s="1"/>
  <c r="K46" i="7"/>
  <c r="K55" i="7" s="1"/>
  <c r="L194" i="7"/>
  <c r="J17" i="11"/>
  <c r="I165" i="3"/>
  <c r="F57" i="16" s="1"/>
  <c r="J165" i="3"/>
  <c r="G57" i="16" s="1"/>
  <c r="Y174" i="6"/>
  <c r="H17" i="10"/>
  <c r="H33" i="14" l="1"/>
  <c r="H67" i="16"/>
  <c r="G67" i="16"/>
  <c r="G33" i="14"/>
  <c r="G75" i="14"/>
  <c r="H75" i="14"/>
  <c r="H29" i="16"/>
  <c r="F18" i="13"/>
  <c r="F31" i="13" s="1"/>
  <c r="F49" i="13" s="1"/>
  <c r="F52" i="13" s="1"/>
  <c r="G32" i="12"/>
  <c r="H63" i="14"/>
  <c r="H11" i="14"/>
  <c r="H21" i="14"/>
  <c r="H40" i="14"/>
  <c r="I63" i="14"/>
  <c r="I11" i="14"/>
  <c r="I21" i="14"/>
  <c r="I40" i="14"/>
  <c r="S139" i="5"/>
  <c r="T144" i="6"/>
  <c r="AC112" i="4"/>
  <c r="AC230" i="5"/>
  <c r="AC333" i="5"/>
  <c r="AC315" i="5"/>
  <c r="AC289" i="5"/>
  <c r="AC256" i="5"/>
  <c r="AC294" i="5"/>
  <c r="AC293" i="5"/>
  <c r="AC250" i="5"/>
  <c r="AC262" i="5"/>
  <c r="AC236" i="5"/>
  <c r="AC300" i="5"/>
  <c r="AC332" i="5"/>
  <c r="J25" i="10"/>
  <c r="J57" i="10" s="1"/>
  <c r="AC330" i="5"/>
  <c r="AC245" i="5"/>
  <c r="AC318" i="5"/>
  <c r="AC229" i="5"/>
  <c r="AC90" i="4"/>
  <c r="I20" i="13"/>
  <c r="J198" i="7"/>
  <c r="AC202" i="6"/>
  <c r="AC196" i="6"/>
  <c r="R152" i="5"/>
  <c r="AC152" i="5"/>
  <c r="S152" i="5" s="1"/>
  <c r="AC260" i="5"/>
  <c r="AC329" i="5"/>
  <c r="AC313" i="5"/>
  <c r="AC311" i="5"/>
  <c r="AC297" i="5"/>
  <c r="AC253" i="5"/>
  <c r="AC240" i="5"/>
  <c r="AC248" i="5"/>
  <c r="AC244" i="5"/>
  <c r="AC298" i="5"/>
  <c r="AC238" i="5"/>
  <c r="AC152" i="6"/>
  <c r="AC195" i="6"/>
  <c r="AC201" i="6"/>
  <c r="AA186" i="6"/>
  <c r="AC186" i="6" s="1"/>
  <c r="AC187" i="6"/>
  <c r="T102" i="6"/>
  <c r="T132" i="6" s="1"/>
  <c r="J111" i="3" s="1"/>
  <c r="P186" i="6"/>
  <c r="S71" i="4"/>
  <c r="P105" i="4"/>
  <c r="P115" i="4" s="1"/>
  <c r="AC83" i="4"/>
  <c r="S83" i="4" s="1"/>
  <c r="AC204" i="6"/>
  <c r="AC151" i="6"/>
  <c r="AC171" i="6"/>
  <c r="AC155" i="6"/>
  <c r="AC168" i="6"/>
  <c r="AC160" i="6"/>
  <c r="AC161" i="6"/>
  <c r="AA199" i="6"/>
  <c r="AB199" i="6"/>
  <c r="AA215" i="6"/>
  <c r="AB215" i="6"/>
  <c r="AB194" i="6"/>
  <c r="AA194" i="6"/>
  <c r="AA203" i="6"/>
  <c r="AB203" i="6"/>
  <c r="AC189" i="6"/>
  <c r="AC165" i="6"/>
  <c r="AC198" i="6"/>
  <c r="AC192" i="6"/>
  <c r="AC208" i="6"/>
  <c r="AB210" i="6"/>
  <c r="AA210" i="6"/>
  <c r="AA213" i="6"/>
  <c r="AB213" i="6"/>
  <c r="AA209" i="6"/>
  <c r="AB209" i="6"/>
  <c r="AA211" i="6"/>
  <c r="AB211" i="6"/>
  <c r="AB190" i="6"/>
  <c r="AA190" i="6"/>
  <c r="AC214" i="6"/>
  <c r="AA207" i="6"/>
  <c r="AB207" i="6"/>
  <c r="AA197" i="6"/>
  <c r="AB197" i="6"/>
  <c r="AA193" i="6"/>
  <c r="AB193" i="6"/>
  <c r="AC205" i="6"/>
  <c r="AC191" i="6"/>
  <c r="AC173" i="6"/>
  <c r="AC169" i="6"/>
  <c r="AC148" i="6"/>
  <c r="AC206" i="6"/>
  <c r="AC157" i="6"/>
  <c r="AC163" i="6"/>
  <c r="AC167" i="6"/>
  <c r="S145" i="6"/>
  <c r="S174" i="6" s="1"/>
  <c r="P187" i="6"/>
  <c r="R187" i="6" s="1"/>
  <c r="Y274" i="5"/>
  <c r="AC327" i="5"/>
  <c r="AC257" i="5"/>
  <c r="AC302" i="5"/>
  <c r="AC328" i="5"/>
  <c r="AC221" i="5"/>
  <c r="AA336" i="5"/>
  <c r="AB336" i="5"/>
  <c r="AA340" i="5"/>
  <c r="AB340" i="5"/>
  <c r="AB323" i="5"/>
  <c r="AA323" i="5"/>
  <c r="AA339" i="5"/>
  <c r="AB339" i="5"/>
  <c r="AA288" i="5"/>
  <c r="AB288" i="5"/>
  <c r="AB312" i="5"/>
  <c r="AA312" i="5"/>
  <c r="AB308" i="5"/>
  <c r="AA308" i="5"/>
  <c r="AC265" i="5"/>
  <c r="AC241" i="5"/>
  <c r="AC232" i="5"/>
  <c r="AC269" i="5"/>
  <c r="AC252" i="5"/>
  <c r="AC242" i="5"/>
  <c r="AC325" i="5"/>
  <c r="AC272" i="5"/>
  <c r="AC234" i="5"/>
  <c r="AC290" i="5"/>
  <c r="AC326" i="5"/>
  <c r="AA320" i="5"/>
  <c r="AB320" i="5"/>
  <c r="AA309" i="5"/>
  <c r="AB309" i="5"/>
  <c r="AB303" i="5"/>
  <c r="AA303" i="5"/>
  <c r="AB319" i="5"/>
  <c r="AA319" i="5"/>
  <c r="AA296" i="5"/>
  <c r="AB296" i="5"/>
  <c r="AB299" i="5"/>
  <c r="AA299" i="5"/>
  <c r="AA335" i="5"/>
  <c r="AB335" i="5"/>
  <c r="AB305" i="5"/>
  <c r="AA305" i="5"/>
  <c r="AB307" i="5"/>
  <c r="AA307" i="5"/>
  <c r="AB324" i="5"/>
  <c r="AA324" i="5"/>
  <c r="AB304" i="5"/>
  <c r="AA304" i="5"/>
  <c r="AA301" i="5"/>
  <c r="AB301" i="5"/>
  <c r="AA317" i="5"/>
  <c r="AB317" i="5"/>
  <c r="AC153" i="5"/>
  <c r="AC237" i="5"/>
  <c r="AC306" i="5"/>
  <c r="AC321" i="5"/>
  <c r="AC261" i="5"/>
  <c r="AC337" i="5"/>
  <c r="AC292" i="5"/>
  <c r="AC268" i="5"/>
  <c r="AC264" i="5"/>
  <c r="AC314" i="5"/>
  <c r="AC273" i="5"/>
  <c r="Y286" i="5"/>
  <c r="O286" i="5"/>
  <c r="AA219" i="5"/>
  <c r="AB219" i="5"/>
  <c r="P219" i="5"/>
  <c r="AD219" i="5"/>
  <c r="Y287" i="5"/>
  <c r="O287" i="5"/>
  <c r="S153" i="5"/>
  <c r="P220" i="5"/>
  <c r="AD220" i="5"/>
  <c r="P207" i="5"/>
  <c r="G36" i="14" s="1"/>
  <c r="AB220" i="5"/>
  <c r="AA220" i="5"/>
  <c r="AB108" i="4"/>
  <c r="AA108" i="4"/>
  <c r="AB107" i="4"/>
  <c r="AA107" i="4"/>
  <c r="AC111" i="4"/>
  <c r="T83" i="4"/>
  <c r="AB105" i="4"/>
  <c r="AA105" i="4"/>
  <c r="AC85" i="4"/>
  <c r="AC109" i="4"/>
  <c r="T62" i="4"/>
  <c r="AA106" i="4"/>
  <c r="AB106" i="4"/>
  <c r="AC84" i="4"/>
  <c r="S84" i="4" s="1"/>
  <c r="S93" i="4" s="1"/>
  <c r="T84" i="4"/>
  <c r="P93" i="4"/>
  <c r="N341" i="5"/>
  <c r="N216" i="6"/>
  <c r="Y216" i="6"/>
  <c r="N115" i="4"/>
  <c r="T48" i="4"/>
  <c r="I109" i="3" s="1"/>
  <c r="F35" i="14"/>
  <c r="F56" i="16" s="1"/>
  <c r="T89" i="6"/>
  <c r="I111" i="3" s="1"/>
  <c r="R174" i="6"/>
  <c r="R71" i="4"/>
  <c r="O274" i="5"/>
  <c r="F36" i="14"/>
  <c r="H64" i="3"/>
  <c r="K47" i="3"/>
  <c r="J201" i="7"/>
  <c r="H70" i="11"/>
  <c r="H73" i="11" s="1"/>
  <c r="H201" i="7"/>
  <c r="F70" i="11"/>
  <c r="F73" i="11" s="1"/>
  <c r="I38" i="7"/>
  <c r="K58" i="7"/>
  <c r="F75" i="14"/>
  <c r="F29" i="16"/>
  <c r="K23" i="3"/>
  <c r="J64" i="3"/>
  <c r="J159" i="3"/>
  <c r="H49" i="11" s="1"/>
  <c r="G62" i="16" s="1"/>
  <c r="L19" i="3"/>
  <c r="L21" i="3"/>
  <c r="L20" i="3"/>
  <c r="L97" i="3"/>
  <c r="L158" i="3" s="1"/>
  <c r="J207" i="7"/>
  <c r="I90" i="7"/>
  <c r="H195" i="7" s="1"/>
  <c r="J40" i="10"/>
  <c r="J50" i="10" s="1"/>
  <c r="J24" i="11" s="1"/>
  <c r="K165" i="3"/>
  <c r="H57" i="16" s="1"/>
  <c r="J59" i="10"/>
  <c r="G29" i="10"/>
  <c r="F64" i="16" s="1"/>
  <c r="H58" i="10"/>
  <c r="I15" i="10" s="1"/>
  <c r="I58" i="10" s="1"/>
  <c r="J15" i="10" s="1"/>
  <c r="H37" i="13"/>
  <c r="H41" i="13" s="1"/>
  <c r="J26" i="10"/>
  <c r="G64" i="16"/>
  <c r="L16" i="7"/>
  <c r="L19" i="7" s="1"/>
  <c r="L41" i="7" s="1"/>
  <c r="J67" i="2"/>
  <c r="F128" i="19"/>
  <c r="E129" i="19"/>
  <c r="L27" i="7"/>
  <c r="L30" i="7" s="1"/>
  <c r="J77" i="2"/>
  <c r="F61" i="10"/>
  <c r="G15" i="12" s="1"/>
  <c r="G17" i="12" s="1"/>
  <c r="K128" i="19"/>
  <c r="J129" i="19"/>
  <c r="AB11" i="9"/>
  <c r="J56" i="10"/>
  <c r="H64" i="16"/>
  <c r="I37" i="13"/>
  <c r="I41" i="13" s="1"/>
  <c r="L113" i="7"/>
  <c r="G55" i="10"/>
  <c r="G18" i="10"/>
  <c r="G20" i="13"/>
  <c r="I176" i="7"/>
  <c r="I198" i="7"/>
  <c r="I50" i="11"/>
  <c r="H50" i="11"/>
  <c r="J205" i="7"/>
  <c r="G50" i="11"/>
  <c r="I205" i="7"/>
  <c r="H205" i="7"/>
  <c r="J90" i="7"/>
  <c r="H18" i="11" s="1"/>
  <c r="G26" i="16" s="1"/>
  <c r="K90" i="7"/>
  <c r="I25" i="16"/>
  <c r="H60" i="10"/>
  <c r="F67" i="16" l="1"/>
  <c r="F33" i="14"/>
  <c r="AC340" i="5"/>
  <c r="R219" i="5"/>
  <c r="T152" i="5"/>
  <c r="AC317" i="5"/>
  <c r="AC108" i="4"/>
  <c r="AC307" i="5"/>
  <c r="AC288" i="5"/>
  <c r="AC323" i="5"/>
  <c r="AC336" i="5"/>
  <c r="AC107" i="4"/>
  <c r="AC301" i="5"/>
  <c r="AC197" i="6"/>
  <c r="AC203" i="6"/>
  <c r="AC215" i="6"/>
  <c r="S186" i="6"/>
  <c r="R186" i="6"/>
  <c r="R105" i="4"/>
  <c r="K52" i="3"/>
  <c r="K61" i="3" s="1"/>
  <c r="K159" i="3" s="1"/>
  <c r="I49" i="11" s="1"/>
  <c r="AC105" i="4"/>
  <c r="S105" i="4" s="1"/>
  <c r="AC193" i="6"/>
  <c r="AC207" i="6"/>
  <c r="AC194" i="6"/>
  <c r="AC199" i="6"/>
  <c r="AC190" i="6"/>
  <c r="AC209" i="6"/>
  <c r="AC210" i="6"/>
  <c r="T145" i="6"/>
  <c r="T174" i="6" s="1"/>
  <c r="K111" i="3" s="1"/>
  <c r="AC211" i="6"/>
  <c r="AC213" i="6"/>
  <c r="S187" i="6"/>
  <c r="O341" i="5"/>
  <c r="T153" i="5"/>
  <c r="Y341" i="5"/>
  <c r="AC296" i="5"/>
  <c r="AC219" i="5"/>
  <c r="S219" i="5" s="1"/>
  <c r="AC304" i="5"/>
  <c r="AC335" i="5"/>
  <c r="AC303" i="5"/>
  <c r="AC320" i="5"/>
  <c r="AC312" i="5"/>
  <c r="AC339" i="5"/>
  <c r="AC324" i="5"/>
  <c r="AC305" i="5"/>
  <c r="AC299" i="5"/>
  <c r="AC319" i="5"/>
  <c r="AC309" i="5"/>
  <c r="AC308" i="5"/>
  <c r="P286" i="5"/>
  <c r="AD286" i="5"/>
  <c r="AB286" i="5"/>
  <c r="AA286" i="5"/>
  <c r="AH286" i="5"/>
  <c r="AH341" i="5" s="1"/>
  <c r="L165" i="3" s="1"/>
  <c r="I57" i="16" s="1"/>
  <c r="S207" i="5"/>
  <c r="G35" i="14" s="1"/>
  <c r="G56" i="16" s="1"/>
  <c r="P287" i="5"/>
  <c r="AD287" i="5"/>
  <c r="AB287" i="5"/>
  <c r="AA287" i="5"/>
  <c r="AC220" i="5"/>
  <c r="S220" i="5" s="1"/>
  <c r="AC106" i="4"/>
  <c r="S106" i="4" s="1"/>
  <c r="P216" i="6"/>
  <c r="P274" i="5"/>
  <c r="R207" i="5"/>
  <c r="R93" i="4"/>
  <c r="T71" i="4"/>
  <c r="J109" i="3" s="1"/>
  <c r="J160" i="3" s="1"/>
  <c r="G59" i="14"/>
  <c r="G41" i="14" s="1"/>
  <c r="F60" i="16"/>
  <c r="G60" i="16"/>
  <c r="H59" i="14"/>
  <c r="H41" i="14" s="1"/>
  <c r="T93" i="4"/>
  <c r="K109" i="3" s="1"/>
  <c r="L47" i="3"/>
  <c r="L52" i="3" s="1"/>
  <c r="L61" i="3" s="1"/>
  <c r="J101" i="3"/>
  <c r="I201" i="7"/>
  <c r="G70" i="11"/>
  <c r="G73" i="11" s="1"/>
  <c r="I207" i="7"/>
  <c r="H207" i="7"/>
  <c r="G18" i="11"/>
  <c r="J58" i="10"/>
  <c r="L23" i="3"/>
  <c r="L46" i="7"/>
  <c r="L55" i="7" s="1"/>
  <c r="L205" i="7" s="1"/>
  <c r="I29" i="16"/>
  <c r="I75" i="14"/>
  <c r="G37" i="13"/>
  <c r="G41" i="13" s="1"/>
  <c r="J29" i="10"/>
  <c r="J37" i="13" s="1"/>
  <c r="J41" i="13" s="1"/>
  <c r="L32" i="7"/>
  <c r="L38" i="7" s="1"/>
  <c r="E130" i="19"/>
  <c r="F129" i="19"/>
  <c r="K129" i="19"/>
  <c r="J130" i="19"/>
  <c r="L176" i="7"/>
  <c r="J20" i="13"/>
  <c r="K198" i="7"/>
  <c r="L198" i="7"/>
  <c r="H12" i="10"/>
  <c r="G61" i="10"/>
  <c r="H15" i="12" s="1"/>
  <c r="J162" i="3"/>
  <c r="I162" i="3"/>
  <c r="I195" i="7"/>
  <c r="H63" i="16"/>
  <c r="G63" i="16"/>
  <c r="H51" i="11"/>
  <c r="J195" i="7"/>
  <c r="I18" i="11"/>
  <c r="F63" i="16"/>
  <c r="G51" i="11"/>
  <c r="K94" i="7"/>
  <c r="H112" i="3"/>
  <c r="I160" i="3"/>
  <c r="I17" i="10"/>
  <c r="I33" i="14" l="1"/>
  <c r="I67" i="16"/>
  <c r="G71" i="14"/>
  <c r="S216" i="6"/>
  <c r="L159" i="3"/>
  <c r="J49" i="11" s="1"/>
  <c r="I62" i="16" s="1"/>
  <c r="R286" i="5"/>
  <c r="T186" i="6"/>
  <c r="S274" i="5"/>
  <c r="H35" i="14" s="1"/>
  <c r="H56" i="16" s="1"/>
  <c r="T105" i="4"/>
  <c r="K64" i="3"/>
  <c r="K101" i="3" s="1"/>
  <c r="K167" i="3" s="1"/>
  <c r="S115" i="4"/>
  <c r="H62" i="16"/>
  <c r="I51" i="11"/>
  <c r="T187" i="6"/>
  <c r="T219" i="5"/>
  <c r="AC286" i="5"/>
  <c r="S286" i="5" s="1"/>
  <c r="P341" i="5"/>
  <c r="I36" i="14" s="1"/>
  <c r="T220" i="5"/>
  <c r="AC287" i="5"/>
  <c r="S287" i="5" s="1"/>
  <c r="T106" i="4"/>
  <c r="K160" i="3"/>
  <c r="R115" i="4"/>
  <c r="T207" i="5"/>
  <c r="J110" i="3" s="1"/>
  <c r="J112" i="3" s="1"/>
  <c r="J138" i="3" s="1"/>
  <c r="T139" i="5"/>
  <c r="I110" i="3" s="1"/>
  <c r="R139" i="5"/>
  <c r="G66" i="14"/>
  <c r="F66" i="14"/>
  <c r="H36" i="14"/>
  <c r="L201" i="7"/>
  <c r="J70" i="11"/>
  <c r="J73" i="11" s="1"/>
  <c r="K201" i="7"/>
  <c r="I70" i="11"/>
  <c r="I73" i="11" s="1"/>
  <c r="L58" i="7"/>
  <c r="F71" i="14"/>
  <c r="F26" i="16"/>
  <c r="K205" i="7"/>
  <c r="L64" i="3"/>
  <c r="J50" i="11"/>
  <c r="J51" i="11" s="1"/>
  <c r="L207" i="7"/>
  <c r="K207" i="7"/>
  <c r="I64" i="16"/>
  <c r="F53" i="14"/>
  <c r="L90" i="7"/>
  <c r="E131" i="19"/>
  <c r="F130" i="19"/>
  <c r="K130" i="19"/>
  <c r="J131" i="19"/>
  <c r="H55" i="10"/>
  <c r="H18" i="10"/>
  <c r="H17" i="12"/>
  <c r="F35" i="16" s="1"/>
  <c r="G53" i="14"/>
  <c r="K181" i="7"/>
  <c r="H26" i="16"/>
  <c r="H71" i="14"/>
  <c r="G51" i="14"/>
  <c r="K162" i="3"/>
  <c r="I60" i="10"/>
  <c r="H138" i="3"/>
  <c r="F69" i="11" s="1"/>
  <c r="F51" i="14"/>
  <c r="K153" i="3" l="1"/>
  <c r="I14" i="11" s="1"/>
  <c r="H51" i="14"/>
  <c r="S341" i="5"/>
  <c r="I35" i="14" s="1"/>
  <c r="I56" i="16" s="1"/>
  <c r="T286" i="5"/>
  <c r="T287" i="5"/>
  <c r="I161" i="3"/>
  <c r="J161" i="3"/>
  <c r="I112" i="3"/>
  <c r="T115" i="4"/>
  <c r="L109" i="3" s="1"/>
  <c r="L160" i="3" s="1"/>
  <c r="I59" i="14"/>
  <c r="I41" i="14" s="1"/>
  <c r="I19" i="11"/>
  <c r="T216" i="6"/>
  <c r="L111" i="3" s="1"/>
  <c r="L162" i="3" s="1"/>
  <c r="R216" i="6"/>
  <c r="H69" i="11"/>
  <c r="L153" i="3"/>
  <c r="J14" i="11" s="1"/>
  <c r="K192" i="7"/>
  <c r="I62" i="11" s="1"/>
  <c r="I67" i="11" s="1"/>
  <c r="I75" i="11" s="1"/>
  <c r="L192" i="7"/>
  <c r="J62" i="11" s="1"/>
  <c r="J67" i="11" s="1"/>
  <c r="J75" i="11" s="1"/>
  <c r="L101" i="3"/>
  <c r="L94" i="7"/>
  <c r="L181" i="7" s="1"/>
  <c r="I63" i="16"/>
  <c r="J18" i="11"/>
  <c r="K195" i="7"/>
  <c r="L195" i="7"/>
  <c r="F131" i="19"/>
  <c r="E132" i="19"/>
  <c r="K131" i="19"/>
  <c r="J132" i="19"/>
  <c r="I12" i="10"/>
  <c r="H61" i="10"/>
  <c r="I15" i="12" s="1"/>
  <c r="J143" i="3"/>
  <c r="H53" i="14"/>
  <c r="J17" i="10"/>
  <c r="I29" i="14" l="1"/>
  <c r="I71" i="14"/>
  <c r="H32" i="14"/>
  <c r="H22" i="14" s="1"/>
  <c r="I45" i="14"/>
  <c r="H29" i="14"/>
  <c r="H22" i="16"/>
  <c r="I53" i="14"/>
  <c r="T274" i="5"/>
  <c r="K110" i="3" s="1"/>
  <c r="K112" i="3" s="1"/>
  <c r="R274" i="5"/>
  <c r="I138" i="3"/>
  <c r="J163" i="3"/>
  <c r="G34" i="14" s="1"/>
  <c r="I163" i="3"/>
  <c r="F34" i="14" s="1"/>
  <c r="T341" i="5"/>
  <c r="L110" i="3" s="1"/>
  <c r="I51" i="14"/>
  <c r="G52" i="14"/>
  <c r="H66" i="14"/>
  <c r="I66" i="14" s="1"/>
  <c r="F52" i="14"/>
  <c r="R341" i="5"/>
  <c r="K196" i="7"/>
  <c r="K203" i="7" s="1"/>
  <c r="L196" i="7"/>
  <c r="L203" i="7" s="1"/>
  <c r="L167" i="3"/>
  <c r="I22" i="16"/>
  <c r="I26" i="16"/>
  <c r="J19" i="11"/>
  <c r="I32" i="14" s="1"/>
  <c r="F132" i="19"/>
  <c r="E133" i="19"/>
  <c r="J133" i="19"/>
  <c r="K132" i="19"/>
  <c r="I55" i="10"/>
  <c r="I18" i="10"/>
  <c r="I17" i="12"/>
  <c r="G35" i="16" s="1"/>
  <c r="J60" i="10"/>
  <c r="I30" i="14" l="1"/>
  <c r="I26" i="14"/>
  <c r="I23" i="14"/>
  <c r="I24" i="14"/>
  <c r="H23" i="14"/>
  <c r="H26" i="14"/>
  <c r="H30" i="14"/>
  <c r="H24" i="14"/>
  <c r="I22" i="14"/>
  <c r="H66" i="16"/>
  <c r="G69" i="11"/>
  <c r="J168" i="3"/>
  <c r="I168" i="3"/>
  <c r="L161" i="3"/>
  <c r="L112" i="3"/>
  <c r="L138" i="3" s="1"/>
  <c r="F48" i="14"/>
  <c r="F49" i="14"/>
  <c r="F50" i="14"/>
  <c r="G21" i="11"/>
  <c r="K161" i="3"/>
  <c r="G49" i="14"/>
  <c r="H21" i="11"/>
  <c r="G50" i="14"/>
  <c r="G48" i="14"/>
  <c r="E134" i="19"/>
  <c r="F133" i="19"/>
  <c r="K133" i="19"/>
  <c r="J134" i="19"/>
  <c r="J12" i="10"/>
  <c r="I61" i="10"/>
  <c r="J15" i="12" s="1"/>
  <c r="K163" i="3" l="1"/>
  <c r="K138" i="3"/>
  <c r="L163" i="3"/>
  <c r="I52" i="14"/>
  <c r="H52" i="14"/>
  <c r="G27" i="16"/>
  <c r="H23" i="11"/>
  <c r="G23" i="11"/>
  <c r="F27" i="16"/>
  <c r="G73" i="14"/>
  <c r="F73" i="14"/>
  <c r="J69" i="11"/>
  <c r="L143" i="3"/>
  <c r="I66" i="16"/>
  <c r="E135" i="19"/>
  <c r="F134" i="19"/>
  <c r="J135" i="19"/>
  <c r="K134" i="19"/>
  <c r="J55" i="10"/>
  <c r="J61" i="10" s="1"/>
  <c r="K15" i="12" s="1"/>
  <c r="J18" i="10"/>
  <c r="J17" i="12"/>
  <c r="H35" i="16" s="1"/>
  <c r="I49" i="14" l="1"/>
  <c r="I34" i="14"/>
  <c r="H49" i="14"/>
  <c r="H34" i="14"/>
  <c r="G27" i="11"/>
  <c r="H27" i="11"/>
  <c r="F72" i="14"/>
  <c r="I50" i="14"/>
  <c r="J21" i="11"/>
  <c r="I48" i="14"/>
  <c r="K168" i="3"/>
  <c r="L168" i="3"/>
  <c r="I69" i="11"/>
  <c r="K143" i="3"/>
  <c r="H48" i="14"/>
  <c r="I21" i="11"/>
  <c r="H50" i="14"/>
  <c r="I24" i="7"/>
  <c r="I58" i="7" s="1"/>
  <c r="J24" i="7"/>
  <c r="J58" i="7" s="1"/>
  <c r="F135" i="19"/>
  <c r="E136" i="19"/>
  <c r="J136" i="19"/>
  <c r="K135" i="19"/>
  <c r="K17" i="12"/>
  <c r="I35" i="16" s="1"/>
  <c r="H46" i="14" l="1"/>
  <c r="G72" i="14"/>
  <c r="G46" i="14"/>
  <c r="H27" i="16"/>
  <c r="I23" i="11"/>
  <c r="H73" i="14"/>
  <c r="J23" i="11"/>
  <c r="I73" i="14"/>
  <c r="I27" i="16"/>
  <c r="H101" i="3"/>
  <c r="H143" i="3" s="1"/>
  <c r="J192" i="7"/>
  <c r="I94" i="7"/>
  <c r="F136" i="19"/>
  <c r="E137" i="19"/>
  <c r="J137" i="19"/>
  <c r="K136" i="19"/>
  <c r="I27" i="11" l="1"/>
  <c r="H28" i="14"/>
  <c r="H25" i="14"/>
  <c r="J27" i="11"/>
  <c r="I27" i="14" s="1"/>
  <c r="I28" i="14"/>
  <c r="I25" i="14"/>
  <c r="J196" i="7"/>
  <c r="J203" i="7" s="1"/>
  <c r="H62" i="11"/>
  <c r="H67" i="11" s="1"/>
  <c r="H75" i="11" s="1"/>
  <c r="I29" i="11"/>
  <c r="H72" i="14"/>
  <c r="H94" i="7"/>
  <c r="H181" i="7" s="1"/>
  <c r="H192" i="7"/>
  <c r="J94" i="7"/>
  <c r="I192" i="7"/>
  <c r="I153" i="3"/>
  <c r="I181" i="7"/>
  <c r="E138" i="19"/>
  <c r="F137" i="19"/>
  <c r="J138" i="19"/>
  <c r="K137" i="19"/>
  <c r="I72" i="14" l="1"/>
  <c r="J29" i="11"/>
  <c r="H27" i="14"/>
  <c r="I46" i="14"/>
  <c r="I196" i="7"/>
  <c r="I203" i="7" s="1"/>
  <c r="G62" i="11"/>
  <c r="G67" i="11" s="1"/>
  <c r="G75" i="11" s="1"/>
  <c r="J42" i="11"/>
  <c r="I17" i="14" s="1"/>
  <c r="I42" i="11"/>
  <c r="H17" i="14" s="1"/>
  <c r="H196" i="7"/>
  <c r="H203" i="7" s="1"/>
  <c r="F62" i="11"/>
  <c r="F67" i="11" s="1"/>
  <c r="F75" i="11" s="1"/>
  <c r="J153" i="3"/>
  <c r="H14" i="11" s="1"/>
  <c r="G14" i="11"/>
  <c r="J181" i="7"/>
  <c r="I101" i="3"/>
  <c r="I143" i="3" s="1"/>
  <c r="E139" i="19"/>
  <c r="F138" i="19"/>
  <c r="K138" i="19"/>
  <c r="J139" i="19"/>
  <c r="F29" i="14" l="1"/>
  <c r="F28" i="14"/>
  <c r="F27" i="14"/>
  <c r="G22" i="16"/>
  <c r="G29" i="14"/>
  <c r="G28" i="14"/>
  <c r="G27" i="14"/>
  <c r="I18" i="13"/>
  <c r="I31" i="13" s="1"/>
  <c r="I49" i="13" s="1"/>
  <c r="H34" i="16"/>
  <c r="J18" i="13"/>
  <c r="J31" i="13" s="1"/>
  <c r="J49" i="13" s="1"/>
  <c r="I34" i="16"/>
  <c r="H19" i="11"/>
  <c r="I167" i="3"/>
  <c r="J167" i="3"/>
  <c r="G68" i="14"/>
  <c r="F22" i="16"/>
  <c r="F68" i="14"/>
  <c r="G19" i="11"/>
  <c r="H68" i="14"/>
  <c r="I68" i="14"/>
  <c r="F139" i="19"/>
  <c r="E140" i="19"/>
  <c r="J140" i="19"/>
  <c r="K139" i="19"/>
  <c r="H29" i="11" l="1"/>
  <c r="H45" i="14"/>
  <c r="G32" i="14"/>
  <c r="G45" i="14"/>
  <c r="F32" i="14"/>
  <c r="I67" i="14"/>
  <c r="H67" i="14"/>
  <c r="G29" i="11"/>
  <c r="G67" i="14"/>
  <c r="F67" i="14"/>
  <c r="H42" i="11"/>
  <c r="G17" i="14" s="1"/>
  <c r="F140" i="19"/>
  <c r="E141" i="19"/>
  <c r="J141" i="19"/>
  <c r="K140" i="19"/>
  <c r="G24" i="14" l="1"/>
  <c r="G26" i="14"/>
  <c r="G30" i="14"/>
  <c r="G23" i="14"/>
  <c r="G25" i="14"/>
  <c r="G22" i="14"/>
  <c r="F25" i="14"/>
  <c r="F30" i="14"/>
  <c r="F26" i="14"/>
  <c r="F23" i="14"/>
  <c r="F24" i="14"/>
  <c r="F22" i="14"/>
  <c r="G66" i="16"/>
  <c r="F66" i="16"/>
  <c r="G42" i="11"/>
  <c r="F17" i="14" s="1"/>
  <c r="H18" i="13"/>
  <c r="H31" i="13" s="1"/>
  <c r="H49" i="13" s="1"/>
  <c r="G34" i="16"/>
  <c r="E142" i="19"/>
  <c r="F141" i="19"/>
  <c r="J142" i="19"/>
  <c r="K141" i="19"/>
  <c r="F34" i="16" l="1"/>
  <c r="G18" i="13"/>
  <c r="G31" i="13" s="1"/>
  <c r="G49" i="13" s="1"/>
  <c r="E143" i="19"/>
  <c r="F142" i="19"/>
  <c r="K142" i="19"/>
  <c r="J143" i="19"/>
  <c r="F143" i="19" l="1"/>
  <c r="E144" i="19"/>
  <c r="K143" i="19"/>
  <c r="J144" i="19"/>
  <c r="F144" i="19" l="1"/>
  <c r="E145" i="19"/>
  <c r="K144" i="19"/>
  <c r="J145" i="19"/>
  <c r="E146" i="19" l="1"/>
  <c r="F145" i="19"/>
  <c r="J146" i="19"/>
  <c r="K145" i="19"/>
  <c r="E147" i="19" l="1"/>
  <c r="F146" i="19"/>
  <c r="J147" i="19"/>
  <c r="K146" i="19"/>
  <c r="F147" i="19" l="1"/>
  <c r="E148" i="19"/>
  <c r="J148" i="19"/>
  <c r="K147" i="19"/>
  <c r="F148" i="19" l="1"/>
  <c r="E149" i="19"/>
  <c r="J149" i="19"/>
  <c r="K148" i="19"/>
  <c r="E150" i="19" l="1"/>
  <c r="F149" i="19"/>
  <c r="J150" i="19"/>
  <c r="K149" i="19"/>
  <c r="E151" i="19" l="1"/>
  <c r="F150" i="19"/>
  <c r="K150" i="19"/>
  <c r="J151" i="19"/>
  <c r="F151" i="19" l="1"/>
  <c r="E152" i="19"/>
  <c r="J152" i="19"/>
  <c r="K151" i="19"/>
  <c r="F152" i="19" l="1"/>
  <c r="E153" i="19"/>
  <c r="K152" i="19"/>
  <c r="J153" i="19"/>
  <c r="E154" i="19" l="1"/>
  <c r="F153" i="19"/>
  <c r="J154" i="19"/>
  <c r="K153" i="19"/>
  <c r="E155" i="19" l="1"/>
  <c r="F154" i="19"/>
  <c r="K154" i="19"/>
  <c r="J155" i="19"/>
  <c r="F155" i="19" l="1"/>
  <c r="E156" i="19"/>
  <c r="J156" i="19"/>
  <c r="K155" i="19"/>
  <c r="F156" i="19" l="1"/>
  <c r="E157" i="19"/>
  <c r="K156" i="19"/>
  <c r="J157" i="19"/>
  <c r="E158" i="19" l="1"/>
  <c r="F157" i="19"/>
  <c r="K157" i="19"/>
  <c r="J158" i="19"/>
  <c r="E159" i="19" l="1"/>
  <c r="F158" i="19"/>
  <c r="J159" i="19"/>
  <c r="K158" i="19"/>
  <c r="F159" i="19" l="1"/>
  <c r="E160" i="19"/>
  <c r="K159" i="19"/>
  <c r="J160" i="19"/>
  <c r="F160" i="19" l="1"/>
  <c r="E161" i="19"/>
  <c r="J161" i="19"/>
  <c r="K160" i="19"/>
  <c r="E162" i="19" l="1"/>
  <c r="F161" i="19"/>
  <c r="K161" i="19"/>
  <c r="J162" i="19"/>
  <c r="E163" i="19" l="1"/>
  <c r="F162" i="19"/>
  <c r="K162" i="19"/>
  <c r="J163" i="19"/>
  <c r="F163" i="19" l="1"/>
  <c r="E164" i="19"/>
  <c r="J164" i="19"/>
  <c r="K163" i="19"/>
  <c r="F164" i="19" l="1"/>
  <c r="E165" i="19"/>
  <c r="K164" i="19"/>
  <c r="J165" i="19"/>
  <c r="E166" i="19" l="1"/>
  <c r="F166" i="19" s="1"/>
  <c r="F165" i="19"/>
  <c r="J166" i="19"/>
  <c r="K166" i="19" s="1"/>
  <c r="K165" i="19"/>
  <c r="G36" i="12"/>
  <c r="G57" i="12" l="1"/>
  <c r="G22" i="12" s="1"/>
  <c r="H32" i="12"/>
  <c r="H36" i="12" s="1"/>
  <c r="I32" i="12" s="1"/>
  <c r="I36" i="12" s="1"/>
  <c r="F37" i="16" l="1"/>
  <c r="G12" i="13"/>
  <c r="G52" i="13" s="1"/>
  <c r="H12" i="13" s="1"/>
  <c r="H52" i="13" s="1"/>
  <c r="I12" i="13" s="1"/>
  <c r="I52" i="13" s="1"/>
  <c r="J12" i="13" s="1"/>
  <c r="J52" i="13" s="1"/>
  <c r="G23" i="12"/>
  <c r="F50" i="13"/>
  <c r="H57" i="12"/>
  <c r="F16" i="14"/>
  <c r="G16" i="14"/>
  <c r="I57" i="12"/>
  <c r="I22" i="12" s="1"/>
  <c r="G37" i="16"/>
  <c r="J32" i="12"/>
  <c r="J36" i="12" s="1"/>
  <c r="F53" i="13"/>
  <c r="G25" i="12"/>
  <c r="H22" i="12" l="1"/>
  <c r="F13" i="14"/>
  <c r="F14" i="14"/>
  <c r="G13" i="14"/>
  <c r="H16" i="14"/>
  <c r="K32" i="12"/>
  <c r="K36" i="12" s="1"/>
  <c r="J57" i="12"/>
  <c r="J22" i="12" s="1"/>
  <c r="H37" i="16"/>
  <c r="G14" i="14"/>
  <c r="H50" i="13"/>
  <c r="I23" i="12"/>
  <c r="G50" i="13" l="1"/>
  <c r="H23" i="12"/>
  <c r="I16" i="14"/>
  <c r="K57" i="12"/>
  <c r="K22" i="12" s="1"/>
  <c r="I37" i="16"/>
  <c r="G15" i="14"/>
  <c r="H53" i="13"/>
  <c r="I25" i="12"/>
  <c r="G12" i="14" s="1"/>
  <c r="G36" i="16"/>
  <c r="J23" i="12"/>
  <c r="I50" i="13"/>
  <c r="H14" i="14"/>
  <c r="H13" i="14"/>
  <c r="G53" i="13" l="1"/>
  <c r="F15" i="14"/>
  <c r="F36" i="16"/>
  <c r="H25" i="12"/>
  <c r="F12" i="14" s="1"/>
  <c r="I13" i="14"/>
  <c r="H15" i="14"/>
  <c r="J25" i="12"/>
  <c r="H12" i="14" s="1"/>
  <c r="I53" i="13"/>
  <c r="H36" i="16"/>
  <c r="K23" i="12"/>
  <c r="J50" i="13"/>
  <c r="I14" i="14"/>
  <c r="K25" i="12" l="1"/>
  <c r="I12" i="14" s="1"/>
  <c r="J53" i="13"/>
  <c r="I36" i="16"/>
  <c r="I15" i="14"/>
</calcChain>
</file>

<file path=xl/comments1.xml><?xml version="1.0" encoding="utf-8"?>
<comments xmlns="http://schemas.openxmlformats.org/spreadsheetml/2006/main">
  <authors>
    <author>Goedhart, R.</author>
    <author>Keizer</author>
    <author>Reinier Goedhart</author>
  </authors>
  <commentList>
    <comment ref="D15" authorId="0" shapeId="0">
      <text>
        <r>
          <rPr>
            <sz val="8"/>
            <color indexed="81"/>
            <rFont val="Tahoma"/>
            <family val="2"/>
          </rPr>
          <t xml:space="preserve">
</t>
        </r>
        <r>
          <rPr>
            <sz val="10"/>
            <color indexed="81"/>
            <rFont val="Tahoma"/>
            <family val="2"/>
          </rPr>
          <t>Noteer de GGL zoals vermeld op de beschikking. Anders doet het model een voorstel op basis van het ingevulde OP- bestand.</t>
        </r>
      </text>
    </comment>
    <comment ref="D35" authorId="1" shapeId="0">
      <text>
        <r>
          <rPr>
            <sz val="9"/>
            <color indexed="81"/>
            <rFont val="Tahoma"/>
            <family val="2"/>
          </rPr>
          <t xml:space="preserve">
Met ingang van 1 januari 2013 wordt bekostiging vanuit het SWV ook als Rijksbekostiging gezien.</t>
        </r>
      </text>
    </comment>
    <comment ref="D37" authorId="0" shapeId="0">
      <text>
        <r>
          <rPr>
            <sz val="9"/>
            <color indexed="81"/>
            <rFont val="Tahoma"/>
            <family val="2"/>
          </rPr>
          <t xml:space="preserve">
</t>
        </r>
        <r>
          <rPr>
            <sz val="10"/>
            <color indexed="81"/>
            <rFont val="Tahoma"/>
            <family val="2"/>
          </rPr>
          <t xml:space="preserve">Wanneer hier een minbedrag verschijnt, dan zijn er minder leerlingen  op de peildatum op de SBO dan 2% van de leerlingen in het SWV die toegerekend zijn aan deze school. Het model gaat ervan uit dat dit teveel bekostigde zorgformatie teruggestort wordt naar het SWV. 
</t>
        </r>
      </text>
    </comment>
    <comment ref="D38" authorId="2" shapeId="0">
      <text>
        <r>
          <rPr>
            <sz val="9"/>
            <color indexed="81"/>
            <rFont val="Tahoma"/>
            <family val="2"/>
          </rPr>
          <t>Hierbij wordt standaard uitgegaan van de landelijke GPL</t>
        </r>
      </text>
    </comment>
    <comment ref="D45" authorId="0"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D86" authorId="1" shapeId="0">
      <text>
        <r>
          <rPr>
            <sz val="9"/>
            <color indexed="81"/>
            <rFont val="Tahoma"/>
            <family val="2"/>
          </rPr>
          <t xml:space="preserve">
Bedragen ontvangen van het SWV gelden voor het verslagjaar 2013 en daarna als rijkbijdragen OCW.</t>
        </r>
      </text>
    </comment>
  </commentList>
</comments>
</file>

<file path=xl/comments10.xml><?xml version="1.0" encoding="utf-8"?>
<comments xmlns="http://schemas.openxmlformats.org/spreadsheetml/2006/main">
  <authors>
    <author>goedhartr</author>
  </authors>
  <commentList>
    <comment ref="D39" authorId="0" shapeId="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text>
        <r>
          <rPr>
            <sz val="8"/>
            <color indexed="81"/>
            <rFont val="Tahoma"/>
            <family val="2"/>
          </rPr>
          <t xml:space="preserve">
</t>
        </r>
        <r>
          <rPr>
            <sz val="10"/>
            <color indexed="81"/>
            <rFont val="Tahoma"/>
            <family val="2"/>
          </rPr>
          <t xml:space="preserve">voor bepaling hoogte voorziening duurzame inzetbaarheid (ouderenverlof), zie toolbox financiën
</t>
        </r>
        <r>
          <rPr>
            <sz val="8"/>
            <color indexed="81"/>
            <rFont val="Tahoma"/>
            <family val="2"/>
          </rPr>
          <t xml:space="preserve">
</t>
        </r>
      </text>
    </comment>
  </commentList>
</comments>
</file>

<file path=xl/comments11.xml><?xml version="1.0" encoding="utf-8"?>
<comments xmlns="http://schemas.openxmlformats.org/spreadsheetml/2006/main">
  <authors>
    <author>Goedhart, R.</author>
    <author>Keizer</author>
  </authors>
  <commentList>
    <comment ref="D21" authorId="0" shapeId="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text>
        <r>
          <rPr>
            <sz val="9"/>
            <color indexed="81"/>
            <rFont val="Tahoma"/>
            <family val="2"/>
          </rPr>
          <t xml:space="preserve">
Aantal leerlingen op 1 okt. T-1
</t>
        </r>
      </text>
    </comment>
  </commentList>
</comments>
</file>

<file path=xl/comments12.xml><?xml version="1.0" encoding="utf-8"?>
<comments xmlns="http://schemas.openxmlformats.org/spreadsheetml/2006/main">
  <authors>
    <author>Keizer</author>
    <author>Bé Keizer</author>
  </authors>
  <commentList>
    <comment ref="D16" authorId="0" shapeId="0">
      <text>
        <r>
          <rPr>
            <sz val="9"/>
            <color indexed="81"/>
            <rFont val="Tahoma"/>
            <family val="2"/>
          </rPr>
          <t xml:space="preserve">
Inclusief professionaliseringstoeslag.</t>
        </r>
      </text>
    </comment>
    <comment ref="D19" authorId="0" shapeId="0">
      <text>
        <r>
          <rPr>
            <sz val="9"/>
            <color indexed="81"/>
            <rFont val="Tahoma"/>
            <family val="2"/>
          </rPr>
          <t xml:space="preserve">
Inclusief extra opslag.</t>
        </r>
      </text>
    </comment>
    <comment ref="A73" authorId="1" shapeId="0">
      <text>
        <r>
          <rPr>
            <sz val="9"/>
            <color indexed="81"/>
            <rFont val="Tahoma"/>
            <family val="2"/>
          </rPr>
          <t xml:space="preserve">
Aanloopschalen a1 en a2 achterwege gelaten. Aanpassing min. loon per 1-7-2015 zorgt dat de aanloopschalen tenminste 1507,80 zijn.</t>
        </r>
      </text>
    </comment>
  </commentList>
</comments>
</file>

<file path=xl/comments2.xml><?xml version="1.0" encoding="utf-8"?>
<comments xmlns="http://schemas.openxmlformats.org/spreadsheetml/2006/main">
  <authors>
    <author>Reinier Goedhart</author>
    <author>Keizer</author>
    <author>Bé Keizer</author>
  </authors>
  <commentList>
    <comment ref="T12" authorId="0" shapeId="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 ref="E13" authorId="1" shapeId="0">
      <text>
        <r>
          <rPr>
            <sz val="9"/>
            <color indexed="81"/>
            <rFont val="Tahoma"/>
            <family val="2"/>
          </rPr>
          <t xml:space="preserve">
Opgave van naam is noodzakelijk voor het maken van de berekening.</t>
        </r>
      </text>
    </comment>
    <comment ref="E35" authorId="1" shapeId="0">
      <text>
        <r>
          <rPr>
            <sz val="9"/>
            <color indexed="81"/>
            <rFont val="Tahoma"/>
            <family val="2"/>
          </rPr>
          <t xml:space="preserve">
Opgave van naam is noodzakelijk voor het maken van de berekening.</t>
        </r>
      </text>
    </comment>
    <comment ref="E58" authorId="1" shapeId="0">
      <text>
        <r>
          <rPr>
            <sz val="9"/>
            <color indexed="81"/>
            <rFont val="Tahoma"/>
            <family val="2"/>
          </rPr>
          <t xml:space="preserve">
Opgave van naam is noodzakelijk voor het maken van de berekening.</t>
        </r>
      </text>
    </comment>
    <comment ref="E80" authorId="1" shapeId="0">
      <text>
        <r>
          <rPr>
            <sz val="9"/>
            <color indexed="81"/>
            <rFont val="Tahoma"/>
            <family val="2"/>
          </rPr>
          <t xml:space="preserve">
Opgave van naam is noodzakelijk voor het maken van de berekening.</t>
        </r>
      </text>
    </comment>
    <comment ref="E102" authorId="1" shapeId="0">
      <text>
        <r>
          <rPr>
            <sz val="9"/>
            <color indexed="81"/>
            <rFont val="Tahoma"/>
            <family val="2"/>
          </rPr>
          <t xml:space="preserve">
Opgave van naam is noodzakelijk voor het maken van de berekening.</t>
        </r>
      </text>
    </comment>
    <comment ref="D142" authorId="2" shapeId="0">
      <text>
        <r>
          <rPr>
            <sz val="9"/>
            <color indexed="81"/>
            <rFont val="Tahoma"/>
            <family val="2"/>
          </rPr>
          <t xml:space="preserve">
Aanloopschalen a1 en a2 achterwege gelaten. Aanpassing min. loon per 1-7-2013 zorgt dat de aanloopschalen tenminste 1477,80 zijn. Dan dus ook regel 1 dus 1477,80.</t>
        </r>
      </text>
    </comment>
  </commentList>
</comments>
</file>

<file path=xl/comments3.xml><?xml version="1.0" encoding="utf-8"?>
<comments xmlns="http://schemas.openxmlformats.org/spreadsheetml/2006/main">
  <authors>
    <author>Reinier Goedhart</author>
    <author>Keizer</author>
  </authors>
  <commentList>
    <comment ref="T12" authorId="0" shapeId="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 ref="E13" authorId="1" shapeId="0">
      <text>
        <r>
          <rPr>
            <sz val="9"/>
            <color indexed="81"/>
            <rFont val="Tahoma"/>
            <family val="2"/>
          </rPr>
          <t xml:space="preserve">
Opgave van naam is noodzakelijk voor het maken van de berekening.</t>
        </r>
      </text>
    </comment>
    <comment ref="E81" authorId="1" shapeId="0">
      <text>
        <r>
          <rPr>
            <sz val="9"/>
            <color indexed="81"/>
            <rFont val="Tahoma"/>
            <family val="2"/>
          </rPr>
          <t xml:space="preserve">
Opgave van naam is noodzakelijk voor het maken van de berekening.</t>
        </r>
      </text>
    </comment>
    <comment ref="E149" authorId="1" shapeId="0">
      <text>
        <r>
          <rPr>
            <sz val="9"/>
            <color indexed="81"/>
            <rFont val="Tahoma"/>
            <family val="2"/>
          </rPr>
          <t xml:space="preserve">
Opgave van naam is noodzakelijk voor het maken van de berekening.</t>
        </r>
      </text>
    </comment>
    <comment ref="E216" authorId="1" shapeId="0">
      <text>
        <r>
          <rPr>
            <sz val="9"/>
            <color indexed="81"/>
            <rFont val="Tahoma"/>
            <family val="2"/>
          </rPr>
          <t xml:space="preserve">
Opgave van naam is noodzakelijk voor het maken van de berekening.</t>
        </r>
      </text>
    </comment>
    <comment ref="E283" authorId="1" shapeId="0">
      <text>
        <r>
          <rPr>
            <sz val="9"/>
            <color indexed="81"/>
            <rFont val="Tahoma"/>
            <family val="2"/>
          </rPr>
          <t xml:space="preserve">
Opgave van naam is noodzakelijk voor het maken van de berekening.</t>
        </r>
      </text>
    </comment>
  </commentList>
</comments>
</file>

<file path=xl/comments4.xml><?xml version="1.0" encoding="utf-8"?>
<comments xmlns="http://schemas.openxmlformats.org/spreadsheetml/2006/main">
  <authors>
    <author>Reinier Goedhart</author>
    <author>Bé Keizer</author>
  </authors>
  <commentList>
    <comment ref="T12" authorId="0" shapeId="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 ref="D264" authorId="1" shapeId="0">
      <text>
        <r>
          <rPr>
            <sz val="9"/>
            <color indexed="81"/>
            <rFont val="Tahoma"/>
            <family val="2"/>
          </rPr>
          <t xml:space="preserve">
Aanloopschalen a1 en a2 achterwege gelaten.</t>
        </r>
      </text>
    </comment>
  </commentList>
</comments>
</file>

<file path=xl/comments5.xml><?xml version="1.0" encoding="utf-8"?>
<comments xmlns="http://schemas.openxmlformats.org/spreadsheetml/2006/main">
  <authors>
    <author>Keizer</author>
    <author>Bé Keizer</author>
    <author>Goedhart, R.</author>
    <author xml:space="preserve"> </author>
  </authors>
  <commentList>
    <comment ref="D18" authorId="0" shapeId="0">
      <text>
        <r>
          <rPr>
            <sz val="9"/>
            <color indexed="81"/>
            <rFont val="Tahoma"/>
            <family val="2"/>
          </rPr>
          <t xml:space="preserve">
</t>
        </r>
        <r>
          <rPr>
            <sz val="10"/>
            <color indexed="81"/>
            <rFont val="Tahoma"/>
            <family val="2"/>
          </rPr>
          <t>Dit is exclusief de betaling door het SWV van de zorgformatie voor het aantal leerlingen boven de 2% van het samenwerkingsverband.
Het is hieronder opgenomen biij bekostiging via samenwerkngsverband.
Zie verder de toelichting.</t>
        </r>
      </text>
    </comment>
    <comment ref="D25" authorId="0" shapeId="0">
      <text>
        <r>
          <rPr>
            <sz val="9"/>
            <color indexed="81"/>
            <rFont val="Tahoma"/>
            <family val="2"/>
          </rPr>
          <t xml:space="preserve">
Met ingang van 1 januari 2013 wordt bekostiging vanuit het SWV ook als Rijksbekostiging gezien.</t>
        </r>
      </text>
    </comment>
    <comment ref="D31" authorId="1" shapeId="0">
      <text>
        <r>
          <rPr>
            <sz val="9"/>
            <color indexed="81"/>
            <rFont val="Tahoma"/>
            <family val="2"/>
          </rPr>
          <t xml:space="preserve">
</t>
        </r>
        <r>
          <rPr>
            <sz val="10"/>
            <color indexed="81"/>
            <rFont val="Tahoma"/>
            <family val="2"/>
          </rPr>
          <t xml:space="preserve">Betreft het zorgbedrag voor het aantal leerlingen &gt;2% op de teldatum. Indien negatief betekent het dat het Rijk meer zorgbedrag verstrekt dan er leerlingen op de teldatum zijn. Dat teveel gaat dan in principe terug naar het SWV. </t>
        </r>
      </text>
    </comment>
    <comment ref="D32" authorId="1" shapeId="0">
      <text>
        <r>
          <rPr>
            <sz val="9"/>
            <color indexed="81"/>
            <rFont val="Tahoma"/>
            <family val="2"/>
          </rPr>
          <t xml:space="preserve">
</t>
        </r>
        <r>
          <rPr>
            <sz val="10"/>
            <color indexed="81"/>
            <rFont val="Tahoma"/>
            <family val="2"/>
          </rPr>
          <t>Indien er meer leerlingen op de peildatum zijn dan op de teldatum wordt een aanvullend bedrag door het SWV overgemaakt indien dat is afgesproken (Geg!F56).</t>
        </r>
      </text>
    </comment>
    <comment ref="D39" authorId="2"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D41" authorId="3" shapeId="0">
      <text>
        <r>
          <rPr>
            <sz val="10"/>
            <color indexed="81"/>
            <rFont val="Tahoma"/>
            <family val="2"/>
          </rPr>
          <t xml:space="preserve">
voor bepaling percentatge zie www.poraad.nl/toolbox :  Londo bas</t>
        </r>
        <r>
          <rPr>
            <sz val="8"/>
            <color indexed="81"/>
            <rFont val="Tahoma"/>
            <family val="2"/>
          </rPr>
          <t xml:space="preserve">
</t>
        </r>
      </text>
    </comment>
    <comment ref="D119" authorId="2" shapeId="0">
      <text>
        <r>
          <rPr>
            <sz val="8"/>
            <color indexed="81"/>
            <rFont val="Tahoma"/>
            <family val="2"/>
          </rPr>
          <t xml:space="preserve">wordt ontleend aan het werkblad mop
</t>
        </r>
      </text>
    </comment>
    <comment ref="L190" authorId="1" shapeId="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6.xml><?xml version="1.0" encoding="utf-8"?>
<comments xmlns="http://schemas.openxmlformats.org/spreadsheetml/2006/main">
  <authors>
    <author>Goedhart, R.</author>
  </authors>
  <commentList>
    <comment ref="E7" authorId="0" shapeId="0">
      <text>
        <r>
          <rPr>
            <sz val="8"/>
            <color indexed="81"/>
            <rFont val="Tahoma"/>
            <family val="2"/>
          </rPr>
          <t xml:space="preserve">
hoeft niet te worden ingevuld</t>
        </r>
      </text>
    </comment>
    <comment ref="F7" authorId="0" shapeId="0">
      <text>
        <r>
          <rPr>
            <sz val="8"/>
            <color indexed="81"/>
            <rFont val="Tahoma"/>
            <family val="2"/>
          </rPr>
          <t xml:space="preserve">
hoeft niet te worden ingevuld</t>
        </r>
      </text>
    </comment>
  </commentList>
</comments>
</file>

<file path=xl/comments7.xml><?xml version="1.0" encoding="utf-8"?>
<comments xmlns="http://schemas.openxmlformats.org/spreadsheetml/2006/main">
  <authors>
    <author>Goedhart, R.</author>
  </authors>
  <commentList>
    <comment ref="D41" authorId="0" shapeId="0">
      <text>
        <r>
          <rPr>
            <sz val="8"/>
            <color indexed="81"/>
            <rFont val="Tahoma"/>
            <family val="2"/>
          </rPr>
          <t xml:space="preserve">
Slechts invullen indien u een eerste waardering/ nul-meting/ inventarisatie heeft uitgevoerd in het kader van de startbalans.
Deze afschrijvingsbedragen kan u halen van uw nul-meting/ overzicht eerste waardering.
</t>
        </r>
      </text>
    </comment>
  </commentList>
</comments>
</file>

<file path=xl/comments8.xml><?xml version="1.0" encoding="utf-8"?>
<comments xmlns="http://schemas.openxmlformats.org/spreadsheetml/2006/main">
  <authors>
    <author>Bé Keizer</author>
  </authors>
  <commentList>
    <comment ref="D95" authorId="0" shapeId="0">
      <text>
        <r>
          <rPr>
            <sz val="9"/>
            <color indexed="81"/>
            <rFont val="Tahoma"/>
            <family val="2"/>
          </rPr>
          <t xml:space="preserve">
Aanloopschalen a1 en a2 achterwege gelaten.</t>
        </r>
      </text>
    </comment>
  </commentList>
</comments>
</file>

<file path=xl/comments9.xml><?xml version="1.0" encoding="utf-8"?>
<comments xmlns="http://schemas.openxmlformats.org/spreadsheetml/2006/main">
  <authors>
    <author>Keizer</author>
  </authors>
  <commentList>
    <comment ref="D18" authorId="0" shapeId="0">
      <text>
        <r>
          <rPr>
            <sz val="9"/>
            <color indexed="81"/>
            <rFont val="Tahoma"/>
            <family val="2"/>
          </rPr>
          <t xml:space="preserve">
Bedragen ontvangen van het SWV gelden voor het verslagjaar 2013 en daarna als rijkbijdragen OCW.</t>
        </r>
      </text>
    </comment>
  </commentList>
</comments>
</file>

<file path=xl/sharedStrings.xml><?xml version="1.0" encoding="utf-8"?>
<sst xmlns="http://schemas.openxmlformats.org/spreadsheetml/2006/main" count="1614" uniqueCount="623">
  <si>
    <t>FTE onderwijzend personeel</t>
  </si>
  <si>
    <t>versie</t>
  </si>
  <si>
    <t>Het model is beveiligd met het wachtwoord:</t>
  </si>
  <si>
    <t xml:space="preserve">onder Extra/Beveiliging/Blad beveiligen. </t>
  </si>
  <si>
    <t>Desgewenst kunt u het model dus aanpassen, maar kennis van Excel is dan wel vereist.</t>
  </si>
  <si>
    <t xml:space="preserve">Wanneer een samenwerkingsverband WSNS ook extra geld voor materiële instandhouding overdraagt op basis van het aantal leerlingen </t>
  </si>
  <si>
    <t>meerdere SBO's deelnemen, maar de school als zodanig krijgt bekostiging voor iedere leerling. Deels door het Rijk en deels door het SWV.</t>
  </si>
  <si>
    <t>voorraden</t>
  </si>
  <si>
    <t>vorderingen</t>
  </si>
  <si>
    <t>effecten</t>
  </si>
  <si>
    <t>ouderbijdragen</t>
  </si>
  <si>
    <t>Ouderbijdragen</t>
  </si>
  <si>
    <t>Sponsoring</t>
  </si>
  <si>
    <t>Algemeen</t>
  </si>
  <si>
    <t>Salarissen en sociale lasten</t>
  </si>
  <si>
    <t>Grafieken (graf)</t>
  </si>
  <si>
    <t xml:space="preserve">In dit blad worden diverse kengetallen en de ontwikkeling daarvan grafisch weergegeven. </t>
  </si>
  <si>
    <t>De grafieken kunnen desgewenst worden gebruikt ter illustratie van het jaarverslag.</t>
  </si>
  <si>
    <t>De invoer bij de aangegeven cellen spreekt voor zich. Voor een juiste begroting moeten de witte cellen worden ingevuld.</t>
  </si>
  <si>
    <t xml:space="preserve">In de gele cellen doet het model middels een formule een voorstel (veelal uitgaand van een situatie van krimp noch groei). Deze </t>
  </si>
  <si>
    <t>cellen zijn echter overschrijfbaar / niet beveiligd. De overige cellen zijn beveiligd met een wachtwoord.</t>
  </si>
  <si>
    <t>De invoer van de leerlinggegevens vergt een prognose voor de jaren daarna.</t>
  </si>
  <si>
    <t xml:space="preserve">Een nauwkeurige opgave van het verwachte leerlingenaantal zorgt voor een zo deugdelijk mogelijke begroting van de inkomsten. </t>
  </si>
  <si>
    <t>De gegevens en de prognose geven alle data die voor de berekening noodzakelijk zijn.</t>
  </si>
  <si>
    <t>Er is ook rekening gehouden met de mogelijkheid dat de school bestaat uit een hoofd- en (een door OCW erkende) nevenvestiging.</t>
  </si>
  <si>
    <t>aantal cumi leerlingen (v)so</t>
  </si>
  <si>
    <t>aantal SO-leerlingen</t>
  </si>
  <si>
    <t>aantal VSO-leerlingen</t>
  </si>
  <si>
    <t>Ontwikkeling aantal leerlingen peildatum</t>
  </si>
  <si>
    <t>In dit werkblad worden de afschrijvingen bepaald die ten laste van de (materiële) exploitatie van de school worden gebracht.</t>
  </si>
  <si>
    <t>Hiervoor is het vereist dat alle investeringen vanaf 1 januari 2006 en de toekomstige investeringen (gedurende tenminste de komende vijf jaren)</t>
  </si>
  <si>
    <t>in kaart worden gebracht.</t>
  </si>
  <si>
    <t>Kengetallen (kengetal)</t>
  </si>
  <si>
    <t>School zonder nevenvestiging</t>
  </si>
  <si>
    <t>Tabellen (tab)</t>
  </si>
  <si>
    <t>Nadere informatie</t>
  </si>
  <si>
    <t>MATERIEEL</t>
  </si>
  <si>
    <t>aantal leerlingen sbo</t>
  </si>
  <si>
    <t xml:space="preserve">In dit werkblad worden alle budgetten weergegeven die betrekking hebben op de bekostiging van personeel en personeelsbeleid. </t>
  </si>
  <si>
    <t xml:space="preserve">Hier wordt op grond van de leerlingaantallen en de GGL de normatieve rijksbijdrage voor uw personeel/ formatie berekend. </t>
  </si>
  <si>
    <t>SOMMATIEGEGEVENS</t>
  </si>
  <si>
    <t>liquiditeit (vlottende activa / kortlopende schulden)</t>
  </si>
  <si>
    <t>mutatie Liquide middelen (balans)</t>
  </si>
  <si>
    <t>Eindsaldo liquide middelen</t>
  </si>
  <si>
    <t>Procedure</t>
  </si>
  <si>
    <t>1. Voer per jaar de bestedingen in bij "Onttrekking" die op grond van een recent meerjarenonderhoudsplan (MOP) worden voorgesteld.</t>
  </si>
  <si>
    <t>Stand voorziening onderhoud per 01-01</t>
  </si>
  <si>
    <t>Dotatie vanuit exploitatie (materieel)</t>
  </si>
  <si>
    <t>Onttrekking</t>
  </si>
  <si>
    <t>stand voorziening  per 31/12</t>
  </si>
  <si>
    <t>- meubilair</t>
  </si>
  <si>
    <t>- ICT</t>
  </si>
  <si>
    <t xml:space="preserve">activiteiten te kunnen financieren. Het corrigeren vindt plaats door per bekostigingselement een percentage vast te stellen dat bovenschools wordt </t>
  </si>
  <si>
    <t xml:space="preserve">loonkosten/ per FTE </t>
  </si>
  <si>
    <t>Gewogen Gemiddelde Leeftijd (1 oktober t-1)</t>
  </si>
  <si>
    <t xml:space="preserve">premies en dergelijke is opgenomen, maar uitgegaan wordt van een vast percentage als werkgeverslasten. </t>
  </si>
  <si>
    <t>In het tweede deel zijn de financiële kengetallen opgenomen, met daarbij eveneens een kolom waarin de bestuursnorm kan worden vastgelegd.</t>
  </si>
  <si>
    <t>Lasten</t>
  </si>
  <si>
    <t>aantal leerlingen op eigen sbo in dit swv</t>
  </si>
  <si>
    <t>Aantal leerlingen peildatum op eigen sbo in dit swv</t>
  </si>
  <si>
    <t>Aantal grensverkeerleerlingen, ingeschreven na peildatum</t>
  </si>
  <si>
    <t>Aanvullende overdracht MI van SWV o.b.v. peildatum</t>
  </si>
  <si>
    <t>zodat alle mogelijke uitgaven van personele aard hier kunnen worden opgegeven.</t>
  </si>
  <si>
    <t xml:space="preserve">In dit werkblad dienen de personele gegevens te worden opgegeven die noodzakelijk zijn voor de berekening van de loonkosten. Omdat in de latere </t>
  </si>
  <si>
    <t xml:space="preserve">schooljaren de gegevens van de eerdere schooljaren worden gebruikt voor het maken van berekeningen, is het noodzakelijk ook de personeelsleden </t>
  </si>
  <si>
    <t xml:space="preserve">die in latere jaren worden benoemd alvast in het eerste schooljaar op te nemen. Voor de jaren waarin ze nog niet zijn aangesteld wordt hun </t>
  </si>
  <si>
    <t xml:space="preserve">De totale loonkosten worden in de laatste kolom weergegeven, ter informatie en voor vergelijking met soortgelijke gegevens van het </t>
  </si>
  <si>
    <t xml:space="preserve">administratiekantoor (AK). In dat kader is het van belang er op te wijzen dat in dit instrument geen exacte loonberekening met alle specifieke </t>
  </si>
  <si>
    <t xml:space="preserve">Voor dit werkblad geldt hetgeen in het vorige werkblad is vermeld eveneens. </t>
  </si>
  <si>
    <t xml:space="preserve">Bij dit werkblad geldt bovendien dat de gewogen gemiddelde leeftijd (GGL) wordt berekend op grond van de opgave van de geboortedatum van de </t>
  </si>
  <si>
    <t>personeelsleden in combinatie met de opgegeven werktijdfactor.</t>
  </si>
  <si>
    <t xml:space="preserve">Vervangers ten laste van het Vervangingsfonds (blijven ook buiten beschouwing bij de bepaling van de GGL) dienen überhaupt niet opgenomen </t>
  </si>
  <si>
    <t>te worden. Hun kosten worden immers gedeclareerd ten laste van het Vervangingsfonds en blijven daarom buiten de begroting.</t>
  </si>
  <si>
    <t>De lasten in het kader van de materiële instandhouding kunnen worden onderverdeeld in jaarlijkse en meerjaarlijkse kosten. De meerjaarlijkse</t>
  </si>
  <si>
    <t>kosten, te weten dotaties en afschrijvingen, worden berekend in de werkbladen "mop" en "mip". Voor de jaarlijkse kosten moet voor de komende</t>
  </si>
  <si>
    <t>vier jaren een prognose worden gemaakt.</t>
  </si>
  <si>
    <t>Activa</t>
  </si>
  <si>
    <t xml:space="preserve">De balans is voor zover mogelijk automatisch aangemaakt maar vergt nog aanvullende gegevens. De indeling spoort volledig met de voorschriften </t>
  </si>
  <si>
    <t>terzake van het departement. Op grond van de balans en de exploitatierekening worden de meest relevante financiële kengetallen vastgesteld.</t>
  </si>
  <si>
    <t xml:space="preserve">In dit werkblad zijn alleen relevante kengetallen opgenomen. In het eerste deel zijn de kengetallen opgenomen die zijn voorgeschreven in de </t>
  </si>
  <si>
    <t xml:space="preserve">OCW-richtlijn en die elke school als zodanig moet leveren. </t>
  </si>
  <si>
    <t>De exploitatie levert ook tal van kengetallen die er toe doen zoals relevante bedragen per leerling en verhoudingsgetallen. Die spreken voor zich.</t>
  </si>
  <si>
    <t>moeten worden.</t>
  </si>
  <si>
    <t>Teldatum: genormeerd aantal groepen (G)</t>
  </si>
  <si>
    <t>Teldatum: genormeerd bruto grondoppervlak (A)</t>
  </si>
  <si>
    <t>Peildatum: genormeerd aantal groepen (G)</t>
  </si>
  <si>
    <t>Peildatum: genormeerd bruto grondoppervlak (A)</t>
  </si>
  <si>
    <t>directietoeslag</t>
  </si>
  <si>
    <t>Minus: Overdrachten bestuur</t>
  </si>
  <si>
    <t xml:space="preserve">Overdracht naar bestuur </t>
  </si>
  <si>
    <t>o.b.v. percentage rijksbijdragen/ personele bekostiging</t>
  </si>
  <si>
    <t>Overdracht van bestuur</t>
  </si>
  <si>
    <t>saldo overdrachten</t>
  </si>
  <si>
    <t>Overige overheidsbijdragen en -subsidies</t>
  </si>
  <si>
    <t>baten werk in opdracht derden</t>
  </si>
  <si>
    <t>PERSONEEL</t>
  </si>
  <si>
    <t>Saldo personeel</t>
  </si>
  <si>
    <t>Totaal baten personeel</t>
  </si>
  <si>
    <t>Totaal lasten personeel</t>
  </si>
  <si>
    <t xml:space="preserve">Rijksbijdragen  </t>
  </si>
  <si>
    <t>Baten werk in opdracht van derden</t>
  </si>
  <si>
    <t>Overgedragen budget personeel</t>
  </si>
  <si>
    <t xml:space="preserve">loonkosten totaal </t>
  </si>
  <si>
    <t>Lasten personeelsbeleid</t>
  </si>
  <si>
    <t>o.b.v. percentage normatieve rijksbijdrage</t>
  </si>
  <si>
    <t>Berekening Londo peildatum</t>
  </si>
  <si>
    <t>Totaal lasten materieel</t>
  </si>
  <si>
    <t>Saldo materieel</t>
  </si>
  <si>
    <t xml:space="preserve">Het model gaat uit van de gegevens van uw school. Het kan wel zo zijn dat een SBO in meerdere verbanden deelneemt of dat in uw verband </t>
  </si>
  <si>
    <t>1. Basisgegevens (geg)</t>
  </si>
  <si>
    <t>2. Personeel (pers)</t>
  </si>
  <si>
    <t xml:space="preserve">teldatum 1 oktober </t>
  </si>
  <si>
    <t xml:space="preserve">Baten </t>
  </si>
  <si>
    <t>Saldo baten en lasten</t>
  </si>
  <si>
    <t>2014/15</t>
  </si>
  <si>
    <t>Dotatie jubilea</t>
  </si>
  <si>
    <t>Jubilea kosten</t>
  </si>
  <si>
    <t xml:space="preserve">De bekostiging door het samenwerkingsverband betreft met name de overdrachtsverplichting voor het aantal leerlingen op de peildatum boven </t>
  </si>
  <si>
    <t>de 2% en is apart zichtbaar.</t>
  </si>
  <si>
    <t>worden automatisch berekend op grond van het door u ingevulde OP-bestand. (zie loonkosten onderwijzend personeel / werkblad "op")</t>
  </si>
  <si>
    <t>Zie de informatie die verstrekt is in de werkbladen Loonkosten directie resp. onderwijzend personeel.</t>
  </si>
  <si>
    <t>2.1 Loonkosten directie (dir)</t>
  </si>
  <si>
    <t>2.2 Loonkosten onderwijzend personeel (op)</t>
  </si>
  <si>
    <t>3. Materieel (mat)</t>
  </si>
  <si>
    <t>3.1 Meerjarenonderhoudsplan (mop)</t>
  </si>
  <si>
    <t>3.2 Meerjaren investeringsplan (mip)</t>
  </si>
  <si>
    <t>3.3 Activa</t>
  </si>
  <si>
    <t>4. Staat van Baten en Lasten (begr)</t>
  </si>
  <si>
    <t>5. Balans</t>
  </si>
  <si>
    <t xml:space="preserve">wordt aangevuld of dat juist op het eigen vermogen wordt ingeteerd. </t>
  </si>
  <si>
    <t>6. Kasstroomoverzicht (liq)</t>
  </si>
  <si>
    <t xml:space="preserve">informatie van alle scholen bij elkaar opgeteld tezamen met de baten en lasten van het bestuurskantoor. Hierdoor ontstaat ook op bestuursniveau </t>
  </si>
  <si>
    <t>baten werk in opdracht van derden</t>
  </si>
  <si>
    <t>Totaal baten materieel</t>
  </si>
  <si>
    <t>STAAT VAN BATEN EN LASTEN</t>
  </si>
  <si>
    <t>Baten</t>
  </si>
  <si>
    <t xml:space="preserve">Saldo baten en lasten </t>
  </si>
  <si>
    <t>Saldo financiële baten en lasten</t>
  </si>
  <si>
    <t>Rijksbijdragen OCW</t>
  </si>
  <si>
    <t>College-, cursus-, les- en examengelden</t>
  </si>
  <si>
    <t>Overgedragen budget naar bestuursniveau</t>
  </si>
  <si>
    <t>Budget personeel</t>
  </si>
  <si>
    <t>Budget materieel</t>
  </si>
  <si>
    <t xml:space="preserve">Resultaat </t>
  </si>
  <si>
    <t>Salaristabel</t>
  </si>
  <si>
    <t>basisbedrag</t>
  </si>
  <si>
    <t xml:space="preserve"> 2% alle lln swv en toegerekend aan deze school</t>
  </si>
  <si>
    <t xml:space="preserve">Overige lasten </t>
  </si>
  <si>
    <t>Resultaat</t>
  </si>
  <si>
    <t>Bijvoorbeeld als het bestuur meer dan één school omvat en dan verplicht is een balans op bestuursniveau te maken.</t>
  </si>
  <si>
    <t xml:space="preserve">Hebt u vragen of opmerkingen, adviezen enzovoorts over dit instrument, dan zijn we daar nieuwsgierig naar: </t>
  </si>
  <si>
    <t>dienst</t>
  </si>
  <si>
    <t xml:space="preserve">jaren </t>
  </si>
  <si>
    <t>leeftijd</t>
  </si>
  <si>
    <t>WTF</t>
  </si>
  <si>
    <t>DA</t>
  </si>
  <si>
    <t>DB</t>
  </si>
  <si>
    <t>DC</t>
  </si>
  <si>
    <t>LA</t>
  </si>
  <si>
    <t>LB</t>
  </si>
  <si>
    <t>LC</t>
  </si>
  <si>
    <t>AA</t>
  </si>
  <si>
    <t>AB</t>
  </si>
  <si>
    <t>AC</t>
  </si>
  <si>
    <t>AD</t>
  </si>
  <si>
    <t>DD</t>
  </si>
  <si>
    <t>DE</t>
  </si>
  <si>
    <t>AE</t>
  </si>
  <si>
    <t>LD</t>
  </si>
  <si>
    <t>LE</t>
  </si>
  <si>
    <t>Groepsafhankelijke PvE's</t>
  </si>
  <si>
    <t xml:space="preserve"> </t>
  </si>
  <si>
    <t>Leerlingafhankelijke PvE's</t>
  </si>
  <si>
    <t>dotatie aan de voorziening jubilea</t>
  </si>
  <si>
    <t>overdracht SWV i.v.m. lln. boven 2% (teldatum)</t>
  </si>
  <si>
    <t>overdracht SWV i.v.m. lln. toename (peildatum)</t>
  </si>
  <si>
    <t>éénmalig</t>
  </si>
  <si>
    <t>basisformatie per ll</t>
  </si>
  <si>
    <t>zorgformatie vast</t>
  </si>
  <si>
    <t>zorgformatie per ll</t>
  </si>
  <si>
    <t xml:space="preserve">cumi-formatie per ll. </t>
  </si>
  <si>
    <t>B = cumi-leerling</t>
  </si>
  <si>
    <t>schaal / regel</t>
  </si>
  <si>
    <t>regels</t>
  </si>
  <si>
    <t>DBuit</t>
  </si>
  <si>
    <t>DCuit</t>
  </si>
  <si>
    <t>LIOa</t>
  </si>
  <si>
    <t>LIOb</t>
  </si>
  <si>
    <t>ID1</t>
  </si>
  <si>
    <t>ID3</t>
  </si>
  <si>
    <t>directie</t>
  </si>
  <si>
    <t>KENGETALLEN</t>
  </si>
  <si>
    <t>Vlottende activa</t>
  </si>
  <si>
    <t>Vaste activa</t>
  </si>
  <si>
    <t>Langlopende schulden</t>
  </si>
  <si>
    <t>Kortlopende schulden</t>
  </si>
  <si>
    <t>Liquiditeit</t>
  </si>
  <si>
    <t>Crediteuren</t>
  </si>
  <si>
    <t>ID2</t>
  </si>
  <si>
    <t xml:space="preserve">totaal </t>
  </si>
  <si>
    <t>schooljaar</t>
  </si>
  <si>
    <t>naam</t>
  </si>
  <si>
    <t>onderwijzend personeel</t>
  </si>
  <si>
    <t>Budget PAB</t>
  </si>
  <si>
    <t>A = leerling</t>
  </si>
  <si>
    <t>basisbedrag=</t>
  </si>
  <si>
    <t xml:space="preserve">Materieel </t>
  </si>
  <si>
    <t xml:space="preserve">WTF </t>
  </si>
  <si>
    <t>GGL</t>
  </si>
  <si>
    <t>aanschaf</t>
  </si>
  <si>
    <t>bedrag</t>
  </si>
  <si>
    <t>jaar van</t>
  </si>
  <si>
    <t>loonkosten</t>
  </si>
  <si>
    <t>situatie per</t>
  </si>
  <si>
    <t>leerlingafhankelijke vergoeding</t>
  </si>
  <si>
    <t>termijn</t>
  </si>
  <si>
    <t>MEERJARENBALANS</t>
  </si>
  <si>
    <t>(maand)</t>
  </si>
  <si>
    <t>landelijke GGL</t>
  </si>
  <si>
    <t>Landelijke GPL</t>
  </si>
  <si>
    <t>OP voet</t>
  </si>
  <si>
    <t>OP lftafh.</t>
  </si>
  <si>
    <t>loonkosten OP</t>
  </si>
  <si>
    <t>loonkosten directie</t>
  </si>
  <si>
    <t>leeft</t>
  </si>
  <si>
    <t>Voorzieningen</t>
  </si>
  <si>
    <t>schaal</t>
  </si>
  <si>
    <t>loonkosten directie / totale loonkosten</t>
  </si>
  <si>
    <t>loonkosten OP / totale loonkosten</t>
  </si>
  <si>
    <t>omrekening naar kalenderjaar</t>
  </si>
  <si>
    <t>afschrijving</t>
  </si>
  <si>
    <t>Financiële kengetallen</t>
  </si>
  <si>
    <t>Indices</t>
  </si>
  <si>
    <t>investering</t>
  </si>
  <si>
    <t>De baten worden per kalenderjaar berekend conform de Rijksbijdrage, conform de laatst bekende gegevens van de Londo-regeling.</t>
  </si>
  <si>
    <t>een meerjarig zicht op de exploitatie en balans.</t>
  </si>
  <si>
    <t>Bij overige subsidies OCW kunt u de betreffende inkomsten opgeven, naast de baten die via het werkblad rugzak zijn berekend.</t>
  </si>
  <si>
    <t>Conform de indeling van de jaarrekening is nog opgave mogelijk voor overige overheidsbijdragen c.q. overige baten voor personeel.</t>
  </si>
  <si>
    <t>Ontwikkeling baten werk in opdracht van derden</t>
  </si>
  <si>
    <t>Rentabiliteit</t>
  </si>
  <si>
    <t>GRAFIEKEN</t>
  </si>
  <si>
    <t>omslagpunt lln. directietoeslag</t>
  </si>
  <si>
    <t>(G)</t>
  </si>
  <si>
    <t xml:space="preserve">br. grondopp. </t>
  </si>
  <si>
    <t>(A)</t>
  </si>
  <si>
    <t>Weerstandsvermogen</t>
  </si>
  <si>
    <t>kosten</t>
  </si>
  <si>
    <t>trede</t>
  </si>
  <si>
    <t>Hoofdvestiging</t>
  </si>
  <si>
    <t>teldatum</t>
  </si>
  <si>
    <t>Financiële baten</t>
  </si>
  <si>
    <t>Financiële lasten</t>
  </si>
  <si>
    <t>Solvabiliteit 1</t>
  </si>
  <si>
    <t>Gebouwen en terreinen</t>
  </si>
  <si>
    <t>Inventaris en apparatuur</t>
  </si>
  <si>
    <t>Overige materiële vaste activa</t>
  </si>
  <si>
    <t>aanschafprijs</t>
  </si>
  <si>
    <t>afschrijvings-</t>
  </si>
  <si>
    <t>omschrijving</t>
  </si>
  <si>
    <t>activagroep</t>
  </si>
  <si>
    <t>(per eenheid)</t>
  </si>
  <si>
    <t>groep</t>
  </si>
  <si>
    <t xml:space="preserve">lokaal / </t>
  </si>
  <si>
    <t>kalenderjaar</t>
  </si>
  <si>
    <t>Overige baten</t>
  </si>
  <si>
    <t>Personele lasten</t>
  </si>
  <si>
    <t>Afschrijvingen</t>
  </si>
  <si>
    <t>Huisvestingslasten</t>
  </si>
  <si>
    <t>Overige instellingslasten</t>
  </si>
  <si>
    <t>Ministerie van OCW</t>
  </si>
  <si>
    <t>Kredietinstellingen</t>
  </si>
  <si>
    <t>Overige langlopende schulden</t>
  </si>
  <si>
    <t>Belastingen en premies sociale verzekeringen</t>
  </si>
  <si>
    <t>Schulden terzake pensioenen</t>
  </si>
  <si>
    <t>Overige kortlopende schulden</t>
  </si>
  <si>
    <t>Overlopende passiva</t>
  </si>
  <si>
    <t>Ontwikkeling totale baten</t>
  </si>
  <si>
    <t>Ontwikkeling totale lasten</t>
  </si>
  <si>
    <t>investeringen t.l.v. school</t>
  </si>
  <si>
    <t>groot onderhoud t.l.v. school</t>
  </si>
  <si>
    <t>Ontwikkeling afschrijvingen</t>
  </si>
  <si>
    <t>Ontwikkeling Rijksbijdragen</t>
  </si>
  <si>
    <t>Ontwikkeling overige overheidsbijdragen</t>
  </si>
  <si>
    <t>Ontwikkeling overige baten</t>
  </si>
  <si>
    <t>Leermiddelen PO</t>
  </si>
  <si>
    <t>laatste</t>
  </si>
  <si>
    <t>beslisregel</t>
  </si>
  <si>
    <t>Waarde activa per 31-12</t>
  </si>
  <si>
    <t>aanschaf-</t>
  </si>
  <si>
    <t>waarde</t>
  </si>
  <si>
    <t>per jaar</t>
  </si>
  <si>
    <t>totaal</t>
  </si>
  <si>
    <t>Waarde activa per 01-01</t>
  </si>
  <si>
    <t>directiekosten per leerling</t>
  </si>
  <si>
    <t>kosten OP per leerling</t>
  </si>
  <si>
    <t>geboorte</t>
  </si>
  <si>
    <t>datum</t>
  </si>
  <si>
    <t>gebdat</t>
  </si>
  <si>
    <t>dir</t>
  </si>
  <si>
    <t>op</t>
  </si>
  <si>
    <t>berek I</t>
  </si>
  <si>
    <t>berek II</t>
  </si>
  <si>
    <t>kortlopende schulden</t>
  </si>
  <si>
    <t>totale baten</t>
  </si>
  <si>
    <t>LOONKOSTEN DIRECTIE</t>
  </si>
  <si>
    <t>LOONKOSTEN ONDERWIJZEND PERSONEEL</t>
  </si>
  <si>
    <t>Persoonsgegevens</t>
  </si>
  <si>
    <t xml:space="preserve">Persoonsgegevens </t>
  </si>
  <si>
    <t>werkgeverslasten</t>
  </si>
  <si>
    <t>Mutatie Liquide middelen</t>
  </si>
  <si>
    <t>Kasstroom uit operationele activiteiten</t>
  </si>
  <si>
    <t>Mutaties werkkapitaal</t>
  </si>
  <si>
    <t>Kasstroom uit investeringsactiviteiten</t>
  </si>
  <si>
    <t>(Des)investeringen immateriële vaste activa</t>
  </si>
  <si>
    <t>(Des)investeringen materiële vaste activa</t>
  </si>
  <si>
    <t>(Des)investeringen financiële vaste activa</t>
  </si>
  <si>
    <t>Mutaties voorzieningen</t>
  </si>
  <si>
    <t>Kasstroom uit financieringsactiviteiten</t>
  </si>
  <si>
    <t>KASSTROOMOVERZICHT</t>
  </si>
  <si>
    <t>diensttijd</t>
  </si>
  <si>
    <t>totaal leerlingafhankelijk</t>
  </si>
  <si>
    <t>groepen</t>
  </si>
  <si>
    <t>toename</t>
  </si>
  <si>
    <t>norm na 6</t>
  </si>
  <si>
    <t>extra na 13</t>
  </si>
  <si>
    <t xml:space="preserve">salaris </t>
  </si>
  <si>
    <t>Ontwikkeling overige lasten (materieel)</t>
  </si>
  <si>
    <t>Ontwikkeling lasten personeelsbeleid</t>
  </si>
  <si>
    <t>Ontwikkeling salarislasten</t>
  </si>
  <si>
    <t>Ontwikkeling aantal FTE (schooljaar)</t>
  </si>
  <si>
    <t>12AB</t>
  </si>
  <si>
    <t>Directie</t>
  </si>
  <si>
    <t>meerh sbo DB10</t>
  </si>
  <si>
    <t>meerh sbo DB11</t>
  </si>
  <si>
    <t>meerh sbo DCuit15</t>
  </si>
  <si>
    <t>meerh sbo DC13</t>
  </si>
  <si>
    <t>Budget voor personeels- en arbeidsmarktbeleid</t>
  </si>
  <si>
    <t>meerh bas DA11</t>
  </si>
  <si>
    <t>waarvan cumi-leerlingen</t>
  </si>
  <si>
    <t>Peildatum</t>
  </si>
  <si>
    <t>basisformatie</t>
  </si>
  <si>
    <t>zorgformatie sbao</t>
  </si>
  <si>
    <t>cumi formatie</t>
  </si>
  <si>
    <t>basisformatie vast</t>
  </si>
  <si>
    <t>cumi- formatie vast</t>
  </si>
  <si>
    <t>grensverkeer na peildatum komend schooljaar</t>
  </si>
  <si>
    <t>aantal leerlingen teldatum</t>
  </si>
  <si>
    <t>aantal leerlingen peildatum</t>
  </si>
  <si>
    <t xml:space="preserve">Teldatum </t>
  </si>
  <si>
    <t>Totaal aantal leerlingen peildatum</t>
  </si>
  <si>
    <t>BASISGEGEVENS</t>
  </si>
  <si>
    <t>grootboeknr.</t>
  </si>
  <si>
    <t>Totaal aantal leerlingen teldatum</t>
  </si>
  <si>
    <t>Zorgbedrag</t>
  </si>
  <si>
    <t>Gegevens teldatum</t>
  </si>
  <si>
    <t>MEERJARENINVESTERINGSPLAN (MIP)</t>
  </si>
  <si>
    <t>leermiddelen PO</t>
  </si>
  <si>
    <t xml:space="preserve">Exploitatie kengetallen </t>
  </si>
  <si>
    <t>Lasten Personeelsbeleid</t>
  </si>
  <si>
    <t>sponsoring</t>
  </si>
  <si>
    <t>baten personeel</t>
  </si>
  <si>
    <t>lasten personeel</t>
  </si>
  <si>
    <t>Procedure:</t>
  </si>
  <si>
    <t>- klik op rechter muisknop</t>
  </si>
  <si>
    <t>Eigen vermogen</t>
  </si>
  <si>
    <t>aantal vestigingen (incl. hoofdvestiging)</t>
  </si>
  <si>
    <t xml:space="preserve">kalenderjaar </t>
  </si>
  <si>
    <t>meubilair</t>
  </si>
  <si>
    <t>ICT</t>
  </si>
  <si>
    <t>gebouwen en terreinen</t>
  </si>
  <si>
    <t>overige materiële vaste activa</t>
  </si>
  <si>
    <t>Formatietoekenning</t>
  </si>
  <si>
    <t xml:space="preserve">In dit werkblad kan op grond van een (door een extern bureau) opgestelde meerjarenonderhoudsplan de dotaties en onttrekkingen voor </t>
  </si>
  <si>
    <t xml:space="preserve">de komende jaren worden vastgesteld. </t>
  </si>
  <si>
    <t>Dit werkblad geeft een overzicht van hetgeen is ingevuld in de werkbladen "mop" en "mip'.</t>
  </si>
  <si>
    <t>Sommatie (som)</t>
  </si>
  <si>
    <t>Algemene reserve</t>
  </si>
  <si>
    <t>Bestemmingsreserve 1</t>
  </si>
  <si>
    <t>Bestemmingsreserve 2</t>
  </si>
  <si>
    <t>Bestemmingsreserve 3</t>
  </si>
  <si>
    <t>Activa totaal</t>
  </si>
  <si>
    <t>Passiva</t>
  </si>
  <si>
    <t>Passiva totaal</t>
  </si>
  <si>
    <t xml:space="preserve">Dit werkblad omvat de gegevens die nodig zijn als een bestuur de resultaten van deze school sommeert met andere financiële gegevens. </t>
  </si>
  <si>
    <t>gebracht en/ of door het invullen van een bedrag. Dit bedrag wordt via het werkblad "som" ten gunste van de exploitatie van het bestuurskantoor gebracht.</t>
  </si>
  <si>
    <t xml:space="preserve">Door een vast percentage per bekostigingselement vast te stellen en/ of door het bepalen van een bedrag, kunnen gelden van de school </t>
  </si>
  <si>
    <t>bovenschools worden gebracht. Dit bedrag wordt via het werkblad 'som' ten gunste van de exploitatie van het bestuurskantoor gebracht.</t>
  </si>
  <si>
    <t>inventaris en apparatuur</t>
  </si>
  <si>
    <t>budget naar bestuur (personeel)</t>
  </si>
  <si>
    <t>budget naar bestuur (materieel)</t>
  </si>
  <si>
    <t>Naam school</t>
  </si>
  <si>
    <t>Brinnummer</t>
  </si>
  <si>
    <t>Datum laatste wijziging</t>
  </si>
  <si>
    <t>bovenschools</t>
  </si>
  <si>
    <t>aantal /</t>
  </si>
  <si>
    <t>eenheden</t>
  </si>
  <si>
    <t xml:space="preserve">aantal leerlingen onderbouw </t>
  </si>
  <si>
    <t xml:space="preserve">aantal leerlingen bovenbouw </t>
  </si>
  <si>
    <t>aantal gewichtsleerlingen</t>
  </si>
  <si>
    <t>aantal leerlingen bas</t>
  </si>
  <si>
    <t>FTE directie</t>
  </si>
  <si>
    <t>aanvullende bekostiging schoolleider 1</t>
  </si>
  <si>
    <t>aanvullende bekostiging schoolleider 2</t>
  </si>
  <si>
    <t>NOAT</t>
  </si>
  <si>
    <t>zorgbudget materieel (2% ll.)</t>
  </si>
  <si>
    <t>Normatieve Rijksbijdrage OCW</t>
  </si>
  <si>
    <t>salaristabellen</t>
  </si>
  <si>
    <t>poraad</t>
  </si>
  <si>
    <t>Alle data voor de bekostiging vindt u op het werkblad tab (Tabellen).</t>
  </si>
  <si>
    <t>In het werkblad tabellen (tab) geldt daarentegen dat de gele cellen gewijzigd kunnen worden, de witte niet.</t>
  </si>
  <si>
    <t>www. poraad.nl</t>
  </si>
  <si>
    <t xml:space="preserve">Baten en lasten </t>
  </si>
  <si>
    <t>Overige voorzieningen</t>
  </si>
  <si>
    <t xml:space="preserve">Vaste activa </t>
  </si>
  <si>
    <t>1. Selecteer lichtgeel gearceerde gebied in dit werkblad</t>
  </si>
  <si>
    <t>2. Open sommatietiemodel</t>
  </si>
  <si>
    <t xml:space="preserve">- ga in linkerbovenhoek staan van het lichtgeel gearceerde gebied waarin selectie van deze school geplakt moet worden </t>
  </si>
  <si>
    <t xml:space="preserve">In dat geval zijn meer gegevens vereist. </t>
  </si>
  <si>
    <t xml:space="preserve">De berekening van de benodigde omvang van de jubileumvoorziening vindt afzonderlijk plaats op basis van de voorschriften jaarrekening zoals </t>
  </si>
  <si>
    <t>dotatie worden bepaald die per school dan wel bovenschools wordt ingevuld.</t>
  </si>
  <si>
    <t xml:space="preserve">Dit werkblad geeft een overzicht van alle baten en lasten per schooljaar en geeft daarom dus aan of het eigen vermogen van deze school  </t>
  </si>
  <si>
    <t xml:space="preserve">Reinier Goedhart, </t>
  </si>
  <si>
    <t>r.goedhart@poraad.nl</t>
  </si>
  <si>
    <t>2015/16</t>
  </si>
  <si>
    <t>Voorbeeld SBO</t>
  </si>
  <si>
    <t>Ontwikkeling huisvestingslasten</t>
  </si>
  <si>
    <t>die vanaf 1 januari 2008 van toepassing zijn. Voor de berekening van deze omvang is er een apart instrument. Op grond daarvan kan de omvang van de</t>
  </si>
  <si>
    <t>ja</t>
  </si>
  <si>
    <t>2016/17</t>
  </si>
  <si>
    <t>Hoofd- en nevenvestiging</t>
  </si>
  <si>
    <t>slechts invullen indien er sprake is van een officieel erkende nevenvestiging</t>
  </si>
  <si>
    <t xml:space="preserve">Nevenvestiging </t>
  </si>
  <si>
    <t>2. Verdeel de dotatielasten gelijkmatig over de jaren heen (egalisastie van kosten) op zo'n manier dat deze voorziening nooit negatief zal uitvallen.</t>
  </si>
  <si>
    <t>ACTIVAOVERZICHT</t>
  </si>
  <si>
    <t>Investeringen</t>
  </si>
  <si>
    <t>- klik op optie "plakken speciaal" en vink "waarden" aan (onder kopje "plakken")</t>
  </si>
  <si>
    <t>waarde 1/1</t>
  </si>
  <si>
    <t>3.1 Rijksbijdragen OCW</t>
  </si>
  <si>
    <t>3.2 Overige overheidsbijdragen en -subsidies</t>
  </si>
  <si>
    <t>3.3 College-, cursus-, les- en examengelden</t>
  </si>
  <si>
    <t>3.4 Baten werk in opdracht van derden</t>
  </si>
  <si>
    <t>3.5 Overige baten</t>
  </si>
  <si>
    <t>4.1 Personeelslasten</t>
  </si>
  <si>
    <t>4.2 Afschrijvingen</t>
  </si>
  <si>
    <t>4.3 Huisvestingslasten</t>
  </si>
  <si>
    <t>4.4 Overige lasten</t>
  </si>
  <si>
    <t>5.1 Financiële baten</t>
  </si>
  <si>
    <t>5.2 Financiële lasten</t>
  </si>
  <si>
    <t>2.1 Eigen Vermogen</t>
  </si>
  <si>
    <t>2.2 Voorzieningen</t>
  </si>
  <si>
    <t>2.3 Langlopende schulden</t>
  </si>
  <si>
    <t>2.4 Kortlopende schulden</t>
  </si>
  <si>
    <t>1.1 Immateriële vaste activa</t>
  </si>
  <si>
    <t>1.2 Materiële vaste activa</t>
  </si>
  <si>
    <t>1.3 Financiële vaste activa</t>
  </si>
  <si>
    <t>1.4  Voorraden</t>
  </si>
  <si>
    <t>1.5 Vorderingen</t>
  </si>
  <si>
    <t>1.6 Effecten (&lt; 1jaar)</t>
  </si>
  <si>
    <t xml:space="preserve">1.7 Liquide middelen </t>
  </si>
  <si>
    <t>jubilea</t>
  </si>
  <si>
    <t xml:space="preserve">Het werkblad kasstroomoverzicht houdt de liquiditeit en veranderingen daarin in beeld. </t>
  </si>
  <si>
    <t>Leerlingenprognose</t>
  </si>
  <si>
    <t>Personeels- en arbeidsmarktbeleid</t>
  </si>
  <si>
    <t xml:space="preserve">Daarnaast zijn tal van onderwerpen in het kader van personeelsbeleid aan de orde en is ruimte gelaten voor invullingen </t>
  </si>
  <si>
    <t>In de tabellen zijn de gegevens opgenomen die betrekking hebben op de onderliggende normeringen voor de bekostiging.</t>
  </si>
  <si>
    <t>Prestatiebox</t>
  </si>
  <si>
    <t>bedrag per leerling</t>
  </si>
  <si>
    <t>bedrag per school</t>
  </si>
  <si>
    <t>verhoging t.o.v. vorig jaar:</t>
  </si>
  <si>
    <t xml:space="preserve">prestatiebox </t>
  </si>
  <si>
    <t>Speerpunt 1</t>
  </si>
  <si>
    <t>doel</t>
  </si>
  <si>
    <t>activiteit</t>
  </si>
  <si>
    <t>toelichting</t>
  </si>
  <si>
    <t xml:space="preserve">materiële kosten </t>
  </si>
  <si>
    <t>Speerpunt 2</t>
  </si>
  <si>
    <t>Speerpunt 3</t>
  </si>
  <si>
    <t>cumi-leerling afhankelijke vergoeding</t>
  </si>
  <si>
    <t>formatieve kosten</t>
  </si>
  <si>
    <t>overige personele kosten</t>
  </si>
  <si>
    <t>totale kosten</t>
  </si>
  <si>
    <t>Speerpunt 4</t>
  </si>
  <si>
    <t>2017/18</t>
  </si>
  <si>
    <t>LOONKOSTEN ONDERSTEUNEND EN BEHEERSPERSONEEL</t>
  </si>
  <si>
    <t>Saldo liquide middelen 31 dec t-1</t>
  </si>
  <si>
    <t>BEGROTING 2014: LINK BEGROTING MET BELEIDSPLAN</t>
  </si>
  <si>
    <t>Bekostiging via samenwerkingsverband - personeel</t>
  </si>
  <si>
    <t>ondersteunend en beheerspersoneel</t>
  </si>
  <si>
    <t>loonkosten OBP</t>
  </si>
  <si>
    <t>obp</t>
  </si>
  <si>
    <t>basisbekostiging personeel</t>
  </si>
  <si>
    <t>ondersteuningsbekostiging personeel</t>
  </si>
  <si>
    <t>bekostiging BOA (cumi) personeel</t>
  </si>
  <si>
    <t>basisbekostiging personeel vanuit SWV</t>
  </si>
  <si>
    <t>ondersteuningsbekostiging personeel vanuit SWV</t>
  </si>
  <si>
    <t>Personele bekostiging</t>
  </si>
  <si>
    <t>Ondersteuningsbekostiging materieel</t>
  </si>
  <si>
    <t>Bekostiging via samenwerkingsverband - materieel</t>
  </si>
  <si>
    <t>loonkosten OBP / totale loonkosten</t>
  </si>
  <si>
    <t>kosten OBP per leering</t>
  </si>
  <si>
    <t>In dit model wordt er vanuit gegaan dat de bekostiging op basis van de teldatum bekostiging door het Rijk is, met de 2% bekostiging voor ondersteuning.</t>
  </si>
  <si>
    <r>
      <t xml:space="preserve">op de </t>
    </r>
    <r>
      <rPr>
        <u/>
        <sz val="10"/>
        <rFont val="Calibri"/>
        <family val="2"/>
      </rPr>
      <t>peil</t>
    </r>
    <r>
      <rPr>
        <sz val="10"/>
        <rFont val="Calibri"/>
        <family val="2"/>
      </rPr>
      <t>datum, moet u in dat geval 'ja' invullen. Het advies is om dat wel te doen.</t>
    </r>
  </si>
  <si>
    <t xml:space="preserve">De berekening van de ondersteuningsbekostiging  is exclusief de betaling door het SWV van de ondersteuningsbekostiging voor het aantal leerlingen </t>
  </si>
  <si>
    <t>op de teldatum boven de 2% van het samenwerkingsverband. Dit wordt ook tot de Rijksbekostiging gerekend.</t>
  </si>
  <si>
    <t xml:space="preserve">teldatum. Het model gaat ervan uit dat die teveel bekostigde ondersteuning teruggestort wordt naar het SWV. </t>
  </si>
  <si>
    <t>Wanneer (een deel van) deze gelden weer naar de SBO wordt overgemaakt, kan dat als bijdrage samenwerkingsverband worden opgegeven.</t>
  </si>
  <si>
    <t>De uitkomst is dat voor iedere leerling zowel de ondersteunings- als de basisbekostiging wordt toegekend, deels via het Rijk, deels via het SWV.</t>
  </si>
  <si>
    <t>Deze baten worden berekend conform de laatst bekende gegevens van de regeling budget P&amp;A-budget.</t>
  </si>
  <si>
    <t>De voorschriften jaarrekening vereisen de opgave van 'baten werk in opdracht van derden'.</t>
  </si>
  <si>
    <t>Bij de lasten worden de loonkosten weergegeven die in afzonderlijke werkbladen (dir, op en obp) worden berekend.</t>
  </si>
  <si>
    <r>
      <t>LIO-ers</t>
    </r>
    <r>
      <rPr>
        <sz val="10"/>
        <rFont val="Calibri"/>
        <family val="2"/>
      </rPr>
      <t xml:space="preserve"> moeten daarom niet in dit werkblad maar in het werkblad voor ondersteunend en beheerspersoneel worden opgenomen.</t>
    </r>
  </si>
  <si>
    <t>2.3 Loonkosten ondersteunend en beheerspersoneel (obp)</t>
  </si>
  <si>
    <t xml:space="preserve">Er wordt van uitgegaan dat de eerste waardering is verwerkt in de jaarrekening van 2006. U kunt dus de actuele waarde ontlenen aan </t>
  </si>
  <si>
    <t>de laatste bijgewerkte jaarrekening. Zo nodig is er ruimte voor specifieke afschrijving van de eerste waardering.</t>
  </si>
  <si>
    <t>2018/19</t>
  </si>
  <si>
    <t>2019/20</t>
  </si>
  <si>
    <t>SBO op basis van landelijke GPL (overdracht)</t>
  </si>
  <si>
    <t>personele bekostiging BOA (cumi)</t>
  </si>
  <si>
    <t>basis- plus ondersteuningsbekostiging personeel</t>
  </si>
  <si>
    <t>Bij overdrachtverplichting SWV landelijke GPL van toepassing?</t>
  </si>
  <si>
    <t>peildatum 1 februari</t>
  </si>
  <si>
    <t>vanuit samenwerkingsverband passend onderwijs</t>
  </si>
  <si>
    <t>vanuit SWV passend onderwijs</t>
  </si>
  <si>
    <t>zie:</t>
  </si>
  <si>
    <t>http://www.poraad.nl/content/werkgeverslasten-po</t>
  </si>
  <si>
    <r>
      <t xml:space="preserve">Afschrijvingen (vanuit </t>
    </r>
    <r>
      <rPr>
        <b/>
        <u/>
        <sz val="10"/>
        <color theme="1" tint="0.34998626667073579"/>
        <rFont val="Calibri"/>
        <family val="2"/>
      </rPr>
      <t>eerste waardering</t>
    </r>
    <r>
      <rPr>
        <b/>
        <sz val="10"/>
        <color theme="1" tint="0.34998626667073579"/>
        <rFont val="Calibri"/>
        <family val="2"/>
      </rPr>
      <t>)</t>
    </r>
  </si>
  <si>
    <t>artikel 9-12</t>
  </si>
  <si>
    <t>artikel 13</t>
  </si>
  <si>
    <t xml:space="preserve">Personeelslasten </t>
  </si>
  <si>
    <t>budget</t>
  </si>
  <si>
    <t>bijz.budget</t>
  </si>
  <si>
    <t>overgangs-</t>
  </si>
  <si>
    <t>duurz.inzet.</t>
  </si>
  <si>
    <t>oudere wn</t>
  </si>
  <si>
    <t>regel. bapo</t>
  </si>
  <si>
    <t>inzetbaarh.</t>
  </si>
  <si>
    <t>eigen bijdrage verlof (dir, op en oop)</t>
  </si>
  <si>
    <t>eigen bijdrage verlof (oop&lt;=8))</t>
  </si>
  <si>
    <t>werkgeverslasten bij verlof</t>
  </si>
  <si>
    <t>zonder</t>
  </si>
  <si>
    <t xml:space="preserve">met </t>
  </si>
  <si>
    <t>% eigen</t>
  </si>
  <si>
    <t>eigen bijdr</t>
  </si>
  <si>
    <t>bijdrage</t>
  </si>
  <si>
    <t>start.leerkr</t>
  </si>
  <si>
    <t>bsn</t>
  </si>
  <si>
    <t>werkg.ln.</t>
  </si>
  <si>
    <t>Kosten duurzame inzetbaarheid</t>
  </si>
  <si>
    <t>werkg. ln</t>
  </si>
  <si>
    <t>loonkn. uur</t>
  </si>
  <si>
    <t>excl. wg.ln</t>
  </si>
  <si>
    <t>incl. wg.ln</t>
  </si>
  <si>
    <t>per uur</t>
  </si>
  <si>
    <t>Duurzame inzetbaarheid (in uren)</t>
  </si>
  <si>
    <t>Loonkosten (incl. werkgeverslasten)</t>
  </si>
  <si>
    <t xml:space="preserve">uren </t>
  </si>
  <si>
    <t xml:space="preserve">kn. duurzame </t>
  </si>
  <si>
    <t>excl.duurz.inz</t>
  </si>
  <si>
    <t>Aantal FTE (incl. uren duurzame inzetbaarheid)</t>
  </si>
  <si>
    <t>De door het ministerie ontvangen (personele) lumpsum kan worden gecorrigeerd met een bedrag dat bovenschools wordt gebracht om bovenschoolse</t>
  </si>
  <si>
    <t xml:space="preserve">Wanneer bij 'ondersteuningsbekostiging vanuit SWV'  een minbedrag verschijnt, dan zijn er op de peildatum 1 februari minder leerlingen op de SBO dan op de </t>
  </si>
  <si>
    <t>De bijdragen vanuit het SWV worden vals rijksinkomsten in de jaarrekening verwerkt.</t>
  </si>
  <si>
    <t xml:space="preserve">werktijdfactor dan 0,0000. </t>
  </si>
  <si>
    <t xml:space="preserve">De kosten van de duurzame inzetbaarheid worden meegenomen in de loonkosten. </t>
  </si>
  <si>
    <t>nn</t>
  </si>
  <si>
    <r>
      <t xml:space="preserve">In deze applicatie zijn de bedragen van de GPL's voor </t>
    </r>
    <r>
      <rPr>
        <b/>
        <sz val="10"/>
        <rFont val="Calibri"/>
        <family val="2"/>
      </rPr>
      <t>2015-2016</t>
    </r>
    <r>
      <rPr>
        <sz val="10"/>
        <rFont val="Calibri"/>
        <family val="2"/>
      </rPr>
      <t xml:space="preserve"> verwerkt conform de opgave per </t>
    </r>
    <r>
      <rPr>
        <b/>
        <sz val="10"/>
        <rFont val="Calibri"/>
        <family val="2"/>
      </rPr>
      <t>27 maart 2015</t>
    </r>
  </si>
  <si>
    <r>
      <t xml:space="preserve">De bedragen betreffen de bedragen zoals die voor het schooljaar </t>
    </r>
    <r>
      <rPr>
        <b/>
        <sz val="10"/>
        <rFont val="Calibri"/>
        <family val="2"/>
      </rPr>
      <t>2015-2016</t>
    </r>
    <r>
      <rPr>
        <sz val="10"/>
        <rFont val="Calibri"/>
        <family val="2"/>
      </rPr>
      <t xml:space="preserve"> per</t>
    </r>
    <r>
      <rPr>
        <b/>
        <sz val="10"/>
        <rFont val="Calibri"/>
        <family val="2"/>
      </rPr>
      <t xml:space="preserve"> 27 maart 2015</t>
    </r>
    <r>
      <rPr>
        <sz val="10"/>
        <rFont val="Calibri"/>
        <family val="2"/>
      </rPr>
      <t xml:space="preserve"> zijn vastgesteld.</t>
    </r>
  </si>
  <si>
    <t>Overige lasten</t>
  </si>
  <si>
    <t>aantal cumi leerlingen sbo</t>
  </si>
  <si>
    <t>aantal leerlingen so jonger dan 8 jaar</t>
  </si>
  <si>
    <t>aantal leerlingen so  8 jaar en ouder</t>
  </si>
  <si>
    <t>aantal leerlingen vso</t>
  </si>
  <si>
    <t>aantal plaatsen JJI en/of GJI</t>
  </si>
  <si>
    <t xml:space="preserve">     waarvan aantal SO-leerlingen</t>
  </si>
  <si>
    <t xml:space="preserve">     waarvan aantal VSO-leerlingen</t>
  </si>
  <si>
    <t>Kosten Duurzame inzetbaarheid</t>
  </si>
  <si>
    <t>FTE onderwijs ondersteunend personeel</t>
  </si>
  <si>
    <t>2020/21</t>
  </si>
  <si>
    <t>rijksbijdragen/  totale baten</t>
  </si>
  <si>
    <t>overige overheidsbijdragen/ totale baten</t>
  </si>
  <si>
    <t>overige baten/  totale baten</t>
  </si>
  <si>
    <t>personele lasten/totale baten</t>
  </si>
  <si>
    <t>totale baten/ rijksbijdragen</t>
  </si>
  <si>
    <t>totale lasten/ rijksbijdragen</t>
  </si>
  <si>
    <t xml:space="preserve">personele lasten/ rijksbijdragen </t>
  </si>
  <si>
    <t xml:space="preserve">materiële lasten/ rijksbijdragen </t>
  </si>
  <si>
    <t>investeringen/  totale baten</t>
  </si>
  <si>
    <t>totale baten (incl. financiële baten)</t>
  </si>
  <si>
    <t>Vanuit samenwerkingsverband Passend Onderwijs/ leerling</t>
  </si>
  <si>
    <t>leerling- FTE ratio</t>
  </si>
  <si>
    <t>leerling- directie ratio</t>
  </si>
  <si>
    <t>leerling- OP ratio</t>
  </si>
  <si>
    <t>leerling- OOP ratio</t>
  </si>
  <si>
    <t>baten per leerling (excl. financiële baten)</t>
  </si>
  <si>
    <t>lasten per leerling (excl. financiële lasten)</t>
  </si>
  <si>
    <t xml:space="preserve">Ontwikkeling aantal leerlingen </t>
  </si>
  <si>
    <t>kapitalisatiefactor (incl. privaat vermogen)</t>
  </si>
  <si>
    <t>Solvabiliteit 2</t>
  </si>
  <si>
    <t>FTE-leerling ratio's (lln op teldatum)</t>
  </si>
  <si>
    <t>Voorziening groot onderhoud</t>
  </si>
  <si>
    <t>Voorziening jubilea</t>
  </si>
  <si>
    <t>Voorziening duurzame inzetbaarheid (ouderenverlof)</t>
  </si>
  <si>
    <t>VOORZIENING GROOT ONDERHOUD (binnen- en buitenonderhoud)</t>
  </si>
  <si>
    <t>Overige Rijksbijdragen OCW</t>
  </si>
  <si>
    <t>Dotatie groot onderhoud (binnen- en buitenonderhoud)</t>
  </si>
  <si>
    <t>Handleiding bij Meerjarenbegroting GELD voor de speciale basisschool 2016</t>
  </si>
  <si>
    <t xml:space="preserve">De kosten voor duurzame inzetbaarheid worden apart berekend. </t>
  </si>
  <si>
    <t>premies en dergelijke is opgenomen, maar uitgegaan wordt van een vast percentage aan werkgeverslasten.</t>
  </si>
  <si>
    <r>
      <t xml:space="preserve">De werkgeverslasten zijn opgenomen in het tabellenwerkblad en zijn geraamd op </t>
    </r>
    <r>
      <rPr>
        <b/>
        <sz val="10"/>
        <rFont val="Calibri"/>
        <family val="2"/>
      </rPr>
      <t>62%</t>
    </r>
    <r>
      <rPr>
        <sz val="10"/>
        <rFont val="Calibri"/>
        <family val="2"/>
      </rPr>
      <t xml:space="preserve">. Daarbij dient opgemerkt te worden dat dit een ruwe raming </t>
    </r>
  </si>
  <si>
    <t>betreft en het wordt met klem aangeraden op grond van de eigen historische gegevens zo mogelijk een nauwkeuriger percentage vast te stellen.</t>
  </si>
  <si>
    <t xml:space="preserve">(Zie in dit kader ook te tool "werkgeverslasten po" in de toolbox van de PO-Raad. Met name ook schoolbesturen die niet bij het Vervangingsfonds </t>
  </si>
  <si>
    <t>aangesloten zijn (zie modernisering) zullen rekening moeten houden met andere percentages).</t>
  </si>
  <si>
    <t xml:space="preserve">Uren ouderenverlof die gespaard worden via deze berekening ook volledige ten laste van de exploitatie gebracht.  Hier kan een verschil zitten met </t>
  </si>
  <si>
    <t xml:space="preserve">de berekening coform het model "voorzieninge duurzame inzetbaarheid" vanuit de toolbox financiën van de PO-Raad. Dit heeft te maken met </t>
  </si>
  <si>
    <t>het feit dat hier de "opnamekans" en (indien materieel) de tijdswaarde van geld mogelijke een rol kunnen spelen bij de berekening.</t>
  </si>
  <si>
    <r>
      <t xml:space="preserve">De gegevens van dit werkblad kunnen eenvoudig worden getransporteerd naar het </t>
    </r>
    <r>
      <rPr>
        <b/>
        <sz val="10"/>
        <rFont val="Calibri"/>
        <family val="2"/>
      </rPr>
      <t>Sommatiemodel bestuur GELD 2016</t>
    </r>
    <r>
      <rPr>
        <sz val="10"/>
        <rFont val="Calibri"/>
        <family val="2"/>
      </rPr>
      <t xml:space="preserve">. In dit model wordt de </t>
    </r>
  </si>
  <si>
    <r>
      <t xml:space="preserve">Ook worden diverse ontwikkelingen geïndexeerd met als vertrekpunt het kalenderjaar </t>
    </r>
    <r>
      <rPr>
        <b/>
        <sz val="10"/>
        <rFont val="Calibri"/>
        <family val="2"/>
      </rPr>
      <t>2016</t>
    </r>
    <r>
      <rPr>
        <sz val="10"/>
        <rFont val="Calibri"/>
        <family val="2"/>
      </rPr>
      <t xml:space="preserve">. Die signaleren tendensen die al dan niet bijgebogen </t>
    </r>
  </si>
  <si>
    <r>
      <t xml:space="preserve">Voor het eerste jaar wordt de GGL gelijk gesteld aan die van </t>
    </r>
    <r>
      <rPr>
        <b/>
        <sz val="10"/>
        <rFont val="Calibri"/>
        <family val="2"/>
      </rPr>
      <t>2016-2017</t>
    </r>
    <r>
      <rPr>
        <sz val="10"/>
        <rFont val="Calibri"/>
        <family val="2"/>
      </rPr>
      <t xml:space="preserve">, maar die moet u op basis van de feitelijke GGL van de </t>
    </r>
  </si>
  <si>
    <r>
      <t xml:space="preserve">telling van </t>
    </r>
    <r>
      <rPr>
        <b/>
        <sz val="10"/>
        <rFont val="Calibri"/>
        <family val="2"/>
      </rPr>
      <t>1 oktober 2014</t>
    </r>
    <r>
      <rPr>
        <sz val="10"/>
        <rFont val="Calibri"/>
        <family val="2"/>
      </rPr>
      <t xml:space="preserve"> overschrijven. U kunt deze GGL vinden op uw bekostigingsbeschikking. De GGL voor </t>
    </r>
    <r>
      <rPr>
        <b/>
        <sz val="10"/>
        <rFont val="Calibri"/>
        <family val="2"/>
      </rPr>
      <t>2016-2017</t>
    </r>
    <r>
      <rPr>
        <sz val="10"/>
        <rFont val="Calibri"/>
        <family val="2"/>
      </rPr>
      <t xml:space="preserve"> en de jaren daarna </t>
    </r>
  </si>
  <si>
    <r>
      <t xml:space="preserve">Voor materiële bekostiging (Londo) is gebruik gemaakt van de bedragen </t>
    </r>
    <r>
      <rPr>
        <b/>
        <sz val="10"/>
        <rFont val="Calibri"/>
        <family val="2"/>
      </rPr>
      <t>2016</t>
    </r>
    <r>
      <rPr>
        <sz val="10"/>
        <rFont val="Calibri"/>
        <family val="2"/>
      </rPr>
      <t xml:space="preserve">, conform opgave in september </t>
    </r>
    <r>
      <rPr>
        <b/>
        <sz val="10"/>
        <rFont val="Calibri"/>
        <family val="2"/>
      </rPr>
      <t>2015</t>
    </r>
  </si>
  <si>
    <r>
      <t xml:space="preserve">De salaristabel gaat uit van de bedragen per </t>
    </r>
    <r>
      <rPr>
        <b/>
        <sz val="10"/>
        <rFont val="Calibri"/>
        <family val="2"/>
      </rPr>
      <t>1 september 2014</t>
    </r>
    <r>
      <rPr>
        <sz val="10"/>
        <rFont val="Calibri"/>
        <family val="2"/>
      </rPr>
      <t>.</t>
    </r>
  </si>
  <si>
    <r>
      <t xml:space="preserve">Voor de materiële instandhouding (Londo) betreft het de bedragen voor </t>
    </r>
    <r>
      <rPr>
        <b/>
        <sz val="10"/>
        <rFont val="Calibri"/>
        <family val="2"/>
      </rPr>
      <t>2016.</t>
    </r>
  </si>
  <si>
    <t>artikel 40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</si>
</sst>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_-;_-&quot;€&quot;\ * #,##0\-;_-&quot;€&quot;\ * &quot;-&quot;??_-;_-@_-"/>
    <numFmt numFmtId="168" formatCode="_-&quot;€&quot;\ * #,##0_-;[Red]_-&quot;€&quot;\ * #,##0\-;_-&quot;€&quot;\ * &quot;-&quot;??_-;_-@_-"/>
    <numFmt numFmtId="169" formatCode="&quot;€&quot;\ #,##0_-"/>
    <numFmt numFmtId="170" formatCode="#,##0_ ;\-#,##0\ "/>
    <numFmt numFmtId="171" formatCode="0.0000"/>
    <numFmt numFmtId="172" formatCode="d\ mmmm\ yyyy"/>
    <numFmt numFmtId="173" formatCode="dd/mm/yy"/>
    <numFmt numFmtId="174" formatCode="0.0%"/>
    <numFmt numFmtId="175" formatCode="#,##0.0000_ ;\-#,##0.0000\ "/>
    <numFmt numFmtId="176" formatCode="_-&quot;€&quot;\ * #,##0.000000_-;_-&quot;€&quot;\ * #,##0.000000\-;_-&quot;€&quot;\ * &quot;-&quot;_-;_-@_-"/>
    <numFmt numFmtId="177" formatCode="d/mmm/yyyy"/>
    <numFmt numFmtId="178" formatCode="#,##0.0_ ;\-#,##0.0\ "/>
    <numFmt numFmtId="179" formatCode="_ &quot;€&quot;\ * #,##0_ ;_ &quot;€&quot;\ * \-#,##0_ ;_ &quot;€&quot;\ * &quot;-&quot;??_ ;_ @_ "/>
    <numFmt numFmtId="180" formatCode="[$-413]d/mmm/yy;@"/>
  </numFmts>
  <fonts count="106" x14ac:knownFonts="1">
    <font>
      <sz val="10"/>
      <name val="Arial"/>
    </font>
    <font>
      <sz val="10"/>
      <name val="Arial"/>
      <family val="2"/>
    </font>
    <font>
      <sz val="8"/>
      <color indexed="81"/>
      <name val="Tahoma"/>
      <family val="2"/>
    </font>
    <font>
      <u/>
      <sz val="10"/>
      <color indexed="12"/>
      <name val="Arial"/>
      <family val="2"/>
    </font>
    <font>
      <sz val="9"/>
      <color indexed="81"/>
      <name val="Tahoma"/>
      <family val="2"/>
    </font>
    <font>
      <sz val="10"/>
      <color indexed="81"/>
      <name val="Tahoma"/>
      <family val="2"/>
    </font>
    <font>
      <sz val="10"/>
      <name val="Calibri"/>
      <family val="2"/>
    </font>
    <font>
      <b/>
      <sz val="10"/>
      <name val="Calibri"/>
      <family val="2"/>
    </font>
    <font>
      <i/>
      <sz val="10"/>
      <name val="Calibri"/>
      <family val="2"/>
    </font>
    <font>
      <u/>
      <sz val="10"/>
      <name val="Calibri"/>
      <family val="2"/>
    </font>
    <font>
      <sz val="10"/>
      <name val="Calibri"/>
      <family val="2"/>
    </font>
    <font>
      <b/>
      <sz val="10"/>
      <name val="Calibri"/>
      <family val="2"/>
    </font>
    <font>
      <b/>
      <i/>
      <sz val="10"/>
      <name val="Calibri"/>
      <family val="2"/>
    </font>
    <font>
      <b/>
      <sz val="10"/>
      <color indexed="9"/>
      <name val="Calibri"/>
      <family val="2"/>
    </font>
    <font>
      <i/>
      <sz val="14"/>
      <name val="Calibri"/>
      <family val="2"/>
    </font>
    <font>
      <b/>
      <i/>
      <sz val="12"/>
      <name val="Calibri"/>
      <family val="2"/>
    </font>
    <font>
      <sz val="12"/>
      <name val="Calibri"/>
      <family val="2"/>
    </font>
    <font>
      <b/>
      <sz val="12"/>
      <name val="Calibri"/>
      <family val="2"/>
    </font>
    <font>
      <b/>
      <sz val="11"/>
      <name val="Calibri"/>
      <family val="2"/>
    </font>
    <font>
      <i/>
      <sz val="10"/>
      <name val="Calibri"/>
      <family val="2"/>
    </font>
    <font>
      <sz val="11"/>
      <name val="Calibri"/>
      <family val="2"/>
    </font>
    <font>
      <sz val="14"/>
      <name val="Calibri"/>
      <family val="2"/>
    </font>
    <font>
      <b/>
      <sz val="8"/>
      <name val="Calibri"/>
      <family val="2"/>
    </font>
    <font>
      <b/>
      <sz val="11"/>
      <color indexed="10"/>
      <name val="Calibri"/>
      <family val="2"/>
    </font>
    <font>
      <u/>
      <sz val="10"/>
      <color indexed="12"/>
      <name val="Calibri"/>
      <family val="2"/>
    </font>
    <font>
      <sz val="10"/>
      <color indexed="10"/>
      <name val="Calibri"/>
      <family val="2"/>
    </font>
    <font>
      <b/>
      <sz val="14"/>
      <color indexed="10"/>
      <name val="Calibri"/>
      <family val="2"/>
    </font>
    <font>
      <b/>
      <i/>
      <sz val="14"/>
      <color indexed="10"/>
      <name val="Calibri"/>
      <family val="2"/>
    </font>
    <font>
      <i/>
      <sz val="14"/>
      <color indexed="10"/>
      <name val="Calibri"/>
      <family val="2"/>
    </font>
    <font>
      <sz val="10"/>
      <color indexed="60"/>
      <name val="Calibri"/>
      <family val="2"/>
    </font>
    <font>
      <b/>
      <sz val="14"/>
      <name val="Calibri"/>
      <family val="2"/>
    </font>
    <font>
      <b/>
      <i/>
      <sz val="10"/>
      <color indexed="53"/>
      <name val="Calibri"/>
      <family val="2"/>
    </font>
    <font>
      <b/>
      <sz val="10"/>
      <color indexed="53"/>
      <name val="Calibri"/>
      <family val="2"/>
    </font>
    <font>
      <i/>
      <sz val="10"/>
      <color indexed="10"/>
      <name val="Calibri"/>
      <family val="2"/>
    </font>
    <font>
      <b/>
      <i/>
      <sz val="10"/>
      <color indexed="10"/>
      <name val="Calibri"/>
      <family val="2"/>
    </font>
    <font>
      <sz val="14"/>
      <color indexed="10"/>
      <name val="Calibri"/>
      <family val="2"/>
    </font>
    <font>
      <b/>
      <sz val="10"/>
      <color indexed="10"/>
      <name val="Calibri"/>
      <family val="2"/>
    </font>
    <font>
      <sz val="10"/>
      <color indexed="8"/>
      <name val="Calibri"/>
      <family val="2"/>
    </font>
    <font>
      <b/>
      <i/>
      <sz val="14"/>
      <name val="Calibri"/>
      <family val="2"/>
    </font>
    <font>
      <b/>
      <sz val="10"/>
      <color indexed="10"/>
      <name val="Calibri"/>
      <family val="2"/>
    </font>
    <font>
      <sz val="10"/>
      <color indexed="60"/>
      <name val="Calibri"/>
      <family val="2"/>
    </font>
    <font>
      <b/>
      <i/>
      <sz val="10"/>
      <color indexed="60"/>
      <name val="Calibri"/>
      <family val="2"/>
    </font>
    <font>
      <b/>
      <sz val="10"/>
      <color indexed="60"/>
      <name val="Calibri"/>
      <family val="2"/>
    </font>
    <font>
      <sz val="10"/>
      <color indexed="47"/>
      <name val="Calibri"/>
      <family val="2"/>
    </font>
    <font>
      <b/>
      <sz val="11"/>
      <color indexed="9"/>
      <name val="Calibri"/>
      <family val="2"/>
    </font>
    <font>
      <sz val="10"/>
      <color rgb="FFFF0000"/>
      <name val="Calibri"/>
      <family val="2"/>
    </font>
    <font>
      <b/>
      <sz val="10"/>
      <color rgb="FFFF0000"/>
      <name val="Calibri"/>
      <family val="2"/>
    </font>
    <font>
      <sz val="10"/>
      <color theme="1"/>
      <name val="Calibri"/>
      <family val="2"/>
    </font>
    <font>
      <b/>
      <i/>
      <sz val="10"/>
      <color theme="1"/>
      <name val="Calibri"/>
      <family val="2"/>
    </font>
    <font>
      <b/>
      <sz val="10"/>
      <color theme="1"/>
      <name val="Calibri"/>
      <family val="2"/>
    </font>
    <font>
      <sz val="10"/>
      <color rgb="FFC00000"/>
      <name val="Calibri"/>
      <family val="2"/>
    </font>
    <font>
      <b/>
      <i/>
      <sz val="10"/>
      <color rgb="FFC00000"/>
      <name val="Calibri"/>
      <family val="2"/>
    </font>
    <font>
      <b/>
      <sz val="10"/>
      <color rgb="FFC00000"/>
      <name val="Calibri"/>
      <family val="2"/>
    </font>
    <font>
      <i/>
      <sz val="10"/>
      <color rgb="FFC00000"/>
      <name val="Calibri"/>
      <family val="2"/>
    </font>
    <font>
      <i/>
      <sz val="10"/>
      <color theme="1"/>
      <name val="Calibri"/>
      <family val="2"/>
    </font>
    <font>
      <b/>
      <sz val="10"/>
      <color theme="0"/>
      <name val="Calibri"/>
      <family val="2"/>
    </font>
    <font>
      <b/>
      <sz val="10"/>
      <color theme="2"/>
      <name val="Calibri"/>
      <family val="2"/>
    </font>
    <font>
      <i/>
      <sz val="10"/>
      <color theme="2"/>
      <name val="Calibri"/>
      <family val="2"/>
    </font>
    <font>
      <sz val="10"/>
      <color theme="2"/>
      <name val="Calibri"/>
      <family val="2"/>
    </font>
    <font>
      <b/>
      <sz val="10"/>
      <color rgb="FF0070C0"/>
      <name val="Calibri"/>
      <family val="2"/>
    </font>
    <font>
      <sz val="10"/>
      <color rgb="FF0070C0"/>
      <name val="Calibri"/>
      <family val="2"/>
    </font>
    <font>
      <b/>
      <i/>
      <sz val="10"/>
      <color rgb="FF0070C0"/>
      <name val="Calibri"/>
      <family val="2"/>
    </font>
    <font>
      <b/>
      <i/>
      <sz val="10"/>
      <color theme="0"/>
      <name val="Calibri"/>
      <family val="2"/>
    </font>
    <font>
      <i/>
      <sz val="14"/>
      <color rgb="FFFF0000"/>
      <name val="Calibri"/>
      <family val="2"/>
    </font>
    <font>
      <sz val="12"/>
      <color rgb="FFFF0000"/>
      <name val="Calibri"/>
      <family val="2"/>
    </font>
    <font>
      <i/>
      <sz val="10"/>
      <color theme="1" tint="4.9989318521683403E-2"/>
      <name val="Calibri"/>
      <family val="2"/>
    </font>
    <font>
      <sz val="10"/>
      <color theme="0"/>
      <name val="Calibri"/>
      <family val="2"/>
    </font>
    <font>
      <i/>
      <sz val="10"/>
      <color rgb="FF0070C0"/>
      <name val="Calibri"/>
      <family val="2"/>
    </font>
    <font>
      <i/>
      <sz val="14"/>
      <color rgb="FFC00000"/>
      <name val="Calibri"/>
      <family val="2"/>
    </font>
    <font>
      <sz val="10"/>
      <color rgb="FF002060"/>
      <name val="Calibri"/>
      <family val="2"/>
    </font>
    <font>
      <sz val="10"/>
      <color theme="0" tint="-4.9989318521683403E-2"/>
      <name val="Calibri"/>
      <family val="2"/>
    </font>
    <font>
      <b/>
      <sz val="10"/>
      <color indexed="8"/>
      <name val="Calibri"/>
      <family val="2"/>
    </font>
    <font>
      <sz val="10"/>
      <color indexed="8"/>
      <name val="Calibri"/>
      <family val="2"/>
      <scheme val="minor"/>
    </font>
    <font>
      <sz val="14"/>
      <color rgb="FFC00000"/>
      <name val="Calibri"/>
      <family val="2"/>
    </font>
    <font>
      <sz val="10"/>
      <color theme="0" tint="-0.499984740745262"/>
      <name val="Calibri"/>
      <family val="2"/>
    </font>
    <font>
      <b/>
      <sz val="10"/>
      <color theme="0" tint="-0.499984740745262"/>
      <name val="Calibri"/>
      <family val="2"/>
    </font>
    <font>
      <i/>
      <sz val="10"/>
      <color theme="0" tint="-0.499984740745262"/>
      <name val="Calibri"/>
      <family val="2"/>
    </font>
    <font>
      <i/>
      <sz val="10"/>
      <color theme="1" tint="0.34998626667073579"/>
      <name val="Calibri"/>
      <family val="2"/>
    </font>
    <font>
      <sz val="10"/>
      <color theme="1" tint="0.34998626667073579"/>
      <name val="Calibri"/>
      <family val="2"/>
    </font>
    <font>
      <b/>
      <i/>
      <sz val="10"/>
      <color theme="1" tint="0.34998626667073579"/>
      <name val="Calibri"/>
      <family val="2"/>
    </font>
    <font>
      <b/>
      <sz val="10"/>
      <color theme="1" tint="0.34998626667073579"/>
      <name val="Calibri"/>
      <family val="2"/>
    </font>
    <font>
      <sz val="14"/>
      <color theme="1" tint="0.34998626667073579"/>
      <name val="Calibri"/>
      <family val="2"/>
    </font>
    <font>
      <b/>
      <u/>
      <sz val="10"/>
      <color theme="1" tint="0.34998626667073579"/>
      <name val="Calibri"/>
      <family val="2"/>
    </font>
    <font>
      <b/>
      <sz val="10"/>
      <color theme="1" tint="0.499984740745262"/>
      <name val="Calibri"/>
      <family val="2"/>
    </font>
    <font>
      <b/>
      <i/>
      <sz val="10"/>
      <color theme="1" tint="0.499984740745262"/>
      <name val="Calibri"/>
      <family val="2"/>
    </font>
    <font>
      <i/>
      <sz val="10"/>
      <color theme="1" tint="0.499984740745262"/>
      <name val="Calibri"/>
      <family val="2"/>
    </font>
    <font>
      <sz val="10"/>
      <color theme="1" tint="0.499984740745262"/>
      <name val="Calibri"/>
      <family val="2"/>
    </font>
    <font>
      <i/>
      <sz val="14"/>
      <color theme="1" tint="0.34998626667073579"/>
      <name val="Calibri"/>
      <family val="2"/>
    </font>
    <font>
      <sz val="12"/>
      <color theme="1" tint="0.34998626667073579"/>
      <name val="Calibri"/>
      <family val="2"/>
    </font>
    <font>
      <b/>
      <sz val="14"/>
      <color theme="1" tint="0.34998626667073579"/>
      <name val="Calibri"/>
      <family val="2"/>
    </font>
    <font>
      <i/>
      <sz val="11"/>
      <color theme="1" tint="0.34998626667073579"/>
      <name val="Calibri"/>
      <family val="2"/>
    </font>
    <font>
      <sz val="10"/>
      <color theme="1" tint="0.34998626667073579"/>
      <name val="Arial"/>
      <family val="2"/>
    </font>
    <font>
      <i/>
      <sz val="14"/>
      <color theme="0" tint="-0.499984740745262"/>
      <name val="Calibri"/>
      <family val="2"/>
    </font>
    <font>
      <sz val="12"/>
      <color theme="0" tint="-0.499984740745262"/>
      <name val="Calibri"/>
      <family val="2"/>
    </font>
    <font>
      <i/>
      <sz val="14"/>
      <color theme="1" tint="0.499984740745262"/>
      <name val="Calibri"/>
      <family val="2"/>
    </font>
    <font>
      <sz val="12"/>
      <color theme="1" tint="0.499984740745262"/>
      <name val="Calibri"/>
      <family val="2"/>
    </font>
    <font>
      <i/>
      <sz val="12"/>
      <color theme="1" tint="0.499984740745262"/>
      <name val="Calibri"/>
      <family val="2"/>
    </font>
    <font>
      <b/>
      <sz val="12"/>
      <color theme="1" tint="0.499984740745262"/>
      <name val="Calibri"/>
      <family val="2"/>
    </font>
    <font>
      <b/>
      <i/>
      <sz val="12"/>
      <color theme="1" tint="0.499984740745262"/>
      <name val="Calibri"/>
      <family val="2"/>
    </font>
    <font>
      <sz val="14"/>
      <color theme="1" tint="0.499984740745262"/>
      <name val="Calibri"/>
      <family val="2"/>
    </font>
    <font>
      <b/>
      <sz val="10"/>
      <color theme="1" tint="0.34998626667073579"/>
      <name val="Arial"/>
      <family val="2"/>
    </font>
    <font>
      <sz val="10"/>
      <color theme="1" tint="0.499984740745262"/>
      <name val="Arial"/>
      <family val="2"/>
    </font>
    <font>
      <sz val="10"/>
      <name val="Calibri"/>
      <family val="2"/>
      <scheme val="minor"/>
    </font>
    <font>
      <b/>
      <sz val="10"/>
      <color theme="1" tint="0.34998626667073579"/>
      <name val="Calibri"/>
      <family val="2"/>
      <scheme val="minor"/>
    </font>
    <font>
      <b/>
      <i/>
      <sz val="10"/>
      <color theme="0" tint="-4.9989318521683403E-2"/>
      <name val="Calibri"/>
      <family val="2"/>
    </font>
    <font>
      <b/>
      <sz val="10"/>
      <color indexed="81"/>
      <name val="Tahoma"/>
      <family val="2"/>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
      <patternFill patternType="solid">
        <fgColor rgb="FFFFFF66"/>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top style="thin">
        <color theme="0" tint="-4.9989318521683403E-2"/>
      </top>
      <bottom style="thin">
        <color theme="0" tint="-4.9989318521683403E-2"/>
      </bottom>
      <diagonal/>
    </border>
  </borders>
  <cellStyleXfs count="5">
    <xf numFmtId="0" fontId="0" fillId="0" borderId="0"/>
    <xf numFmtId="165"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165" fontId="1" fillId="0" borderId="0" applyFont="0" applyFill="0" applyBorder="0" applyAlignment="0" applyProtection="0"/>
  </cellStyleXfs>
  <cellXfs count="1354">
    <xf numFmtId="0" fontId="0" fillId="0" borderId="0" xfId="0"/>
    <xf numFmtId="0" fontId="7" fillId="0" borderId="0" xfId="0" applyFont="1" applyFill="1" applyBorder="1" applyAlignment="1" applyProtection="1">
      <alignment horizontal="left"/>
    </xf>
    <xf numFmtId="0" fontId="6" fillId="0" borderId="0" xfId="0" applyFont="1" applyAlignment="1" applyProtection="1">
      <alignment horizontal="left"/>
    </xf>
    <xf numFmtId="0" fontId="6" fillId="0" borderId="0" xfId="0" applyFont="1" applyFill="1" applyBorder="1" applyAlignment="1" applyProtection="1">
      <alignment horizontal="left"/>
    </xf>
    <xf numFmtId="0" fontId="7" fillId="0" borderId="0" xfId="0" applyNumberFormat="1" applyFont="1" applyFill="1" applyBorder="1" applyAlignment="1" applyProtection="1">
      <alignment horizontal="left"/>
    </xf>
    <xf numFmtId="16" fontId="7" fillId="0" borderId="0" xfId="0" applyNumberFormat="1" applyFont="1" applyFill="1" applyBorder="1" applyAlignment="1" applyProtection="1">
      <alignment horizontal="left"/>
    </xf>
    <xf numFmtId="9" fontId="7" fillId="0" borderId="0" xfId="3" applyFont="1" applyFill="1" applyBorder="1" applyAlignment="1" applyProtection="1">
      <alignment horizontal="left"/>
    </xf>
    <xf numFmtId="0" fontId="6" fillId="0" borderId="0" xfId="0" applyNumberFormat="1" applyFont="1" applyFill="1" applyBorder="1" applyAlignment="1" applyProtection="1">
      <alignment horizontal="left"/>
    </xf>
    <xf numFmtId="1" fontId="7" fillId="0" borderId="0" xfId="0" applyNumberFormat="1" applyFont="1" applyFill="1" applyBorder="1" applyAlignment="1" applyProtection="1">
      <alignment horizontal="left"/>
    </xf>
    <xf numFmtId="49" fontId="6" fillId="0" borderId="0" xfId="0" applyNumberFormat="1" applyFont="1" applyFill="1" applyBorder="1" applyAlignment="1" applyProtection="1">
      <alignment horizontal="left"/>
    </xf>
    <xf numFmtId="3" fontId="6" fillId="0" borderId="0" xfId="0" applyNumberFormat="1" applyFont="1" applyFill="1" applyBorder="1" applyAlignment="1" applyProtection="1">
      <alignment horizontal="left"/>
    </xf>
    <xf numFmtId="0" fontId="6" fillId="0" borderId="0" xfId="0" applyFont="1" applyFill="1" applyAlignment="1" applyProtection="1">
      <alignment horizontal="left"/>
    </xf>
    <xf numFmtId="9" fontId="6" fillId="0" borderId="0" xfId="0" applyNumberFormat="1" applyFont="1" applyFill="1" applyAlignment="1" applyProtection="1">
      <alignment horizontal="left"/>
    </xf>
    <xf numFmtId="0" fontId="10" fillId="4" borderId="0" xfId="0" applyFont="1" applyFill="1" applyProtection="1"/>
    <xf numFmtId="0" fontId="10" fillId="4" borderId="0" xfId="0" applyFont="1" applyFill="1" applyBorder="1" applyProtection="1"/>
    <xf numFmtId="0" fontId="12" fillId="4" borderId="0" xfId="0" applyFont="1" applyFill="1" applyBorder="1" applyAlignment="1" applyProtection="1">
      <alignment horizontal="center"/>
    </xf>
    <xf numFmtId="0" fontId="21" fillId="4" borderId="0" xfId="0" applyFont="1" applyFill="1" applyBorder="1" applyProtection="1"/>
    <xf numFmtId="0" fontId="11" fillId="4" borderId="0" xfId="0" applyFont="1" applyFill="1" applyBorder="1" applyProtection="1"/>
    <xf numFmtId="0" fontId="25" fillId="4" borderId="0" xfId="0" applyFont="1" applyFill="1" applyBorder="1" applyProtection="1"/>
    <xf numFmtId="0" fontId="25" fillId="4" borderId="0" xfId="0" applyFont="1" applyFill="1" applyProtection="1"/>
    <xf numFmtId="0" fontId="19" fillId="4" borderId="0" xfId="0" applyFont="1" applyFill="1" applyBorder="1" applyProtection="1"/>
    <xf numFmtId="0" fontId="10" fillId="4" borderId="0" xfId="0" applyFont="1" applyFill="1" applyBorder="1" applyAlignment="1" applyProtection="1">
      <alignment horizontal="left"/>
    </xf>
    <xf numFmtId="0" fontId="10" fillId="4" borderId="0" xfId="0" applyFont="1" applyFill="1" applyBorder="1" applyAlignment="1" applyProtection="1">
      <alignment horizontal="center"/>
    </xf>
    <xf numFmtId="0" fontId="19" fillId="4" borderId="0" xfId="0" applyFont="1" applyFill="1" applyBorder="1" applyAlignment="1" applyProtection="1">
      <alignment horizontal="center"/>
    </xf>
    <xf numFmtId="171" fontId="10" fillId="4" borderId="0" xfId="0" applyNumberFormat="1" applyFont="1" applyFill="1" applyBorder="1" applyAlignment="1" applyProtection="1">
      <alignment horizontal="center"/>
    </xf>
    <xf numFmtId="0" fontId="29" fillId="4" borderId="0" xfId="0" applyFont="1" applyFill="1" applyProtection="1"/>
    <xf numFmtId="0" fontId="45" fillId="0" borderId="0" xfId="0" applyFont="1" applyAlignment="1" applyProtection="1">
      <alignment horizontal="left"/>
    </xf>
    <xf numFmtId="0" fontId="45" fillId="0" borderId="0" xfId="0" applyFont="1" applyProtection="1"/>
    <xf numFmtId="0" fontId="46" fillId="0" borderId="0" xfId="0" applyFont="1" applyFill="1" applyBorder="1" applyAlignment="1" applyProtection="1">
      <alignment horizontal="left"/>
    </xf>
    <xf numFmtId="0" fontId="45" fillId="0" borderId="0" xfId="0" applyFont="1" applyFill="1" applyAlignment="1" applyProtection="1">
      <alignment horizontal="left"/>
    </xf>
    <xf numFmtId="0" fontId="45" fillId="0" borderId="0" xfId="0" applyNumberFormat="1" applyFont="1" applyFill="1" applyBorder="1" applyAlignment="1" applyProtection="1">
      <alignment horizontal="left"/>
    </xf>
    <xf numFmtId="3" fontId="45" fillId="0" borderId="0" xfId="0" applyNumberFormat="1" applyFont="1" applyFill="1" applyBorder="1" applyAlignment="1" applyProtection="1">
      <alignment horizontal="left"/>
    </xf>
    <xf numFmtId="0" fontId="46" fillId="0" borderId="0" xfId="0" applyNumberFormat="1" applyFont="1" applyFill="1" applyBorder="1" applyAlignment="1" applyProtection="1">
      <alignment horizontal="left"/>
    </xf>
    <xf numFmtId="0" fontId="46" fillId="0" borderId="0" xfId="0" applyFont="1" applyFill="1" applyAlignment="1" applyProtection="1">
      <alignment horizontal="left"/>
    </xf>
    <xf numFmtId="4" fontId="45" fillId="0" borderId="0" xfId="0" applyNumberFormat="1" applyFont="1" applyFill="1" applyBorder="1" applyAlignment="1" applyProtection="1">
      <alignment horizontal="left"/>
    </xf>
    <xf numFmtId="0" fontId="45" fillId="0" borderId="0" xfId="0" applyNumberFormat="1" applyFont="1" applyFill="1" applyBorder="1" applyAlignment="1" applyProtection="1">
      <alignment horizontal="left" vertical="top" wrapText="1"/>
    </xf>
    <xf numFmtId="0" fontId="45" fillId="0" borderId="0" xfId="0" applyFont="1" applyFill="1" applyBorder="1" applyAlignment="1" applyProtection="1">
      <alignment horizontal="left" vertical="top" wrapText="1"/>
    </xf>
    <xf numFmtId="0" fontId="45" fillId="0" borderId="0" xfId="0" applyFont="1" applyFill="1" applyBorder="1" applyAlignment="1" applyProtection="1">
      <alignment horizontal="left" vertical="top"/>
    </xf>
    <xf numFmtId="4" fontId="45" fillId="0" borderId="0" xfId="0" applyNumberFormat="1" applyFont="1" applyFill="1" applyBorder="1" applyAlignment="1" applyProtection="1">
      <alignment horizontal="left" vertical="top" wrapText="1"/>
    </xf>
    <xf numFmtId="4" fontId="45" fillId="0" borderId="0" xfId="0" applyNumberFormat="1" applyFont="1" applyFill="1" applyBorder="1" applyAlignment="1" applyProtection="1">
      <alignment horizontal="left" vertical="top"/>
    </xf>
    <xf numFmtId="2" fontId="45" fillId="0" borderId="0" xfId="0" applyNumberFormat="1" applyFont="1" applyFill="1" applyBorder="1" applyAlignment="1" applyProtection="1">
      <alignment horizontal="left" vertical="top" wrapText="1"/>
    </xf>
    <xf numFmtId="3" fontId="45" fillId="0" borderId="0" xfId="0" applyNumberFormat="1" applyFont="1" applyFill="1" applyBorder="1" applyAlignment="1" applyProtection="1">
      <alignment horizontal="left" vertical="top" wrapText="1"/>
    </xf>
    <xf numFmtId="10" fontId="45" fillId="0" borderId="0" xfId="0" applyNumberFormat="1" applyFont="1" applyFill="1" applyAlignment="1" applyProtection="1">
      <alignment horizontal="left"/>
    </xf>
    <xf numFmtId="171" fontId="45" fillId="0" borderId="0" xfId="0" applyNumberFormat="1" applyFont="1" applyFill="1" applyAlignment="1" applyProtection="1">
      <alignment horizontal="left"/>
    </xf>
    <xf numFmtId="165" fontId="6" fillId="0" borderId="0" xfId="0" applyNumberFormat="1" applyFont="1" applyFill="1" applyBorder="1" applyAlignment="1" applyProtection="1">
      <alignment horizontal="left"/>
    </xf>
    <xf numFmtId="1" fontId="6" fillId="0" borderId="0" xfId="0" applyNumberFormat="1" applyFont="1" applyFill="1" applyBorder="1" applyAlignment="1" applyProtection="1">
      <alignment horizontal="right"/>
    </xf>
    <xf numFmtId="167" fontId="6" fillId="0" borderId="0" xfId="0" applyNumberFormat="1" applyFont="1" applyFill="1" applyBorder="1" applyAlignment="1" applyProtection="1">
      <alignment horizontal="left"/>
    </xf>
    <xf numFmtId="174" fontId="7" fillId="0" borderId="0" xfId="0" applyNumberFormat="1" applyFont="1" applyFill="1" applyBorder="1" applyAlignment="1" applyProtection="1">
      <alignment horizontal="center"/>
    </xf>
    <xf numFmtId="174" fontId="6" fillId="0" borderId="0" xfId="0" applyNumberFormat="1" applyFont="1" applyFill="1" applyBorder="1" applyAlignment="1" applyProtection="1">
      <alignment horizontal="center"/>
    </xf>
    <xf numFmtId="0" fontId="10" fillId="5" borderId="0" xfId="0" applyFont="1" applyFill="1"/>
    <xf numFmtId="0" fontId="18" fillId="5" borderId="0" xfId="0" applyFont="1" applyFill="1"/>
    <xf numFmtId="0" fontId="22" fillId="5" borderId="0" xfId="0" applyFont="1" applyFill="1"/>
    <xf numFmtId="15" fontId="23" fillId="5" borderId="0" xfId="0" applyNumberFormat="1" applyFont="1" applyFill="1"/>
    <xf numFmtId="0" fontId="11" fillId="5" borderId="0" xfId="0" applyFont="1" applyFill="1"/>
    <xf numFmtId="0" fontId="11" fillId="5" borderId="1" xfId="0" applyFont="1" applyFill="1" applyBorder="1" applyAlignment="1">
      <alignment horizontal="center"/>
    </xf>
    <xf numFmtId="0" fontId="6" fillId="5" borderId="0" xfId="0" applyFont="1" applyFill="1"/>
    <xf numFmtId="0" fontId="12" fillId="5" borderId="0" xfId="0" applyFont="1" applyFill="1"/>
    <xf numFmtId="0" fontId="19" fillId="5" borderId="0" xfId="0" applyFont="1" applyFill="1" applyAlignment="1"/>
    <xf numFmtId="0" fontId="10" fillId="5" borderId="0" xfId="0" applyFont="1" applyFill="1" applyAlignment="1"/>
    <xf numFmtId="0" fontId="11" fillId="5" borderId="0" xfId="0" applyFont="1" applyFill="1" applyAlignment="1"/>
    <xf numFmtId="0" fontId="3" fillId="5" borderId="0" xfId="2" applyFill="1" applyAlignment="1" applyProtection="1"/>
    <xf numFmtId="0" fontId="24" fillId="5" borderId="0" xfId="2" applyFont="1" applyFill="1" applyAlignment="1" applyProtection="1"/>
    <xf numFmtId="0" fontId="10" fillId="5" borderId="2" xfId="0" applyFont="1" applyFill="1" applyBorder="1" applyProtection="1"/>
    <xf numFmtId="0" fontId="10" fillId="5" borderId="3" xfId="0" applyFont="1" applyFill="1" applyBorder="1" applyProtection="1"/>
    <xf numFmtId="0" fontId="19" fillId="5" borderId="3" xfId="0" applyFont="1" applyFill="1" applyBorder="1" applyAlignment="1" applyProtection="1">
      <alignment horizontal="right"/>
    </xf>
    <xf numFmtId="0" fontId="12" fillId="5" borderId="3" xfId="0" applyFont="1" applyFill="1" applyBorder="1" applyAlignment="1" applyProtection="1">
      <alignment horizontal="center"/>
    </xf>
    <xf numFmtId="0" fontId="10" fillId="5" borderId="4" xfId="0" applyFont="1" applyFill="1" applyBorder="1" applyProtection="1"/>
    <xf numFmtId="0" fontId="10" fillId="5" borderId="5" xfId="0" applyFont="1" applyFill="1" applyBorder="1" applyProtection="1"/>
    <xf numFmtId="0" fontId="10" fillId="5" borderId="0" xfId="0" applyFont="1" applyFill="1" applyBorder="1" applyProtection="1"/>
    <xf numFmtId="0" fontId="19" fillId="5" borderId="0" xfId="0" applyFont="1" applyFill="1" applyBorder="1" applyAlignment="1" applyProtection="1">
      <alignment horizontal="right"/>
    </xf>
    <xf numFmtId="0" fontId="12" fillId="5" borderId="0" xfId="0" applyFont="1" applyFill="1" applyBorder="1" applyAlignment="1" applyProtection="1">
      <alignment horizontal="center"/>
    </xf>
    <xf numFmtId="0" fontId="10" fillId="5" borderId="6" xfId="0" applyFont="1" applyFill="1" applyBorder="1" applyProtection="1"/>
    <xf numFmtId="0" fontId="30" fillId="5" borderId="5" xfId="0" applyFont="1" applyFill="1" applyBorder="1" applyProtection="1"/>
    <xf numFmtId="0" fontId="26" fillId="5" borderId="0" xfId="0" applyFont="1" applyFill="1" applyBorder="1" applyProtection="1"/>
    <xf numFmtId="0" fontId="21" fillId="5" borderId="0" xfId="0" applyFont="1" applyFill="1" applyBorder="1" applyProtection="1"/>
    <xf numFmtId="0" fontId="11" fillId="5" borderId="0" xfId="0" applyFont="1" applyFill="1" applyBorder="1" applyProtection="1"/>
    <xf numFmtId="0" fontId="31" fillId="5" borderId="0" xfId="0" applyFont="1" applyFill="1" applyBorder="1" applyAlignment="1" applyProtection="1">
      <alignment horizontal="left"/>
    </xf>
    <xf numFmtId="0" fontId="32" fillId="5" borderId="0" xfId="0" applyFont="1" applyFill="1" applyBorder="1" applyProtection="1"/>
    <xf numFmtId="0" fontId="25" fillId="5" borderId="5" xfId="0" applyFont="1" applyFill="1" applyBorder="1" applyProtection="1"/>
    <xf numFmtId="0" fontId="25" fillId="5" borderId="0" xfId="0" applyFont="1" applyFill="1" applyBorder="1" applyProtection="1"/>
    <xf numFmtId="0" fontId="33" fillId="5" borderId="0" xfId="0" applyFont="1" applyFill="1" applyBorder="1" applyAlignment="1" applyProtection="1">
      <alignment horizontal="right"/>
    </xf>
    <xf numFmtId="0" fontId="34" fillId="5" borderId="0" xfId="0" applyFont="1" applyFill="1" applyBorder="1" applyAlignment="1" applyProtection="1">
      <alignment horizontal="center"/>
    </xf>
    <xf numFmtId="0" fontId="25" fillId="5" borderId="6" xfId="0" applyFont="1" applyFill="1" applyBorder="1" applyProtection="1"/>
    <xf numFmtId="0" fontId="19" fillId="5" borderId="0" xfId="0" applyFont="1" applyFill="1" applyBorder="1" applyProtection="1"/>
    <xf numFmtId="0" fontId="10" fillId="5" borderId="0" xfId="0" applyFont="1" applyFill="1" applyBorder="1" applyAlignment="1" applyProtection="1">
      <alignment horizontal="left"/>
    </xf>
    <xf numFmtId="0" fontId="10" fillId="5" borderId="0" xfId="0" applyFont="1" applyFill="1" applyBorder="1" applyAlignment="1" applyProtection="1">
      <alignment horizontal="center"/>
    </xf>
    <xf numFmtId="0" fontId="10" fillId="5" borderId="7" xfId="0" applyFont="1" applyFill="1" applyBorder="1" applyProtection="1"/>
    <xf numFmtId="0" fontId="10" fillId="5" borderId="8" xfId="0" applyFont="1" applyFill="1" applyBorder="1" applyProtection="1"/>
    <xf numFmtId="0" fontId="10" fillId="5" borderId="8" xfId="0" applyFont="1" applyFill="1" applyBorder="1" applyAlignment="1" applyProtection="1">
      <alignment horizontal="left"/>
    </xf>
    <xf numFmtId="0" fontId="44" fillId="5" borderId="8" xfId="0" applyFont="1" applyFill="1" applyBorder="1" applyAlignment="1" applyProtection="1">
      <alignment horizontal="right"/>
    </xf>
    <xf numFmtId="0" fontId="10" fillId="5" borderId="9" xfId="0" applyFont="1" applyFill="1" applyBorder="1" applyProtection="1"/>
    <xf numFmtId="0" fontId="10" fillId="5" borderId="3" xfId="0" applyFont="1" applyFill="1" applyBorder="1" applyAlignment="1" applyProtection="1">
      <alignment horizontal="left"/>
    </xf>
    <xf numFmtId="0" fontId="10" fillId="5" borderId="3" xfId="0" applyFont="1" applyFill="1" applyBorder="1" applyAlignment="1" applyProtection="1">
      <alignment horizontal="center"/>
    </xf>
    <xf numFmtId="0" fontId="35" fillId="5" borderId="0" xfId="0" applyFont="1" applyFill="1" applyBorder="1" applyAlignment="1" applyProtection="1">
      <alignment horizontal="center"/>
    </xf>
    <xf numFmtId="0" fontId="35" fillId="5" borderId="6" xfId="0" applyFont="1" applyFill="1" applyBorder="1" applyProtection="1"/>
    <xf numFmtId="0" fontId="11" fillId="5" borderId="5" xfId="0" applyFont="1" applyFill="1" applyBorder="1" applyProtection="1"/>
    <xf numFmtId="0" fontId="19" fillId="5" borderId="0" xfId="0" applyFont="1" applyFill="1" applyBorder="1" applyAlignment="1" applyProtection="1">
      <alignment horizontal="left"/>
    </xf>
    <xf numFmtId="0" fontId="19" fillId="5" borderId="0" xfId="0" applyFont="1" applyFill="1" applyBorder="1" applyAlignment="1" applyProtection="1">
      <alignment horizontal="center"/>
    </xf>
    <xf numFmtId="0" fontId="47" fillId="4" borderId="10" xfId="0" applyFont="1" applyFill="1" applyBorder="1" applyProtection="1"/>
    <xf numFmtId="0" fontId="47" fillId="4" borderId="11" xfId="0" applyFont="1" applyFill="1" applyBorder="1" applyProtection="1"/>
    <xf numFmtId="0" fontId="48" fillId="4" borderId="11" xfId="0" applyFont="1" applyFill="1" applyBorder="1" applyAlignment="1" applyProtection="1">
      <alignment horizontal="center"/>
    </xf>
    <xf numFmtId="0" fontId="48" fillId="4" borderId="12" xfId="0" applyFont="1" applyFill="1" applyBorder="1" applyAlignment="1" applyProtection="1">
      <alignment horizontal="center"/>
    </xf>
    <xf numFmtId="0" fontId="47" fillId="4" borderId="13" xfId="0" applyFont="1" applyFill="1" applyBorder="1" applyProtection="1"/>
    <xf numFmtId="0" fontId="47" fillId="4" borderId="14" xfId="0" applyFont="1" applyFill="1" applyBorder="1" applyAlignment="1" applyProtection="1">
      <alignment horizontal="left"/>
    </xf>
    <xf numFmtId="0" fontId="47" fillId="4" borderId="14" xfId="0" applyFont="1" applyFill="1" applyBorder="1" applyProtection="1"/>
    <xf numFmtId="0" fontId="47" fillId="4" borderId="14" xfId="0" applyFont="1" applyFill="1" applyBorder="1" applyAlignment="1" applyProtection="1">
      <alignment horizontal="left"/>
      <protection locked="0"/>
    </xf>
    <xf numFmtId="0" fontId="48" fillId="4" borderId="15" xfId="0" applyFont="1" applyFill="1" applyBorder="1" applyAlignment="1" applyProtection="1">
      <alignment horizontal="center"/>
    </xf>
    <xf numFmtId="0" fontId="48" fillId="4" borderId="14" xfId="0" applyFont="1" applyFill="1" applyBorder="1" applyAlignment="1" applyProtection="1">
      <alignment horizontal="center"/>
    </xf>
    <xf numFmtId="0" fontId="49" fillId="4" borderId="14" xfId="0" applyFont="1" applyFill="1" applyBorder="1" applyProtection="1"/>
    <xf numFmtId="0" fontId="47" fillId="4" borderId="15" xfId="0" applyFont="1" applyFill="1" applyBorder="1" applyAlignment="1" applyProtection="1">
      <alignment horizontal="center"/>
    </xf>
    <xf numFmtId="0" fontId="49" fillId="4" borderId="13" xfId="0" applyFont="1" applyFill="1" applyBorder="1" applyProtection="1"/>
    <xf numFmtId="0" fontId="47" fillId="4" borderId="15" xfId="0" applyFont="1" applyFill="1" applyBorder="1" applyProtection="1"/>
    <xf numFmtId="0" fontId="48" fillId="4" borderId="14" xfId="0" applyFont="1" applyFill="1" applyBorder="1" applyProtection="1"/>
    <xf numFmtId="0" fontId="49" fillId="4" borderId="16" xfId="0" applyFont="1" applyFill="1" applyBorder="1" applyProtection="1"/>
    <xf numFmtId="0" fontId="47" fillId="4" borderId="17" xfId="0" applyFont="1" applyFill="1" applyBorder="1" applyProtection="1"/>
    <xf numFmtId="0" fontId="47" fillId="4" borderId="17" xfId="0" applyFont="1" applyFill="1" applyBorder="1" applyAlignment="1" applyProtection="1">
      <alignment horizontal="center"/>
    </xf>
    <xf numFmtId="0" fontId="47" fillId="4" borderId="18" xfId="0" applyFont="1" applyFill="1" applyBorder="1" applyProtection="1"/>
    <xf numFmtId="0" fontId="10" fillId="5" borderId="14" xfId="0" applyFont="1" applyFill="1" applyBorder="1" applyAlignment="1" applyProtection="1">
      <alignment horizontal="center"/>
      <protection locked="0"/>
    </xf>
    <xf numFmtId="0" fontId="11" fillId="4" borderId="10" xfId="0" applyFont="1" applyFill="1" applyBorder="1" applyProtection="1"/>
    <xf numFmtId="0" fontId="11" fillId="4" borderId="11" xfId="0" applyFont="1" applyFill="1" applyBorder="1" applyProtection="1"/>
    <xf numFmtId="0" fontId="10" fillId="4" borderId="11" xfId="0" applyFont="1" applyFill="1" applyBorder="1" applyProtection="1"/>
    <xf numFmtId="0" fontId="10" fillId="4" borderId="12" xfId="0" applyFont="1" applyFill="1" applyBorder="1" applyProtection="1"/>
    <xf numFmtId="0" fontId="11" fillId="4" borderId="13" xfId="0" applyFont="1" applyFill="1" applyBorder="1" applyProtection="1"/>
    <xf numFmtId="0" fontId="19" fillId="4" borderId="14" xfId="0" applyFont="1" applyFill="1" applyBorder="1" applyProtection="1"/>
    <xf numFmtId="0" fontId="10" fillId="4" borderId="14" xfId="0" applyFont="1" applyFill="1" applyBorder="1" applyProtection="1"/>
    <xf numFmtId="0" fontId="10" fillId="4" borderId="15" xfId="0" applyFont="1" applyFill="1" applyBorder="1" applyProtection="1"/>
    <xf numFmtId="0" fontId="10" fillId="4" borderId="13" xfId="0" applyFont="1" applyFill="1" applyBorder="1" applyProtection="1"/>
    <xf numFmtId="0" fontId="10" fillId="4" borderId="14" xfId="0" applyFont="1" applyFill="1" applyBorder="1" applyAlignment="1" applyProtection="1">
      <alignment horizontal="left"/>
    </xf>
    <xf numFmtId="0" fontId="10" fillId="4" borderId="14" xfId="0" applyFont="1" applyFill="1" applyBorder="1" applyAlignment="1" applyProtection="1">
      <alignment horizontal="center"/>
    </xf>
    <xf numFmtId="0" fontId="10" fillId="4" borderId="15" xfId="0" applyFont="1" applyFill="1" applyBorder="1" applyAlignment="1" applyProtection="1">
      <alignment horizontal="center"/>
    </xf>
    <xf numFmtId="0" fontId="11" fillId="4" borderId="14" xfId="0" applyFont="1" applyFill="1" applyBorder="1" applyProtection="1"/>
    <xf numFmtId="0" fontId="10" fillId="4" borderId="14" xfId="0" applyFont="1" applyFill="1" applyBorder="1" applyAlignment="1" applyProtection="1">
      <alignment horizontal="center"/>
      <protection locked="0"/>
    </xf>
    <xf numFmtId="0" fontId="11" fillId="4" borderId="17" xfId="0" applyFont="1" applyFill="1" applyBorder="1" applyProtection="1"/>
    <xf numFmtId="0" fontId="10" fillId="4" borderId="17" xfId="0" applyFont="1" applyFill="1" applyBorder="1" applyProtection="1"/>
    <xf numFmtId="0" fontId="10" fillId="4" borderId="18" xfId="0" applyFont="1" applyFill="1" applyBorder="1" applyProtection="1"/>
    <xf numFmtId="0" fontId="6" fillId="4" borderId="13" xfId="0" applyFont="1" applyFill="1" applyBorder="1" applyProtection="1"/>
    <xf numFmtId="0" fontId="6" fillId="4" borderId="14" xfId="0" applyFont="1" applyFill="1" applyBorder="1" applyProtection="1"/>
    <xf numFmtId="0" fontId="12" fillId="4" borderId="14" xfId="0" applyFont="1" applyFill="1" applyBorder="1" applyAlignment="1" applyProtection="1">
      <alignment horizontal="center"/>
    </xf>
    <xf numFmtId="0" fontId="12" fillId="4" borderId="15" xfId="0" applyFont="1" applyFill="1" applyBorder="1" applyAlignment="1" applyProtection="1">
      <alignment horizontal="center"/>
    </xf>
    <xf numFmtId="0" fontId="50" fillId="4" borderId="13" xfId="0" applyFont="1" applyFill="1" applyBorder="1" applyProtection="1"/>
    <xf numFmtId="0" fontId="50" fillId="4" borderId="14" xfId="0" applyFont="1" applyFill="1" applyBorder="1" applyProtection="1"/>
    <xf numFmtId="0" fontId="47" fillId="4" borderId="16" xfId="0" applyFont="1" applyFill="1" applyBorder="1" applyProtection="1"/>
    <xf numFmtId="0" fontId="48" fillId="4" borderId="17" xfId="0" applyFont="1" applyFill="1" applyBorder="1" applyAlignment="1" applyProtection="1">
      <alignment horizontal="center"/>
    </xf>
    <xf numFmtId="0" fontId="48" fillId="4" borderId="18" xfId="0" applyFont="1" applyFill="1" applyBorder="1" applyAlignment="1" applyProtection="1">
      <alignment horizontal="center"/>
    </xf>
    <xf numFmtId="0" fontId="50" fillId="4" borderId="0" xfId="0" applyFont="1" applyFill="1" applyBorder="1" applyProtection="1"/>
    <xf numFmtId="0" fontId="50" fillId="5" borderId="0" xfId="0" applyFont="1" applyFill="1" applyBorder="1" applyProtection="1"/>
    <xf numFmtId="0" fontId="51" fillId="5" borderId="0" xfId="0" applyFont="1" applyFill="1" applyBorder="1" applyAlignment="1" applyProtection="1">
      <alignment horizontal="center"/>
    </xf>
    <xf numFmtId="0" fontId="47" fillId="5" borderId="14" xfId="0" applyFont="1" applyFill="1" applyBorder="1" applyAlignment="1" applyProtection="1">
      <alignment horizontal="left"/>
      <protection locked="0"/>
    </xf>
    <xf numFmtId="0" fontId="51" fillId="4" borderId="14" xfId="0" applyFont="1" applyFill="1" applyBorder="1" applyAlignment="1" applyProtection="1">
      <alignment horizontal="left"/>
    </xf>
    <xf numFmtId="0" fontId="53" fillId="4" borderId="14" xfId="0" applyFont="1" applyFill="1" applyBorder="1" applyProtection="1"/>
    <xf numFmtId="0" fontId="50" fillId="5" borderId="5" xfId="0" applyFont="1" applyFill="1" applyBorder="1" applyProtection="1"/>
    <xf numFmtId="0" fontId="50" fillId="5" borderId="6" xfId="0" applyFont="1" applyFill="1" applyBorder="1" applyProtection="1"/>
    <xf numFmtId="0" fontId="50" fillId="4" borderId="0" xfId="0" applyFont="1" applyFill="1" applyProtection="1"/>
    <xf numFmtId="0" fontId="47" fillId="4" borderId="17" xfId="0" applyFont="1" applyFill="1" applyBorder="1" applyAlignment="1" applyProtection="1">
      <alignment horizontal="left"/>
    </xf>
    <xf numFmtId="0" fontId="47" fillId="4" borderId="18" xfId="0" applyFont="1" applyFill="1" applyBorder="1" applyAlignment="1" applyProtection="1">
      <alignment horizontal="center"/>
    </xf>
    <xf numFmtId="0" fontId="49" fillId="4" borderId="10" xfId="0" applyFont="1" applyFill="1" applyBorder="1" applyProtection="1"/>
    <xf numFmtId="0" fontId="47" fillId="4" borderId="12" xfId="0" applyFont="1" applyFill="1" applyBorder="1" applyProtection="1"/>
    <xf numFmtId="0" fontId="54" fillId="5" borderId="0" xfId="0" applyFont="1" applyFill="1" applyBorder="1" applyProtection="1"/>
    <xf numFmtId="0" fontId="49" fillId="5" borderId="0" xfId="0" quotePrefix="1" applyFont="1" applyFill="1" applyBorder="1" applyAlignment="1" applyProtection="1">
      <alignment horizontal="left"/>
    </xf>
    <xf numFmtId="1" fontId="49" fillId="5" borderId="0" xfId="0" applyNumberFormat="1" applyFont="1" applyFill="1" applyBorder="1" applyAlignment="1" applyProtection="1">
      <alignment horizontal="center"/>
    </xf>
    <xf numFmtId="0" fontId="47" fillId="5" borderId="0" xfId="0" applyFont="1" applyFill="1" applyBorder="1" applyProtection="1"/>
    <xf numFmtId="0" fontId="47" fillId="5" borderId="0" xfId="0" applyFont="1" applyFill="1" applyBorder="1" applyAlignment="1" applyProtection="1">
      <alignment horizontal="left"/>
    </xf>
    <xf numFmtId="0" fontId="47" fillId="5" borderId="0" xfId="0" applyFont="1" applyFill="1" applyBorder="1" applyAlignment="1" applyProtection="1">
      <alignment horizontal="center"/>
    </xf>
    <xf numFmtId="0" fontId="49" fillId="5" borderId="0" xfId="0" applyFont="1" applyFill="1" applyBorder="1" applyProtection="1"/>
    <xf numFmtId="0" fontId="47" fillId="5" borderId="14" xfId="0" applyFont="1" applyFill="1" applyBorder="1" applyAlignment="1" applyProtection="1">
      <alignment horizontal="center"/>
      <protection locked="0"/>
    </xf>
    <xf numFmtId="0" fontId="12" fillId="4" borderId="14" xfId="0" applyFont="1" applyFill="1" applyBorder="1" applyProtection="1"/>
    <xf numFmtId="0" fontId="52" fillId="5" borderId="0" xfId="0" applyFont="1" applyFill="1" applyBorder="1" applyProtection="1"/>
    <xf numFmtId="0" fontId="56" fillId="4" borderId="16" xfId="0" applyFont="1" applyFill="1" applyBorder="1" applyProtection="1"/>
    <xf numFmtId="0" fontId="57" fillId="4" borderId="0" xfId="0" applyFont="1" applyFill="1" applyBorder="1" applyAlignment="1" applyProtection="1">
      <alignment horizontal="left"/>
    </xf>
    <xf numFmtId="0" fontId="57" fillId="4" borderId="0" xfId="0" applyFont="1" applyFill="1" applyBorder="1" applyProtection="1"/>
    <xf numFmtId="0" fontId="57" fillId="4" borderId="0" xfId="0" applyFont="1" applyFill="1" applyBorder="1" applyAlignment="1" applyProtection="1">
      <alignment horizontal="center"/>
    </xf>
    <xf numFmtId="0" fontId="58" fillId="4" borderId="18" xfId="0" applyFont="1" applyFill="1" applyBorder="1" applyProtection="1"/>
    <xf numFmtId="0" fontId="8" fillId="4" borderId="0" xfId="0" applyFont="1" applyFill="1" applyBorder="1" applyProtection="1"/>
    <xf numFmtId="0" fontId="11" fillId="4" borderId="0" xfId="0" applyFont="1" applyFill="1" applyProtection="1"/>
    <xf numFmtId="164" fontId="10" fillId="4" borderId="0" xfId="0" applyNumberFormat="1" applyFont="1" applyFill="1" applyBorder="1" applyProtection="1"/>
    <xf numFmtId="164" fontId="10" fillId="4" borderId="0" xfId="0" applyNumberFormat="1" applyFont="1" applyFill="1" applyBorder="1" applyAlignment="1" applyProtection="1">
      <alignment horizontal="center"/>
    </xf>
    <xf numFmtId="0" fontId="11" fillId="5" borderId="3" xfId="0" applyFont="1" applyFill="1" applyBorder="1" applyProtection="1"/>
    <xf numFmtId="0" fontId="36" fillId="5" borderId="0" xfId="0" applyFont="1" applyFill="1" applyBorder="1" applyProtection="1"/>
    <xf numFmtId="0" fontId="25" fillId="5" borderId="0" xfId="0" applyFont="1" applyFill="1" applyBorder="1" applyAlignment="1" applyProtection="1">
      <alignment horizontal="center"/>
    </xf>
    <xf numFmtId="0" fontId="17" fillId="5" borderId="0" xfId="0" applyFont="1" applyFill="1" applyBorder="1" applyProtection="1"/>
    <xf numFmtId="0" fontId="36" fillId="5" borderId="0" xfId="0" applyFont="1" applyFill="1" applyBorder="1" applyAlignment="1" applyProtection="1">
      <alignment horizontal="left"/>
    </xf>
    <xf numFmtId="0" fontId="11" fillId="5" borderId="8" xfId="0" applyFont="1" applyFill="1" applyBorder="1" applyProtection="1"/>
    <xf numFmtId="0" fontId="10" fillId="5" borderId="8" xfId="0" applyFont="1" applyFill="1" applyBorder="1" applyAlignment="1" applyProtection="1">
      <alignment horizontal="center"/>
    </xf>
    <xf numFmtId="0" fontId="45" fillId="5" borderId="0" xfId="0" applyFont="1" applyFill="1" applyBorder="1" applyProtection="1"/>
    <xf numFmtId="0" fontId="10" fillId="4" borderId="10" xfId="0" applyFont="1" applyFill="1" applyBorder="1" applyProtection="1"/>
    <xf numFmtId="0" fontId="10" fillId="4" borderId="11" xfId="0" applyFont="1" applyFill="1" applyBorder="1" applyAlignment="1" applyProtection="1">
      <alignment horizontal="center"/>
    </xf>
    <xf numFmtId="0" fontId="52" fillId="4" borderId="14" xfId="0" applyFont="1" applyFill="1" applyBorder="1" applyAlignment="1" applyProtection="1">
      <alignment horizontal="left"/>
    </xf>
    <xf numFmtId="0" fontId="50" fillId="4" borderId="15" xfId="0" applyFont="1" applyFill="1" applyBorder="1" applyProtection="1"/>
    <xf numFmtId="0" fontId="11" fillId="4" borderId="14" xfId="0" applyFont="1" applyFill="1" applyBorder="1" applyAlignment="1" applyProtection="1"/>
    <xf numFmtId="164" fontId="11" fillId="4" borderId="14" xfId="0" applyNumberFormat="1" applyFont="1" applyFill="1" applyBorder="1" applyProtection="1"/>
    <xf numFmtId="0" fontId="19" fillId="4" borderId="14" xfId="0" applyFont="1" applyFill="1" applyBorder="1" applyAlignment="1" applyProtection="1">
      <alignment horizontal="center"/>
    </xf>
    <xf numFmtId="0" fontId="10" fillId="4" borderId="16" xfId="0" applyFont="1" applyFill="1" applyBorder="1" applyProtection="1"/>
    <xf numFmtId="0" fontId="10" fillId="4" borderId="17" xfId="0" applyFont="1" applyFill="1" applyBorder="1" applyAlignment="1" applyProtection="1">
      <alignment horizontal="center"/>
    </xf>
    <xf numFmtId="0" fontId="60" fillId="4" borderId="0" xfId="0" applyFont="1" applyFill="1" applyBorder="1" applyProtection="1"/>
    <xf numFmtId="0" fontId="61" fillId="4" borderId="0" xfId="0" applyFont="1" applyFill="1" applyBorder="1" applyAlignment="1" applyProtection="1">
      <alignment horizontal="center"/>
    </xf>
    <xf numFmtId="0" fontId="12" fillId="4" borderId="0" xfId="0" applyFont="1" applyFill="1" applyProtection="1"/>
    <xf numFmtId="0" fontId="12" fillId="4" borderId="0" xfId="0" applyFont="1" applyFill="1" applyBorder="1" applyProtection="1"/>
    <xf numFmtId="0" fontId="19" fillId="4" borderId="0" xfId="0" applyFont="1" applyFill="1" applyProtection="1"/>
    <xf numFmtId="0" fontId="11" fillId="4" borderId="0" xfId="0" quotePrefix="1" applyFont="1" applyFill="1" applyBorder="1" applyAlignment="1" applyProtection="1">
      <alignment horizontal="right"/>
    </xf>
    <xf numFmtId="0" fontId="12" fillId="4" borderId="0" xfId="0" applyNumberFormat="1" applyFont="1" applyFill="1" applyBorder="1" applyAlignment="1" applyProtection="1">
      <alignment horizontal="left"/>
    </xf>
    <xf numFmtId="164" fontId="12" fillId="4" borderId="0" xfId="0" applyNumberFormat="1" applyFont="1" applyFill="1" applyBorder="1" applyAlignment="1" applyProtection="1">
      <alignment horizontal="left"/>
    </xf>
    <xf numFmtId="171" fontId="12" fillId="4" borderId="0" xfId="0" applyNumberFormat="1" applyFont="1" applyFill="1" applyBorder="1" applyAlignment="1" applyProtection="1">
      <alignment horizontal="left"/>
    </xf>
    <xf numFmtId="171" fontId="12" fillId="4" borderId="0" xfId="0" applyNumberFormat="1" applyFont="1" applyFill="1" applyBorder="1" applyAlignment="1" applyProtection="1">
      <alignment horizontal="center"/>
    </xf>
    <xf numFmtId="0" fontId="29" fillId="4" borderId="0" xfId="0" applyFont="1" applyFill="1" applyBorder="1" applyProtection="1"/>
    <xf numFmtId="0" fontId="51" fillId="4" borderId="0" xfId="0" applyFont="1" applyFill="1" applyProtection="1"/>
    <xf numFmtId="0" fontId="45" fillId="4" borderId="0" xfId="0" applyFont="1" applyFill="1" applyBorder="1" applyProtection="1"/>
    <xf numFmtId="0" fontId="21" fillId="5" borderId="5" xfId="0" applyFont="1" applyFill="1" applyBorder="1" applyProtection="1"/>
    <xf numFmtId="0" fontId="12" fillId="5" borderId="5" xfId="0" applyFont="1" applyFill="1" applyBorder="1" applyProtection="1"/>
    <xf numFmtId="0" fontId="12" fillId="5" borderId="6" xfId="0" applyFont="1" applyFill="1" applyBorder="1" applyProtection="1"/>
    <xf numFmtId="0" fontId="51" fillId="5" borderId="5" xfId="0" applyFont="1" applyFill="1" applyBorder="1" applyProtection="1"/>
    <xf numFmtId="0" fontId="51" fillId="5" borderId="6" xfId="0" applyFont="1" applyFill="1" applyBorder="1" applyProtection="1"/>
    <xf numFmtId="0" fontId="11" fillId="5" borderId="6" xfId="0" applyFont="1" applyFill="1" applyBorder="1" applyProtection="1"/>
    <xf numFmtId="0" fontId="12" fillId="5" borderId="0" xfId="0" applyFont="1" applyFill="1" applyBorder="1" applyProtection="1"/>
    <xf numFmtId="164" fontId="12" fillId="5" borderId="0" xfId="0" applyNumberFormat="1" applyFont="1" applyFill="1" applyBorder="1" applyAlignment="1" applyProtection="1">
      <alignment horizontal="right"/>
    </xf>
    <xf numFmtId="1" fontId="11" fillId="5" borderId="0" xfId="0" applyNumberFormat="1" applyFont="1" applyFill="1" applyBorder="1" applyAlignment="1" applyProtection="1">
      <alignment horizontal="left"/>
    </xf>
    <xf numFmtId="164" fontId="19" fillId="5" borderId="0" xfId="0" applyNumberFormat="1" applyFont="1" applyFill="1" applyBorder="1" applyAlignment="1" applyProtection="1">
      <alignment horizontal="left"/>
    </xf>
    <xf numFmtId="164" fontId="19" fillId="5" borderId="0" xfId="0" applyNumberFormat="1" applyFont="1" applyFill="1" applyBorder="1" applyAlignment="1" applyProtection="1">
      <alignment horizontal="right"/>
    </xf>
    <xf numFmtId="0" fontId="12" fillId="5" borderId="8" xfId="0" applyNumberFormat="1" applyFont="1" applyFill="1" applyBorder="1" applyAlignment="1" applyProtection="1">
      <alignment horizontal="left"/>
    </xf>
    <xf numFmtId="164" fontId="12" fillId="5" borderId="8" xfId="0" applyNumberFormat="1" applyFont="1" applyFill="1" applyBorder="1" applyAlignment="1" applyProtection="1">
      <alignment horizontal="left"/>
    </xf>
    <xf numFmtId="0" fontId="10" fillId="5" borderId="0" xfId="0" applyNumberFormat="1" applyFont="1" applyFill="1" applyBorder="1" applyProtection="1"/>
    <xf numFmtId="0" fontId="12" fillId="5" borderId="0" xfId="0" applyFont="1" applyFill="1" applyBorder="1" applyAlignment="1" applyProtection="1">
      <alignment horizontal="left"/>
    </xf>
    <xf numFmtId="0" fontId="12" fillId="5" borderId="0" xfId="0" applyFont="1" applyFill="1" applyBorder="1" applyAlignment="1" applyProtection="1">
      <alignment horizontal="right"/>
    </xf>
    <xf numFmtId="0" fontId="11" fillId="5" borderId="0" xfId="0" applyFont="1" applyFill="1" applyBorder="1" applyAlignment="1" applyProtection="1">
      <alignment horizontal="left"/>
    </xf>
    <xf numFmtId="164" fontId="10" fillId="5" borderId="0" xfId="0" applyNumberFormat="1" applyFont="1" applyFill="1" applyBorder="1" applyAlignment="1" applyProtection="1">
      <alignment horizontal="center"/>
    </xf>
    <xf numFmtId="2" fontId="10" fillId="5" borderId="14" xfId="0" applyNumberFormat="1" applyFont="1" applyFill="1" applyBorder="1" applyAlignment="1" applyProtection="1">
      <alignment horizontal="center"/>
      <protection locked="0"/>
    </xf>
    <xf numFmtId="9" fontId="10" fillId="5" borderId="14" xfId="3" applyFont="1" applyFill="1" applyBorder="1" applyAlignment="1" applyProtection="1">
      <alignment horizontal="center"/>
      <protection locked="0"/>
    </xf>
    <xf numFmtId="164" fontId="10" fillId="5" borderId="14" xfId="0" applyNumberFormat="1" applyFont="1" applyFill="1" applyBorder="1" applyAlignment="1" applyProtection="1">
      <alignment horizontal="left"/>
      <protection locked="0"/>
    </xf>
    <xf numFmtId="0" fontId="10" fillId="5" borderId="14" xfId="0" applyFont="1" applyFill="1" applyBorder="1" applyProtection="1">
      <protection locked="0"/>
    </xf>
    <xf numFmtId="164" fontId="10" fillId="5" borderId="14" xfId="0" applyNumberFormat="1" applyFont="1" applyFill="1" applyBorder="1" applyAlignment="1" applyProtection="1">
      <alignment horizontal="center"/>
      <protection locked="0"/>
    </xf>
    <xf numFmtId="0" fontId="52" fillId="4" borderId="15" xfId="0" applyFont="1" applyFill="1" applyBorder="1" applyProtection="1"/>
    <xf numFmtId="164" fontId="10" fillId="4" borderId="14" xfId="0" applyNumberFormat="1" applyFont="1" applyFill="1" applyBorder="1" applyAlignment="1" applyProtection="1">
      <alignment horizontal="left"/>
    </xf>
    <xf numFmtId="164" fontId="10" fillId="4" borderId="15" xfId="0" applyNumberFormat="1" applyFont="1" applyFill="1" applyBorder="1" applyAlignment="1" applyProtection="1">
      <alignment horizontal="right"/>
    </xf>
    <xf numFmtId="0" fontId="12" fillId="4" borderId="13" xfId="0" applyFont="1" applyFill="1" applyBorder="1" applyProtection="1"/>
    <xf numFmtId="164" fontId="12" fillId="4" borderId="15" xfId="0" applyNumberFormat="1" applyFont="1" applyFill="1" applyBorder="1" applyAlignment="1" applyProtection="1">
      <alignment horizontal="right"/>
    </xf>
    <xf numFmtId="0" fontId="37" fillId="4" borderId="14" xfId="0" applyFont="1" applyFill="1" applyBorder="1" applyAlignment="1" applyProtection="1">
      <alignment horizontal="left"/>
    </xf>
    <xf numFmtId="0" fontId="12" fillId="4" borderId="14" xfId="0" applyFont="1" applyFill="1" applyBorder="1" applyAlignment="1" applyProtection="1">
      <alignment horizontal="left"/>
    </xf>
    <xf numFmtId="0" fontId="12" fillId="4" borderId="14" xfId="0" applyFont="1" applyFill="1" applyBorder="1" applyAlignment="1" applyProtection="1">
      <alignment horizontal="right"/>
    </xf>
    <xf numFmtId="0" fontId="12" fillId="4" borderId="13" xfId="0" applyFont="1" applyFill="1" applyBorder="1" applyAlignment="1" applyProtection="1">
      <alignment horizontal="center"/>
    </xf>
    <xf numFmtId="0" fontId="19" fillId="4" borderId="14" xfId="0" applyFont="1" applyFill="1" applyBorder="1" applyAlignment="1" applyProtection="1">
      <alignment horizontal="left"/>
    </xf>
    <xf numFmtId="0" fontId="10" fillId="4" borderId="14" xfId="0" quotePrefix="1" applyFont="1" applyFill="1" applyBorder="1" applyAlignment="1" applyProtection="1">
      <alignment horizontal="left"/>
    </xf>
    <xf numFmtId="0" fontId="11" fillId="4" borderId="14" xfId="0" applyFont="1" applyFill="1" applyBorder="1" applyAlignment="1" applyProtection="1">
      <alignment horizontal="left"/>
    </xf>
    <xf numFmtId="0" fontId="11" fillId="4" borderId="15" xfId="0" applyFont="1" applyFill="1" applyBorder="1" applyProtection="1"/>
    <xf numFmtId="0" fontId="51" fillId="4" borderId="13" xfId="0" applyFont="1" applyFill="1" applyBorder="1" applyProtection="1"/>
    <xf numFmtId="0" fontId="53" fillId="4" borderId="14" xfId="0" applyFont="1" applyFill="1" applyBorder="1" applyAlignment="1" applyProtection="1">
      <alignment horizontal="left"/>
    </xf>
    <xf numFmtId="0" fontId="50" fillId="4" borderId="14" xfId="0" applyFont="1" applyFill="1" applyBorder="1" applyAlignment="1" applyProtection="1">
      <alignment horizontal="left"/>
    </xf>
    <xf numFmtId="164" fontId="51" fillId="4" borderId="15" xfId="0" applyNumberFormat="1" applyFont="1" applyFill="1" applyBorder="1" applyAlignment="1" applyProtection="1">
      <alignment horizontal="right"/>
    </xf>
    <xf numFmtId="171" fontId="50" fillId="4" borderId="14" xfId="0" applyNumberFormat="1" applyFont="1" applyFill="1" applyBorder="1" applyAlignment="1" applyProtection="1">
      <alignment horizontal="left"/>
    </xf>
    <xf numFmtId="177" fontId="50" fillId="4" borderId="14" xfId="0" applyNumberFormat="1" applyFont="1" applyFill="1" applyBorder="1" applyAlignment="1" applyProtection="1">
      <alignment horizontal="left"/>
    </xf>
    <xf numFmtId="164" fontId="51" fillId="4" borderId="14" xfId="0" applyNumberFormat="1" applyFont="1" applyFill="1" applyBorder="1" applyAlignment="1" applyProtection="1">
      <alignment horizontal="left"/>
    </xf>
    <xf numFmtId="174" fontId="10" fillId="4" borderId="14" xfId="0" applyNumberFormat="1" applyFont="1" applyFill="1" applyBorder="1" applyAlignment="1" applyProtection="1">
      <alignment horizontal="center"/>
    </xf>
    <xf numFmtId="0" fontId="12" fillId="4" borderId="14" xfId="0" quotePrefix="1" applyFont="1" applyFill="1" applyBorder="1" applyAlignment="1" applyProtection="1">
      <alignment horizontal="left"/>
    </xf>
    <xf numFmtId="174" fontId="12" fillId="4" borderId="14" xfId="0" applyNumberFormat="1" applyFont="1" applyFill="1" applyBorder="1" applyAlignment="1" applyProtection="1">
      <alignment horizontal="center"/>
    </xf>
    <xf numFmtId="0" fontId="50" fillId="4" borderId="14" xfId="0" quotePrefix="1" applyFont="1" applyFill="1" applyBorder="1" applyAlignment="1" applyProtection="1">
      <alignment horizontal="left"/>
    </xf>
    <xf numFmtId="174" fontId="50" fillId="4" borderId="14" xfId="0" applyNumberFormat="1" applyFont="1" applyFill="1" applyBorder="1" applyAlignment="1" applyProtection="1">
      <alignment horizontal="center"/>
    </xf>
    <xf numFmtId="164" fontId="50" fillId="4" borderId="14" xfId="0" applyNumberFormat="1" applyFont="1" applyFill="1" applyBorder="1" applyAlignment="1" applyProtection="1">
      <alignment horizontal="left"/>
    </xf>
    <xf numFmtId="0" fontId="10" fillId="4" borderId="14" xfId="0" quotePrefix="1" applyFont="1" applyFill="1" applyBorder="1" applyProtection="1"/>
    <xf numFmtId="10" fontId="10" fillId="4" borderId="14" xfId="0" applyNumberFormat="1" applyFont="1" applyFill="1" applyBorder="1" applyAlignment="1" applyProtection="1">
      <alignment horizontal="center"/>
    </xf>
    <xf numFmtId="10" fontId="12" fillId="4" borderId="14" xfId="0" applyNumberFormat="1" applyFont="1" applyFill="1" applyBorder="1" applyAlignment="1" applyProtection="1">
      <alignment horizontal="center"/>
    </xf>
    <xf numFmtId="0" fontId="12" fillId="4" borderId="14" xfId="0" quotePrefix="1" applyFont="1" applyFill="1" applyBorder="1" applyProtection="1"/>
    <xf numFmtId="171" fontId="10" fillId="4" borderId="14" xfId="0" applyNumberFormat="1" applyFont="1" applyFill="1" applyBorder="1" applyAlignment="1" applyProtection="1">
      <alignment horizontal="left"/>
    </xf>
    <xf numFmtId="164" fontId="11" fillId="4" borderId="15" xfId="0" applyNumberFormat="1" applyFont="1" applyFill="1" applyBorder="1" applyAlignment="1" applyProtection="1">
      <alignment horizontal="right"/>
    </xf>
    <xf numFmtId="164" fontId="10" fillId="4" borderId="14" xfId="0" applyNumberFormat="1" applyFont="1" applyFill="1" applyBorder="1" applyAlignment="1" applyProtection="1">
      <alignment horizontal="center"/>
      <protection locked="0"/>
    </xf>
    <xf numFmtId="164" fontId="10" fillId="4" borderId="14" xfId="0" applyNumberFormat="1" applyFont="1" applyFill="1" applyBorder="1" applyAlignment="1" applyProtection="1">
      <alignment horizontal="center"/>
    </xf>
    <xf numFmtId="0" fontId="19" fillId="4" borderId="13" xfId="0" applyFont="1" applyFill="1" applyBorder="1" applyProtection="1"/>
    <xf numFmtId="168" fontId="11" fillId="4" borderId="15" xfId="0" applyNumberFormat="1" applyFont="1" applyFill="1" applyBorder="1" applyAlignment="1" applyProtection="1">
      <alignment horizontal="center"/>
    </xf>
    <xf numFmtId="0" fontId="19" fillId="4" borderId="16" xfId="0" applyFont="1" applyFill="1" applyBorder="1" applyProtection="1"/>
    <xf numFmtId="0" fontId="11" fillId="4" borderId="17" xfId="0" applyFont="1" applyFill="1" applyBorder="1" applyAlignment="1" applyProtection="1">
      <alignment horizontal="left"/>
    </xf>
    <xf numFmtId="168" fontId="11" fillId="4" borderId="17" xfId="0" applyNumberFormat="1" applyFont="1" applyFill="1" applyBorder="1" applyAlignment="1" applyProtection="1">
      <alignment horizontal="center"/>
    </xf>
    <xf numFmtId="168" fontId="11" fillId="4" borderId="18" xfId="0" applyNumberFormat="1" applyFont="1" applyFill="1" applyBorder="1" applyAlignment="1" applyProtection="1">
      <alignment horizontal="center"/>
    </xf>
    <xf numFmtId="0" fontId="50" fillId="4" borderId="0" xfId="0" applyFont="1" applyFill="1" applyBorder="1" applyAlignment="1" applyProtection="1">
      <alignment horizontal="center"/>
    </xf>
    <xf numFmtId="0" fontId="53" fillId="4" borderId="0" xfId="0" applyFont="1" applyFill="1" applyBorder="1" applyAlignment="1" applyProtection="1">
      <alignment horizontal="center"/>
    </xf>
    <xf numFmtId="167" fontId="10" fillId="4" borderId="0" xfId="0" applyNumberFormat="1" applyFont="1" applyFill="1" applyBorder="1" applyProtection="1"/>
    <xf numFmtId="0" fontId="11" fillId="4" borderId="0" xfId="0" applyFont="1" applyFill="1" applyBorder="1" applyAlignment="1" applyProtection="1">
      <alignment horizontal="left"/>
    </xf>
    <xf numFmtId="0" fontId="50" fillId="4" borderId="14" xfId="0" applyFont="1" applyFill="1" applyBorder="1" applyAlignment="1" applyProtection="1">
      <alignment horizontal="center"/>
    </xf>
    <xf numFmtId="171" fontId="12" fillId="4" borderId="14" xfId="0" applyNumberFormat="1" applyFont="1" applyFill="1" applyBorder="1" applyAlignment="1" applyProtection="1">
      <alignment horizontal="center"/>
    </xf>
    <xf numFmtId="171" fontId="12" fillId="4" borderId="15" xfId="0" applyNumberFormat="1" applyFont="1" applyFill="1" applyBorder="1" applyAlignment="1" applyProtection="1">
      <alignment horizontal="center"/>
    </xf>
    <xf numFmtId="0" fontId="53" fillId="4" borderId="14" xfId="0" applyNumberFormat="1" applyFont="1" applyFill="1" applyBorder="1" applyProtection="1"/>
    <xf numFmtId="164" fontId="50" fillId="4" borderId="14" xfId="0" applyNumberFormat="1" applyFont="1" applyFill="1" applyBorder="1" applyAlignment="1" applyProtection="1">
      <alignment horizontal="center"/>
    </xf>
    <xf numFmtId="171" fontId="50" fillId="4" borderId="14" xfId="0" applyNumberFormat="1" applyFont="1" applyFill="1" applyBorder="1" applyAlignment="1" applyProtection="1">
      <alignment horizontal="center"/>
    </xf>
    <xf numFmtId="171" fontId="50" fillId="4" borderId="15" xfId="0" applyNumberFormat="1" applyFont="1" applyFill="1" applyBorder="1" applyAlignment="1" applyProtection="1">
      <alignment horizontal="center"/>
    </xf>
    <xf numFmtId="0" fontId="19" fillId="4" borderId="14" xfId="0" applyNumberFormat="1" applyFont="1" applyFill="1" applyBorder="1" applyAlignment="1" applyProtection="1">
      <alignment horizontal="left" indent="1"/>
    </xf>
    <xf numFmtId="0" fontId="11" fillId="4" borderId="14" xfId="0" applyNumberFormat="1" applyFont="1" applyFill="1" applyBorder="1" applyAlignment="1" applyProtection="1">
      <alignment horizontal="left"/>
    </xf>
    <xf numFmtId="0" fontId="10" fillId="4" borderId="14" xfId="0" applyNumberFormat="1" applyFont="1" applyFill="1" applyBorder="1" applyAlignment="1" applyProtection="1">
      <alignment horizontal="left" indent="1"/>
    </xf>
    <xf numFmtId="49" fontId="10" fillId="4" borderId="14" xfId="0" applyNumberFormat="1" applyFont="1" applyFill="1" applyBorder="1" applyAlignment="1" applyProtection="1">
      <alignment horizontal="left" indent="1"/>
    </xf>
    <xf numFmtId="0" fontId="52" fillId="4" borderId="13" xfId="0" applyFont="1" applyFill="1" applyBorder="1" applyProtection="1"/>
    <xf numFmtId="49" fontId="53" fillId="4" borderId="14" xfId="0" applyNumberFormat="1" applyFont="1" applyFill="1" applyBorder="1" applyAlignment="1" applyProtection="1">
      <alignment horizontal="center"/>
    </xf>
    <xf numFmtId="167" fontId="10" fillId="4" borderId="15" xfId="0" applyNumberFormat="1" applyFont="1" applyFill="1" applyBorder="1" applyProtection="1"/>
    <xf numFmtId="0" fontId="10" fillId="4" borderId="17" xfId="0" applyFont="1" applyFill="1" applyBorder="1" applyAlignment="1" applyProtection="1">
      <alignment horizontal="left"/>
    </xf>
    <xf numFmtId="49" fontId="10" fillId="5" borderId="14" xfId="0" applyNumberFormat="1" applyFont="1" applyFill="1" applyBorder="1" applyAlignment="1" applyProtection="1">
      <alignment horizontal="center"/>
      <protection locked="0"/>
    </xf>
    <xf numFmtId="0" fontId="12" fillId="4" borderId="16" xfId="0" applyFont="1" applyFill="1" applyBorder="1" applyProtection="1"/>
    <xf numFmtId="0" fontId="19" fillId="4" borderId="17" xfId="0" applyFont="1" applyFill="1" applyBorder="1" applyProtection="1"/>
    <xf numFmtId="0" fontId="19" fillId="4" borderId="17" xfId="0" applyFont="1" applyFill="1" applyBorder="1" applyAlignment="1" applyProtection="1">
      <alignment horizontal="left"/>
    </xf>
    <xf numFmtId="164" fontId="12" fillId="4" borderId="18" xfId="0" applyNumberFormat="1" applyFont="1" applyFill="1" applyBorder="1" applyAlignment="1" applyProtection="1">
      <alignment horizontal="right"/>
    </xf>
    <xf numFmtId="0" fontId="12" fillId="4" borderId="10" xfId="0" applyFont="1" applyFill="1" applyBorder="1" applyProtection="1"/>
    <xf numFmtId="0" fontId="19" fillId="4" borderId="11" xfId="0" applyFont="1" applyFill="1" applyBorder="1" applyProtection="1"/>
    <xf numFmtId="0" fontId="19" fillId="4" borderId="11" xfId="0" applyFont="1" applyFill="1" applyBorder="1" applyAlignment="1" applyProtection="1">
      <alignment horizontal="left"/>
    </xf>
    <xf numFmtId="164" fontId="12" fillId="4" borderId="12" xfId="0" applyNumberFormat="1" applyFont="1" applyFill="1" applyBorder="1" applyAlignment="1" applyProtection="1">
      <alignment horizontal="right"/>
    </xf>
    <xf numFmtId="1" fontId="11" fillId="4" borderId="17" xfId="0" applyNumberFormat="1" applyFont="1" applyFill="1" applyBorder="1" applyAlignment="1" applyProtection="1">
      <alignment horizontal="left"/>
    </xf>
    <xf numFmtId="164" fontId="19" fillId="4" borderId="17" xfId="0" applyNumberFormat="1" applyFont="1" applyFill="1" applyBorder="1" applyAlignment="1" applyProtection="1">
      <alignment horizontal="left"/>
    </xf>
    <xf numFmtId="164" fontId="19" fillId="4" borderId="18" xfId="0" applyNumberFormat="1" applyFont="1" applyFill="1" applyBorder="1" applyAlignment="1" applyProtection="1">
      <alignment horizontal="right"/>
    </xf>
    <xf numFmtId="0" fontId="19" fillId="4" borderId="10" xfId="0" applyFont="1" applyFill="1" applyBorder="1" applyProtection="1"/>
    <xf numFmtId="1" fontId="11" fillId="4" borderId="11" xfId="0" applyNumberFormat="1" applyFont="1" applyFill="1" applyBorder="1" applyAlignment="1" applyProtection="1">
      <alignment horizontal="left"/>
    </xf>
    <xf numFmtId="164" fontId="19" fillId="4" borderId="11" xfId="0" applyNumberFormat="1" applyFont="1" applyFill="1" applyBorder="1" applyAlignment="1" applyProtection="1">
      <alignment horizontal="left"/>
    </xf>
    <xf numFmtId="164" fontId="19" fillId="4" borderId="12" xfId="0" applyNumberFormat="1" applyFont="1" applyFill="1" applyBorder="1" applyAlignment="1" applyProtection="1">
      <alignment horizontal="right"/>
    </xf>
    <xf numFmtId="0" fontId="12" fillId="4" borderId="11" xfId="0" applyNumberFormat="1" applyFont="1" applyFill="1" applyBorder="1" applyAlignment="1" applyProtection="1">
      <alignment horizontal="left"/>
    </xf>
    <xf numFmtId="164" fontId="12" fillId="4" borderId="11" xfId="0" applyNumberFormat="1" applyFont="1" applyFill="1" applyBorder="1" applyAlignment="1" applyProtection="1">
      <alignment horizontal="left"/>
    </xf>
    <xf numFmtId="167" fontId="10" fillId="5" borderId="14" xfId="0" applyNumberFormat="1" applyFont="1" applyFill="1" applyBorder="1" applyAlignment="1" applyProtection="1">
      <alignment horizontal="left"/>
      <protection locked="0"/>
    </xf>
    <xf numFmtId="164" fontId="10" fillId="5" borderId="14" xfId="4" applyNumberFormat="1" applyFont="1" applyFill="1" applyBorder="1" applyAlignment="1" applyProtection="1">
      <alignment horizontal="left"/>
      <protection locked="0"/>
    </xf>
    <xf numFmtId="0" fontId="10" fillId="5" borderId="14" xfId="0" applyFont="1" applyFill="1" applyBorder="1" applyAlignment="1" applyProtection="1">
      <alignment horizontal="left"/>
      <protection locked="0"/>
    </xf>
    <xf numFmtId="0" fontId="10" fillId="4" borderId="0" xfId="0" applyFont="1" applyFill="1" applyBorder="1" applyAlignment="1" applyProtection="1"/>
    <xf numFmtId="173" fontId="10" fillId="4" borderId="0" xfId="0" applyNumberFormat="1" applyFont="1" applyFill="1" applyBorder="1" applyAlignment="1" applyProtection="1">
      <alignment horizontal="center"/>
    </xf>
    <xf numFmtId="0" fontId="10" fillId="4" borderId="0" xfId="0" applyNumberFormat="1" applyFont="1" applyFill="1" applyBorder="1" applyAlignment="1" applyProtection="1">
      <alignment horizontal="center"/>
    </xf>
    <xf numFmtId="171" fontId="10" fillId="4" borderId="0" xfId="0" applyNumberFormat="1" applyFont="1" applyFill="1" applyBorder="1" applyProtection="1"/>
    <xf numFmtId="169" fontId="10" fillId="4" borderId="0" xfId="0" applyNumberFormat="1" applyFont="1" applyFill="1" applyBorder="1" applyProtection="1"/>
    <xf numFmtId="0" fontId="28" fillId="4" borderId="0" xfId="0" applyFont="1" applyFill="1" applyBorder="1" applyProtection="1"/>
    <xf numFmtId="0" fontId="28" fillId="4" borderId="0" xfId="0" applyNumberFormat="1" applyFont="1" applyFill="1" applyBorder="1" applyAlignment="1" applyProtection="1">
      <alignment horizontal="center"/>
    </xf>
    <xf numFmtId="171" fontId="28" fillId="4" borderId="0" xfId="0" applyNumberFormat="1" applyFont="1" applyFill="1" applyBorder="1" applyAlignment="1" applyProtection="1">
      <alignment horizontal="center"/>
    </xf>
    <xf numFmtId="171" fontId="28" fillId="4" borderId="0" xfId="0" applyNumberFormat="1" applyFont="1" applyFill="1" applyBorder="1" applyProtection="1"/>
    <xf numFmtId="1" fontId="28" fillId="4" borderId="0" xfId="0" applyNumberFormat="1" applyFont="1" applyFill="1" applyBorder="1" applyProtection="1"/>
    <xf numFmtId="0" fontId="14" fillId="4" borderId="0" xfId="0" applyFont="1" applyFill="1" applyBorder="1" applyProtection="1"/>
    <xf numFmtId="0" fontId="14" fillId="4" borderId="0" xfId="0" applyNumberFormat="1" applyFont="1" applyFill="1" applyBorder="1" applyAlignment="1" applyProtection="1">
      <alignment horizontal="center"/>
    </xf>
    <xf numFmtId="171" fontId="14" fillId="4" borderId="0" xfId="0" applyNumberFormat="1" applyFont="1" applyFill="1" applyBorder="1" applyAlignment="1" applyProtection="1">
      <alignment horizontal="center"/>
    </xf>
    <xf numFmtId="171" fontId="14" fillId="4" borderId="0" xfId="0" applyNumberFormat="1" applyFont="1" applyFill="1" applyBorder="1" applyProtection="1"/>
    <xf numFmtId="1" fontId="14" fillId="4" borderId="0" xfId="0" applyNumberFormat="1" applyFont="1" applyFill="1" applyBorder="1" applyProtection="1"/>
    <xf numFmtId="1" fontId="10" fillId="4" borderId="0" xfId="0" applyNumberFormat="1" applyFont="1" applyFill="1" applyBorder="1" applyProtection="1"/>
    <xf numFmtId="0" fontId="16" fillId="4" borderId="0" xfId="0" applyFont="1" applyFill="1" applyBorder="1" applyProtection="1"/>
    <xf numFmtId="0" fontId="16" fillId="4" borderId="0" xfId="0" applyNumberFormat="1" applyFont="1" applyFill="1" applyBorder="1" applyAlignment="1" applyProtection="1">
      <alignment horizontal="center"/>
    </xf>
    <xf numFmtId="171" fontId="16" fillId="4" borderId="0" xfId="0" applyNumberFormat="1" applyFont="1" applyFill="1" applyBorder="1" applyAlignment="1" applyProtection="1">
      <alignment horizontal="center"/>
    </xf>
    <xf numFmtId="171" fontId="16" fillId="4" borderId="0" xfId="0" applyNumberFormat="1" applyFont="1" applyFill="1" applyBorder="1" applyProtection="1"/>
    <xf numFmtId="1" fontId="16" fillId="4" borderId="0" xfId="0" applyNumberFormat="1" applyFont="1" applyFill="1" applyBorder="1" applyProtection="1"/>
    <xf numFmtId="172" fontId="11" fillId="4" borderId="0" xfId="0" applyNumberFormat="1" applyFont="1" applyFill="1" applyBorder="1" applyAlignment="1" applyProtection="1">
      <alignment horizontal="left"/>
    </xf>
    <xf numFmtId="0" fontId="12" fillId="4" borderId="0" xfId="0" applyFont="1" applyFill="1" applyBorder="1" applyAlignment="1" applyProtection="1">
      <alignment horizontal="left"/>
    </xf>
    <xf numFmtId="167" fontId="10" fillId="4" borderId="0" xfId="4" applyNumberFormat="1" applyFont="1" applyFill="1" applyBorder="1" applyProtection="1"/>
    <xf numFmtId="171" fontId="10" fillId="4" borderId="0" xfId="4" applyNumberFormat="1" applyFont="1" applyFill="1" applyBorder="1" applyAlignment="1" applyProtection="1">
      <alignment horizontal="center"/>
    </xf>
    <xf numFmtId="0" fontId="11" fillId="4" borderId="0" xfId="0" applyNumberFormat="1" applyFont="1" applyFill="1" applyBorder="1" applyProtection="1"/>
    <xf numFmtId="167" fontId="11" fillId="4" borderId="0" xfId="0" applyNumberFormat="1" applyFont="1" applyFill="1" applyBorder="1" applyProtection="1"/>
    <xf numFmtId="0" fontId="40" fillId="4" borderId="0" xfId="0" applyFont="1" applyFill="1" applyBorder="1" applyProtection="1"/>
    <xf numFmtId="167" fontId="40" fillId="4" borderId="0" xfId="4" applyNumberFormat="1" applyFont="1" applyFill="1" applyBorder="1" applyProtection="1"/>
    <xf numFmtId="0" fontId="10" fillId="5" borderId="3" xfId="0" applyFont="1" applyFill="1" applyBorder="1" applyAlignment="1" applyProtection="1"/>
    <xf numFmtId="173" fontId="10" fillId="5" borderId="3" xfId="0" applyNumberFormat="1" applyFont="1" applyFill="1" applyBorder="1" applyAlignment="1" applyProtection="1">
      <alignment horizontal="center"/>
    </xf>
    <xf numFmtId="0" fontId="10" fillId="5" borderId="3" xfId="0" applyNumberFormat="1" applyFont="1" applyFill="1" applyBorder="1" applyAlignment="1" applyProtection="1">
      <alignment horizontal="center"/>
    </xf>
    <xf numFmtId="171" fontId="10" fillId="5" borderId="3" xfId="0" applyNumberFormat="1" applyFont="1" applyFill="1" applyBorder="1" applyAlignment="1" applyProtection="1">
      <alignment horizontal="center"/>
    </xf>
    <xf numFmtId="164" fontId="10" fillId="5" borderId="3" xfId="0" applyNumberFormat="1" applyFont="1" applyFill="1" applyBorder="1" applyProtection="1"/>
    <xf numFmtId="167" fontId="10" fillId="5" borderId="3" xfId="0" applyNumberFormat="1" applyFont="1" applyFill="1" applyBorder="1" applyProtection="1"/>
    <xf numFmtId="0" fontId="10" fillId="5" borderId="0" xfId="0" applyFont="1" applyFill="1" applyBorder="1" applyAlignment="1" applyProtection="1"/>
    <xf numFmtId="173" fontId="10" fillId="5" borderId="0" xfId="0" applyNumberFormat="1" applyFont="1" applyFill="1" applyBorder="1" applyAlignment="1" applyProtection="1">
      <alignment horizontal="center"/>
    </xf>
    <xf numFmtId="0" fontId="10" fillId="5" borderId="0" xfId="0" applyNumberFormat="1" applyFont="1" applyFill="1" applyBorder="1" applyAlignment="1" applyProtection="1">
      <alignment horizontal="center"/>
    </xf>
    <xf numFmtId="171" fontId="10" fillId="5" borderId="0" xfId="0" applyNumberFormat="1" applyFont="1" applyFill="1" applyBorder="1" applyAlignment="1" applyProtection="1">
      <alignment horizontal="center"/>
    </xf>
    <xf numFmtId="164" fontId="10" fillId="5" borderId="0" xfId="0" applyNumberFormat="1" applyFont="1" applyFill="1" applyBorder="1" applyProtection="1"/>
    <xf numFmtId="167" fontId="10" fillId="5" borderId="0" xfId="0" applyNumberFormat="1" applyFont="1" applyFill="1" applyBorder="1" applyProtection="1"/>
    <xf numFmtId="0" fontId="26" fillId="5" borderId="0" xfId="0" applyFont="1" applyFill="1" applyBorder="1" applyAlignment="1" applyProtection="1">
      <alignment horizontal="left"/>
    </xf>
    <xf numFmtId="0" fontId="28" fillId="5" borderId="0" xfId="0" applyFont="1" applyFill="1" applyBorder="1" applyAlignment="1" applyProtection="1"/>
    <xf numFmtId="0" fontId="28" fillId="5" borderId="0" xfId="0" applyFont="1" applyFill="1" applyBorder="1" applyAlignment="1" applyProtection="1">
      <alignment horizontal="left"/>
    </xf>
    <xf numFmtId="0" fontId="28" fillId="5" borderId="0" xfId="0" applyFont="1" applyFill="1" applyBorder="1" applyAlignment="1" applyProtection="1">
      <alignment horizontal="center"/>
    </xf>
    <xf numFmtId="173" fontId="28" fillId="5" borderId="0" xfId="0" applyNumberFormat="1" applyFont="1" applyFill="1" applyBorder="1" applyAlignment="1" applyProtection="1">
      <alignment horizontal="center"/>
    </xf>
    <xf numFmtId="0" fontId="28" fillId="5" borderId="0" xfId="0" applyNumberFormat="1" applyFont="1" applyFill="1" applyBorder="1" applyAlignment="1" applyProtection="1">
      <alignment horizontal="center"/>
    </xf>
    <xf numFmtId="171" fontId="28" fillId="5" borderId="0" xfId="0" applyNumberFormat="1" applyFont="1" applyFill="1" applyBorder="1" applyAlignment="1" applyProtection="1">
      <alignment horizontal="center"/>
    </xf>
    <xf numFmtId="0" fontId="28" fillId="5" borderId="0" xfId="0" applyFont="1" applyFill="1" applyBorder="1" applyProtection="1"/>
    <xf numFmtId="164" fontId="28" fillId="5" borderId="0" xfId="0" applyNumberFormat="1" applyFont="1" applyFill="1" applyBorder="1" applyProtection="1"/>
    <xf numFmtId="0" fontId="28" fillId="5" borderId="6" xfId="0" applyFont="1" applyFill="1" applyBorder="1" applyProtection="1"/>
    <xf numFmtId="0" fontId="38" fillId="5" borderId="5" xfId="0" applyFont="1" applyFill="1" applyBorder="1" applyAlignment="1" applyProtection="1">
      <alignment horizontal="left"/>
    </xf>
    <xf numFmtId="0" fontId="21" fillId="5" borderId="0" xfId="0" applyFont="1" applyFill="1" applyBorder="1" applyAlignment="1" applyProtection="1">
      <alignment horizontal="left"/>
    </xf>
    <xf numFmtId="0" fontId="14" fillId="5" borderId="0" xfId="0" applyFont="1" applyFill="1" applyBorder="1" applyAlignment="1" applyProtection="1"/>
    <xf numFmtId="0" fontId="14" fillId="5" borderId="0" xfId="0" applyFont="1" applyFill="1" applyBorder="1" applyAlignment="1" applyProtection="1">
      <alignment horizontal="left"/>
    </xf>
    <xf numFmtId="0" fontId="14" fillId="5" borderId="0" xfId="0" applyFont="1" applyFill="1" applyBorder="1" applyAlignment="1" applyProtection="1">
      <alignment horizontal="center"/>
    </xf>
    <xf numFmtId="173" fontId="14" fillId="5" borderId="0" xfId="0" applyNumberFormat="1" applyFont="1" applyFill="1" applyBorder="1" applyAlignment="1" applyProtection="1">
      <alignment horizontal="center"/>
    </xf>
    <xf numFmtId="0" fontId="14" fillId="5" borderId="0" xfId="0" applyNumberFormat="1" applyFont="1" applyFill="1" applyBorder="1" applyAlignment="1" applyProtection="1">
      <alignment horizontal="center"/>
    </xf>
    <xf numFmtId="171" fontId="14" fillId="5" borderId="0" xfId="0" applyNumberFormat="1" applyFont="1" applyFill="1" applyBorder="1" applyAlignment="1" applyProtection="1">
      <alignment horizontal="center"/>
    </xf>
    <xf numFmtId="0" fontId="14" fillId="5" borderId="0" xfId="0" applyFont="1" applyFill="1" applyBorder="1" applyProtection="1"/>
    <xf numFmtId="164" fontId="14" fillId="5" borderId="0" xfId="0" applyNumberFormat="1" applyFont="1" applyFill="1" applyBorder="1" applyProtection="1"/>
    <xf numFmtId="0" fontId="14" fillId="5" borderId="6" xfId="0" applyFont="1" applyFill="1" applyBorder="1" applyProtection="1"/>
    <xf numFmtId="0" fontId="16" fillId="5" borderId="5" xfId="0" applyFont="1" applyFill="1" applyBorder="1" applyProtection="1"/>
    <xf numFmtId="0" fontId="16" fillId="5" borderId="0" xfId="0" applyFont="1" applyFill="1" applyBorder="1" applyProtection="1"/>
    <xf numFmtId="0" fontId="20" fillId="5" borderId="0" xfId="0" applyFont="1" applyFill="1" applyBorder="1" applyAlignment="1" applyProtection="1"/>
    <xf numFmtId="172" fontId="18" fillId="5" borderId="0" xfId="0" applyNumberFormat="1" applyFont="1" applyFill="1" applyBorder="1" applyAlignment="1" applyProtection="1">
      <alignment horizontal="left"/>
    </xf>
    <xf numFmtId="0" fontId="15" fillId="5" borderId="0" xfId="0" applyFont="1" applyFill="1" applyBorder="1" applyAlignment="1" applyProtection="1">
      <alignment horizontal="center"/>
    </xf>
    <xf numFmtId="173" fontId="15" fillId="5" borderId="0" xfId="0" applyNumberFormat="1" applyFont="1" applyFill="1" applyBorder="1" applyAlignment="1" applyProtection="1">
      <alignment horizontal="center"/>
    </xf>
    <xf numFmtId="0" fontId="16" fillId="5" borderId="0" xfId="0" applyNumberFormat="1" applyFont="1" applyFill="1" applyBorder="1" applyAlignment="1" applyProtection="1">
      <alignment horizontal="center"/>
    </xf>
    <xf numFmtId="171" fontId="16" fillId="5" borderId="0" xfId="0" applyNumberFormat="1" applyFont="1" applyFill="1" applyBorder="1" applyAlignment="1" applyProtection="1">
      <alignment horizontal="center"/>
    </xf>
    <xf numFmtId="164" fontId="16" fillId="5" borderId="0" xfId="0" applyNumberFormat="1" applyFont="1" applyFill="1" applyBorder="1" applyProtection="1"/>
    <xf numFmtId="0" fontId="16" fillId="5" borderId="6" xfId="0" applyFont="1" applyFill="1" applyBorder="1" applyProtection="1"/>
    <xf numFmtId="172" fontId="11" fillId="5" borderId="0" xfId="0" applyNumberFormat="1" applyFont="1" applyFill="1" applyBorder="1" applyAlignment="1" applyProtection="1">
      <alignment horizontal="left"/>
    </xf>
    <xf numFmtId="173" fontId="12" fillId="5" borderId="0" xfId="0" applyNumberFormat="1" applyFont="1" applyFill="1" applyBorder="1" applyAlignment="1" applyProtection="1">
      <alignment horizontal="center"/>
    </xf>
    <xf numFmtId="0" fontId="18" fillId="5" borderId="0" xfId="0" applyFont="1" applyFill="1" applyBorder="1" applyAlignment="1" applyProtection="1">
      <alignment horizontal="left"/>
    </xf>
    <xf numFmtId="0" fontId="39" fillId="5" borderId="6" xfId="0" applyNumberFormat="1" applyFont="1" applyFill="1" applyBorder="1" applyProtection="1"/>
    <xf numFmtId="164" fontId="11" fillId="5" borderId="0" xfId="0" applyNumberFormat="1" applyFont="1" applyFill="1" applyBorder="1" applyProtection="1"/>
    <xf numFmtId="0" fontId="11" fillId="5" borderId="6" xfId="0" applyNumberFormat="1" applyFont="1" applyFill="1" applyBorder="1" applyProtection="1"/>
    <xf numFmtId="0" fontId="40" fillId="5" borderId="5" xfId="0" applyFont="1" applyFill="1" applyBorder="1" applyProtection="1"/>
    <xf numFmtId="0" fontId="40" fillId="5" borderId="6" xfId="0" applyFont="1" applyFill="1" applyBorder="1" applyProtection="1"/>
    <xf numFmtId="0" fontId="10" fillId="5" borderId="8" xfId="0" applyFont="1" applyFill="1" applyBorder="1" applyAlignment="1" applyProtection="1"/>
    <xf numFmtId="173" fontId="10" fillId="5" borderId="8" xfId="0" applyNumberFormat="1" applyFont="1" applyFill="1" applyBorder="1" applyAlignment="1" applyProtection="1">
      <alignment horizontal="center"/>
    </xf>
    <xf numFmtId="0" fontId="10" fillId="5" borderId="8" xfId="0" applyNumberFormat="1" applyFont="1" applyFill="1" applyBorder="1" applyAlignment="1" applyProtection="1">
      <alignment horizontal="center"/>
    </xf>
    <xf numFmtId="171" fontId="10" fillId="5" borderId="8" xfId="4" applyNumberFormat="1" applyFont="1" applyFill="1" applyBorder="1" applyAlignment="1" applyProtection="1">
      <alignment horizontal="center"/>
    </xf>
    <xf numFmtId="171" fontId="10" fillId="5" borderId="8" xfId="0" applyNumberFormat="1" applyFont="1" applyFill="1" applyBorder="1" applyAlignment="1" applyProtection="1">
      <alignment horizontal="center"/>
    </xf>
    <xf numFmtId="167" fontId="10" fillId="5" borderId="8" xfId="4" applyNumberFormat="1" applyFont="1" applyFill="1" applyBorder="1" applyProtection="1"/>
    <xf numFmtId="164" fontId="10" fillId="5" borderId="8" xfId="0" applyNumberFormat="1" applyFont="1" applyFill="1" applyBorder="1" applyAlignment="1" applyProtection="1">
      <alignment horizontal="center"/>
    </xf>
    <xf numFmtId="0" fontId="10" fillId="5" borderId="14" xfId="0" applyFont="1" applyFill="1" applyBorder="1" applyAlignment="1" applyProtection="1">
      <protection locked="0"/>
    </xf>
    <xf numFmtId="173" fontId="10" fillId="5" borderId="14" xfId="0" applyNumberFormat="1" applyFont="1" applyFill="1" applyBorder="1" applyAlignment="1" applyProtection="1">
      <alignment horizontal="center"/>
      <protection locked="0"/>
    </xf>
    <xf numFmtId="0" fontId="10" fillId="5" borderId="14" xfId="0" applyNumberFormat="1" applyFont="1" applyFill="1" applyBorder="1" applyAlignment="1" applyProtection="1">
      <alignment horizontal="center"/>
      <protection locked="0"/>
    </xf>
    <xf numFmtId="171" fontId="10" fillId="5" borderId="14" xfId="4" applyNumberFormat="1" applyFont="1" applyFill="1" applyBorder="1" applyAlignment="1" applyProtection="1">
      <alignment horizontal="center"/>
      <protection locked="0"/>
    </xf>
    <xf numFmtId="0" fontId="10" fillId="4" borderId="11" xfId="0" applyFont="1" applyFill="1" applyBorder="1" applyAlignment="1" applyProtection="1"/>
    <xf numFmtId="0" fontId="12" fillId="4" borderId="11" xfId="0" applyFont="1" applyFill="1" applyBorder="1" applyAlignment="1" applyProtection="1">
      <alignment horizontal="left"/>
    </xf>
    <xf numFmtId="0" fontId="10" fillId="4" borderId="11" xfId="0" applyFont="1" applyFill="1" applyBorder="1" applyAlignment="1" applyProtection="1">
      <alignment horizontal="left"/>
    </xf>
    <xf numFmtId="173" fontId="10" fillId="4" borderId="11" xfId="0" applyNumberFormat="1" applyFont="1" applyFill="1" applyBorder="1" applyAlignment="1" applyProtection="1">
      <alignment horizontal="center"/>
    </xf>
    <xf numFmtId="0" fontId="10" fillId="4" borderId="11" xfId="0" applyNumberFormat="1" applyFont="1" applyFill="1" applyBorder="1" applyAlignment="1" applyProtection="1">
      <alignment horizontal="center"/>
    </xf>
    <xf numFmtId="171" fontId="10" fillId="4" borderId="11" xfId="0" applyNumberFormat="1" applyFont="1" applyFill="1" applyBorder="1" applyAlignment="1" applyProtection="1">
      <alignment horizontal="center"/>
    </xf>
    <xf numFmtId="164" fontId="10" fillId="4" borderId="11" xfId="0" applyNumberFormat="1" applyFont="1" applyFill="1" applyBorder="1" applyProtection="1"/>
    <xf numFmtId="167" fontId="10" fillId="4" borderId="11" xfId="0" applyNumberFormat="1" applyFont="1" applyFill="1" applyBorder="1" applyProtection="1"/>
    <xf numFmtId="1" fontId="19" fillId="4" borderId="14" xfId="0" applyNumberFormat="1" applyFont="1" applyFill="1" applyBorder="1" applyAlignment="1" applyProtection="1">
      <alignment horizontal="center"/>
    </xf>
    <xf numFmtId="0" fontId="19" fillId="4" borderId="14" xfId="0" applyNumberFormat="1" applyFont="1" applyFill="1" applyBorder="1" applyAlignment="1" applyProtection="1">
      <alignment horizontal="center"/>
    </xf>
    <xf numFmtId="171" fontId="19" fillId="4" borderId="14" xfId="0" applyNumberFormat="1" applyFont="1" applyFill="1" applyBorder="1" applyAlignment="1" applyProtection="1">
      <alignment horizontal="center"/>
    </xf>
    <xf numFmtId="164" fontId="19" fillId="4" borderId="14" xfId="0" applyNumberFormat="1" applyFont="1" applyFill="1" applyBorder="1" applyAlignment="1" applyProtection="1">
      <alignment horizontal="center"/>
    </xf>
    <xf numFmtId="0" fontId="10" fillId="4" borderId="14" xfId="0" applyNumberFormat="1" applyFont="1" applyFill="1" applyBorder="1" applyAlignment="1" applyProtection="1">
      <alignment horizontal="center"/>
      <protection locked="0"/>
    </xf>
    <xf numFmtId="0" fontId="10" fillId="4" borderId="14" xfId="0" applyNumberFormat="1" applyFont="1" applyFill="1" applyBorder="1" applyAlignment="1" applyProtection="1">
      <alignment horizontal="center"/>
    </xf>
    <xf numFmtId="0" fontId="10" fillId="4" borderId="15" xfId="0" applyNumberFormat="1" applyFont="1" applyFill="1" applyBorder="1" applyProtection="1"/>
    <xf numFmtId="171" fontId="11" fillId="4" borderId="14" xfId="0" applyNumberFormat="1" applyFont="1" applyFill="1" applyBorder="1" applyAlignment="1" applyProtection="1">
      <alignment horizontal="center"/>
    </xf>
    <xf numFmtId="173" fontId="11" fillId="4" borderId="14" xfId="0" applyNumberFormat="1" applyFont="1" applyFill="1" applyBorder="1" applyAlignment="1" applyProtection="1">
      <alignment horizontal="center"/>
    </xf>
    <xf numFmtId="0" fontId="10" fillId="4" borderId="17" xfId="0" applyFont="1" applyFill="1" applyBorder="1" applyAlignment="1" applyProtection="1"/>
    <xf numFmtId="173" fontId="10" fillId="4" borderId="17" xfId="0" applyNumberFormat="1" applyFont="1" applyFill="1" applyBorder="1" applyAlignment="1" applyProtection="1">
      <alignment horizontal="center"/>
    </xf>
    <xf numFmtId="0" fontId="10" fillId="4" borderId="17" xfId="0" applyNumberFormat="1" applyFont="1" applyFill="1" applyBorder="1" applyAlignment="1" applyProtection="1">
      <alignment horizontal="center"/>
    </xf>
    <xf numFmtId="171" fontId="10" fillId="4" borderId="17" xfId="0" applyNumberFormat="1" applyFont="1" applyFill="1" applyBorder="1" applyAlignment="1" applyProtection="1">
      <alignment horizontal="center"/>
    </xf>
    <xf numFmtId="167" fontId="11" fillId="4" borderId="17" xfId="0" applyNumberFormat="1" applyFont="1" applyFill="1" applyBorder="1" applyProtection="1"/>
    <xf numFmtId="164" fontId="11" fillId="4" borderId="17" xfId="0" applyNumberFormat="1" applyFont="1" applyFill="1" applyBorder="1" applyProtection="1"/>
    <xf numFmtId="0" fontId="10" fillId="4" borderId="18" xfId="0" applyNumberFormat="1" applyFont="1" applyFill="1" applyBorder="1" applyProtection="1"/>
    <xf numFmtId="0" fontId="50" fillId="5" borderId="5" xfId="0" applyFont="1" applyFill="1" applyBorder="1" applyAlignment="1" applyProtection="1">
      <alignment horizontal="center"/>
    </xf>
    <xf numFmtId="0" fontId="50" fillId="4" borderId="13" xfId="0" applyFont="1" applyFill="1" applyBorder="1" applyAlignment="1" applyProtection="1">
      <alignment horizontal="center"/>
    </xf>
    <xf numFmtId="167" fontId="50" fillId="5" borderId="6" xfId="0" applyNumberFormat="1" applyFont="1" applyFill="1" applyBorder="1" applyAlignment="1" applyProtection="1">
      <alignment horizontal="center"/>
    </xf>
    <xf numFmtId="167" fontId="50" fillId="4" borderId="0" xfId="0" applyNumberFormat="1" applyFont="1" applyFill="1" applyBorder="1" applyAlignment="1" applyProtection="1">
      <alignment horizontal="center"/>
    </xf>
    <xf numFmtId="0" fontId="53" fillId="4" borderId="14" xfId="0" applyNumberFormat="1" applyFont="1" applyFill="1" applyBorder="1" applyAlignment="1" applyProtection="1">
      <alignment horizontal="center"/>
    </xf>
    <xf numFmtId="167" fontId="53" fillId="5" borderId="6" xfId="0" applyNumberFormat="1" applyFont="1" applyFill="1" applyBorder="1" applyAlignment="1" applyProtection="1">
      <alignment horizontal="center"/>
    </xf>
    <xf numFmtId="167" fontId="53" fillId="4" borderId="0" xfId="0" applyNumberFormat="1" applyFont="1" applyFill="1" applyBorder="1" applyAlignment="1" applyProtection="1">
      <alignment horizontal="center"/>
    </xf>
    <xf numFmtId="167" fontId="50" fillId="4" borderId="0" xfId="4" applyNumberFormat="1" applyFont="1" applyFill="1" applyBorder="1" applyAlignment="1" applyProtection="1">
      <alignment horizontal="center"/>
    </xf>
    <xf numFmtId="0" fontId="6" fillId="5" borderId="14" xfId="0" applyFont="1" applyFill="1" applyBorder="1" applyAlignment="1" applyProtection="1">
      <alignment horizontal="left"/>
      <protection locked="0"/>
    </xf>
    <xf numFmtId="0" fontId="6" fillId="5" borderId="14" xfId="0" applyNumberFormat="1" applyFont="1" applyFill="1" applyBorder="1" applyAlignment="1" applyProtection="1">
      <alignment horizontal="center"/>
      <protection locked="0"/>
    </xf>
    <xf numFmtId="0" fontId="45" fillId="5" borderId="3" xfId="0" applyFont="1" applyFill="1" applyBorder="1" applyProtection="1"/>
    <xf numFmtId="0" fontId="63" fillId="5" borderId="0" xfId="0" applyFont="1" applyFill="1" applyBorder="1" applyProtection="1"/>
    <xf numFmtId="0" fontId="64" fillId="5" borderId="0" xfId="0" applyFont="1" applyFill="1" applyBorder="1" applyProtection="1"/>
    <xf numFmtId="0" fontId="45" fillId="4" borderId="11" xfId="0" applyFont="1" applyFill="1" applyBorder="1" applyProtection="1"/>
    <xf numFmtId="167" fontId="46" fillId="4" borderId="17" xfId="0" applyNumberFormat="1" applyFont="1" applyFill="1" applyBorder="1" applyProtection="1"/>
    <xf numFmtId="167" fontId="46" fillId="5" borderId="0" xfId="0" applyNumberFormat="1" applyFont="1" applyFill="1" applyBorder="1" applyProtection="1"/>
    <xf numFmtId="167" fontId="45" fillId="5" borderId="8" xfId="4" applyNumberFormat="1" applyFont="1" applyFill="1" applyBorder="1" applyProtection="1"/>
    <xf numFmtId="167" fontId="45" fillId="4" borderId="0" xfId="4" applyNumberFormat="1" applyFont="1" applyFill="1" applyBorder="1" applyProtection="1"/>
    <xf numFmtId="0" fontId="13" fillId="4" borderId="0" xfId="0" applyFont="1" applyFill="1" applyBorder="1" applyAlignment="1" applyProtection="1">
      <alignment horizontal="left"/>
    </xf>
    <xf numFmtId="0" fontId="13" fillId="4" borderId="0" xfId="0" applyFont="1" applyFill="1" applyBorder="1" applyAlignment="1" applyProtection="1">
      <alignment horizontal="center"/>
    </xf>
    <xf numFmtId="173" fontId="13" fillId="4" borderId="0" xfId="0" applyNumberFormat="1" applyFont="1" applyFill="1" applyBorder="1" applyAlignment="1" applyProtection="1">
      <alignment horizontal="center"/>
    </xf>
    <xf numFmtId="0" fontId="13" fillId="4" borderId="0" xfId="0" applyNumberFormat="1" applyFont="1" applyFill="1" applyBorder="1" applyAlignment="1" applyProtection="1">
      <alignment horizontal="center"/>
    </xf>
    <xf numFmtId="175" fontId="13" fillId="4" borderId="0" xfId="0" applyNumberFormat="1" applyFont="1" applyFill="1" applyBorder="1" applyAlignment="1" applyProtection="1">
      <alignment horizontal="center"/>
    </xf>
    <xf numFmtId="164" fontId="13" fillId="4" borderId="0" xfId="0" applyNumberFormat="1" applyFont="1" applyFill="1" applyBorder="1" applyAlignment="1" applyProtection="1">
      <alignment horizontal="right"/>
    </xf>
    <xf numFmtId="14" fontId="10" fillId="4" borderId="0" xfId="0" applyNumberFormat="1" applyFont="1" applyFill="1" applyBorder="1" applyAlignment="1" applyProtection="1">
      <alignment horizontal="center"/>
    </xf>
    <xf numFmtId="167" fontId="25" fillId="4" borderId="0" xfId="0" applyNumberFormat="1" applyFont="1" applyFill="1" applyBorder="1" applyProtection="1"/>
    <xf numFmtId="167" fontId="40" fillId="4" borderId="0" xfId="0" applyNumberFormat="1" applyFont="1" applyFill="1" applyBorder="1" applyProtection="1"/>
    <xf numFmtId="0" fontId="12" fillId="4" borderId="0" xfId="0" applyFont="1" applyFill="1" applyBorder="1" applyAlignment="1" applyProtection="1">
      <alignment horizontal="right"/>
    </xf>
    <xf numFmtId="165" fontId="19" fillId="4" borderId="0" xfId="4" applyNumberFormat="1" applyFont="1" applyFill="1" applyBorder="1" applyProtection="1"/>
    <xf numFmtId="0" fontId="7" fillId="4" borderId="0" xfId="0" applyFont="1" applyFill="1" applyBorder="1" applyProtection="1"/>
    <xf numFmtId="0" fontId="6" fillId="4" borderId="0" xfId="0" applyFont="1" applyFill="1" applyBorder="1" applyProtection="1"/>
    <xf numFmtId="0" fontId="10" fillId="4" borderId="0" xfId="0" applyFont="1" applyFill="1" applyBorder="1"/>
    <xf numFmtId="0" fontId="25" fillId="4" borderId="0" xfId="0" applyFont="1" applyFill="1" applyBorder="1"/>
    <xf numFmtId="0" fontId="38" fillId="4" borderId="0" xfId="0" applyFont="1" applyFill="1" applyBorder="1"/>
    <xf numFmtId="0" fontId="35" fillId="4" borderId="0" xfId="0" applyFont="1" applyFill="1" applyBorder="1" applyProtection="1"/>
    <xf numFmtId="164" fontId="25" fillId="4" borderId="0" xfId="0" applyNumberFormat="1" applyFont="1" applyFill="1" applyBorder="1" applyProtection="1"/>
    <xf numFmtId="0" fontId="7" fillId="4" borderId="0" xfId="0" applyFont="1" applyFill="1" applyBorder="1" applyAlignment="1" applyProtection="1">
      <alignment horizontal="left"/>
    </xf>
    <xf numFmtId="0" fontId="6" fillId="4" borderId="0" xfId="0" applyNumberFormat="1" applyFont="1" applyFill="1" applyBorder="1" applyProtection="1"/>
    <xf numFmtId="0" fontId="6" fillId="5" borderId="2" xfId="0" applyFont="1" applyFill="1" applyBorder="1" applyProtection="1"/>
    <xf numFmtId="0" fontId="6" fillId="5" borderId="3" xfId="0" applyFont="1" applyFill="1" applyBorder="1" applyProtection="1"/>
    <xf numFmtId="0" fontId="6" fillId="5" borderId="3" xfId="0" applyNumberFormat="1" applyFont="1" applyFill="1" applyBorder="1" applyProtection="1"/>
    <xf numFmtId="0" fontId="6" fillId="5" borderId="4" xfId="0" applyFont="1" applyFill="1" applyBorder="1" applyProtection="1"/>
    <xf numFmtId="0" fontId="6" fillId="5" borderId="5" xfId="0" applyFont="1" applyFill="1" applyBorder="1" applyProtection="1"/>
    <xf numFmtId="0" fontId="6" fillId="5" borderId="0" xfId="0" applyFont="1" applyFill="1" applyBorder="1" applyProtection="1"/>
    <xf numFmtId="0" fontId="6" fillId="5" borderId="0" xfId="0" applyNumberFormat="1" applyFont="1" applyFill="1" applyBorder="1" applyProtection="1"/>
    <xf numFmtId="0" fontId="6" fillId="5" borderId="6" xfId="0" applyFont="1" applyFill="1" applyBorder="1" applyProtection="1"/>
    <xf numFmtId="0" fontId="26" fillId="5" borderId="5" xfId="0" applyFont="1" applyFill="1" applyBorder="1" applyProtection="1"/>
    <xf numFmtId="0" fontId="35" fillId="5" borderId="0" xfId="0" applyFont="1" applyFill="1" applyBorder="1" applyProtection="1"/>
    <xf numFmtId="0" fontId="21" fillId="5" borderId="6" xfId="0" applyFont="1" applyFill="1" applyBorder="1" applyProtection="1"/>
    <xf numFmtId="0" fontId="8" fillId="5" borderId="0" xfId="0" applyFont="1" applyFill="1" applyBorder="1" applyAlignment="1" applyProtection="1">
      <alignment horizontal="right"/>
    </xf>
    <xf numFmtId="0" fontId="30" fillId="5" borderId="0" xfId="0" applyFont="1" applyFill="1" applyBorder="1" applyProtection="1"/>
    <xf numFmtId="0" fontId="8" fillId="5" borderId="5" xfId="0" applyFont="1" applyFill="1" applyBorder="1" applyAlignment="1" applyProtection="1">
      <alignment horizontal="right"/>
    </xf>
    <xf numFmtId="0" fontId="36" fillId="5" borderId="5" xfId="0" applyFont="1" applyFill="1" applyBorder="1" applyProtection="1"/>
    <xf numFmtId="0" fontId="33" fillId="5" borderId="0" xfId="0" applyNumberFormat="1" applyFont="1" applyFill="1" applyBorder="1" applyAlignment="1" applyProtection="1">
      <alignment horizontal="right"/>
    </xf>
    <xf numFmtId="0" fontId="8" fillId="4" borderId="0" xfId="0" applyFont="1" applyFill="1" applyBorder="1" applyAlignment="1" applyProtection="1">
      <alignment horizontal="right"/>
    </xf>
    <xf numFmtId="0" fontId="6" fillId="4" borderId="10" xfId="0" applyFont="1" applyFill="1" applyBorder="1" applyProtection="1"/>
    <xf numFmtId="0" fontId="6" fillId="4" borderId="11" xfId="0" applyFont="1" applyFill="1" applyBorder="1" applyProtection="1"/>
    <xf numFmtId="164" fontId="6" fillId="4" borderId="11" xfId="0" applyNumberFormat="1" applyFont="1" applyFill="1" applyBorder="1" applyProtection="1"/>
    <xf numFmtId="0" fontId="6" fillId="4" borderId="12" xfId="0" applyFont="1" applyFill="1" applyBorder="1" applyProtection="1"/>
    <xf numFmtId="0" fontId="6" fillId="4" borderId="0" xfId="0" applyFont="1" applyFill="1" applyBorder="1" applyAlignment="1" applyProtection="1">
      <alignment horizontal="left" indent="2"/>
    </xf>
    <xf numFmtId="0" fontId="6" fillId="4" borderId="0" xfId="0" applyFont="1" applyFill="1" applyBorder="1" applyAlignment="1" applyProtection="1">
      <alignment horizontal="left"/>
    </xf>
    <xf numFmtId="0" fontId="6" fillId="4" borderId="0" xfId="0" applyFont="1" applyFill="1" applyBorder="1" applyAlignment="1" applyProtection="1">
      <alignment horizontal="right"/>
    </xf>
    <xf numFmtId="164" fontId="6" fillId="5" borderId="13" xfId="0" applyNumberFormat="1" applyFont="1" applyFill="1" applyBorder="1" applyProtection="1">
      <protection locked="0"/>
    </xf>
    <xf numFmtId="0" fontId="6" fillId="4" borderId="15" xfId="0" applyFont="1" applyFill="1" applyBorder="1" applyProtection="1"/>
    <xf numFmtId="0" fontId="7" fillId="4" borderId="0" xfId="0" applyFont="1" applyFill="1" applyBorder="1" applyAlignment="1" applyProtection="1">
      <alignment horizontal="right"/>
    </xf>
    <xf numFmtId="164" fontId="6" fillId="5" borderId="14" xfId="0" applyNumberFormat="1" applyFont="1" applyFill="1" applyBorder="1" applyProtection="1">
      <protection locked="0"/>
    </xf>
    <xf numFmtId="0" fontId="7" fillId="4" borderId="0" xfId="0" applyFont="1" applyFill="1" applyBorder="1" applyAlignment="1" applyProtection="1">
      <alignment horizontal="left" indent="2"/>
    </xf>
    <xf numFmtId="0" fontId="6" fillId="4" borderId="16" xfId="0" applyFont="1" applyFill="1" applyBorder="1" applyProtection="1"/>
    <xf numFmtId="0" fontId="6" fillId="4" borderId="17" xfId="0" applyFont="1" applyFill="1" applyBorder="1" applyProtection="1"/>
    <xf numFmtId="0" fontId="6" fillId="4" borderId="17" xfId="0" applyNumberFormat="1" applyFont="1" applyFill="1" applyBorder="1" applyProtection="1"/>
    <xf numFmtId="0" fontId="6" fillId="4" borderId="18" xfId="0" applyFont="1" applyFill="1" applyBorder="1" applyProtection="1"/>
    <xf numFmtId="0" fontId="33" fillId="5" borderId="5" xfId="0" applyFont="1" applyFill="1" applyBorder="1" applyAlignment="1" applyProtection="1">
      <alignment horizontal="right"/>
    </xf>
    <xf numFmtId="0" fontId="6" fillId="5" borderId="7" xfId="0" applyFont="1" applyFill="1" applyBorder="1" applyProtection="1"/>
    <xf numFmtId="0" fontId="6" fillId="5" borderId="8" xfId="0" applyFont="1" applyFill="1" applyBorder="1" applyProtection="1"/>
    <xf numFmtId="0" fontId="6" fillId="5" borderId="9" xfId="0" applyFont="1" applyFill="1" applyBorder="1" applyProtection="1"/>
    <xf numFmtId="0" fontId="6" fillId="4" borderId="0" xfId="0" applyFont="1" applyFill="1" applyProtection="1"/>
    <xf numFmtId="0" fontId="51" fillId="5" borderId="0" xfId="0" applyFont="1" applyFill="1" applyBorder="1" applyAlignment="1" applyProtection="1">
      <alignment horizontal="right"/>
    </xf>
    <xf numFmtId="0" fontId="19" fillId="4" borderId="10" xfId="0" applyFont="1" applyFill="1" applyBorder="1" applyAlignment="1" applyProtection="1">
      <alignment horizontal="center"/>
    </xf>
    <xf numFmtId="0" fontId="19" fillId="4" borderId="11" xfId="0" applyFont="1" applyFill="1" applyBorder="1" applyAlignment="1" applyProtection="1">
      <alignment horizontal="center"/>
    </xf>
    <xf numFmtId="0" fontId="19" fillId="4" borderId="11" xfId="0" applyNumberFormat="1" applyFont="1" applyFill="1" applyBorder="1" applyAlignment="1" applyProtection="1">
      <alignment horizontal="center"/>
    </xf>
    <xf numFmtId="0" fontId="19" fillId="4" borderId="12" xfId="0" applyFont="1" applyFill="1" applyBorder="1" applyAlignment="1" applyProtection="1">
      <alignment horizontal="center"/>
    </xf>
    <xf numFmtId="0" fontId="19" fillId="4" borderId="13" xfId="0" applyFont="1" applyFill="1" applyBorder="1" applyAlignment="1" applyProtection="1">
      <alignment horizontal="center"/>
    </xf>
    <xf numFmtId="0" fontId="19" fillId="4" borderId="15" xfId="0" applyFont="1" applyFill="1" applyBorder="1" applyAlignment="1" applyProtection="1">
      <alignment horizontal="center"/>
    </xf>
    <xf numFmtId="0" fontId="25" fillId="5" borderId="5" xfId="0" applyFont="1" applyFill="1" applyBorder="1" applyAlignment="1" applyProtection="1">
      <alignment horizontal="right"/>
    </xf>
    <xf numFmtId="0" fontId="25" fillId="5" borderId="0" xfId="0" applyFont="1" applyFill="1" applyBorder="1" applyAlignment="1" applyProtection="1">
      <alignment horizontal="right"/>
    </xf>
    <xf numFmtId="0" fontId="36" fillId="5" borderId="0" xfId="0" applyFont="1" applyFill="1" applyBorder="1" applyAlignment="1" applyProtection="1">
      <alignment horizontal="right"/>
    </xf>
    <xf numFmtId="0" fontId="34" fillId="5" borderId="5" xfId="0" applyFont="1" applyFill="1" applyBorder="1" applyProtection="1"/>
    <xf numFmtId="0" fontId="34" fillId="5" borderId="0" xfId="0" applyFont="1" applyFill="1" applyBorder="1" applyProtection="1"/>
    <xf numFmtId="0" fontId="33" fillId="5" borderId="0" xfId="0" applyFont="1" applyFill="1" applyBorder="1" applyProtection="1"/>
    <xf numFmtId="0" fontId="33" fillId="5" borderId="6" xfId="0" applyFont="1" applyFill="1" applyBorder="1" applyProtection="1"/>
    <xf numFmtId="0" fontId="6" fillId="5" borderId="5" xfId="0" applyFont="1" applyFill="1" applyBorder="1" applyAlignment="1" applyProtection="1">
      <alignment horizontal="right"/>
    </xf>
    <xf numFmtId="0" fontId="6" fillId="4" borderId="10" xfId="0" applyFont="1" applyFill="1" applyBorder="1" applyAlignment="1" applyProtection="1">
      <alignment horizontal="right"/>
    </xf>
    <xf numFmtId="0" fontId="7" fillId="4" borderId="11" xfId="0" applyFont="1" applyFill="1" applyBorder="1" applyAlignment="1" applyProtection="1">
      <alignment horizontal="left"/>
    </xf>
    <xf numFmtId="0" fontId="6" fillId="4" borderId="13" xfId="0" applyFont="1" applyFill="1" applyBorder="1" applyAlignment="1" applyProtection="1">
      <alignment horizontal="right"/>
    </xf>
    <xf numFmtId="0" fontId="6" fillId="4" borderId="14" xfId="0" applyFont="1" applyFill="1" applyBorder="1" applyAlignment="1" applyProtection="1">
      <alignment horizontal="left"/>
    </xf>
    <xf numFmtId="164" fontId="6" fillId="5" borderId="14" xfId="0" applyNumberFormat="1" applyFont="1" applyFill="1" applyBorder="1" applyAlignment="1" applyProtection="1">
      <alignment horizontal="center"/>
      <protection locked="0"/>
    </xf>
    <xf numFmtId="164" fontId="6" fillId="5" borderId="14" xfId="0" applyNumberFormat="1" applyFont="1" applyFill="1" applyBorder="1" applyAlignment="1" applyProtection="1">
      <protection locked="0"/>
    </xf>
    <xf numFmtId="0" fontId="6" fillId="4" borderId="14" xfId="0" quotePrefix="1" applyFont="1" applyFill="1" applyBorder="1" applyAlignment="1" applyProtection="1">
      <alignment horizontal="left"/>
    </xf>
    <xf numFmtId="0" fontId="7" fillId="4" borderId="14" xfId="0" applyFont="1" applyFill="1" applyBorder="1" applyAlignment="1" applyProtection="1">
      <alignment horizontal="left"/>
    </xf>
    <xf numFmtId="0" fontId="6" fillId="4" borderId="16" xfId="0" applyFont="1" applyFill="1" applyBorder="1" applyAlignment="1" applyProtection="1">
      <alignment horizontal="right"/>
    </xf>
    <xf numFmtId="0" fontId="6" fillId="4" borderId="17" xfId="0" applyFont="1" applyFill="1" applyBorder="1" applyAlignment="1" applyProtection="1">
      <alignment horizontal="left"/>
    </xf>
    <xf numFmtId="0" fontId="6" fillId="4" borderId="11" xfId="0" applyFont="1" applyFill="1" applyBorder="1" applyAlignment="1" applyProtection="1">
      <alignment horizontal="left"/>
    </xf>
    <xf numFmtId="0" fontId="6" fillId="4" borderId="11" xfId="0" applyNumberFormat="1" applyFont="1" applyFill="1" applyBorder="1" applyProtection="1"/>
    <xf numFmtId="0" fontId="8" fillId="4" borderId="13" xfId="0" applyFont="1" applyFill="1" applyBorder="1" applyAlignment="1" applyProtection="1">
      <alignment horizontal="right"/>
    </xf>
    <xf numFmtId="0" fontId="8" fillId="4" borderId="14" xfId="0" applyFont="1" applyFill="1" applyBorder="1" applyProtection="1"/>
    <xf numFmtId="0" fontId="8" fillId="4" borderId="15" xfId="0" applyFont="1" applyFill="1" applyBorder="1" applyProtection="1"/>
    <xf numFmtId="0" fontId="8" fillId="5" borderId="6" xfId="0" applyFont="1" applyFill="1" applyBorder="1" applyProtection="1"/>
    <xf numFmtId="0" fontId="6" fillId="4" borderId="14" xfId="0" applyNumberFormat="1" applyFont="1" applyFill="1" applyBorder="1" applyProtection="1"/>
    <xf numFmtId="0" fontId="7" fillId="5" borderId="5" xfId="0" applyFont="1" applyFill="1" applyBorder="1" applyProtection="1"/>
    <xf numFmtId="0" fontId="7" fillId="4" borderId="13" xfId="0" applyFont="1" applyFill="1" applyBorder="1" applyProtection="1"/>
    <xf numFmtId="0" fontId="7" fillId="4" borderId="14" xfId="0" applyFont="1" applyFill="1" applyBorder="1" applyProtection="1"/>
    <xf numFmtId="0" fontId="7" fillId="4" borderId="15" xfId="0" applyFont="1" applyFill="1" applyBorder="1" applyProtection="1"/>
    <xf numFmtId="0" fontId="7" fillId="5" borderId="6" xfId="0" applyFont="1" applyFill="1" applyBorder="1" applyProtection="1"/>
    <xf numFmtId="0" fontId="7" fillId="5" borderId="5" xfId="0" applyFont="1" applyFill="1" applyBorder="1" applyAlignment="1" applyProtection="1">
      <alignment horizontal="right"/>
    </xf>
    <xf numFmtId="0" fontId="7" fillId="4" borderId="13" xfId="0" applyFont="1" applyFill="1" applyBorder="1" applyAlignment="1" applyProtection="1">
      <alignment horizontal="right"/>
    </xf>
    <xf numFmtId="0" fontId="27" fillId="5" borderId="5" xfId="0" applyFont="1" applyFill="1" applyBorder="1" applyProtection="1"/>
    <xf numFmtId="0" fontId="12" fillId="4" borderId="11" xfId="0" applyFont="1" applyFill="1" applyBorder="1" applyAlignment="1" applyProtection="1">
      <alignment horizontal="center"/>
    </xf>
    <xf numFmtId="0" fontId="12" fillId="4" borderId="12" xfId="0" applyFont="1" applyFill="1" applyBorder="1" applyAlignment="1" applyProtection="1">
      <alignment horizontal="center"/>
    </xf>
    <xf numFmtId="164" fontId="10" fillId="5" borderId="3" xfId="0" applyNumberFormat="1" applyFont="1" applyFill="1" applyBorder="1" applyAlignment="1" applyProtection="1">
      <alignment horizontal="center"/>
    </xf>
    <xf numFmtId="0" fontId="35" fillId="5" borderId="0" xfId="0" applyFont="1" applyFill="1" applyBorder="1" applyAlignment="1" applyProtection="1"/>
    <xf numFmtId="164" fontId="35" fillId="5" borderId="0" xfId="0" applyNumberFormat="1" applyFont="1" applyFill="1" applyBorder="1" applyAlignment="1" applyProtection="1">
      <alignment horizontal="center"/>
    </xf>
    <xf numFmtId="0" fontId="21" fillId="5" borderId="0" xfId="0" applyFont="1" applyFill="1" applyBorder="1" applyAlignment="1" applyProtection="1"/>
    <xf numFmtId="0" fontId="21" fillId="5" borderId="0" xfId="0" applyFont="1" applyFill="1" applyBorder="1" applyAlignment="1" applyProtection="1">
      <alignment horizontal="center"/>
    </xf>
    <xf numFmtId="164" fontId="21" fillId="5" borderId="0" xfId="0" applyNumberFormat="1" applyFont="1" applyFill="1" applyBorder="1" applyAlignment="1" applyProtection="1">
      <alignment horizontal="center"/>
    </xf>
    <xf numFmtId="0" fontId="12" fillId="5" borderId="8" xfId="0" applyFont="1" applyFill="1" applyBorder="1" applyAlignment="1" applyProtection="1">
      <alignment horizontal="center"/>
    </xf>
    <xf numFmtId="0" fontId="50" fillId="5" borderId="0" xfId="0" applyFont="1" applyFill="1" applyBorder="1" applyAlignment="1" applyProtection="1">
      <alignment horizontal="right"/>
    </xf>
    <xf numFmtId="0" fontId="6" fillId="5" borderId="0" xfId="0" applyFont="1" applyFill="1" applyBorder="1" applyAlignment="1" applyProtection="1">
      <alignment horizontal="right"/>
    </xf>
    <xf numFmtId="0" fontId="53" fillId="5" borderId="0" xfId="0" applyNumberFormat="1" applyFont="1" applyFill="1" applyBorder="1" applyAlignment="1" applyProtection="1">
      <alignment horizontal="right"/>
    </xf>
    <xf numFmtId="165" fontId="53" fillId="5" borderId="0" xfId="4" applyNumberFormat="1" applyFont="1" applyFill="1" applyBorder="1" applyProtection="1"/>
    <xf numFmtId="165" fontId="53" fillId="5" borderId="6" xfId="4" applyNumberFormat="1" applyFont="1" applyFill="1" applyBorder="1" applyProtection="1"/>
    <xf numFmtId="165" fontId="53" fillId="4" borderId="0" xfId="4" applyNumberFormat="1" applyFont="1" applyFill="1" applyBorder="1" applyProtection="1"/>
    <xf numFmtId="165" fontId="8" fillId="5" borderId="0" xfId="4" applyNumberFormat="1" applyFont="1" applyFill="1" applyBorder="1" applyProtection="1"/>
    <xf numFmtId="165" fontId="8" fillId="5" borderId="6" xfId="4" applyNumberFormat="1" applyFont="1" applyFill="1" applyBorder="1" applyProtection="1"/>
    <xf numFmtId="165" fontId="8" fillId="4" borderId="0" xfId="4" applyNumberFormat="1" applyFont="1" applyFill="1" applyBorder="1" applyProtection="1"/>
    <xf numFmtId="165" fontId="8" fillId="4" borderId="12" xfId="4" applyNumberFormat="1" applyFont="1" applyFill="1" applyBorder="1" applyProtection="1"/>
    <xf numFmtId="165" fontId="8" fillId="4" borderId="15" xfId="4" applyNumberFormat="1" applyFont="1" applyFill="1" applyBorder="1" applyProtection="1"/>
    <xf numFmtId="0" fontId="7" fillId="5" borderId="5" xfId="0" applyFont="1" applyFill="1" applyBorder="1" applyAlignment="1" applyProtection="1">
      <alignment horizontal="left"/>
    </xf>
    <xf numFmtId="0" fontId="7" fillId="4" borderId="13" xfId="0" applyFont="1" applyFill="1" applyBorder="1" applyAlignment="1" applyProtection="1">
      <alignment horizontal="left"/>
    </xf>
    <xf numFmtId="164" fontId="7" fillId="4" borderId="14" xfId="0" applyNumberFormat="1" applyFont="1" applyFill="1" applyBorder="1" applyAlignment="1" applyProtection="1">
      <alignment horizontal="left"/>
    </xf>
    <xf numFmtId="0" fontId="6" fillId="4" borderId="14" xfId="0" applyNumberFormat="1" applyFont="1" applyFill="1" applyBorder="1" applyAlignment="1" applyProtection="1">
      <alignment horizontal="left"/>
    </xf>
    <xf numFmtId="0" fontId="8" fillId="4" borderId="14" xfId="0" applyFont="1" applyFill="1" applyBorder="1" applyAlignment="1" applyProtection="1">
      <alignment horizontal="right"/>
    </xf>
    <xf numFmtId="164" fontId="8" fillId="4" borderId="14" xfId="0" applyNumberFormat="1" applyFont="1" applyFill="1" applyBorder="1" applyAlignment="1" applyProtection="1">
      <alignment horizontal="left"/>
    </xf>
    <xf numFmtId="0" fontId="8" fillId="4" borderId="17" xfId="0" applyFont="1" applyFill="1" applyBorder="1" applyAlignment="1" applyProtection="1">
      <alignment horizontal="left"/>
    </xf>
    <xf numFmtId="0" fontId="8" fillId="4" borderId="17" xfId="0" applyFont="1" applyFill="1" applyBorder="1" applyProtection="1"/>
    <xf numFmtId="164" fontId="6" fillId="4" borderId="17" xfId="0" applyNumberFormat="1" applyFont="1" applyFill="1" applyBorder="1" applyAlignment="1" applyProtection="1">
      <alignment horizontal="left"/>
    </xf>
    <xf numFmtId="0" fontId="8" fillId="5" borderId="0" xfId="0" applyFont="1" applyFill="1" applyBorder="1" applyAlignment="1" applyProtection="1">
      <alignment horizontal="left"/>
    </xf>
    <xf numFmtId="0" fontId="8" fillId="5" borderId="0" xfId="0" applyFont="1" applyFill="1" applyBorder="1" applyProtection="1"/>
    <xf numFmtId="164" fontId="6" fillId="5" borderId="0" xfId="0" applyNumberFormat="1" applyFont="1" applyFill="1" applyBorder="1" applyAlignment="1" applyProtection="1">
      <alignment horizontal="left"/>
    </xf>
    <xf numFmtId="0" fontId="8" fillId="4" borderId="11" xfId="0" applyFont="1" applyFill="1" applyBorder="1" applyAlignment="1" applyProtection="1">
      <alignment horizontal="left"/>
    </xf>
    <xf numFmtId="0" fontId="8" fillId="4" borderId="11" xfId="0" applyFont="1" applyFill="1" applyBorder="1" applyProtection="1"/>
    <xf numFmtId="164" fontId="6" fillId="4" borderId="11" xfId="0" applyNumberFormat="1" applyFont="1" applyFill="1" applyBorder="1" applyAlignment="1" applyProtection="1">
      <alignment horizontal="left"/>
    </xf>
    <xf numFmtId="164" fontId="6" fillId="4" borderId="14" xfId="0" applyNumberFormat="1" applyFont="1" applyFill="1" applyBorder="1" applyAlignment="1" applyProtection="1">
      <alignment horizontal="left"/>
    </xf>
    <xf numFmtId="0" fontId="8" fillId="4" borderId="14" xfId="0" applyFont="1" applyFill="1" applyBorder="1" applyAlignment="1" applyProtection="1">
      <alignment horizontal="left"/>
    </xf>
    <xf numFmtId="164" fontId="6" fillId="5" borderId="14" xfId="0" applyNumberFormat="1" applyFont="1" applyFill="1" applyBorder="1" applyAlignment="1" applyProtection="1">
      <alignment horizontal="left"/>
      <protection locked="0"/>
    </xf>
    <xf numFmtId="0" fontId="6" fillId="4" borderId="14" xfId="0" applyFont="1" applyFill="1" applyBorder="1" applyAlignment="1" applyProtection="1">
      <alignment horizontal="right"/>
    </xf>
    <xf numFmtId="0" fontId="6" fillId="4" borderId="15" xfId="0" applyFont="1" applyFill="1" applyBorder="1" applyAlignment="1" applyProtection="1">
      <alignment horizontal="right"/>
    </xf>
    <xf numFmtId="0" fontId="50" fillId="4" borderId="14" xfId="0" applyFont="1" applyFill="1" applyBorder="1" applyAlignment="1" applyProtection="1">
      <alignment horizontal="right"/>
    </xf>
    <xf numFmtId="0" fontId="50" fillId="4" borderId="15" xfId="0" applyFont="1" applyFill="1" applyBorder="1" applyAlignment="1" applyProtection="1">
      <alignment horizontal="right"/>
    </xf>
    <xf numFmtId="0" fontId="6" fillId="4" borderId="17" xfId="0" applyFont="1" applyFill="1" applyBorder="1" applyAlignment="1" applyProtection="1">
      <alignment horizontal="right"/>
    </xf>
    <xf numFmtId="0" fontId="6" fillId="4" borderId="18" xfId="0" applyFont="1" applyFill="1" applyBorder="1" applyAlignment="1" applyProtection="1">
      <alignment horizontal="right"/>
    </xf>
    <xf numFmtId="0" fontId="7" fillId="5" borderId="0" xfId="0" applyFont="1" applyFill="1" applyBorder="1" applyAlignment="1" applyProtection="1">
      <alignment horizontal="right"/>
    </xf>
    <xf numFmtId="164" fontId="7" fillId="5" borderId="0" xfId="0" applyNumberFormat="1" applyFont="1" applyFill="1" applyBorder="1" applyAlignment="1" applyProtection="1">
      <alignment horizontal="left"/>
    </xf>
    <xf numFmtId="0" fontId="7" fillId="5" borderId="8" xfId="0" applyFont="1" applyFill="1" applyBorder="1" applyAlignment="1" applyProtection="1">
      <alignment horizontal="right"/>
    </xf>
    <xf numFmtId="167" fontId="7" fillId="5" borderId="8" xfId="0" applyNumberFormat="1" applyFont="1" applyFill="1" applyBorder="1" applyProtection="1"/>
    <xf numFmtId="167" fontId="7" fillId="4" borderId="0" xfId="0" applyNumberFormat="1" applyFont="1" applyFill="1" applyBorder="1" applyProtection="1"/>
    <xf numFmtId="169" fontId="6" fillId="4" borderId="0" xfId="0" applyNumberFormat="1" applyFont="1" applyFill="1" applyBorder="1" applyProtection="1"/>
    <xf numFmtId="0" fontId="6" fillId="4" borderId="0" xfId="0" applyFont="1" applyFill="1" applyBorder="1" applyAlignment="1" applyProtection="1">
      <alignment horizontal="center"/>
    </xf>
    <xf numFmtId="164" fontId="6" fillId="4" borderId="0" xfId="0" applyNumberFormat="1" applyFont="1" applyFill="1" applyBorder="1" applyProtection="1"/>
    <xf numFmtId="0" fontId="6" fillId="5" borderId="3" xfId="0" applyFont="1" applyFill="1" applyBorder="1" applyAlignment="1" applyProtection="1">
      <alignment horizontal="center"/>
    </xf>
    <xf numFmtId="0" fontId="6" fillId="5" borderId="0" xfId="0" applyFont="1" applyFill="1" applyBorder="1" applyAlignment="1" applyProtection="1">
      <alignment horizontal="center"/>
    </xf>
    <xf numFmtId="0" fontId="8" fillId="5" borderId="5" xfId="0" applyFont="1" applyFill="1" applyBorder="1" applyProtection="1"/>
    <xf numFmtId="0" fontId="7" fillId="5" borderId="0" xfId="0" applyFont="1" applyFill="1" applyBorder="1" applyProtection="1"/>
    <xf numFmtId="0" fontId="7" fillId="4" borderId="10" xfId="0" applyFont="1" applyFill="1" applyBorder="1" applyProtection="1"/>
    <xf numFmtId="0" fontId="6" fillId="5" borderId="6" xfId="0" applyFont="1" applyFill="1" applyBorder="1" applyAlignment="1" applyProtection="1">
      <alignment horizontal="center"/>
    </xf>
    <xf numFmtId="164" fontId="6" fillId="4" borderId="0" xfId="0" applyNumberFormat="1" applyFont="1" applyFill="1" applyBorder="1" applyAlignment="1" applyProtection="1">
      <alignment horizontal="center"/>
    </xf>
    <xf numFmtId="0" fontId="6" fillId="4" borderId="15" xfId="0" applyFont="1" applyFill="1" applyBorder="1" applyAlignment="1" applyProtection="1">
      <alignment horizontal="center"/>
    </xf>
    <xf numFmtId="164" fontId="6" fillId="4" borderId="15" xfId="0" applyNumberFormat="1" applyFont="1" applyFill="1" applyBorder="1" applyAlignment="1" applyProtection="1">
      <alignment horizontal="center"/>
    </xf>
    <xf numFmtId="164" fontId="7" fillId="4" borderId="15" xfId="0" applyNumberFormat="1" applyFont="1" applyFill="1" applyBorder="1" applyAlignment="1" applyProtection="1">
      <alignment horizontal="center"/>
    </xf>
    <xf numFmtId="164" fontId="6" fillId="4" borderId="14" xfId="0" applyNumberFormat="1" applyFont="1" applyFill="1" applyBorder="1" applyAlignment="1" applyProtection="1">
      <alignment horizontal="center"/>
    </xf>
    <xf numFmtId="0" fontId="6" fillId="4" borderId="17" xfId="0" applyFont="1" applyFill="1" applyBorder="1" applyAlignment="1" applyProtection="1">
      <alignment horizontal="center"/>
    </xf>
    <xf numFmtId="0" fontId="6" fillId="4" borderId="18" xfId="0" applyFont="1" applyFill="1" applyBorder="1" applyAlignment="1" applyProtection="1">
      <alignment horizontal="center"/>
    </xf>
    <xf numFmtId="0" fontId="6" fillId="4" borderId="11" xfId="0" applyFont="1" applyFill="1" applyBorder="1" applyAlignment="1" applyProtection="1">
      <alignment horizontal="right"/>
    </xf>
    <xf numFmtId="0" fontId="6" fillId="4" borderId="12" xfId="0" applyFont="1" applyFill="1" applyBorder="1" applyAlignment="1" applyProtection="1">
      <alignment horizontal="right"/>
    </xf>
    <xf numFmtId="0" fontId="6" fillId="4" borderId="14" xfId="0" applyFont="1" applyFill="1" applyBorder="1" applyAlignment="1" applyProtection="1">
      <alignment horizontal="center"/>
    </xf>
    <xf numFmtId="0" fontId="25" fillId="4" borderId="13" xfId="0" applyFont="1" applyFill="1" applyBorder="1" applyProtection="1"/>
    <xf numFmtId="0" fontId="7" fillId="4" borderId="17" xfId="0" applyFont="1" applyFill="1" applyBorder="1" applyAlignment="1" applyProtection="1">
      <alignment horizontal="left"/>
    </xf>
    <xf numFmtId="164" fontId="7" fillId="4" borderId="17" xfId="0" applyNumberFormat="1" applyFont="1" applyFill="1" applyBorder="1" applyAlignment="1" applyProtection="1">
      <alignment horizontal="center"/>
    </xf>
    <xf numFmtId="164" fontId="7" fillId="4" borderId="18" xfId="0" applyNumberFormat="1" applyFont="1" applyFill="1" applyBorder="1" applyAlignment="1" applyProtection="1">
      <alignment horizontal="center"/>
    </xf>
    <xf numFmtId="0" fontId="7" fillId="5" borderId="0" xfId="0" applyFont="1" applyFill="1" applyBorder="1" applyAlignment="1" applyProtection="1">
      <alignment horizontal="left"/>
    </xf>
    <xf numFmtId="164" fontId="7" fillId="5" borderId="0" xfId="0" applyNumberFormat="1" applyFont="1" applyFill="1" applyBorder="1" applyAlignment="1" applyProtection="1">
      <alignment horizontal="center"/>
    </xf>
    <xf numFmtId="0" fontId="7" fillId="5" borderId="8" xfId="0" applyFont="1" applyFill="1" applyBorder="1" applyProtection="1"/>
    <xf numFmtId="170" fontId="7" fillId="5" borderId="8" xfId="0" applyNumberFormat="1" applyFont="1" applyFill="1" applyBorder="1" applyAlignment="1" applyProtection="1">
      <alignment horizontal="center"/>
    </xf>
    <xf numFmtId="0" fontId="38" fillId="5" borderId="5" xfId="0" applyFont="1" applyFill="1" applyBorder="1" applyProtection="1"/>
    <xf numFmtId="0" fontId="30" fillId="5" borderId="0" xfId="0" applyFont="1" applyFill="1" applyBorder="1" applyAlignment="1" applyProtection="1">
      <alignment horizontal="center"/>
    </xf>
    <xf numFmtId="0" fontId="30" fillId="5" borderId="0" xfId="0" applyFont="1" applyFill="1" applyBorder="1" applyAlignment="1" applyProtection="1">
      <alignment horizontal="left"/>
    </xf>
    <xf numFmtId="0" fontId="30" fillId="5" borderId="6" xfId="0" applyFont="1" applyFill="1" applyBorder="1" applyProtection="1"/>
    <xf numFmtId="0" fontId="6" fillId="4" borderId="11" xfId="0" applyFont="1" applyFill="1" applyBorder="1" applyAlignment="1" applyProtection="1">
      <alignment horizontal="center"/>
    </xf>
    <xf numFmtId="0" fontId="6" fillId="4" borderId="12" xfId="0" applyFont="1" applyFill="1" applyBorder="1" applyAlignment="1" applyProtection="1">
      <alignment horizontal="center"/>
    </xf>
    <xf numFmtId="0" fontId="7" fillId="4" borderId="14" xfId="0" applyFont="1" applyFill="1" applyBorder="1" applyAlignment="1" applyProtection="1">
      <alignment horizontal="center"/>
    </xf>
    <xf numFmtId="0" fontId="7" fillId="4" borderId="15" xfId="0" applyFont="1" applyFill="1" applyBorder="1" applyAlignment="1" applyProtection="1">
      <alignment horizontal="center"/>
    </xf>
    <xf numFmtId="0" fontId="50" fillId="4" borderId="17" xfId="0" applyFont="1" applyFill="1" applyBorder="1" applyProtection="1"/>
    <xf numFmtId="0" fontId="65" fillId="4" borderId="14" xfId="0" applyFont="1" applyFill="1" applyBorder="1" applyProtection="1"/>
    <xf numFmtId="0" fontId="6" fillId="4" borderId="14" xfId="0" quotePrefix="1" applyFont="1" applyFill="1" applyBorder="1" applyProtection="1"/>
    <xf numFmtId="0" fontId="60" fillId="4" borderId="14" xfId="0" applyFont="1" applyFill="1" applyBorder="1" applyAlignment="1" applyProtection="1">
      <alignment horizontal="center"/>
    </xf>
    <xf numFmtId="0" fontId="59" fillId="4" borderId="14" xfId="0" applyFont="1" applyFill="1" applyBorder="1" applyAlignment="1" applyProtection="1">
      <alignment horizontal="center"/>
    </xf>
    <xf numFmtId="164" fontId="6" fillId="4" borderId="17" xfId="0" applyNumberFormat="1" applyFont="1" applyFill="1" applyBorder="1" applyAlignment="1" applyProtection="1">
      <alignment horizontal="center"/>
    </xf>
    <xf numFmtId="164" fontId="6" fillId="5" borderId="0" xfId="0" applyNumberFormat="1" applyFont="1" applyFill="1" applyBorder="1" applyAlignment="1" applyProtection="1">
      <alignment horizontal="center"/>
    </xf>
    <xf numFmtId="0" fontId="6" fillId="5" borderId="8" xfId="0" applyFont="1" applyFill="1" applyBorder="1" applyAlignment="1" applyProtection="1">
      <alignment horizontal="center"/>
    </xf>
    <xf numFmtId="164" fontId="6" fillId="5" borderId="8" xfId="0" applyNumberFormat="1" applyFont="1" applyFill="1" applyBorder="1" applyAlignment="1" applyProtection="1">
      <alignment horizontal="center"/>
    </xf>
    <xf numFmtId="0" fontId="10" fillId="5" borderId="2" xfId="0" applyFont="1" applyFill="1" applyBorder="1"/>
    <xf numFmtId="0" fontId="10" fillId="5" borderId="3" xfId="0" applyFont="1" applyFill="1" applyBorder="1"/>
    <xf numFmtId="0" fontId="10" fillId="5" borderId="4" xfId="0" applyFont="1" applyFill="1" applyBorder="1"/>
    <xf numFmtId="0" fontId="10" fillId="5" borderId="0" xfId="0" applyFont="1" applyFill="1" applyBorder="1"/>
    <xf numFmtId="0" fontId="10" fillId="5" borderId="5" xfId="0" applyFont="1" applyFill="1" applyBorder="1"/>
    <xf numFmtId="0" fontId="10" fillId="5" borderId="6" xfId="0" applyFont="1" applyFill="1" applyBorder="1"/>
    <xf numFmtId="0" fontId="26" fillId="5" borderId="5" xfId="0" applyFont="1" applyFill="1" applyBorder="1"/>
    <xf numFmtId="0" fontId="25" fillId="5" borderId="0" xfId="0" applyFont="1" applyFill="1" applyBorder="1"/>
    <xf numFmtId="0" fontId="25" fillId="5" borderId="6" xfId="0" applyFont="1" applyFill="1" applyBorder="1"/>
    <xf numFmtId="0" fontId="21" fillId="5" borderId="5" xfId="0" applyFont="1" applyFill="1" applyBorder="1"/>
    <xf numFmtId="0" fontId="21" fillId="5" borderId="0" xfId="0" applyFont="1" applyFill="1" applyBorder="1"/>
    <xf numFmtId="0" fontId="10" fillId="5" borderId="0" xfId="0" applyFont="1" applyFill="1" applyBorder="1" applyAlignment="1" applyProtection="1">
      <alignment horizontal="right"/>
    </xf>
    <xf numFmtId="165" fontId="19" fillId="5" borderId="0" xfId="4" applyNumberFormat="1" applyFont="1" applyFill="1" applyBorder="1" applyProtection="1"/>
    <xf numFmtId="165" fontId="19" fillId="5" borderId="6" xfId="4" applyNumberFormat="1" applyFont="1" applyFill="1" applyBorder="1" applyProtection="1"/>
    <xf numFmtId="165" fontId="33" fillId="5" borderId="0" xfId="4" applyNumberFormat="1" applyFont="1" applyFill="1" applyBorder="1" applyProtection="1"/>
    <xf numFmtId="165" fontId="33" fillId="5" borderId="6" xfId="4" applyNumberFormat="1" applyFont="1" applyFill="1" applyBorder="1" applyProtection="1"/>
    <xf numFmtId="169" fontId="10" fillId="5" borderId="0" xfId="0" applyNumberFormat="1" applyFont="1" applyFill="1" applyBorder="1" applyProtection="1"/>
    <xf numFmtId="169" fontId="10" fillId="5" borderId="8" xfId="0" applyNumberFormat="1" applyFont="1" applyFill="1" applyBorder="1" applyProtection="1"/>
    <xf numFmtId="0" fontId="12" fillId="4" borderId="15" xfId="0" applyFont="1" applyFill="1" applyBorder="1" applyProtection="1"/>
    <xf numFmtId="177" fontId="6" fillId="4" borderId="14" xfId="0" applyNumberFormat="1" applyFont="1" applyFill="1" applyBorder="1" applyAlignment="1" applyProtection="1">
      <alignment horizontal="left"/>
    </xf>
    <xf numFmtId="169" fontId="6" fillId="4" borderId="17" xfId="0" applyNumberFormat="1" applyFont="1" applyFill="1" applyBorder="1" applyProtection="1"/>
    <xf numFmtId="0" fontId="10" fillId="4" borderId="14" xfId="0" applyFont="1" applyFill="1" applyBorder="1" applyAlignment="1" applyProtection="1"/>
    <xf numFmtId="1" fontId="10" fillId="4" borderId="14" xfId="0" applyNumberFormat="1" applyFont="1" applyFill="1" applyBorder="1" applyAlignment="1" applyProtection="1">
      <alignment horizontal="center"/>
    </xf>
    <xf numFmtId="167" fontId="25" fillId="5" borderId="0" xfId="0" applyNumberFormat="1" applyFont="1" applyFill="1" applyBorder="1" applyProtection="1"/>
    <xf numFmtId="0" fontId="40" fillId="5" borderId="0" xfId="0" applyFont="1" applyFill="1" applyBorder="1" applyProtection="1"/>
    <xf numFmtId="0" fontId="34" fillId="5" borderId="0" xfId="0" applyNumberFormat="1" applyFont="1" applyFill="1" applyBorder="1" applyProtection="1"/>
    <xf numFmtId="0" fontId="34" fillId="5" borderId="0" xfId="0" quotePrefix="1" applyNumberFormat="1" applyFont="1" applyFill="1" applyBorder="1" applyAlignment="1" applyProtection="1">
      <alignment horizontal="center"/>
    </xf>
    <xf numFmtId="0" fontId="41" fillId="5" borderId="0" xfId="0" quotePrefix="1" applyNumberFormat="1" applyFont="1" applyFill="1" applyBorder="1" applyAlignment="1" applyProtection="1">
      <alignment horizontal="center"/>
    </xf>
    <xf numFmtId="0" fontId="41" fillId="5" borderId="6" xfId="0" quotePrefix="1" applyNumberFormat="1" applyFont="1" applyFill="1" applyBorder="1" applyAlignment="1" applyProtection="1">
      <alignment horizontal="center"/>
    </xf>
    <xf numFmtId="167" fontId="12" fillId="5" borderId="0" xfId="0" quotePrefix="1" applyNumberFormat="1" applyFont="1" applyFill="1" applyBorder="1" applyAlignment="1" applyProtection="1">
      <alignment horizontal="right"/>
    </xf>
    <xf numFmtId="164" fontId="12" fillId="5" borderId="6" xfId="4" applyNumberFormat="1" applyFont="1" applyFill="1" applyBorder="1" applyAlignment="1" applyProtection="1">
      <alignment horizontal="left"/>
    </xf>
    <xf numFmtId="164" fontId="10" fillId="5" borderId="6" xfId="4" applyNumberFormat="1" applyFont="1" applyFill="1" applyBorder="1" applyAlignment="1" applyProtection="1">
      <alignment horizontal="left"/>
    </xf>
    <xf numFmtId="164" fontId="11" fillId="5" borderId="6" xfId="4" applyNumberFormat="1" applyFont="1" applyFill="1" applyBorder="1" applyAlignment="1" applyProtection="1">
      <alignment horizontal="left"/>
    </xf>
    <xf numFmtId="164" fontId="11" fillId="5" borderId="0" xfId="4" applyNumberFormat="1" applyFont="1" applyFill="1" applyBorder="1" applyAlignment="1" applyProtection="1">
      <alignment horizontal="left"/>
    </xf>
    <xf numFmtId="164" fontId="42" fillId="5" borderId="6" xfId="4" applyNumberFormat="1" applyFont="1" applyFill="1" applyBorder="1" applyAlignment="1" applyProtection="1">
      <alignment horizontal="left"/>
    </xf>
    <xf numFmtId="0" fontId="11" fillId="5" borderId="0" xfId="0" applyFont="1" applyFill="1" applyBorder="1" applyAlignment="1" applyProtection="1">
      <alignment horizontal="right"/>
    </xf>
    <xf numFmtId="167" fontId="11" fillId="5" borderId="0" xfId="4" applyNumberFormat="1" applyFont="1" applyFill="1" applyBorder="1" applyAlignment="1" applyProtection="1">
      <alignment horizontal="left"/>
    </xf>
    <xf numFmtId="0" fontId="19" fillId="5" borderId="7" xfId="0" applyFont="1" applyFill="1" applyBorder="1" applyProtection="1"/>
    <xf numFmtId="0" fontId="19" fillId="5" borderId="8" xfId="0" applyFont="1" applyFill="1" applyBorder="1" applyProtection="1"/>
    <xf numFmtId="167" fontId="19" fillId="5" borderId="8" xfId="4" applyNumberFormat="1" applyFont="1" applyFill="1" applyBorder="1" applyAlignment="1" applyProtection="1">
      <alignment horizontal="left"/>
    </xf>
    <xf numFmtId="164" fontId="19" fillId="5" borderId="9" xfId="4" applyNumberFormat="1" applyFont="1" applyFill="1" applyBorder="1" applyAlignment="1" applyProtection="1">
      <alignment horizontal="left"/>
    </xf>
    <xf numFmtId="0" fontId="25" fillId="5" borderId="2" xfId="0" applyFont="1" applyFill="1" applyBorder="1" applyProtection="1"/>
    <xf numFmtId="0" fontId="25" fillId="5" borderId="3" xfId="0" applyFont="1" applyFill="1" applyBorder="1" applyProtection="1"/>
    <xf numFmtId="167" fontId="25" fillId="5" borderId="3" xfId="0" applyNumberFormat="1" applyFont="1" applyFill="1" applyBorder="1" applyProtection="1"/>
    <xf numFmtId="0" fontId="25" fillId="5" borderId="4" xfId="0" applyFont="1" applyFill="1" applyBorder="1" applyProtection="1"/>
    <xf numFmtId="167" fontId="34" fillId="5" borderId="0" xfId="0" quotePrefix="1" applyNumberFormat="1" applyFont="1" applyFill="1" applyBorder="1" applyAlignment="1" applyProtection="1">
      <alignment horizontal="center"/>
    </xf>
    <xf numFmtId="0" fontId="34" fillId="5" borderId="6" xfId="0" quotePrefix="1" applyNumberFormat="1" applyFont="1" applyFill="1" applyBorder="1" applyAlignment="1" applyProtection="1">
      <alignment horizontal="center"/>
    </xf>
    <xf numFmtId="0" fontId="12" fillId="5" borderId="6" xfId="0" quotePrefix="1" applyNumberFormat="1" applyFont="1" applyFill="1" applyBorder="1" applyAlignment="1" applyProtection="1">
      <alignment horizontal="center"/>
    </xf>
    <xf numFmtId="0" fontId="12" fillId="5" borderId="6" xfId="0" quotePrefix="1" applyFont="1" applyFill="1" applyBorder="1" applyAlignment="1" applyProtection="1">
      <alignment horizontal="center"/>
    </xf>
    <xf numFmtId="0" fontId="11" fillId="5" borderId="6" xfId="0" quotePrefix="1" applyFont="1" applyFill="1" applyBorder="1" applyAlignment="1" applyProtection="1">
      <alignment horizontal="center"/>
    </xf>
    <xf numFmtId="1" fontId="19" fillId="5" borderId="6" xfId="4" applyNumberFormat="1" applyFont="1" applyFill="1" applyBorder="1" applyAlignment="1" applyProtection="1">
      <alignment horizontal="right"/>
    </xf>
    <xf numFmtId="165" fontId="10" fillId="5" borderId="6" xfId="4" applyNumberFormat="1" applyFont="1" applyFill="1" applyBorder="1" applyProtection="1"/>
    <xf numFmtId="165" fontId="10" fillId="5" borderId="6" xfId="4" applyNumberFormat="1" applyFont="1" applyFill="1" applyBorder="1" applyAlignment="1" applyProtection="1">
      <alignment horizontal="left"/>
    </xf>
    <xf numFmtId="165" fontId="11" fillId="5" borderId="6" xfId="4" applyNumberFormat="1" applyFont="1" applyFill="1" applyBorder="1" applyProtection="1"/>
    <xf numFmtId="167" fontId="10" fillId="5" borderId="0" xfId="4" applyNumberFormat="1" applyFont="1" applyFill="1" applyBorder="1" applyProtection="1"/>
    <xf numFmtId="167" fontId="13" fillId="5" borderId="0" xfId="4" applyNumberFormat="1" applyFont="1" applyFill="1" applyBorder="1" applyProtection="1"/>
    <xf numFmtId="165" fontId="11" fillId="5" borderId="0" xfId="4" applyNumberFormat="1" applyFont="1" applyFill="1" applyBorder="1" applyProtection="1"/>
    <xf numFmtId="167" fontId="10" fillId="5" borderId="8" xfId="0" applyNumberFormat="1" applyFont="1" applyFill="1" applyBorder="1" applyProtection="1"/>
    <xf numFmtId="0" fontId="10" fillId="4" borderId="11" xfId="0" applyFont="1" applyFill="1" applyBorder="1" applyAlignment="1" applyProtection="1">
      <alignment horizontal="right"/>
    </xf>
    <xf numFmtId="167" fontId="12" fillId="4" borderId="11" xfId="0" quotePrefix="1" applyNumberFormat="1" applyFont="1" applyFill="1" applyBorder="1" applyAlignment="1" applyProtection="1">
      <alignment horizontal="right"/>
    </xf>
    <xf numFmtId="167" fontId="10" fillId="4" borderId="14" xfId="0" applyNumberFormat="1" applyFont="1" applyFill="1" applyBorder="1" applyProtection="1"/>
    <xf numFmtId="167" fontId="12" fillId="4" borderId="14" xfId="0" quotePrefix="1" applyNumberFormat="1" applyFont="1" applyFill="1" applyBorder="1" applyAlignment="1" applyProtection="1">
      <alignment horizontal="right"/>
    </xf>
    <xf numFmtId="167" fontId="10" fillId="4" borderId="14" xfId="4" applyNumberFormat="1" applyFont="1" applyFill="1" applyBorder="1" applyAlignment="1" applyProtection="1">
      <alignment horizontal="left"/>
    </xf>
    <xf numFmtId="164" fontId="12" fillId="4" borderId="15" xfId="4" applyNumberFormat="1" applyFont="1" applyFill="1" applyBorder="1" applyAlignment="1" applyProtection="1">
      <alignment horizontal="left"/>
    </xf>
    <xf numFmtId="164" fontId="10" fillId="4" borderId="15" xfId="4" applyNumberFormat="1" applyFont="1" applyFill="1" applyBorder="1" applyAlignment="1" applyProtection="1">
      <alignment horizontal="left"/>
    </xf>
    <xf numFmtId="164" fontId="11" fillId="4" borderId="15" xfId="4" applyNumberFormat="1" applyFont="1" applyFill="1" applyBorder="1" applyAlignment="1" applyProtection="1">
      <alignment horizontal="left"/>
    </xf>
    <xf numFmtId="167" fontId="43" fillId="4" borderId="14" xfId="0" quotePrefix="1" applyNumberFormat="1" applyFont="1" applyFill="1" applyBorder="1" applyAlignment="1" applyProtection="1">
      <alignment horizontal="right"/>
    </xf>
    <xf numFmtId="164" fontId="12" fillId="4" borderId="14" xfId="4" applyNumberFormat="1" applyFont="1" applyFill="1" applyBorder="1" applyAlignment="1" applyProtection="1">
      <alignment horizontal="left"/>
    </xf>
    <xf numFmtId="164" fontId="11" fillId="4" borderId="14" xfId="4" applyNumberFormat="1" applyFont="1" applyFill="1" applyBorder="1" applyAlignment="1" applyProtection="1">
      <alignment horizontal="left"/>
    </xf>
    <xf numFmtId="0" fontId="42" fillId="4" borderId="13" xfId="0" applyFont="1" applyFill="1" applyBorder="1" applyProtection="1"/>
    <xf numFmtId="0" fontId="42" fillId="4" borderId="14" xfId="0" applyFont="1" applyFill="1" applyBorder="1" applyProtection="1"/>
    <xf numFmtId="164" fontId="42" fillId="4" borderId="15" xfId="4" applyNumberFormat="1" applyFont="1" applyFill="1" applyBorder="1" applyAlignment="1" applyProtection="1">
      <alignment horizontal="left"/>
    </xf>
    <xf numFmtId="167" fontId="11" fillId="4" borderId="14" xfId="4" applyNumberFormat="1" applyFont="1" applyFill="1" applyBorder="1" applyAlignment="1" applyProtection="1">
      <alignment horizontal="left"/>
    </xf>
    <xf numFmtId="164" fontId="19" fillId="4" borderId="15" xfId="4" applyNumberFormat="1" applyFont="1" applyFill="1" applyBorder="1" applyAlignment="1" applyProtection="1">
      <alignment horizontal="left"/>
    </xf>
    <xf numFmtId="0" fontId="11" fillId="4" borderId="16" xfId="0" applyFont="1" applyFill="1" applyBorder="1" applyProtection="1"/>
    <xf numFmtId="164" fontId="11" fillId="4" borderId="18" xfId="4" applyNumberFormat="1" applyFont="1" applyFill="1" applyBorder="1" applyAlignment="1" applyProtection="1">
      <alignment horizontal="left"/>
    </xf>
    <xf numFmtId="0" fontId="19" fillId="4" borderId="11" xfId="0" applyFont="1" applyFill="1" applyBorder="1" applyAlignment="1" applyProtection="1">
      <alignment horizontal="right"/>
    </xf>
    <xf numFmtId="0" fontId="12" fillId="4" borderId="11" xfId="0" applyFont="1" applyFill="1" applyBorder="1" applyProtection="1"/>
    <xf numFmtId="0" fontId="12" fillId="4" borderId="12" xfId="0" quotePrefix="1" applyNumberFormat="1" applyFont="1" applyFill="1" applyBorder="1" applyAlignment="1" applyProtection="1">
      <alignment horizontal="center"/>
    </xf>
    <xf numFmtId="167" fontId="10" fillId="4" borderId="14" xfId="4" applyNumberFormat="1" applyFont="1" applyFill="1" applyBorder="1" applyProtection="1"/>
    <xf numFmtId="0" fontId="12" fillId="4" borderId="15" xfId="0" quotePrefix="1" applyFont="1" applyFill="1" applyBorder="1" applyAlignment="1" applyProtection="1">
      <alignment horizontal="center"/>
    </xf>
    <xf numFmtId="49" fontId="10" fillId="4" borderId="14" xfId="0" applyNumberFormat="1" applyFont="1" applyFill="1" applyBorder="1" applyProtection="1"/>
    <xf numFmtId="1" fontId="11" fillId="4" borderId="14" xfId="0" applyNumberFormat="1" applyFont="1" applyFill="1" applyBorder="1" applyProtection="1"/>
    <xf numFmtId="167" fontId="11" fillId="4" borderId="14" xfId="4" applyNumberFormat="1" applyFont="1" applyFill="1" applyBorder="1" applyProtection="1"/>
    <xf numFmtId="0" fontId="11" fillId="4" borderId="15" xfId="0" quotePrefix="1" applyFont="1" applyFill="1" applyBorder="1" applyAlignment="1" applyProtection="1">
      <alignment horizontal="center"/>
    </xf>
    <xf numFmtId="167" fontId="19" fillId="4" borderId="14" xfId="4" applyNumberFormat="1" applyFont="1" applyFill="1" applyBorder="1" applyAlignment="1" applyProtection="1">
      <alignment horizontal="right"/>
    </xf>
    <xf numFmtId="1" fontId="19" fillId="4" borderId="15" xfId="4" applyNumberFormat="1" applyFont="1" applyFill="1" applyBorder="1" applyAlignment="1" applyProtection="1">
      <alignment horizontal="right"/>
    </xf>
    <xf numFmtId="1" fontId="10" fillId="4" borderId="14" xfId="0" applyNumberFormat="1" applyFont="1" applyFill="1" applyBorder="1" applyProtection="1"/>
    <xf numFmtId="165" fontId="10" fillId="4" borderId="15" xfId="4" applyNumberFormat="1" applyFont="1" applyFill="1" applyBorder="1" applyProtection="1"/>
    <xf numFmtId="165" fontId="10" fillId="4" borderId="15" xfId="4" applyNumberFormat="1" applyFont="1" applyFill="1" applyBorder="1" applyAlignment="1" applyProtection="1">
      <alignment horizontal="left"/>
    </xf>
    <xf numFmtId="1" fontId="11" fillId="4" borderId="14" xfId="0" applyNumberFormat="1" applyFont="1" applyFill="1" applyBorder="1" applyAlignment="1" applyProtection="1">
      <alignment horizontal="left"/>
    </xf>
    <xf numFmtId="49" fontId="11" fillId="4" borderId="14" xfId="0" applyNumberFormat="1" applyFont="1" applyFill="1" applyBorder="1" applyProtection="1"/>
    <xf numFmtId="165" fontId="11" fillId="4" borderId="15" xfId="4" applyNumberFormat="1" applyFont="1" applyFill="1" applyBorder="1" applyProtection="1"/>
    <xf numFmtId="0" fontId="11" fillId="4" borderId="17" xfId="0" applyFont="1" applyFill="1" applyBorder="1" applyAlignment="1" applyProtection="1">
      <alignment horizontal="right"/>
    </xf>
    <xf numFmtId="167" fontId="13" fillId="4" borderId="17" xfId="4" applyNumberFormat="1" applyFont="1" applyFill="1" applyBorder="1" applyProtection="1"/>
    <xf numFmtId="165" fontId="11" fillId="4" borderId="18" xfId="4" applyNumberFormat="1" applyFont="1" applyFill="1" applyBorder="1" applyProtection="1"/>
    <xf numFmtId="0" fontId="11" fillId="5" borderId="2" xfId="0" applyFont="1" applyFill="1" applyBorder="1" applyProtection="1"/>
    <xf numFmtId="0" fontId="11" fillId="5" borderId="3" xfId="0" applyFont="1" applyFill="1" applyBorder="1" applyAlignment="1" applyProtection="1">
      <alignment horizontal="left"/>
    </xf>
    <xf numFmtId="0" fontId="11" fillId="5" borderId="3" xfId="0" applyFont="1" applyFill="1" applyBorder="1" applyAlignment="1" applyProtection="1">
      <alignment horizontal="center"/>
    </xf>
    <xf numFmtId="0" fontId="11" fillId="5" borderId="3" xfId="0" applyNumberFormat="1" applyFont="1" applyFill="1" applyBorder="1" applyAlignment="1" applyProtection="1">
      <alignment horizontal="center"/>
    </xf>
    <xf numFmtId="171" fontId="11" fillId="5" borderId="3" xfId="0" applyNumberFormat="1" applyFont="1" applyFill="1" applyBorder="1" applyAlignment="1" applyProtection="1">
      <alignment horizontal="center"/>
    </xf>
    <xf numFmtId="164" fontId="11" fillId="5" borderId="3" xfId="0" applyNumberFormat="1" applyFont="1" applyFill="1" applyBorder="1" applyProtection="1"/>
    <xf numFmtId="0" fontId="11" fillId="5" borderId="4" xfId="0" applyFont="1" applyFill="1" applyBorder="1" applyProtection="1"/>
    <xf numFmtId="0" fontId="11" fillId="5" borderId="0" xfId="0" applyFont="1" applyFill="1" applyBorder="1" applyAlignment="1" applyProtection="1">
      <alignment horizontal="center"/>
    </xf>
    <xf numFmtId="0" fontId="11" fillId="5" borderId="0" xfId="0" applyNumberFormat="1" applyFont="1" applyFill="1" applyBorder="1" applyAlignment="1" applyProtection="1">
      <alignment horizontal="center"/>
    </xf>
    <xf numFmtId="171" fontId="11" fillId="5" borderId="0" xfId="0" applyNumberFormat="1" applyFont="1" applyFill="1" applyBorder="1" applyAlignment="1" applyProtection="1">
      <alignment horizontal="center"/>
    </xf>
    <xf numFmtId="0" fontId="14" fillId="5" borderId="5" xfId="0" applyFont="1" applyFill="1" applyBorder="1" applyAlignment="1" applyProtection="1">
      <alignment horizontal="left"/>
    </xf>
    <xf numFmtId="0" fontId="17" fillId="5" borderId="5" xfId="0" applyFont="1" applyFill="1" applyBorder="1" applyProtection="1"/>
    <xf numFmtId="0" fontId="17" fillId="5" borderId="0" xfId="0" applyNumberFormat="1" applyFont="1" applyFill="1" applyBorder="1" applyAlignment="1" applyProtection="1">
      <alignment horizontal="center"/>
    </xf>
    <xf numFmtId="171" fontId="17" fillId="5" borderId="0" xfId="0" applyNumberFormat="1" applyFont="1" applyFill="1" applyBorder="1" applyAlignment="1" applyProtection="1">
      <alignment horizontal="center"/>
    </xf>
    <xf numFmtId="164" fontId="17" fillId="5" borderId="0" xfId="0" applyNumberFormat="1" applyFont="1" applyFill="1" applyBorder="1" applyProtection="1"/>
    <xf numFmtId="167" fontId="17" fillId="5" borderId="0" xfId="0" applyNumberFormat="1" applyFont="1" applyFill="1" applyBorder="1" applyProtection="1"/>
    <xf numFmtId="0" fontId="17" fillId="5" borderId="6" xfId="0" applyFont="1" applyFill="1" applyBorder="1" applyProtection="1"/>
    <xf numFmtId="0" fontId="18" fillId="5" borderId="0" xfId="0" applyFont="1" applyFill="1" applyBorder="1" applyAlignment="1" applyProtection="1">
      <alignment horizontal="left" indent="1"/>
    </xf>
    <xf numFmtId="0" fontId="11" fillId="5" borderId="7" xfId="0" applyFont="1" applyFill="1" applyBorder="1" applyProtection="1"/>
    <xf numFmtId="0" fontId="11" fillId="5" borderId="8" xfId="0" applyFont="1" applyFill="1" applyBorder="1" applyAlignment="1" applyProtection="1">
      <alignment horizontal="left"/>
    </xf>
    <xf numFmtId="0" fontId="11" fillId="5" borderId="8" xfId="0" applyFont="1" applyFill="1" applyBorder="1" applyAlignment="1" applyProtection="1">
      <alignment horizontal="center"/>
    </xf>
    <xf numFmtId="14" fontId="11" fillId="5" borderId="8" xfId="0" applyNumberFormat="1" applyFont="1" applyFill="1" applyBorder="1" applyAlignment="1" applyProtection="1">
      <alignment horizontal="center"/>
    </xf>
    <xf numFmtId="0" fontId="11" fillId="5" borderId="8" xfId="0" applyNumberFormat="1" applyFont="1" applyFill="1" applyBorder="1" applyAlignment="1" applyProtection="1">
      <alignment horizontal="center"/>
    </xf>
    <xf numFmtId="171" fontId="11" fillId="5" borderId="8" xfId="4" applyNumberFormat="1" applyFont="1" applyFill="1" applyBorder="1" applyAlignment="1" applyProtection="1">
      <alignment horizontal="center"/>
    </xf>
    <xf numFmtId="171" fontId="11" fillId="5" borderId="8" xfId="0" applyNumberFormat="1" applyFont="1" applyFill="1" applyBorder="1" applyAlignment="1" applyProtection="1">
      <alignment horizontal="center"/>
    </xf>
    <xf numFmtId="167" fontId="11" fillId="5" borderId="8" xfId="4" applyNumberFormat="1" applyFont="1" applyFill="1" applyBorder="1" applyProtection="1"/>
    <xf numFmtId="164" fontId="11" fillId="5" borderId="8" xfId="0" applyNumberFormat="1" applyFont="1" applyFill="1" applyBorder="1" applyAlignment="1" applyProtection="1">
      <alignment horizontal="center"/>
    </xf>
    <xf numFmtId="0" fontId="11" fillId="5" borderId="9" xfId="0" applyFont="1" applyFill="1" applyBorder="1" applyProtection="1"/>
    <xf numFmtId="14" fontId="10" fillId="5" borderId="3" xfId="0" applyNumberFormat="1" applyFont="1" applyFill="1" applyBorder="1" applyAlignment="1" applyProtection="1">
      <alignment horizontal="center"/>
    </xf>
    <xf numFmtId="171" fontId="10" fillId="5" borderId="3" xfId="4" applyNumberFormat="1" applyFont="1" applyFill="1" applyBorder="1" applyAlignment="1" applyProtection="1">
      <alignment horizontal="center"/>
    </xf>
    <xf numFmtId="167" fontId="10" fillId="5" borderId="3" xfId="4" applyNumberFormat="1" applyFont="1" applyFill="1" applyBorder="1" applyProtection="1"/>
    <xf numFmtId="14" fontId="10" fillId="5" borderId="0" xfId="0" applyNumberFormat="1" applyFont="1" applyFill="1" applyBorder="1" applyAlignment="1" applyProtection="1">
      <alignment horizontal="center"/>
    </xf>
    <xf numFmtId="171" fontId="10" fillId="5" borderId="0" xfId="4" applyNumberFormat="1" applyFont="1" applyFill="1" applyBorder="1" applyAlignment="1" applyProtection="1">
      <alignment horizontal="center"/>
    </xf>
    <xf numFmtId="14" fontId="10" fillId="5" borderId="8" xfId="0" applyNumberFormat="1" applyFont="1" applyFill="1" applyBorder="1" applyAlignment="1" applyProtection="1">
      <alignment horizontal="center"/>
    </xf>
    <xf numFmtId="0" fontId="11" fillId="4" borderId="17" xfId="0" applyFont="1" applyFill="1" applyBorder="1" applyAlignment="1" applyProtection="1">
      <alignment horizontal="center"/>
    </xf>
    <xf numFmtId="0" fontId="11" fillId="4" borderId="17" xfId="0" applyNumberFormat="1" applyFont="1" applyFill="1" applyBorder="1" applyAlignment="1" applyProtection="1">
      <alignment horizontal="center"/>
    </xf>
    <xf numFmtId="171" fontId="11" fillId="4" borderId="17" xfId="0" applyNumberFormat="1" applyFont="1" applyFill="1" applyBorder="1" applyAlignment="1" applyProtection="1">
      <alignment horizontal="center"/>
    </xf>
    <xf numFmtId="0" fontId="11" fillId="4" borderId="18" xfId="0" applyNumberFormat="1" applyFont="1" applyFill="1" applyBorder="1" applyAlignment="1" applyProtection="1">
      <alignment horizontal="center"/>
    </xf>
    <xf numFmtId="167" fontId="50" fillId="4" borderId="0" xfId="4" applyNumberFormat="1" applyFont="1" applyFill="1" applyBorder="1" applyProtection="1"/>
    <xf numFmtId="0" fontId="68" fillId="4" borderId="0" xfId="0" applyFont="1" applyFill="1" applyBorder="1" applyProtection="1"/>
    <xf numFmtId="171" fontId="68" fillId="4" borderId="0" xfId="0" applyNumberFormat="1" applyFont="1" applyFill="1" applyBorder="1" applyAlignment="1" applyProtection="1">
      <alignment horizontal="center"/>
    </xf>
    <xf numFmtId="0" fontId="68" fillId="4" borderId="0" xfId="0" applyNumberFormat="1" applyFont="1" applyFill="1" applyBorder="1" applyAlignment="1" applyProtection="1">
      <alignment horizontal="center"/>
    </xf>
    <xf numFmtId="171" fontId="68" fillId="4" borderId="0" xfId="0" applyNumberFormat="1" applyFont="1" applyFill="1" applyBorder="1" applyProtection="1"/>
    <xf numFmtId="1" fontId="68" fillId="4" borderId="0" xfId="0" applyNumberFormat="1" applyFont="1" applyFill="1" applyBorder="1" applyProtection="1"/>
    <xf numFmtId="0" fontId="20" fillId="5" borderId="0" xfId="0" applyFont="1" applyFill="1" applyBorder="1" applyAlignment="1" applyProtection="1">
      <alignment horizontal="left"/>
    </xf>
    <xf numFmtId="0" fontId="25" fillId="4" borderId="10" xfId="0" applyFont="1" applyFill="1" applyBorder="1" applyProtection="1"/>
    <xf numFmtId="173" fontId="10" fillId="4" borderId="14" xfId="0" applyNumberFormat="1" applyFont="1" applyFill="1" applyBorder="1" applyAlignment="1" applyProtection="1">
      <alignment horizontal="center"/>
      <protection locked="0"/>
    </xf>
    <xf numFmtId="0" fontId="6" fillId="5" borderId="14" xfId="0" applyFont="1" applyFill="1" applyBorder="1" applyAlignment="1" applyProtection="1">
      <alignment horizontal="center"/>
      <protection locked="0"/>
    </xf>
    <xf numFmtId="167" fontId="6" fillId="5" borderId="3" xfId="4" applyNumberFormat="1" applyFont="1" applyFill="1" applyBorder="1" applyProtection="1"/>
    <xf numFmtId="167" fontId="6" fillId="5" borderId="0" xfId="4" applyNumberFormat="1" applyFont="1" applyFill="1" applyBorder="1" applyProtection="1"/>
    <xf numFmtId="167" fontId="45" fillId="5" borderId="3" xfId="4" applyNumberFormat="1" applyFont="1" applyFill="1" applyBorder="1" applyProtection="1"/>
    <xf numFmtId="167" fontId="45" fillId="5" borderId="0" xfId="4" applyNumberFormat="1" applyFont="1" applyFill="1" applyBorder="1" applyProtection="1"/>
    <xf numFmtId="167" fontId="46" fillId="5" borderId="8" xfId="0" applyNumberFormat="1" applyFont="1" applyFill="1" applyBorder="1" applyProtection="1"/>
    <xf numFmtId="167" fontId="46" fillId="4" borderId="0" xfId="0" applyNumberFormat="1" applyFont="1" applyFill="1" applyBorder="1" applyProtection="1"/>
    <xf numFmtId="164" fontId="46" fillId="4" borderId="0" xfId="0" applyNumberFormat="1" applyFont="1" applyFill="1" applyBorder="1" applyAlignment="1" applyProtection="1">
      <alignment horizontal="right"/>
    </xf>
    <xf numFmtId="173" fontId="6" fillId="4" borderId="0" xfId="0" applyNumberFormat="1" applyFont="1" applyFill="1" applyBorder="1" applyAlignment="1" applyProtection="1">
      <alignment horizontal="center"/>
    </xf>
    <xf numFmtId="0" fontId="6" fillId="4" borderId="0" xfId="0" applyNumberFormat="1" applyFont="1" applyFill="1" applyBorder="1" applyAlignment="1" applyProtection="1">
      <alignment horizontal="center"/>
    </xf>
    <xf numFmtId="171" fontId="6" fillId="4" borderId="0" xfId="0" applyNumberFormat="1" applyFont="1" applyFill="1" applyBorder="1" applyAlignment="1" applyProtection="1">
      <alignment horizontal="center"/>
    </xf>
    <xf numFmtId="171" fontId="6" fillId="4" borderId="0" xfId="0" applyNumberFormat="1" applyFont="1" applyFill="1" applyBorder="1" applyProtection="1"/>
    <xf numFmtId="167" fontId="6" fillId="4" borderId="0" xfId="0" applyNumberFormat="1" applyFont="1" applyFill="1" applyBorder="1" applyProtection="1"/>
    <xf numFmtId="0" fontId="6" fillId="5" borderId="3" xfId="0" applyFont="1" applyFill="1" applyBorder="1" applyAlignment="1" applyProtection="1">
      <alignment horizontal="left"/>
    </xf>
    <xf numFmtId="173" fontId="6" fillId="5" borderId="3" xfId="0" applyNumberFormat="1" applyFont="1" applyFill="1" applyBorder="1" applyAlignment="1" applyProtection="1">
      <alignment horizontal="center"/>
    </xf>
    <xf numFmtId="0" fontId="6" fillId="5" borderId="3" xfId="0" applyNumberFormat="1" applyFont="1" applyFill="1" applyBorder="1" applyAlignment="1" applyProtection="1">
      <alignment horizontal="center"/>
    </xf>
    <xf numFmtId="171" fontId="6" fillId="5" borderId="3" xfId="0" applyNumberFormat="1" applyFont="1" applyFill="1" applyBorder="1" applyAlignment="1" applyProtection="1">
      <alignment horizontal="center"/>
    </xf>
    <xf numFmtId="164" fontId="6" fillId="5" borderId="3" xfId="0" applyNumberFormat="1" applyFont="1" applyFill="1" applyBorder="1" applyProtection="1"/>
    <xf numFmtId="0" fontId="6" fillId="5" borderId="0" xfId="0" applyFont="1" applyFill="1" applyBorder="1" applyAlignment="1" applyProtection="1">
      <alignment horizontal="left"/>
    </xf>
    <xf numFmtId="173" fontId="6" fillId="5" borderId="0" xfId="0" applyNumberFormat="1" applyFont="1" applyFill="1" applyBorder="1" applyAlignment="1" applyProtection="1">
      <alignment horizontal="center"/>
    </xf>
    <xf numFmtId="0" fontId="6" fillId="5" borderId="0" xfId="0" applyNumberFormat="1" applyFont="1" applyFill="1" applyBorder="1" applyAlignment="1" applyProtection="1">
      <alignment horizontal="center"/>
    </xf>
    <xf numFmtId="171" fontId="6" fillId="5" borderId="0" xfId="0" applyNumberFormat="1" applyFont="1" applyFill="1" applyBorder="1" applyAlignment="1" applyProtection="1">
      <alignment horizontal="center"/>
    </xf>
    <xf numFmtId="164" fontId="6" fillId="5" borderId="0" xfId="0" applyNumberFormat="1" applyFont="1" applyFill="1" applyBorder="1" applyProtection="1"/>
    <xf numFmtId="1" fontId="6" fillId="4" borderId="0" xfId="0" applyNumberFormat="1" applyFont="1" applyFill="1" applyBorder="1" applyProtection="1"/>
    <xf numFmtId="172" fontId="7" fillId="5" borderId="0" xfId="0" applyNumberFormat="1" applyFont="1" applyFill="1" applyBorder="1" applyAlignment="1" applyProtection="1">
      <alignment horizontal="left"/>
    </xf>
    <xf numFmtId="167" fontId="6" fillId="4" borderId="0" xfId="4" applyNumberFormat="1" applyFont="1" applyFill="1" applyBorder="1" applyProtection="1"/>
    <xf numFmtId="173" fontId="6" fillId="5" borderId="14" xfId="0" applyNumberFormat="1" applyFont="1" applyFill="1" applyBorder="1" applyAlignment="1" applyProtection="1">
      <alignment horizontal="center"/>
      <protection locked="0"/>
    </xf>
    <xf numFmtId="171" fontId="6" fillId="5" borderId="14" xfId="4" applyNumberFormat="1" applyFont="1" applyFill="1" applyBorder="1" applyAlignment="1" applyProtection="1">
      <alignment horizontal="center"/>
      <protection locked="0"/>
    </xf>
    <xf numFmtId="167" fontId="6" fillId="5" borderId="6" xfId="4" applyNumberFormat="1" applyFont="1" applyFill="1" applyBorder="1" applyProtection="1"/>
    <xf numFmtId="0" fontId="7" fillId="4" borderId="17" xfId="0" applyFont="1" applyFill="1" applyBorder="1" applyAlignment="1" applyProtection="1">
      <alignment horizontal="center"/>
    </xf>
    <xf numFmtId="173" fontId="7" fillId="4" borderId="17" xfId="0" applyNumberFormat="1" applyFont="1" applyFill="1" applyBorder="1" applyAlignment="1" applyProtection="1">
      <alignment horizontal="center"/>
    </xf>
    <xf numFmtId="0" fontId="7" fillId="4" borderId="17" xfId="0" applyNumberFormat="1" applyFont="1" applyFill="1" applyBorder="1" applyAlignment="1" applyProtection="1">
      <alignment horizontal="center"/>
    </xf>
    <xf numFmtId="164" fontId="7" fillId="4" borderId="0" xfId="0" applyNumberFormat="1" applyFont="1" applyFill="1" applyBorder="1" applyProtection="1"/>
    <xf numFmtId="0" fontId="6" fillId="5" borderId="8" xfId="0" applyFont="1" applyFill="1" applyBorder="1" applyAlignment="1" applyProtection="1">
      <alignment horizontal="left"/>
    </xf>
    <xf numFmtId="173" fontId="6" fillId="5" borderId="8" xfId="0" applyNumberFormat="1" applyFont="1" applyFill="1" applyBorder="1" applyAlignment="1" applyProtection="1">
      <alignment horizontal="center"/>
    </xf>
    <xf numFmtId="0" fontId="6" fillId="5" borderId="8" xfId="0" applyNumberFormat="1" applyFont="1" applyFill="1" applyBorder="1" applyAlignment="1" applyProtection="1">
      <alignment horizontal="center"/>
    </xf>
    <xf numFmtId="171" fontId="6" fillId="5" borderId="8" xfId="4" applyNumberFormat="1" applyFont="1" applyFill="1" applyBorder="1" applyAlignment="1" applyProtection="1">
      <alignment horizontal="center"/>
    </xf>
    <xf numFmtId="171" fontId="6" fillId="5" borderId="8" xfId="0" applyNumberFormat="1" applyFont="1" applyFill="1" applyBorder="1" applyAlignment="1" applyProtection="1">
      <alignment horizontal="center"/>
    </xf>
    <xf numFmtId="171" fontId="6" fillId="5" borderId="3" xfId="4" applyNumberFormat="1" applyFont="1" applyFill="1" applyBorder="1" applyAlignment="1" applyProtection="1">
      <alignment horizontal="center"/>
    </xf>
    <xf numFmtId="164" fontId="6" fillId="5" borderId="3" xfId="0" applyNumberFormat="1" applyFont="1" applyFill="1" applyBorder="1" applyAlignment="1" applyProtection="1">
      <alignment horizontal="center"/>
    </xf>
    <xf numFmtId="171" fontId="6" fillId="5" borderId="0" xfId="4" applyNumberFormat="1" applyFont="1" applyFill="1" applyBorder="1" applyAlignment="1" applyProtection="1">
      <alignment horizontal="center"/>
    </xf>
    <xf numFmtId="167" fontId="6" fillId="4" borderId="0" xfId="0" applyNumberFormat="1" applyFont="1" applyFill="1" applyBorder="1" applyAlignment="1" applyProtection="1">
      <alignment horizontal="center"/>
    </xf>
    <xf numFmtId="167" fontId="8" fillId="4" borderId="0" xfId="0" applyNumberFormat="1" applyFont="1" applyFill="1" applyBorder="1" applyAlignment="1" applyProtection="1">
      <alignment horizontal="center"/>
    </xf>
    <xf numFmtId="0" fontId="7" fillId="4" borderId="0" xfId="0" quotePrefix="1" applyFont="1" applyFill="1" applyBorder="1" applyAlignment="1" applyProtection="1">
      <alignment horizontal="right"/>
    </xf>
    <xf numFmtId="164" fontId="7" fillId="5" borderId="8" xfId="0" applyNumberFormat="1" applyFont="1" applyFill="1" applyBorder="1" applyProtection="1"/>
    <xf numFmtId="172" fontId="7" fillId="4" borderId="0" xfId="0" applyNumberFormat="1" applyFont="1" applyFill="1" applyBorder="1" applyAlignment="1" applyProtection="1">
      <alignment horizontal="left"/>
    </xf>
    <xf numFmtId="0" fontId="10" fillId="4" borderId="14" xfId="0" applyFont="1" applyFill="1" applyBorder="1" applyAlignment="1" applyProtection="1">
      <protection locked="0"/>
    </xf>
    <xf numFmtId="0" fontId="6" fillId="4" borderId="14" xfId="0" applyFont="1" applyFill="1" applyBorder="1" applyAlignment="1" applyProtection="1">
      <alignment horizontal="left"/>
      <protection locked="0"/>
    </xf>
    <xf numFmtId="0" fontId="6" fillId="4" borderId="14" xfId="0" applyNumberFormat="1" applyFont="1" applyFill="1" applyBorder="1" applyAlignment="1" applyProtection="1">
      <alignment horizontal="center"/>
      <protection locked="0"/>
    </xf>
    <xf numFmtId="0" fontId="19" fillId="5" borderId="0" xfId="0" applyFont="1" applyFill="1" applyBorder="1" applyAlignment="1" applyProtection="1">
      <alignment horizontal="right"/>
    </xf>
    <xf numFmtId="0" fontId="61" fillId="4" borderId="0" xfId="0" applyFont="1" applyFill="1" applyBorder="1" applyAlignment="1" applyProtection="1">
      <alignment horizontal="right"/>
    </xf>
    <xf numFmtId="165" fontId="67" fillId="4" borderId="0" xfId="4" applyNumberFormat="1" applyFont="1" applyFill="1" applyBorder="1" applyProtection="1"/>
    <xf numFmtId="0" fontId="60" fillId="4" borderId="0" xfId="0" applyFont="1" applyFill="1" applyBorder="1" applyAlignment="1" applyProtection="1">
      <alignment horizontal="left"/>
    </xf>
    <xf numFmtId="0" fontId="11" fillId="4" borderId="11" xfId="0" applyFont="1" applyFill="1" applyBorder="1" applyAlignment="1" applyProtection="1">
      <alignment horizontal="right"/>
    </xf>
    <xf numFmtId="167" fontId="13" fillId="4" borderId="11" xfId="4" applyNumberFormat="1" applyFont="1" applyFill="1" applyBorder="1" applyProtection="1"/>
    <xf numFmtId="165" fontId="11" fillId="4" borderId="12" xfId="4" applyNumberFormat="1" applyFont="1" applyFill="1" applyBorder="1" applyProtection="1"/>
    <xf numFmtId="1" fontId="10" fillId="4" borderId="17" xfId="0" applyNumberFormat="1" applyFont="1" applyFill="1" applyBorder="1" applyProtection="1"/>
    <xf numFmtId="167" fontId="10" fillId="4" borderId="17" xfId="4" applyNumberFormat="1" applyFont="1" applyFill="1" applyBorder="1" applyProtection="1"/>
    <xf numFmtId="165" fontId="10" fillId="4" borderId="18" xfId="4" applyNumberFormat="1" applyFont="1" applyFill="1" applyBorder="1" applyProtection="1"/>
    <xf numFmtId="1" fontId="11" fillId="4" borderId="11" xfId="0" applyNumberFormat="1" applyFont="1" applyFill="1" applyBorder="1" applyProtection="1"/>
    <xf numFmtId="167" fontId="10" fillId="4" borderId="11" xfId="4" applyNumberFormat="1" applyFont="1" applyFill="1" applyBorder="1" applyProtection="1"/>
    <xf numFmtId="165" fontId="10" fillId="4" borderId="12" xfId="4" applyNumberFormat="1" applyFont="1" applyFill="1" applyBorder="1" applyProtection="1"/>
    <xf numFmtId="167" fontId="12" fillId="5" borderId="0" xfId="0" quotePrefix="1" applyNumberFormat="1" applyFont="1" applyFill="1" applyBorder="1" applyAlignment="1" applyProtection="1">
      <alignment horizontal="center"/>
    </xf>
    <xf numFmtId="0" fontId="12" fillId="5" borderId="0" xfId="0" quotePrefix="1" applyNumberFormat="1" applyFont="1" applyFill="1" applyBorder="1" applyAlignment="1" applyProtection="1">
      <alignment horizontal="center"/>
    </xf>
    <xf numFmtId="167" fontId="10" fillId="5" borderId="14" xfId="4" applyNumberFormat="1" applyFont="1" applyFill="1" applyBorder="1" applyAlignment="1" applyProtection="1">
      <alignment horizontal="left"/>
      <protection locked="0"/>
    </xf>
    <xf numFmtId="1" fontId="10" fillId="5" borderId="14" xfId="0" applyNumberFormat="1" applyFont="1" applyFill="1" applyBorder="1" applyProtection="1">
      <protection locked="0"/>
    </xf>
    <xf numFmtId="1" fontId="10" fillId="5" borderId="14" xfId="0" applyNumberFormat="1" applyFont="1" applyFill="1" applyBorder="1" applyAlignment="1" applyProtection="1">
      <alignment horizontal="left"/>
      <protection locked="0"/>
    </xf>
    <xf numFmtId="49" fontId="10" fillId="5" borderId="14" xfId="0" applyNumberFormat="1" applyFont="1" applyFill="1" applyBorder="1" applyProtection="1">
      <protection locked="0"/>
    </xf>
    <xf numFmtId="49" fontId="10" fillId="4" borderId="17" xfId="0" applyNumberFormat="1" applyFont="1" applyFill="1" applyBorder="1" applyProtection="1"/>
    <xf numFmtId="1" fontId="10" fillId="4" borderId="11" xfId="0" applyNumberFormat="1" applyFont="1" applyFill="1" applyBorder="1" applyProtection="1"/>
    <xf numFmtId="49" fontId="10" fillId="4" borderId="11" xfId="0" applyNumberFormat="1" applyFont="1" applyFill="1" applyBorder="1" applyProtection="1"/>
    <xf numFmtId="49" fontId="10" fillId="5" borderId="0" xfId="0" applyNumberFormat="1" applyFont="1" applyFill="1" applyBorder="1" applyProtection="1"/>
    <xf numFmtId="165" fontId="10" fillId="5" borderId="0" xfId="4" applyNumberFormat="1" applyFont="1" applyFill="1" applyBorder="1" applyProtection="1"/>
    <xf numFmtId="0" fontId="19" fillId="4" borderId="17" xfId="0" applyFont="1" applyFill="1" applyBorder="1" applyAlignment="1" applyProtection="1">
      <alignment horizontal="right"/>
    </xf>
    <xf numFmtId="0" fontId="12" fillId="4" borderId="17" xfId="0" applyFont="1" applyFill="1" applyBorder="1" applyProtection="1"/>
    <xf numFmtId="49" fontId="12" fillId="4" borderId="17" xfId="0" applyNumberFormat="1" applyFont="1" applyFill="1" applyBorder="1" applyProtection="1"/>
    <xf numFmtId="167" fontId="12" fillId="4" borderId="17" xfId="0" quotePrefix="1" applyNumberFormat="1" applyFont="1" applyFill="1" applyBorder="1" applyAlignment="1" applyProtection="1">
      <alignment horizontal="center"/>
    </xf>
    <xf numFmtId="0" fontId="12" fillId="4" borderId="18" xfId="0" quotePrefix="1" applyNumberFormat="1" applyFont="1" applyFill="1" applyBorder="1" applyAlignment="1" applyProtection="1">
      <alignment horizontal="center"/>
    </xf>
    <xf numFmtId="0" fontId="12" fillId="4" borderId="11" xfId="0" quotePrefix="1" applyNumberFormat="1" applyFont="1" applyFill="1" applyBorder="1" applyAlignment="1" applyProtection="1">
      <alignment horizontal="center"/>
    </xf>
    <xf numFmtId="0" fontId="12" fillId="4" borderId="12" xfId="0" quotePrefix="1" applyFont="1" applyFill="1" applyBorder="1" applyAlignment="1" applyProtection="1">
      <alignment horizontal="center"/>
    </xf>
    <xf numFmtId="49" fontId="34" fillId="5" borderId="0" xfId="0" applyNumberFormat="1" applyFont="1" applyFill="1" applyBorder="1" applyProtection="1"/>
    <xf numFmtId="0" fontId="11" fillId="4" borderId="11" xfId="0" applyFont="1" applyFill="1" applyBorder="1" applyAlignment="1" applyProtection="1">
      <alignment horizontal="left"/>
    </xf>
    <xf numFmtId="164" fontId="11" fillId="4" borderId="12" xfId="4" applyNumberFormat="1" applyFont="1" applyFill="1" applyBorder="1" applyAlignment="1" applyProtection="1">
      <alignment horizontal="left"/>
    </xf>
    <xf numFmtId="176" fontId="10" fillId="5" borderId="14" xfId="0" applyNumberFormat="1" applyFont="1" applyFill="1" applyBorder="1" applyAlignment="1" applyProtection="1">
      <alignment horizontal="left"/>
      <protection locked="0"/>
    </xf>
    <xf numFmtId="0" fontId="10" fillId="5" borderId="19" xfId="0" applyFont="1" applyFill="1" applyBorder="1" applyProtection="1"/>
    <xf numFmtId="165" fontId="11" fillId="5" borderId="19" xfId="4" applyNumberFormat="1" applyFont="1" applyFill="1" applyBorder="1" applyProtection="1"/>
    <xf numFmtId="0" fontId="8" fillId="4" borderId="14" xfId="0" applyNumberFormat="1" applyFont="1" applyFill="1" applyBorder="1" applyAlignment="1" applyProtection="1">
      <alignment horizontal="left"/>
    </xf>
    <xf numFmtId="164" fontId="8" fillId="4" borderId="14" xfId="4" applyNumberFormat="1" applyFont="1" applyFill="1" applyBorder="1" applyAlignment="1" applyProtection="1">
      <alignment horizontal="left"/>
    </xf>
    <xf numFmtId="0" fontId="6" fillId="0" borderId="0" xfId="0" applyFont="1" applyFill="1" applyBorder="1" applyAlignment="1" applyProtection="1"/>
    <xf numFmtId="0" fontId="7" fillId="0" borderId="0" xfId="0" applyFont="1" applyFill="1" applyAlignment="1" applyProtection="1">
      <alignment horizontal="left"/>
    </xf>
    <xf numFmtId="0" fontId="6" fillId="0" borderId="0" xfId="0" applyFont="1" applyFill="1" applyAlignment="1" applyProtection="1">
      <alignment horizontal="right"/>
    </xf>
    <xf numFmtId="0" fontId="7" fillId="0" borderId="0" xfId="0" applyFont="1" applyAlignment="1" applyProtection="1">
      <alignment horizontal="left"/>
    </xf>
    <xf numFmtId="4" fontId="6" fillId="0" borderId="0" xfId="0" applyNumberFormat="1" applyFont="1" applyFill="1" applyBorder="1" applyAlignment="1" applyProtection="1">
      <alignment horizontal="left"/>
    </xf>
    <xf numFmtId="164" fontId="6" fillId="0" borderId="0" xfId="0" applyNumberFormat="1" applyFont="1" applyFill="1" applyBorder="1" applyAlignment="1" applyProtection="1">
      <alignment horizontal="left"/>
    </xf>
    <xf numFmtId="0" fontId="6" fillId="0" borderId="0" xfId="0" applyFont="1" applyFill="1" applyBorder="1" applyProtection="1"/>
    <xf numFmtId="10" fontId="6" fillId="0" borderId="0" xfId="0" applyNumberFormat="1" applyFont="1" applyFill="1" applyBorder="1" applyAlignment="1" applyProtection="1">
      <alignment horizontal="center"/>
    </xf>
    <xf numFmtId="10" fontId="7"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10" fillId="4" borderId="20" xfId="0" applyFont="1" applyFill="1" applyBorder="1" applyProtection="1"/>
    <xf numFmtId="164" fontId="10" fillId="5" borderId="11" xfId="0" applyNumberFormat="1" applyFont="1" applyFill="1" applyBorder="1" applyAlignment="1" applyProtection="1">
      <alignment horizontal="left"/>
      <protection locked="0"/>
    </xf>
    <xf numFmtId="167" fontId="6" fillId="4" borderId="11" xfId="0" applyNumberFormat="1" applyFont="1" applyFill="1" applyBorder="1" applyAlignment="1" applyProtection="1">
      <alignment horizontal="center"/>
    </xf>
    <xf numFmtId="176" fontId="10" fillId="5" borderId="11" xfId="0" applyNumberFormat="1" applyFont="1" applyFill="1" applyBorder="1" applyAlignment="1" applyProtection="1">
      <alignment horizontal="left"/>
      <protection locked="0"/>
    </xf>
    <xf numFmtId="167" fontId="7" fillId="5" borderId="3" xfId="0" applyNumberFormat="1" applyFont="1" applyFill="1" applyBorder="1" applyProtection="1"/>
    <xf numFmtId="167" fontId="7" fillId="5" borderId="0" xfId="0" applyNumberFormat="1" applyFont="1" applyFill="1" applyBorder="1" applyProtection="1"/>
    <xf numFmtId="167" fontId="38" fillId="5" borderId="0" xfId="0" applyNumberFormat="1" applyFont="1" applyFill="1" applyBorder="1" applyProtection="1"/>
    <xf numFmtId="167" fontId="7" fillId="4" borderId="11" xfId="0" applyNumberFormat="1" applyFont="1" applyFill="1" applyBorder="1" applyProtection="1"/>
    <xf numFmtId="167" fontId="7" fillId="4" borderId="14" xfId="0" applyNumberFormat="1" applyFont="1" applyFill="1" applyBorder="1" applyAlignment="1" applyProtection="1">
      <alignment horizontal="center"/>
    </xf>
    <xf numFmtId="167" fontId="7" fillId="4" borderId="17" xfId="0" applyNumberFormat="1" applyFont="1" applyFill="1" applyBorder="1" applyProtection="1"/>
    <xf numFmtId="167" fontId="7" fillId="5" borderId="8" xfId="4" applyNumberFormat="1" applyFont="1" applyFill="1" applyBorder="1" applyAlignment="1" applyProtection="1">
      <alignment horizontal="left"/>
    </xf>
    <xf numFmtId="167" fontId="7" fillId="4" borderId="0" xfId="4" applyNumberFormat="1" applyFont="1" applyFill="1" applyBorder="1" applyAlignment="1" applyProtection="1">
      <alignment horizontal="left"/>
    </xf>
    <xf numFmtId="167" fontId="7" fillId="5" borderId="3" xfId="4" applyNumberFormat="1" applyFont="1" applyFill="1" applyBorder="1" applyAlignment="1" applyProtection="1">
      <alignment horizontal="left"/>
    </xf>
    <xf numFmtId="167" fontId="7" fillId="5" borderId="0" xfId="4" applyNumberFormat="1" applyFont="1" applyFill="1" applyBorder="1" applyAlignment="1" applyProtection="1">
      <alignment horizontal="left"/>
    </xf>
    <xf numFmtId="0" fontId="6" fillId="5" borderId="0" xfId="0" applyFont="1" applyFill="1" applyAlignment="1"/>
    <xf numFmtId="0" fontId="45" fillId="5" borderId="5" xfId="0" applyFont="1" applyFill="1" applyBorder="1" applyProtection="1"/>
    <xf numFmtId="0" fontId="45" fillId="4" borderId="13" xfId="0" applyFont="1" applyFill="1" applyBorder="1" applyProtection="1"/>
    <xf numFmtId="0" fontId="45" fillId="4" borderId="15" xfId="0" applyFont="1" applyFill="1" applyBorder="1" applyAlignment="1" applyProtection="1">
      <alignment horizontal="center"/>
    </xf>
    <xf numFmtId="0" fontId="45" fillId="5" borderId="6" xfId="0" applyFont="1" applyFill="1" applyBorder="1" applyProtection="1"/>
    <xf numFmtId="0" fontId="45" fillId="4" borderId="0" xfId="0" applyFont="1" applyFill="1" applyProtection="1"/>
    <xf numFmtId="0" fontId="60" fillId="4" borderId="0" xfId="0" applyFont="1" applyFill="1" applyAlignment="1" applyProtection="1">
      <alignment horizontal="left"/>
    </xf>
    <xf numFmtId="174" fontId="6" fillId="5" borderId="14" xfId="3" applyNumberFormat="1" applyFont="1" applyFill="1" applyBorder="1" applyAlignment="1" applyProtection="1">
      <alignment horizontal="center"/>
      <protection locked="0"/>
    </xf>
    <xf numFmtId="0" fontId="8" fillId="5" borderId="0" xfId="0" applyFont="1" applyFill="1"/>
    <xf numFmtId="0" fontId="45" fillId="0" borderId="0" xfId="0" applyFont="1" applyFill="1" applyBorder="1" applyAlignment="1" applyProtection="1">
      <alignment horizontal="left"/>
    </xf>
    <xf numFmtId="0" fontId="29" fillId="0" borderId="0" xfId="0" applyFont="1" applyFill="1" applyAlignment="1" applyProtection="1">
      <alignment horizontal="left"/>
    </xf>
    <xf numFmtId="0" fontId="37" fillId="0" borderId="0" xfId="0" applyFont="1" applyFill="1" applyAlignment="1" applyProtection="1">
      <alignment horizontal="left"/>
    </xf>
    <xf numFmtId="0" fontId="6" fillId="2" borderId="0" xfId="0" applyFont="1" applyFill="1" applyBorder="1" applyAlignment="1" applyProtection="1">
      <alignment horizontal="left"/>
    </xf>
    <xf numFmtId="173" fontId="6" fillId="2" borderId="0" xfId="0" applyNumberFormat="1" applyFont="1" applyFill="1" applyBorder="1" applyAlignment="1" applyProtection="1">
      <alignment horizontal="left"/>
    </xf>
    <xf numFmtId="165" fontId="6" fillId="2" borderId="0" xfId="0" applyNumberFormat="1" applyFont="1" applyFill="1" applyBorder="1" applyAlignment="1" applyProtection="1">
      <alignment horizontal="left"/>
    </xf>
    <xf numFmtId="174" fontId="6" fillId="2" borderId="0" xfId="0" applyNumberFormat="1" applyFont="1" applyFill="1" applyBorder="1" applyAlignment="1" applyProtection="1">
      <alignment horizontal="center"/>
    </xf>
    <xf numFmtId="0" fontId="6" fillId="4" borderId="14" xfId="0" applyFont="1" applyFill="1" applyBorder="1" applyProtection="1">
      <protection locked="0"/>
    </xf>
    <xf numFmtId="0" fontId="6" fillId="5" borderId="14" xfId="0" applyFont="1" applyFill="1" applyBorder="1" applyAlignment="1" applyProtection="1">
      <alignment horizontal="left" vertical="top" wrapText="1"/>
      <protection locked="0"/>
    </xf>
    <xf numFmtId="0" fontId="53" fillId="4" borderId="0" xfId="0" applyNumberFormat="1" applyFont="1" applyFill="1" applyBorder="1" applyAlignment="1" applyProtection="1">
      <alignment horizontal="left"/>
    </xf>
    <xf numFmtId="0" fontId="53" fillId="4" borderId="0" xfId="0" applyFont="1" applyFill="1" applyBorder="1" applyAlignment="1" applyProtection="1">
      <alignment horizontal="left"/>
    </xf>
    <xf numFmtId="0" fontId="6" fillId="5" borderId="15" xfId="0" applyFont="1" applyFill="1" applyBorder="1" applyAlignment="1" applyProtection="1">
      <alignment horizontal="left" vertical="top" wrapText="1"/>
      <protection locked="0"/>
    </xf>
    <xf numFmtId="0" fontId="6" fillId="5" borderId="18" xfId="0" applyFont="1" applyFill="1" applyBorder="1" applyAlignment="1" applyProtection="1">
      <alignment horizontal="left" vertical="top" wrapText="1"/>
      <protection locked="0"/>
    </xf>
    <xf numFmtId="0" fontId="6" fillId="4" borderId="0" xfId="0" applyFont="1" applyFill="1" applyBorder="1" applyAlignment="1" applyProtection="1">
      <alignment horizontal="left" vertical="top" wrapText="1"/>
      <protection locked="0"/>
    </xf>
    <xf numFmtId="165" fontId="66" fillId="6" borderId="0" xfId="4" applyFont="1" applyFill="1" applyBorder="1" applyAlignment="1" applyProtection="1">
      <alignment horizontal="left" vertical="top" wrapText="1"/>
      <protection locked="0"/>
    </xf>
    <xf numFmtId="165" fontId="37" fillId="9" borderId="0" xfId="0" applyNumberFormat="1" applyFont="1" applyFill="1" applyAlignment="1" applyProtection="1">
      <alignment horizontal="left"/>
      <protection locked="0"/>
    </xf>
    <xf numFmtId="10" fontId="6" fillId="9" borderId="0" xfId="0" applyNumberFormat="1" applyFont="1" applyFill="1" applyBorder="1" applyAlignment="1" applyProtection="1">
      <alignment horizontal="center"/>
      <protection locked="0"/>
    </xf>
    <xf numFmtId="179" fontId="6" fillId="0" borderId="0" xfId="0" applyNumberFormat="1" applyFont="1" applyFill="1" applyBorder="1" applyAlignment="1" applyProtection="1">
      <alignment horizontal="left"/>
    </xf>
    <xf numFmtId="165" fontId="6" fillId="4" borderId="0" xfId="4" applyFont="1" applyFill="1" applyBorder="1" applyProtection="1"/>
    <xf numFmtId="165" fontId="6" fillId="5" borderId="3" xfId="4" applyFont="1" applyFill="1" applyBorder="1" applyProtection="1"/>
    <xf numFmtId="165" fontId="6" fillId="5" borderId="0" xfId="4" applyFont="1" applyFill="1" applyBorder="1" applyProtection="1"/>
    <xf numFmtId="167" fontId="50" fillId="5" borderId="0" xfId="4" applyNumberFormat="1" applyFont="1" applyFill="1" applyBorder="1" applyProtection="1"/>
    <xf numFmtId="165" fontId="50" fillId="5" borderId="0" xfId="4" applyFont="1" applyFill="1" applyBorder="1" applyProtection="1"/>
    <xf numFmtId="167" fontId="6" fillId="4" borderId="11" xfId="4" applyNumberFormat="1" applyFont="1" applyFill="1" applyBorder="1" applyProtection="1"/>
    <xf numFmtId="165" fontId="6" fillId="4" borderId="11" xfId="4" applyFont="1" applyFill="1" applyBorder="1" applyProtection="1"/>
    <xf numFmtId="167" fontId="51" fillId="4" borderId="0" xfId="4" applyNumberFormat="1" applyFont="1" applyFill="1" applyBorder="1" applyAlignment="1" applyProtection="1">
      <alignment horizontal="left"/>
    </xf>
    <xf numFmtId="165" fontId="12" fillId="4" borderId="12" xfId="4" applyNumberFormat="1" applyFont="1" applyFill="1" applyBorder="1" applyAlignment="1" applyProtection="1">
      <alignment horizontal="left"/>
    </xf>
    <xf numFmtId="165" fontId="51" fillId="4" borderId="0" xfId="4" applyFont="1" applyFill="1" applyBorder="1" applyAlignment="1" applyProtection="1">
      <alignment horizontal="left"/>
    </xf>
    <xf numFmtId="165" fontId="6" fillId="4" borderId="0" xfId="4" applyFont="1" applyFill="1" applyBorder="1" applyAlignment="1" applyProtection="1">
      <alignment horizontal="left"/>
    </xf>
    <xf numFmtId="0" fontId="51" fillId="4" borderId="0" xfId="0" applyFont="1" applyFill="1" applyBorder="1" applyAlignment="1" applyProtection="1">
      <alignment horizontal="left"/>
    </xf>
    <xf numFmtId="167" fontId="53" fillId="4" borderId="0" xfId="4" applyNumberFormat="1" applyFont="1" applyFill="1" applyBorder="1" applyAlignment="1" applyProtection="1">
      <alignment horizontal="center"/>
    </xf>
    <xf numFmtId="165" fontId="8" fillId="4" borderId="12" xfId="4" applyNumberFormat="1" applyFont="1" applyFill="1" applyBorder="1" applyAlignment="1" applyProtection="1">
      <alignment horizontal="center"/>
    </xf>
    <xf numFmtId="165" fontId="53" fillId="4" borderId="0" xfId="4" applyFont="1" applyFill="1" applyBorder="1" applyAlignment="1" applyProtection="1">
      <alignment horizontal="center"/>
    </xf>
    <xf numFmtId="167" fontId="6" fillId="7" borderId="14" xfId="4" applyNumberFormat="1" applyFont="1" applyFill="1" applyBorder="1" applyAlignment="1" applyProtection="1">
      <alignment horizontal="left" vertical="top" wrapText="1"/>
      <protection locked="0"/>
    </xf>
    <xf numFmtId="167" fontId="6" fillId="5" borderId="14" xfId="4" applyNumberFormat="1" applyFont="1" applyFill="1" applyBorder="1" applyAlignment="1" applyProtection="1">
      <alignment horizontal="left" vertical="top" wrapText="1"/>
      <protection locked="0"/>
    </xf>
    <xf numFmtId="0" fontId="6" fillId="4" borderId="0" xfId="0" applyFont="1" applyFill="1" applyBorder="1" applyProtection="1">
      <protection locked="0"/>
    </xf>
    <xf numFmtId="167" fontId="66" fillId="6" borderId="0" xfId="4" applyNumberFormat="1" applyFont="1" applyFill="1" applyBorder="1" applyAlignment="1" applyProtection="1">
      <alignment horizontal="left" vertical="top" wrapText="1"/>
      <protection locked="0"/>
    </xf>
    <xf numFmtId="167" fontId="6" fillId="4" borderId="0" xfId="4" applyNumberFormat="1" applyFont="1" applyFill="1" applyBorder="1" applyAlignment="1" applyProtection="1">
      <alignment horizontal="right"/>
    </xf>
    <xf numFmtId="165" fontId="6" fillId="4" borderId="0" xfId="4" applyFont="1" applyFill="1" applyBorder="1" applyAlignment="1" applyProtection="1">
      <alignment horizontal="right"/>
    </xf>
    <xf numFmtId="167" fontId="6" fillId="5" borderId="0" xfId="4" applyNumberFormat="1" applyFont="1" applyFill="1" applyBorder="1" applyAlignment="1" applyProtection="1">
      <alignment horizontal="right"/>
    </xf>
    <xf numFmtId="165" fontId="6" fillId="5" borderId="0" xfId="4" applyFont="1" applyFill="1" applyBorder="1" applyAlignment="1" applyProtection="1">
      <alignment horizontal="right"/>
    </xf>
    <xf numFmtId="0" fontId="6" fillId="4" borderId="0" xfId="0" applyFont="1" applyFill="1" applyBorder="1" applyAlignment="1" applyProtection="1">
      <alignment horizontal="right"/>
      <protection locked="0"/>
    </xf>
    <xf numFmtId="165" fontId="7" fillId="5" borderId="0" xfId="4" applyFont="1" applyFill="1" applyBorder="1" applyAlignment="1" applyProtection="1">
      <alignment horizontal="left"/>
    </xf>
    <xf numFmtId="167" fontId="7" fillId="5" borderId="8" xfId="4" applyNumberFormat="1" applyFont="1" applyFill="1" applyBorder="1" applyProtection="1"/>
    <xf numFmtId="165" fontId="7" fillId="5" borderId="8" xfId="4" applyFont="1" applyFill="1" applyBorder="1" applyProtection="1"/>
    <xf numFmtId="167" fontId="7" fillId="4" borderId="0" xfId="4" applyNumberFormat="1" applyFont="1" applyFill="1" applyBorder="1" applyProtection="1"/>
    <xf numFmtId="165" fontId="7" fillId="4" borderId="0" xfId="4" applyFont="1" applyFill="1" applyBorder="1" applyProtection="1"/>
    <xf numFmtId="49" fontId="60" fillId="4" borderId="0" xfId="0" applyNumberFormat="1" applyFont="1" applyFill="1" applyBorder="1" applyAlignment="1" applyProtection="1">
      <alignment horizontal="left"/>
    </xf>
    <xf numFmtId="0" fontId="51" fillId="4" borderId="0" xfId="0" applyFont="1" applyFill="1" applyBorder="1" applyProtection="1"/>
    <xf numFmtId="167" fontId="7" fillId="8" borderId="15" xfId="4" applyNumberFormat="1" applyFont="1" applyFill="1" applyBorder="1" applyAlignment="1" applyProtection="1">
      <alignment horizontal="left" vertical="top" wrapText="1"/>
      <protection locked="0"/>
    </xf>
    <xf numFmtId="167" fontId="55" fillId="6" borderId="15" xfId="4" applyNumberFormat="1" applyFont="1" applyFill="1" applyBorder="1" applyAlignment="1" applyProtection="1">
      <alignment horizontal="left" vertical="top" wrapText="1"/>
      <protection locked="0"/>
    </xf>
    <xf numFmtId="165" fontId="6" fillId="2" borderId="0" xfId="0" applyNumberFormat="1" applyFont="1" applyFill="1" applyBorder="1" applyAlignment="1" applyProtection="1">
      <alignment horizontal="left"/>
      <protection locked="0"/>
    </xf>
    <xf numFmtId="164" fontId="6" fillId="2" borderId="0" xfId="0" applyNumberFormat="1" applyFont="1" applyFill="1" applyBorder="1" applyAlignment="1" applyProtection="1">
      <alignment horizontal="left"/>
      <protection locked="0"/>
    </xf>
    <xf numFmtId="2" fontId="6" fillId="2" borderId="0" xfId="0" applyNumberFormat="1" applyFont="1" applyFill="1" applyBorder="1" applyAlignment="1" applyProtection="1">
      <alignment horizontal="left"/>
      <protection locked="0"/>
    </xf>
    <xf numFmtId="0" fontId="53" fillId="0" borderId="0" xfId="0" applyFont="1" applyFill="1" applyBorder="1" applyAlignment="1" applyProtection="1">
      <alignment horizontal="left" indent="1"/>
    </xf>
    <xf numFmtId="0" fontId="53" fillId="0" borderId="0" xfId="0" applyFont="1" applyAlignment="1" applyProtection="1">
      <alignment horizontal="left" indent="1"/>
    </xf>
    <xf numFmtId="0" fontId="53" fillId="0" borderId="0" xfId="0" applyFont="1" applyFill="1" applyAlignment="1" applyProtection="1">
      <alignment horizontal="left" indent="1"/>
    </xf>
    <xf numFmtId="0" fontId="51" fillId="0" borderId="0" xfId="0" applyFont="1" applyFill="1" applyBorder="1" applyAlignment="1" applyProtection="1">
      <alignment horizontal="left" indent="1"/>
    </xf>
    <xf numFmtId="49" fontId="53" fillId="0" borderId="0" xfId="0" applyNumberFormat="1" applyFont="1" applyFill="1" applyBorder="1" applyAlignment="1" applyProtection="1">
      <alignment horizontal="left" indent="1"/>
    </xf>
    <xf numFmtId="0" fontId="53" fillId="0" borderId="0" xfId="0" applyNumberFormat="1" applyFont="1" applyFill="1" applyBorder="1" applyAlignment="1" applyProtection="1">
      <alignment horizontal="left" indent="1"/>
    </xf>
    <xf numFmtId="164" fontId="6" fillId="5" borderId="14" xfId="0" applyNumberFormat="1" applyFont="1" applyFill="1" applyBorder="1" applyAlignment="1" applyProtection="1">
      <alignment horizontal="left"/>
    </xf>
    <xf numFmtId="3" fontId="72" fillId="2" borderId="0" xfId="0" applyNumberFormat="1" applyFont="1" applyFill="1" applyBorder="1" applyAlignment="1" applyProtection="1">
      <alignment horizontal="left"/>
      <protection locked="0"/>
    </xf>
    <xf numFmtId="49" fontId="6" fillId="4" borderId="0" xfId="0" applyNumberFormat="1" applyFont="1" applyFill="1" applyBorder="1" applyAlignment="1" applyProtection="1">
      <alignment horizontal="left"/>
    </xf>
    <xf numFmtId="0" fontId="6" fillId="4" borderId="0" xfId="0" applyFont="1" applyFill="1" applyAlignment="1" applyProtection="1">
      <alignment horizontal="left"/>
    </xf>
    <xf numFmtId="164" fontId="62" fillId="4" borderId="14" xfId="4" applyNumberFormat="1" applyFont="1" applyFill="1" applyBorder="1" applyAlignment="1" applyProtection="1">
      <alignment horizontal="left"/>
    </xf>
    <xf numFmtId="9" fontId="6" fillId="4" borderId="14" xfId="0" applyNumberFormat="1" applyFont="1" applyFill="1" applyBorder="1" applyAlignment="1" applyProtection="1">
      <alignment horizontal="left"/>
    </xf>
    <xf numFmtId="0" fontId="6" fillId="4" borderId="14" xfId="0" applyFont="1" applyFill="1" applyBorder="1" applyAlignment="1" applyProtection="1"/>
    <xf numFmtId="0" fontId="9" fillId="5" borderId="0" xfId="0" applyFont="1" applyFill="1" applyAlignment="1"/>
    <xf numFmtId="0" fontId="7" fillId="5" borderId="0" xfId="0" applyFont="1" applyFill="1" applyAlignment="1"/>
    <xf numFmtId="0" fontId="45" fillId="0" borderId="0" xfId="0" applyFont="1" applyFill="1" applyBorder="1" applyAlignment="1" applyProtection="1">
      <alignment horizontal="left"/>
    </xf>
    <xf numFmtId="0" fontId="50" fillId="4" borderId="11" xfId="0" applyFont="1" applyFill="1" applyBorder="1" applyProtection="1"/>
    <xf numFmtId="0" fontId="52" fillId="4" borderId="11" xfId="0" applyFont="1" applyFill="1" applyBorder="1" applyProtection="1"/>
    <xf numFmtId="0" fontId="6" fillId="3" borderId="14" xfId="0" applyFont="1" applyFill="1" applyBorder="1" applyAlignment="1" applyProtection="1">
      <alignment horizontal="center"/>
      <protection locked="0"/>
    </xf>
    <xf numFmtId="0" fontId="73" fillId="5" borderId="0" xfId="0" applyFont="1" applyFill="1" applyBorder="1" applyAlignment="1" applyProtection="1">
      <alignment horizontal="left"/>
    </xf>
    <xf numFmtId="0" fontId="73" fillId="5" borderId="0" xfId="0" applyFont="1" applyFill="1" applyBorder="1" applyProtection="1"/>
    <xf numFmtId="0" fontId="73" fillId="5" borderId="0" xfId="0" applyFont="1" applyFill="1" applyBorder="1"/>
    <xf numFmtId="171" fontId="74" fillId="0" borderId="0" xfId="0" applyNumberFormat="1" applyFont="1" applyFill="1" applyBorder="1" applyAlignment="1" applyProtection="1">
      <alignment horizontal="left"/>
    </xf>
    <xf numFmtId="0" fontId="74" fillId="0" borderId="0" xfId="0" applyFont="1" applyFill="1" applyBorder="1" applyAlignment="1" applyProtection="1">
      <alignment horizontal="left"/>
    </xf>
    <xf numFmtId="165" fontId="74" fillId="0" borderId="0" xfId="4" applyFont="1" applyFill="1" applyBorder="1" applyAlignment="1" applyProtection="1">
      <alignment horizontal="left"/>
    </xf>
    <xf numFmtId="165" fontId="74" fillId="0" borderId="0" xfId="4" applyFont="1" applyFill="1" applyAlignment="1" applyProtection="1">
      <alignment horizontal="left"/>
    </xf>
    <xf numFmtId="165" fontId="74" fillId="0" borderId="0" xfId="4" applyFont="1" applyAlignment="1" applyProtection="1">
      <alignment horizontal="left"/>
    </xf>
    <xf numFmtId="0" fontId="74" fillId="0" borderId="0" xfId="4" applyNumberFormat="1" applyFont="1" applyFill="1" applyBorder="1" applyAlignment="1" applyProtection="1">
      <alignment horizontal="left"/>
    </xf>
    <xf numFmtId="0" fontId="74" fillId="0" borderId="0" xfId="0" applyFont="1" applyFill="1" applyAlignment="1" applyProtection="1">
      <alignment horizontal="left"/>
    </xf>
    <xf numFmtId="0" fontId="75" fillId="0" borderId="0" xfId="0" applyFont="1" applyFill="1" applyBorder="1" applyAlignment="1" applyProtection="1">
      <alignment horizontal="left"/>
    </xf>
    <xf numFmtId="3" fontId="6" fillId="2" borderId="0" xfId="0" applyNumberFormat="1" applyFont="1" applyFill="1" applyBorder="1" applyAlignment="1" applyProtection="1">
      <alignment horizontal="left"/>
      <protection locked="0"/>
    </xf>
    <xf numFmtId="165" fontId="75" fillId="0" borderId="0" xfId="4" applyFont="1" applyFill="1" applyBorder="1" applyAlignment="1" applyProtection="1">
      <alignment horizontal="left"/>
    </xf>
    <xf numFmtId="9" fontId="74" fillId="0" borderId="0" xfId="3" applyFont="1" applyFill="1" applyAlignment="1" applyProtection="1">
      <alignment horizontal="center"/>
    </xf>
    <xf numFmtId="0" fontId="50" fillId="0" borderId="0" xfId="0" applyFont="1" applyFill="1" applyAlignment="1" applyProtection="1">
      <alignment horizontal="left"/>
    </xf>
    <xf numFmtId="0" fontId="6" fillId="9" borderId="14" xfId="0" applyFont="1" applyFill="1" applyBorder="1" applyAlignment="1" applyProtection="1">
      <alignment horizontal="left"/>
    </xf>
    <xf numFmtId="164" fontId="6" fillId="9" borderId="14" xfId="0" applyNumberFormat="1" applyFont="1" applyFill="1" applyBorder="1" applyProtection="1"/>
    <xf numFmtId="0" fontId="6" fillId="9" borderId="14" xfId="0" applyFont="1" applyFill="1" applyBorder="1" applyProtection="1"/>
    <xf numFmtId="172" fontId="6" fillId="9" borderId="14" xfId="0" applyNumberFormat="1" applyFont="1" applyFill="1" applyBorder="1" applyAlignment="1" applyProtection="1">
      <alignment horizontal="left"/>
    </xf>
    <xf numFmtId="164" fontId="6" fillId="9" borderId="14" xfId="0" applyNumberFormat="1" applyFont="1" applyFill="1" applyBorder="1" applyAlignment="1" applyProtection="1"/>
    <xf numFmtId="0" fontId="6" fillId="9" borderId="14" xfId="0" applyFont="1" applyFill="1" applyBorder="1" applyAlignment="1" applyProtection="1">
      <alignment horizontal="center"/>
    </xf>
    <xf numFmtId="1" fontId="6" fillId="9" borderId="14" xfId="0" applyNumberFormat="1" applyFont="1" applyFill="1" applyBorder="1" applyAlignment="1" applyProtection="1">
      <alignment horizontal="center"/>
    </xf>
    <xf numFmtId="164" fontId="6" fillId="9" borderId="14" xfId="0" applyNumberFormat="1" applyFont="1" applyFill="1" applyBorder="1" applyAlignment="1" applyProtection="1">
      <alignment horizontal="left"/>
    </xf>
    <xf numFmtId="171" fontId="6" fillId="9" borderId="14" xfId="0" applyNumberFormat="1" applyFont="1" applyFill="1" applyBorder="1" applyAlignment="1" applyProtection="1">
      <alignment horizontal="center"/>
    </xf>
    <xf numFmtId="164" fontId="6" fillId="9" borderId="14" xfId="0" applyNumberFormat="1" applyFont="1" applyFill="1" applyBorder="1" applyAlignment="1" applyProtection="1">
      <alignment horizontal="center"/>
    </xf>
    <xf numFmtId="0" fontId="76" fillId="5" borderId="0" xfId="0" applyFont="1" applyFill="1" applyBorder="1" applyAlignment="1" applyProtection="1">
      <alignment horizontal="right"/>
    </xf>
    <xf numFmtId="0" fontId="28" fillId="5" borderId="5" xfId="0" applyFont="1" applyFill="1" applyBorder="1" applyProtection="1"/>
    <xf numFmtId="0" fontId="73" fillId="5" borderId="5" xfId="0" applyFont="1" applyFill="1" applyBorder="1" applyProtection="1"/>
    <xf numFmtId="0" fontId="35" fillId="5" borderId="5" xfId="0" applyFont="1" applyFill="1" applyBorder="1" applyProtection="1"/>
    <xf numFmtId="0" fontId="73" fillId="5" borderId="0" xfId="0" applyFont="1" applyFill="1" applyBorder="1" applyAlignment="1" applyProtection="1">
      <alignment horizontal="center"/>
    </xf>
    <xf numFmtId="0" fontId="73" fillId="4" borderId="0" xfId="0" applyFont="1" applyFill="1" applyBorder="1" applyProtection="1"/>
    <xf numFmtId="0" fontId="68" fillId="5" borderId="5" xfId="0" applyFont="1" applyFill="1" applyBorder="1" applyAlignment="1" applyProtection="1">
      <alignment horizontal="left"/>
    </xf>
    <xf numFmtId="0" fontId="68" fillId="5" borderId="0" xfId="0" applyFont="1" applyFill="1" applyBorder="1" applyProtection="1"/>
    <xf numFmtId="0" fontId="68" fillId="5" borderId="0" xfId="0" applyFont="1" applyFill="1" applyBorder="1" applyAlignment="1" applyProtection="1">
      <alignment horizontal="center"/>
    </xf>
    <xf numFmtId="0" fontId="68" fillId="5" borderId="0" xfId="0" applyNumberFormat="1" applyFont="1" applyFill="1" applyBorder="1" applyAlignment="1" applyProtection="1">
      <alignment horizontal="center"/>
    </xf>
    <xf numFmtId="171" fontId="68" fillId="5" borderId="0" xfId="0" applyNumberFormat="1" applyFont="1" applyFill="1" applyBorder="1" applyAlignment="1" applyProtection="1">
      <alignment horizontal="center"/>
    </xf>
    <xf numFmtId="164" fontId="68" fillId="5" borderId="0" xfId="0" applyNumberFormat="1" applyFont="1" applyFill="1" applyBorder="1" applyProtection="1"/>
    <xf numFmtId="167" fontId="68" fillId="5" borderId="0" xfId="0" applyNumberFormat="1" applyFont="1" applyFill="1" applyBorder="1" applyProtection="1"/>
    <xf numFmtId="0" fontId="68" fillId="5" borderId="6" xfId="0" applyFont="1" applyFill="1" applyBorder="1" applyProtection="1"/>
    <xf numFmtId="0" fontId="28" fillId="5" borderId="5" xfId="0" applyFont="1" applyFill="1" applyBorder="1" applyAlignment="1" applyProtection="1">
      <alignment horizontal="left"/>
    </xf>
    <xf numFmtId="167" fontId="28" fillId="5" borderId="0" xfId="0" applyNumberFormat="1" applyFont="1" applyFill="1" applyBorder="1" applyProtection="1"/>
    <xf numFmtId="174" fontId="10" fillId="5" borderId="14" xfId="3" applyNumberFormat="1" applyFont="1" applyFill="1" applyBorder="1" applyAlignment="1" applyProtection="1">
      <alignment horizontal="center"/>
      <protection locked="0"/>
    </xf>
    <xf numFmtId="174" fontId="12" fillId="4" borderId="14" xfId="0" applyNumberFormat="1" applyFont="1" applyFill="1" applyBorder="1" applyAlignment="1" applyProtection="1">
      <alignment horizontal="right"/>
    </xf>
    <xf numFmtId="174" fontId="19" fillId="4" borderId="14" xfId="0" applyNumberFormat="1" applyFont="1" applyFill="1" applyBorder="1" applyAlignment="1" applyProtection="1">
      <alignment horizontal="left"/>
    </xf>
    <xf numFmtId="174" fontId="11" fillId="4" borderId="14" xfId="0" applyNumberFormat="1" applyFont="1" applyFill="1" applyBorder="1" applyAlignment="1" applyProtection="1">
      <alignment horizontal="left"/>
    </xf>
    <xf numFmtId="174" fontId="50" fillId="4" borderId="14" xfId="0" applyNumberFormat="1" applyFont="1" applyFill="1" applyBorder="1" applyAlignment="1" applyProtection="1">
      <alignment horizontal="left"/>
    </xf>
    <xf numFmtId="174" fontId="37" fillId="4" borderId="14" xfId="0" applyNumberFormat="1" applyFont="1" applyFill="1" applyBorder="1" applyAlignment="1" applyProtection="1">
      <alignment horizontal="left"/>
    </xf>
    <xf numFmtId="0" fontId="77" fillId="0" borderId="0" xfId="0" applyFont="1" applyFill="1" applyBorder="1" applyAlignment="1" applyProtection="1">
      <alignment horizontal="left" indent="1"/>
    </xf>
    <xf numFmtId="165" fontId="77" fillId="0" borderId="0" xfId="0" applyNumberFormat="1" applyFont="1" applyFill="1" applyBorder="1" applyAlignment="1" applyProtection="1">
      <alignment horizontal="left" indent="1"/>
    </xf>
    <xf numFmtId="0" fontId="77" fillId="0" borderId="0" xfId="0" applyFont="1" applyAlignment="1" applyProtection="1">
      <alignment horizontal="left" indent="1"/>
    </xf>
    <xf numFmtId="0" fontId="77" fillId="0" borderId="0" xfId="0" applyFont="1" applyFill="1" applyAlignment="1" applyProtection="1">
      <alignment horizontal="left" indent="1"/>
    </xf>
    <xf numFmtId="0" fontId="78" fillId="0" borderId="0" xfId="0" applyFont="1" applyFill="1" applyBorder="1" applyAlignment="1" applyProtection="1">
      <alignment horizontal="left"/>
    </xf>
    <xf numFmtId="0" fontId="3" fillId="0" borderId="0" xfId="2" applyFill="1" applyAlignment="1" applyProtection="1">
      <alignment horizontal="left"/>
    </xf>
    <xf numFmtId="0" fontId="77" fillId="5" borderId="0" xfId="0" applyFont="1" applyFill="1" applyBorder="1" applyAlignment="1" applyProtection="1">
      <alignment horizontal="right"/>
    </xf>
    <xf numFmtId="0" fontId="79" fillId="5" borderId="0" xfId="0" applyFont="1" applyFill="1" applyBorder="1" applyAlignment="1" applyProtection="1">
      <alignment horizontal="center"/>
    </xf>
    <xf numFmtId="0" fontId="80" fillId="4" borderId="14" xfId="0" applyFont="1" applyFill="1" applyBorder="1" applyProtection="1"/>
    <xf numFmtId="0" fontId="78" fillId="4" borderId="14" xfId="0" applyFont="1" applyFill="1" applyBorder="1" applyProtection="1"/>
    <xf numFmtId="0" fontId="77" fillId="4" borderId="14" xfId="0" applyFont="1" applyFill="1" applyBorder="1" applyProtection="1"/>
    <xf numFmtId="0" fontId="80" fillId="4" borderId="0" xfId="0" applyFont="1" applyFill="1" applyBorder="1" applyProtection="1"/>
    <xf numFmtId="0" fontId="78" fillId="5" borderId="0" xfId="0" applyFont="1" applyFill="1" applyBorder="1" applyProtection="1"/>
    <xf numFmtId="0" fontId="77" fillId="4" borderId="14" xfId="0" applyFont="1" applyFill="1" applyBorder="1" applyAlignment="1" applyProtection="1">
      <alignment horizontal="left"/>
    </xf>
    <xf numFmtId="0" fontId="47" fillId="9" borderId="14" xfId="0" applyFont="1" applyFill="1" applyBorder="1" applyAlignment="1" applyProtection="1">
      <alignment horizontal="center"/>
    </xf>
    <xf numFmtId="0" fontId="7" fillId="10" borderId="14" xfId="0" applyFont="1" applyFill="1" applyBorder="1" applyAlignment="1" applyProtection="1">
      <alignment horizontal="center"/>
    </xf>
    <xf numFmtId="0" fontId="81" fillId="5" borderId="0" xfId="0" applyFont="1" applyFill="1" applyBorder="1" applyProtection="1"/>
    <xf numFmtId="0" fontId="77" fillId="4" borderId="14" xfId="0" applyFont="1" applyFill="1" applyBorder="1" applyAlignment="1" applyProtection="1">
      <alignment horizontal="center"/>
    </xf>
    <xf numFmtId="0" fontId="80" fillId="4" borderId="14" xfId="0" applyFont="1" applyFill="1" applyBorder="1" applyAlignment="1" applyProtection="1">
      <alignment horizontal="left"/>
    </xf>
    <xf numFmtId="0" fontId="78" fillId="4" borderId="14" xfId="0" applyFont="1" applyFill="1" applyBorder="1" applyAlignment="1" applyProtection="1">
      <alignment horizontal="left"/>
    </xf>
    <xf numFmtId="0" fontId="77" fillId="4" borderId="14" xfId="0" applyNumberFormat="1" applyFont="1" applyFill="1" applyBorder="1" applyProtection="1"/>
    <xf numFmtId="0" fontId="77" fillId="4" borderId="0" xfId="0" applyFont="1" applyFill="1" applyBorder="1" applyAlignment="1" applyProtection="1">
      <alignment horizontal="left"/>
    </xf>
    <xf numFmtId="0" fontId="79" fillId="4" borderId="0" xfId="0" applyFont="1" applyFill="1" applyBorder="1" applyAlignment="1" applyProtection="1">
      <alignment horizontal="center"/>
    </xf>
    <xf numFmtId="0" fontId="78" fillId="4" borderId="0" xfId="0" applyFont="1" applyFill="1" applyBorder="1" applyProtection="1"/>
    <xf numFmtId="0" fontId="78" fillId="4" borderId="0" xfId="0" applyFont="1" applyFill="1" applyProtection="1"/>
    <xf numFmtId="0" fontId="78" fillId="4" borderId="0" xfId="0" applyFont="1" applyFill="1" applyAlignment="1" applyProtection="1">
      <alignment horizontal="left"/>
    </xf>
    <xf numFmtId="164" fontId="78" fillId="4" borderId="0" xfId="0" applyNumberFormat="1" applyFont="1" applyFill="1" applyBorder="1" applyAlignment="1" applyProtection="1">
      <alignment horizontal="left"/>
    </xf>
    <xf numFmtId="164" fontId="78" fillId="4" borderId="0" xfId="0" quotePrefix="1" applyNumberFormat="1" applyFont="1" applyFill="1" applyBorder="1" applyAlignment="1" applyProtection="1">
      <alignment horizontal="left"/>
    </xf>
    <xf numFmtId="166" fontId="78" fillId="4" borderId="0" xfId="0" applyNumberFormat="1" applyFont="1" applyFill="1" applyProtection="1"/>
    <xf numFmtId="164" fontId="7" fillId="10" borderId="14" xfId="0" applyNumberFormat="1" applyFont="1" applyFill="1" applyBorder="1" applyAlignment="1" applyProtection="1">
      <alignment horizontal="left"/>
    </xf>
    <xf numFmtId="167" fontId="7" fillId="10" borderId="14" xfId="0" applyNumberFormat="1" applyFont="1" applyFill="1" applyBorder="1" applyAlignment="1" applyProtection="1">
      <alignment horizontal="left"/>
    </xf>
    <xf numFmtId="168" fontId="7" fillId="10" borderId="14" xfId="0" applyNumberFormat="1" applyFont="1" applyFill="1" applyBorder="1" applyAlignment="1" applyProtection="1">
      <alignment horizontal="left"/>
    </xf>
    <xf numFmtId="164" fontId="8" fillId="10" borderId="14" xfId="0" applyNumberFormat="1" applyFont="1" applyFill="1" applyBorder="1" applyAlignment="1" applyProtection="1">
      <alignment horizontal="left"/>
    </xf>
    <xf numFmtId="167" fontId="6" fillId="9" borderId="14" xfId="4" applyNumberFormat="1" applyFont="1" applyFill="1" applyBorder="1" applyAlignment="1" applyProtection="1">
      <alignment horizontal="left"/>
    </xf>
    <xf numFmtId="164" fontId="10" fillId="9" borderId="14" xfId="0" applyNumberFormat="1" applyFont="1" applyFill="1" applyBorder="1" applyAlignment="1" applyProtection="1">
      <alignment horizontal="left"/>
    </xf>
    <xf numFmtId="167" fontId="8" fillId="10" borderId="14" xfId="0" applyNumberFormat="1" applyFont="1" applyFill="1" applyBorder="1" applyAlignment="1" applyProtection="1">
      <alignment horizontal="left"/>
    </xf>
    <xf numFmtId="0" fontId="8" fillId="4" borderId="14" xfId="0" quotePrefix="1" applyFont="1" applyFill="1" applyBorder="1" applyProtection="1"/>
    <xf numFmtId="9" fontId="8" fillId="4" borderId="14" xfId="0" applyNumberFormat="1" applyFont="1" applyFill="1" applyBorder="1" applyAlignment="1" applyProtection="1">
      <alignment horizontal="center"/>
    </xf>
    <xf numFmtId="0" fontId="82" fillId="4" borderId="14" xfId="0" applyFont="1" applyFill="1" applyBorder="1" applyAlignment="1" applyProtection="1">
      <alignment horizontal="left"/>
    </xf>
    <xf numFmtId="0" fontId="77" fillId="4" borderId="14" xfId="0" applyFont="1" applyFill="1" applyBorder="1" applyAlignment="1" applyProtection="1"/>
    <xf numFmtId="0" fontId="77" fillId="4" borderId="14" xfId="0" applyNumberFormat="1" applyFont="1" applyFill="1" applyBorder="1" applyAlignment="1" applyProtection="1">
      <alignment horizontal="center"/>
    </xf>
    <xf numFmtId="173" fontId="77" fillId="4" borderId="14" xfId="0" applyNumberFormat="1" applyFont="1" applyFill="1" applyBorder="1" applyAlignment="1" applyProtection="1">
      <alignment horizontal="center"/>
    </xf>
    <xf numFmtId="171" fontId="77" fillId="4" borderId="14" xfId="0" applyNumberFormat="1" applyFont="1" applyFill="1" applyBorder="1" applyAlignment="1" applyProtection="1">
      <alignment horizontal="center"/>
    </xf>
    <xf numFmtId="1" fontId="77" fillId="4" borderId="14" xfId="0" applyNumberFormat="1" applyFont="1" applyFill="1" applyBorder="1" applyAlignment="1" applyProtection="1">
      <alignment horizontal="center"/>
    </xf>
    <xf numFmtId="0" fontId="77" fillId="4" borderId="0" xfId="0" applyFont="1" applyFill="1" applyBorder="1" applyAlignment="1" applyProtection="1">
      <alignment horizontal="center"/>
    </xf>
    <xf numFmtId="164" fontId="77" fillId="4" borderId="14" xfId="0" applyNumberFormat="1" applyFont="1" applyFill="1" applyBorder="1" applyAlignment="1" applyProtection="1">
      <alignment horizontal="center"/>
    </xf>
    <xf numFmtId="167" fontId="79" fillId="4" borderId="14" xfId="0" applyNumberFormat="1" applyFont="1" applyFill="1" applyBorder="1" applyAlignment="1" applyProtection="1">
      <alignment horizontal="center"/>
    </xf>
    <xf numFmtId="0" fontId="78" fillId="4" borderId="14" xfId="0" applyFont="1" applyFill="1" applyBorder="1" applyAlignment="1" applyProtection="1"/>
    <xf numFmtId="171" fontId="85" fillId="4" borderId="14" xfId="0" applyNumberFormat="1" applyFont="1" applyFill="1" applyBorder="1" applyAlignment="1" applyProtection="1">
      <alignment horizontal="center"/>
    </xf>
    <xf numFmtId="1" fontId="85" fillId="4" borderId="14" xfId="0" applyNumberFormat="1" applyFont="1" applyFill="1" applyBorder="1" applyAlignment="1" applyProtection="1">
      <alignment horizontal="center"/>
    </xf>
    <xf numFmtId="0" fontId="85" fillId="4" borderId="14" xfId="0" applyFont="1" applyFill="1" applyBorder="1" applyAlignment="1" applyProtection="1">
      <alignment horizontal="center"/>
    </xf>
    <xf numFmtId="167" fontId="85" fillId="4" borderId="0" xfId="0" applyNumberFormat="1" applyFont="1" applyFill="1" applyBorder="1" applyAlignment="1" applyProtection="1">
      <alignment horizontal="left"/>
    </xf>
    <xf numFmtId="0" fontId="85" fillId="4" borderId="0" xfId="0" applyFont="1" applyFill="1" applyBorder="1" applyAlignment="1" applyProtection="1">
      <alignment horizontal="center"/>
    </xf>
    <xf numFmtId="164" fontId="85" fillId="4" borderId="14" xfId="0" applyNumberFormat="1" applyFont="1" applyFill="1" applyBorder="1" applyAlignment="1" applyProtection="1">
      <alignment horizontal="center"/>
    </xf>
    <xf numFmtId="174" fontId="84" fillId="4" borderId="0" xfId="0" applyNumberFormat="1" applyFont="1" applyFill="1" applyBorder="1" applyAlignment="1" applyProtection="1">
      <alignment horizontal="center"/>
    </xf>
    <xf numFmtId="171" fontId="49" fillId="10" borderId="14" xfId="0" applyNumberFormat="1" applyFont="1" applyFill="1" applyBorder="1" applyAlignment="1" applyProtection="1">
      <alignment horizontal="center"/>
    </xf>
    <xf numFmtId="167" fontId="49" fillId="10" borderId="14" xfId="0" applyNumberFormat="1" applyFont="1" applyFill="1" applyBorder="1" applyProtection="1"/>
    <xf numFmtId="164" fontId="49" fillId="10" borderId="14" xfId="0" applyNumberFormat="1" applyFont="1" applyFill="1" applyBorder="1" applyProtection="1"/>
    <xf numFmtId="167" fontId="10" fillId="9" borderId="14" xfId="4" applyNumberFormat="1" applyFont="1" applyFill="1" applyBorder="1" applyProtection="1"/>
    <xf numFmtId="167" fontId="6" fillId="9" borderId="14" xfId="4" applyNumberFormat="1" applyFont="1" applyFill="1" applyBorder="1" applyProtection="1"/>
    <xf numFmtId="164" fontId="10" fillId="9" borderId="14" xfId="0" applyNumberFormat="1" applyFont="1" applyFill="1" applyBorder="1" applyAlignment="1" applyProtection="1">
      <alignment horizontal="center"/>
    </xf>
    <xf numFmtId="167" fontId="7" fillId="9" borderId="14" xfId="4" applyNumberFormat="1" applyFont="1" applyFill="1" applyBorder="1" applyAlignment="1" applyProtection="1">
      <alignment horizontal="left"/>
    </xf>
    <xf numFmtId="2" fontId="10" fillId="9" borderId="14" xfId="0" applyNumberFormat="1" applyFont="1" applyFill="1" applyBorder="1" applyAlignment="1" applyProtection="1">
      <alignment horizontal="center"/>
    </xf>
    <xf numFmtId="0" fontId="84" fillId="4" borderId="11" xfId="0" applyFont="1" applyFill="1" applyBorder="1" applyAlignment="1" applyProtection="1">
      <alignment horizontal="left"/>
    </xf>
    <xf numFmtId="0" fontId="86" fillId="4" borderId="11" xfId="0" applyFont="1" applyFill="1" applyBorder="1" applyAlignment="1" applyProtection="1">
      <alignment horizontal="center"/>
    </xf>
    <xf numFmtId="173" fontId="86" fillId="4" borderId="11" xfId="0" applyNumberFormat="1" applyFont="1" applyFill="1" applyBorder="1" applyAlignment="1" applyProtection="1">
      <alignment horizontal="center"/>
    </xf>
    <xf numFmtId="0" fontId="86" fillId="4" borderId="11" xfId="0" applyNumberFormat="1" applyFont="1" applyFill="1" applyBorder="1" applyAlignment="1" applyProtection="1">
      <alignment horizontal="center"/>
    </xf>
    <xf numFmtId="171" fontId="86" fillId="4" borderId="11" xfId="0" applyNumberFormat="1" applyFont="1" applyFill="1" applyBorder="1" applyAlignment="1" applyProtection="1">
      <alignment horizontal="center"/>
    </xf>
    <xf numFmtId="0" fontId="86" fillId="4" borderId="11" xfId="0" applyFont="1" applyFill="1" applyBorder="1" applyProtection="1"/>
    <xf numFmtId="164" fontId="86" fillId="4" borderId="11" xfId="0" applyNumberFormat="1" applyFont="1" applyFill="1" applyBorder="1" applyProtection="1"/>
    <xf numFmtId="167" fontId="83" fillId="4" borderId="11" xfId="0" applyNumberFormat="1" applyFont="1" applyFill="1" applyBorder="1" applyProtection="1"/>
    <xf numFmtId="167" fontId="86" fillId="4" borderId="14" xfId="0" applyNumberFormat="1" applyFont="1" applyFill="1" applyBorder="1" applyAlignment="1" applyProtection="1">
      <alignment horizontal="center"/>
    </xf>
    <xf numFmtId="167" fontId="83" fillId="4" borderId="14" xfId="0" applyNumberFormat="1" applyFont="1" applyFill="1" applyBorder="1" applyAlignment="1" applyProtection="1">
      <alignment horizontal="center"/>
    </xf>
    <xf numFmtId="0" fontId="78" fillId="4" borderId="11" xfId="0" applyFont="1" applyFill="1" applyBorder="1" applyAlignment="1" applyProtection="1">
      <alignment horizontal="left"/>
    </xf>
    <xf numFmtId="0" fontId="79" fillId="4" borderId="11" xfId="0" applyFont="1" applyFill="1" applyBorder="1" applyAlignment="1" applyProtection="1">
      <alignment horizontal="left"/>
    </xf>
    <xf numFmtId="0" fontId="78" fillId="4" borderId="11" xfId="0" applyFont="1" applyFill="1" applyBorder="1" applyAlignment="1" applyProtection="1">
      <alignment horizontal="center"/>
    </xf>
    <xf numFmtId="173" fontId="78" fillId="4" borderId="11" xfId="0" applyNumberFormat="1" applyFont="1" applyFill="1" applyBorder="1" applyAlignment="1" applyProtection="1">
      <alignment horizontal="center"/>
    </xf>
    <xf numFmtId="0" fontId="78" fillId="4" borderId="11" xfId="0" applyNumberFormat="1" applyFont="1" applyFill="1" applyBorder="1" applyAlignment="1" applyProtection="1">
      <alignment horizontal="center"/>
    </xf>
    <xf numFmtId="171" fontId="78" fillId="4" borderId="11" xfId="0" applyNumberFormat="1" applyFont="1" applyFill="1" applyBorder="1" applyAlignment="1" applyProtection="1">
      <alignment horizontal="center"/>
    </xf>
    <xf numFmtId="0" fontId="78" fillId="4" borderId="11" xfId="0" applyFont="1" applyFill="1" applyBorder="1" applyProtection="1"/>
    <xf numFmtId="164" fontId="78" fillId="4" borderId="11" xfId="0" applyNumberFormat="1" applyFont="1" applyFill="1" applyBorder="1" applyProtection="1"/>
    <xf numFmtId="167" fontId="80" fillId="4" borderId="11" xfId="0" applyNumberFormat="1" applyFont="1" applyFill="1" applyBorder="1" applyProtection="1"/>
    <xf numFmtId="0" fontId="78" fillId="4" borderId="14" xfId="0" applyFont="1" applyFill="1" applyBorder="1" applyAlignment="1" applyProtection="1">
      <alignment horizontal="center"/>
    </xf>
    <xf numFmtId="173" fontId="78" fillId="4" borderId="14" xfId="0" applyNumberFormat="1" applyFont="1" applyFill="1" applyBorder="1" applyAlignment="1" applyProtection="1">
      <alignment horizontal="center"/>
    </xf>
    <xf numFmtId="167" fontId="78" fillId="4" borderId="14" xfId="0" applyNumberFormat="1" applyFont="1" applyFill="1" applyBorder="1" applyAlignment="1" applyProtection="1">
      <alignment horizontal="center"/>
    </xf>
    <xf numFmtId="167" fontId="80" fillId="4" borderId="14" xfId="0" applyNumberFormat="1" applyFont="1" applyFill="1" applyBorder="1" applyAlignment="1" applyProtection="1">
      <alignment horizontal="center"/>
    </xf>
    <xf numFmtId="0" fontId="78" fillId="4" borderId="0" xfId="0" applyFont="1" applyFill="1" applyBorder="1" applyAlignment="1" applyProtection="1">
      <alignment horizontal="center"/>
    </xf>
    <xf numFmtId="0" fontId="87" fillId="4" borderId="0" xfId="0" applyFont="1" applyFill="1" applyBorder="1" applyProtection="1"/>
    <xf numFmtId="171" fontId="87" fillId="4" borderId="0" xfId="0" applyNumberFormat="1" applyFont="1" applyFill="1" applyBorder="1" applyAlignment="1" applyProtection="1">
      <alignment horizontal="center"/>
    </xf>
    <xf numFmtId="171" fontId="78" fillId="4" borderId="0" xfId="0" applyNumberFormat="1" applyFont="1" applyFill="1" applyBorder="1" applyAlignment="1" applyProtection="1">
      <alignment horizontal="center"/>
    </xf>
    <xf numFmtId="0" fontId="88" fillId="4" borderId="0" xfId="0" applyFont="1" applyFill="1" applyBorder="1" applyProtection="1"/>
    <xf numFmtId="171" fontId="88" fillId="4" borderId="0" xfId="0" applyNumberFormat="1" applyFont="1" applyFill="1" applyBorder="1" applyAlignment="1" applyProtection="1">
      <alignment horizontal="center"/>
    </xf>
    <xf numFmtId="0" fontId="78" fillId="4" borderId="0" xfId="0" applyFont="1" applyFill="1" applyBorder="1" applyAlignment="1" applyProtection="1">
      <alignment horizontal="left"/>
    </xf>
    <xf numFmtId="167" fontId="78" fillId="4" borderId="0" xfId="4" applyNumberFormat="1" applyFont="1" applyFill="1" applyBorder="1" applyProtection="1"/>
    <xf numFmtId="171" fontId="7" fillId="10" borderId="17" xfId="0" applyNumberFormat="1" applyFont="1" applyFill="1" applyBorder="1" applyAlignment="1" applyProtection="1">
      <alignment horizontal="center"/>
    </xf>
    <xf numFmtId="167" fontId="7" fillId="10" borderId="17" xfId="0" applyNumberFormat="1" applyFont="1" applyFill="1" applyBorder="1" applyProtection="1"/>
    <xf numFmtId="164" fontId="7" fillId="10" borderId="17" xfId="0" applyNumberFormat="1" applyFont="1" applyFill="1" applyBorder="1" applyProtection="1"/>
    <xf numFmtId="0" fontId="86" fillId="4" borderId="11" xfId="0" applyFont="1" applyFill="1" applyBorder="1" applyAlignment="1" applyProtection="1"/>
    <xf numFmtId="167" fontId="49" fillId="10" borderId="14" xfId="4" applyNumberFormat="1" applyFont="1" applyFill="1" applyBorder="1" applyAlignment="1" applyProtection="1">
      <alignment horizontal="left"/>
    </xf>
    <xf numFmtId="171" fontId="49" fillId="10" borderId="14" xfId="4" applyNumberFormat="1" applyFont="1" applyFill="1" applyBorder="1" applyAlignment="1" applyProtection="1">
      <alignment horizontal="center"/>
      <protection locked="0"/>
    </xf>
    <xf numFmtId="167" fontId="49" fillId="10" borderId="14" xfId="4" applyNumberFormat="1" applyFont="1" applyFill="1" applyBorder="1" applyProtection="1"/>
    <xf numFmtId="164" fontId="49" fillId="10" borderId="14" xfId="0" applyNumberFormat="1" applyFont="1" applyFill="1" applyBorder="1" applyAlignment="1" applyProtection="1">
      <alignment horizontal="center"/>
    </xf>
    <xf numFmtId="0" fontId="79" fillId="5" borderId="0" xfId="0" applyNumberFormat="1" applyFont="1" applyFill="1" applyBorder="1" applyProtection="1"/>
    <xf numFmtId="0" fontId="79" fillId="5" borderId="0" xfId="0" quotePrefix="1" applyNumberFormat="1" applyFont="1" applyFill="1" applyBorder="1" applyAlignment="1" applyProtection="1">
      <alignment horizontal="center"/>
    </xf>
    <xf numFmtId="0" fontId="78" fillId="4" borderId="14" xfId="0" applyFont="1" applyFill="1" applyBorder="1" applyAlignment="1" applyProtection="1">
      <alignment horizontal="right"/>
    </xf>
    <xf numFmtId="1" fontId="80" fillId="4" borderId="14" xfId="0" applyNumberFormat="1" applyFont="1" applyFill="1" applyBorder="1" applyProtection="1"/>
    <xf numFmtId="167" fontId="78" fillId="5" borderId="0" xfId="0" applyNumberFormat="1" applyFont="1" applyFill="1" applyBorder="1" applyProtection="1"/>
    <xf numFmtId="0" fontId="79" fillId="5" borderId="0" xfId="0" applyFont="1" applyFill="1" applyBorder="1" applyProtection="1"/>
    <xf numFmtId="167" fontId="79" fillId="5" borderId="0" xfId="0" quotePrefix="1" applyNumberFormat="1" applyFont="1" applyFill="1" applyBorder="1" applyAlignment="1" applyProtection="1">
      <alignment horizontal="center"/>
    </xf>
    <xf numFmtId="167" fontId="79" fillId="4" borderId="11" xfId="0" quotePrefix="1" applyNumberFormat="1" applyFont="1" applyFill="1" applyBorder="1" applyAlignment="1" applyProtection="1">
      <alignment horizontal="center"/>
    </xf>
    <xf numFmtId="167" fontId="78" fillId="4" borderId="14" xfId="4" applyNumberFormat="1" applyFont="1" applyFill="1" applyBorder="1" applyProtection="1"/>
    <xf numFmtId="49" fontId="77" fillId="4" borderId="14" xfId="0" applyNumberFormat="1" applyFont="1" applyFill="1" applyBorder="1" applyAlignment="1" applyProtection="1">
      <alignment horizontal="center"/>
    </xf>
    <xf numFmtId="0" fontId="77" fillId="4" borderId="0" xfId="0" applyNumberFormat="1" applyFont="1" applyFill="1" applyBorder="1" applyAlignment="1" applyProtection="1">
      <alignment horizontal="right"/>
    </xf>
    <xf numFmtId="0" fontId="79" fillId="4" borderId="0" xfId="0" applyFont="1" applyFill="1" applyBorder="1" applyAlignment="1" applyProtection="1">
      <alignment horizontal="right"/>
    </xf>
    <xf numFmtId="167" fontId="78" fillId="4" borderId="0" xfId="0" applyNumberFormat="1" applyFont="1" applyFill="1" applyBorder="1" applyProtection="1"/>
    <xf numFmtId="0" fontId="80" fillId="4" borderId="0" xfId="0" applyFont="1" applyFill="1" applyBorder="1" applyAlignment="1" applyProtection="1">
      <alignment horizontal="left"/>
    </xf>
    <xf numFmtId="167" fontId="80" fillId="4" borderId="0" xfId="0" applyNumberFormat="1" applyFont="1" applyFill="1" applyBorder="1" applyProtection="1"/>
    <xf numFmtId="0" fontId="77" fillId="4" borderId="0" xfId="0" applyFont="1" applyFill="1" applyBorder="1" applyAlignment="1" applyProtection="1">
      <alignment horizontal="right"/>
    </xf>
    <xf numFmtId="167" fontId="7" fillId="10" borderId="14" xfId="4" applyNumberFormat="1" applyFont="1" applyFill="1" applyBorder="1" applyProtection="1"/>
    <xf numFmtId="167" fontId="7" fillId="10" borderId="14" xfId="4" applyNumberFormat="1" applyFont="1" applyFill="1" applyBorder="1" applyAlignment="1" applyProtection="1">
      <alignment horizontal="left"/>
    </xf>
    <xf numFmtId="167" fontId="7" fillId="10" borderId="14" xfId="0" applyNumberFormat="1" applyFont="1" applyFill="1" applyBorder="1" applyProtection="1"/>
    <xf numFmtId="164" fontId="12" fillId="10" borderId="14" xfId="4" applyNumberFormat="1" applyFont="1" applyFill="1" applyBorder="1" applyAlignment="1" applyProtection="1">
      <alignment horizontal="left"/>
    </xf>
    <xf numFmtId="164" fontId="8" fillId="10" borderId="14" xfId="4" applyNumberFormat="1" applyFont="1" applyFill="1" applyBorder="1" applyAlignment="1" applyProtection="1">
      <alignment horizontal="left"/>
    </xf>
    <xf numFmtId="167" fontId="12" fillId="10" borderId="14" xfId="4" applyNumberFormat="1" applyFont="1" applyFill="1" applyBorder="1" applyAlignment="1" applyProtection="1">
      <alignment horizontal="left"/>
    </xf>
    <xf numFmtId="167" fontId="10" fillId="9" borderId="14" xfId="4" applyNumberFormat="1" applyFont="1" applyFill="1" applyBorder="1" applyAlignment="1" applyProtection="1">
      <alignment horizontal="left"/>
    </xf>
    <xf numFmtId="167" fontId="10" fillId="9" borderId="14" xfId="0" applyNumberFormat="1" applyFont="1" applyFill="1" applyBorder="1" applyProtection="1"/>
    <xf numFmtId="167" fontId="10" fillId="9" borderId="14" xfId="4" applyNumberFormat="1" applyFont="1" applyFill="1" applyBorder="1" applyProtection="1">
      <protection locked="0"/>
    </xf>
    <xf numFmtId="167" fontId="77" fillId="4" borderId="14" xfId="0" applyNumberFormat="1" applyFont="1" applyFill="1" applyBorder="1" applyProtection="1"/>
    <xf numFmtId="167" fontId="79" fillId="4" borderId="14" xfId="0" quotePrefix="1" applyNumberFormat="1" applyFont="1" applyFill="1" applyBorder="1" applyAlignment="1" applyProtection="1">
      <alignment horizontal="right"/>
    </xf>
    <xf numFmtId="167" fontId="77" fillId="4" borderId="14" xfId="4" applyNumberFormat="1" applyFont="1" applyFill="1" applyBorder="1" applyAlignment="1" applyProtection="1">
      <alignment horizontal="left"/>
    </xf>
    <xf numFmtId="167" fontId="79" fillId="4" borderId="14" xfId="4" applyNumberFormat="1" applyFont="1" applyFill="1" applyBorder="1" applyAlignment="1" applyProtection="1">
      <alignment horizontal="left"/>
    </xf>
    <xf numFmtId="164" fontId="8" fillId="10" borderId="14" xfId="4" applyNumberFormat="1" applyFont="1" applyFill="1" applyBorder="1" applyAlignment="1" applyProtection="1">
      <alignment horizontal="left"/>
      <protection locked="0"/>
    </xf>
    <xf numFmtId="0" fontId="79" fillId="5" borderId="0" xfId="0" applyFont="1" applyFill="1" applyBorder="1" applyAlignment="1" applyProtection="1">
      <alignment horizontal="right"/>
    </xf>
    <xf numFmtId="0" fontId="80" fillId="5" borderId="0" xfId="0" applyFont="1" applyFill="1" applyBorder="1" applyAlignment="1" applyProtection="1">
      <alignment horizontal="left"/>
    </xf>
    <xf numFmtId="0" fontId="77" fillId="5" borderId="0" xfId="0" applyFont="1" applyFill="1" applyBorder="1" applyAlignment="1" applyProtection="1">
      <alignment horizontal="left"/>
    </xf>
    <xf numFmtId="0" fontId="89" fillId="5" borderId="0" xfId="0" applyFont="1" applyFill="1" applyBorder="1" applyProtection="1"/>
    <xf numFmtId="0" fontId="79" fillId="5" borderId="0" xfId="0" applyFont="1" applyFill="1" applyBorder="1" applyAlignment="1" applyProtection="1">
      <alignment horizontal="left"/>
    </xf>
    <xf numFmtId="0" fontId="77" fillId="5" borderId="0" xfId="0" applyNumberFormat="1" applyFont="1" applyFill="1" applyBorder="1" applyAlignment="1" applyProtection="1">
      <alignment horizontal="right"/>
    </xf>
    <xf numFmtId="164" fontId="49" fillId="10" borderId="13" xfId="0" applyNumberFormat="1" applyFont="1" applyFill="1" applyBorder="1" applyAlignment="1" applyProtection="1"/>
    <xf numFmtId="164" fontId="49" fillId="10" borderId="14" xfId="0" applyNumberFormat="1" applyFont="1" applyFill="1" applyBorder="1" applyAlignment="1" applyProtection="1"/>
    <xf numFmtId="164" fontId="6" fillId="9" borderId="13" xfId="0" applyNumberFormat="1" applyFont="1" applyFill="1" applyBorder="1" applyProtection="1"/>
    <xf numFmtId="0" fontId="90" fillId="5" borderId="0" xfId="0" applyFont="1" applyFill="1" applyBorder="1" applyProtection="1"/>
    <xf numFmtId="0" fontId="78" fillId="5" borderId="0" xfId="0" applyFont="1" applyFill="1" applyBorder="1" applyAlignment="1" applyProtection="1">
      <alignment horizontal="left"/>
    </xf>
    <xf numFmtId="0" fontId="78" fillId="5" borderId="0" xfId="0" applyFont="1" applyFill="1" applyBorder="1" applyAlignment="1" applyProtection="1">
      <alignment horizontal="center"/>
    </xf>
    <xf numFmtId="0" fontId="77" fillId="5" borderId="0" xfId="0" applyFont="1" applyFill="1" applyBorder="1" applyAlignment="1" applyProtection="1">
      <alignment horizontal="center"/>
    </xf>
    <xf numFmtId="0" fontId="77" fillId="5" borderId="0" xfId="0" applyNumberFormat="1" applyFont="1" applyFill="1" applyBorder="1" applyAlignment="1" applyProtection="1">
      <alignment horizontal="center"/>
    </xf>
    <xf numFmtId="1" fontId="77" fillId="5" borderId="0" xfId="0" quotePrefix="1" applyNumberFormat="1" applyFont="1" applyFill="1" applyBorder="1" applyAlignment="1" applyProtection="1">
      <alignment horizontal="center"/>
    </xf>
    <xf numFmtId="1" fontId="77" fillId="5" borderId="0" xfId="0" applyNumberFormat="1" applyFont="1" applyFill="1" applyBorder="1" applyAlignment="1" applyProtection="1">
      <alignment horizontal="center"/>
    </xf>
    <xf numFmtId="0" fontId="10" fillId="9" borderId="14" xfId="0" applyNumberFormat="1" applyFont="1" applyFill="1" applyBorder="1" applyAlignment="1" applyProtection="1">
      <alignment horizontal="center"/>
    </xf>
    <xf numFmtId="164" fontId="7" fillId="10" borderId="14" xfId="0" applyNumberFormat="1" applyFont="1" applyFill="1" applyBorder="1" applyProtection="1"/>
    <xf numFmtId="164" fontId="8" fillId="10" borderId="14" xfId="0" applyNumberFormat="1" applyFont="1" applyFill="1" applyBorder="1" applyAlignment="1" applyProtection="1">
      <alignment horizontal="center"/>
    </xf>
    <xf numFmtId="164" fontId="7" fillId="10" borderId="14" xfId="0" applyNumberFormat="1" applyFont="1" applyFill="1" applyBorder="1" applyAlignment="1" applyProtection="1">
      <alignment horizontal="center"/>
    </xf>
    <xf numFmtId="164" fontId="6" fillId="9" borderId="14" xfId="4" applyNumberFormat="1" applyFont="1" applyFill="1" applyBorder="1" applyAlignment="1" applyProtection="1">
      <alignment horizontal="left"/>
    </xf>
    <xf numFmtId="164" fontId="6" fillId="9" borderId="14" xfId="0" applyNumberFormat="1" applyFont="1" applyFill="1" applyBorder="1" applyAlignment="1" applyProtection="1">
      <alignment horizontal="right"/>
    </xf>
    <xf numFmtId="0" fontId="6" fillId="11" borderId="0" xfId="0" applyFont="1" applyFill="1" applyBorder="1" applyProtection="1"/>
    <xf numFmtId="164" fontId="78" fillId="4" borderId="14" xfId="0" applyNumberFormat="1" applyFont="1" applyFill="1" applyBorder="1" applyAlignment="1" applyProtection="1">
      <alignment horizontal="center"/>
    </xf>
    <xf numFmtId="178" fontId="77" fillId="4" borderId="14" xfId="0" applyNumberFormat="1" applyFont="1" applyFill="1" applyBorder="1" applyAlignment="1" applyProtection="1">
      <alignment horizontal="center"/>
    </xf>
    <xf numFmtId="164" fontId="6" fillId="10" borderId="14" xfId="0" applyNumberFormat="1" applyFont="1" applyFill="1" applyBorder="1" applyAlignment="1" applyProtection="1">
      <alignment horizontal="center"/>
    </xf>
    <xf numFmtId="0" fontId="80" fillId="5" borderId="0" xfId="0" applyFont="1" applyFill="1" applyBorder="1" applyProtection="1"/>
    <xf numFmtId="0" fontId="77" fillId="5" borderId="0" xfId="0" applyFont="1" applyFill="1" applyBorder="1" applyProtection="1"/>
    <xf numFmtId="0" fontId="77" fillId="5" borderId="0" xfId="0" applyFont="1" applyFill="1" applyBorder="1" applyAlignment="1" applyProtection="1"/>
    <xf numFmtId="0" fontId="78" fillId="5" borderId="0" xfId="0" quotePrefix="1" applyFont="1" applyFill="1" applyBorder="1" applyProtection="1"/>
    <xf numFmtId="0" fontId="80" fillId="4" borderId="14" xfId="0" applyFont="1" applyFill="1" applyBorder="1" applyAlignment="1" applyProtection="1"/>
    <xf numFmtId="2" fontId="79" fillId="4" borderId="14" xfId="0" applyNumberFormat="1" applyFont="1" applyFill="1" applyBorder="1" applyAlignment="1" applyProtection="1">
      <alignment horizontal="center"/>
    </xf>
    <xf numFmtId="164" fontId="69" fillId="9" borderId="14" xfId="0" applyNumberFormat="1" applyFont="1" applyFill="1" applyBorder="1" applyAlignment="1" applyProtection="1">
      <alignment horizontal="left"/>
    </xf>
    <xf numFmtId="9" fontId="10" fillId="9" borderId="14" xfId="3" applyFont="1" applyFill="1" applyBorder="1" applyAlignment="1" applyProtection="1">
      <alignment horizontal="center"/>
    </xf>
    <xf numFmtId="0" fontId="80" fillId="0" borderId="0" xfId="0" applyFont="1" applyFill="1" applyBorder="1" applyAlignment="1" applyProtection="1">
      <alignment horizontal="left"/>
    </xf>
    <xf numFmtId="0" fontId="80" fillId="0" borderId="0" xfId="0" applyFont="1" applyFill="1" applyAlignment="1" applyProtection="1">
      <alignment horizontal="left"/>
    </xf>
    <xf numFmtId="0" fontId="77" fillId="5" borderId="0" xfId="0" applyFont="1" applyFill="1" applyBorder="1" applyAlignment="1" applyProtection="1">
      <alignment horizontal="right"/>
    </xf>
    <xf numFmtId="0" fontId="8" fillId="5" borderId="14" xfId="0" applyFont="1" applyFill="1" applyBorder="1" applyProtection="1"/>
    <xf numFmtId="0" fontId="6" fillId="5" borderId="14" xfId="0" applyFont="1" applyFill="1" applyBorder="1" applyProtection="1">
      <protection locked="0"/>
    </xf>
    <xf numFmtId="0" fontId="7" fillId="4" borderId="14" xfId="0" applyNumberFormat="1" applyFont="1" applyFill="1" applyBorder="1" applyAlignment="1" applyProtection="1">
      <alignment horizontal="left"/>
    </xf>
    <xf numFmtId="0" fontId="77" fillId="4" borderId="11" xfId="0" applyFont="1" applyFill="1" applyBorder="1" applyAlignment="1" applyProtection="1">
      <alignment horizontal="left"/>
    </xf>
    <xf numFmtId="0" fontId="77" fillId="4" borderId="11" xfId="0" applyFont="1" applyFill="1" applyBorder="1" applyAlignment="1" applyProtection="1">
      <alignment horizontal="center"/>
    </xf>
    <xf numFmtId="0" fontId="80" fillId="4" borderId="14" xfId="0" applyFont="1" applyFill="1" applyBorder="1" applyAlignment="1" applyProtection="1">
      <alignment horizontal="left"/>
    </xf>
    <xf numFmtId="0" fontId="83" fillId="4" borderId="14" xfId="0" applyFont="1" applyFill="1" applyBorder="1" applyAlignment="1" applyProtection="1">
      <alignment horizontal="left"/>
    </xf>
    <xf numFmtId="1" fontId="91" fillId="4" borderId="14" xfId="0" applyNumberFormat="1" applyFont="1" applyFill="1" applyBorder="1" applyAlignment="1" applyProtection="1">
      <alignment horizontal="left"/>
    </xf>
    <xf numFmtId="0" fontId="91" fillId="4" borderId="14" xfId="0" applyFont="1" applyFill="1" applyBorder="1" applyAlignment="1" applyProtection="1">
      <alignment horizontal="left"/>
    </xf>
    <xf numFmtId="167" fontId="77" fillId="4" borderId="14" xfId="0" applyNumberFormat="1" applyFont="1" applyFill="1" applyBorder="1" applyAlignment="1" applyProtection="1"/>
    <xf numFmtId="1" fontId="10" fillId="5" borderId="14" xfId="0" applyNumberFormat="1" applyFont="1" applyFill="1" applyBorder="1" applyAlignment="1" applyProtection="1">
      <alignment horizontal="center"/>
      <protection locked="0"/>
    </xf>
    <xf numFmtId="1" fontId="49" fillId="10" borderId="14" xfId="0" applyNumberFormat="1" applyFont="1" applyFill="1" applyBorder="1" applyAlignment="1" applyProtection="1">
      <alignment horizontal="center"/>
    </xf>
    <xf numFmtId="0" fontId="74" fillId="4" borderId="0" xfId="0" applyFont="1" applyFill="1" applyBorder="1" applyProtection="1"/>
    <xf numFmtId="0" fontId="74" fillId="4" borderId="0" xfId="0" applyFont="1" applyFill="1" applyBorder="1" applyAlignment="1" applyProtection="1">
      <alignment horizontal="center"/>
    </xf>
    <xf numFmtId="0" fontId="92" fillId="4" borderId="0" xfId="0" applyFont="1" applyFill="1" applyBorder="1" applyProtection="1"/>
    <xf numFmtId="0" fontId="92" fillId="4" borderId="0" xfId="0" applyNumberFormat="1" applyFont="1" applyFill="1" applyBorder="1" applyProtection="1"/>
    <xf numFmtId="0" fontId="74" fillId="4" borderId="0" xfId="0" applyNumberFormat="1" applyFont="1" applyFill="1" applyBorder="1" applyProtection="1"/>
    <xf numFmtId="0" fontId="93" fillId="4" borderId="0" xfId="0" applyFont="1" applyFill="1" applyBorder="1" applyProtection="1"/>
    <xf numFmtId="0" fontId="93" fillId="4" borderId="0" xfId="0" applyNumberFormat="1" applyFont="1" applyFill="1" applyBorder="1" applyProtection="1"/>
    <xf numFmtId="2" fontId="74" fillId="4" borderId="0" xfId="0" applyNumberFormat="1" applyFont="1" applyFill="1" applyBorder="1" applyAlignment="1" applyProtection="1">
      <alignment horizontal="center"/>
    </xf>
    <xf numFmtId="1" fontId="85" fillId="4" borderId="0" xfId="0" applyNumberFormat="1" applyFont="1" applyFill="1" applyBorder="1" applyAlignment="1" applyProtection="1">
      <alignment horizontal="center"/>
    </xf>
    <xf numFmtId="1" fontId="6" fillId="5" borderId="14" xfId="0" applyNumberFormat="1" applyFont="1" applyFill="1" applyBorder="1" applyAlignment="1" applyProtection="1">
      <alignment horizontal="center"/>
      <protection locked="0"/>
    </xf>
    <xf numFmtId="1" fontId="7" fillId="10" borderId="17" xfId="0" applyNumberFormat="1" applyFont="1" applyFill="1" applyBorder="1" applyAlignment="1" applyProtection="1">
      <alignment horizontal="center"/>
    </xf>
    <xf numFmtId="1" fontId="6" fillId="9" borderId="14" xfId="4" applyNumberFormat="1" applyFont="1" applyFill="1" applyBorder="1" applyAlignment="1" applyProtection="1">
      <alignment horizontal="center"/>
    </xf>
    <xf numFmtId="1" fontId="74" fillId="4" borderId="0" xfId="0" applyNumberFormat="1" applyFont="1" applyFill="1" applyBorder="1" applyAlignment="1" applyProtection="1">
      <alignment horizontal="center"/>
    </xf>
    <xf numFmtId="0" fontId="92" fillId="4" borderId="0" xfId="0" applyFont="1" applyFill="1" applyBorder="1" applyAlignment="1" applyProtection="1">
      <alignment horizontal="center"/>
    </xf>
    <xf numFmtId="1" fontId="92" fillId="4" borderId="0" xfId="0" applyNumberFormat="1" applyFont="1" applyFill="1" applyBorder="1" applyAlignment="1" applyProtection="1">
      <alignment horizontal="center"/>
    </xf>
    <xf numFmtId="0" fontId="93" fillId="4" borderId="0" xfId="0" applyFont="1" applyFill="1" applyBorder="1" applyAlignment="1" applyProtection="1">
      <alignment horizontal="center"/>
    </xf>
    <xf numFmtId="1" fontId="93" fillId="4" borderId="0" xfId="0" applyNumberFormat="1" applyFont="1" applyFill="1" applyBorder="1" applyAlignment="1" applyProtection="1">
      <alignment horizontal="center"/>
    </xf>
    <xf numFmtId="0" fontId="74" fillId="4" borderId="0" xfId="0" applyFont="1" applyFill="1" applyBorder="1" applyAlignment="1" applyProtection="1">
      <alignment horizontal="left"/>
    </xf>
    <xf numFmtId="1" fontId="76" fillId="4" borderId="0" xfId="0" applyNumberFormat="1" applyFont="1" applyFill="1" applyBorder="1" applyAlignment="1" applyProtection="1">
      <alignment horizontal="center"/>
    </xf>
    <xf numFmtId="0" fontId="76" fillId="4" borderId="0" xfId="0" applyFont="1" applyFill="1" applyBorder="1" applyAlignment="1" applyProtection="1">
      <alignment horizontal="center"/>
    </xf>
    <xf numFmtId="167" fontId="74" fillId="4" borderId="0" xfId="4" applyNumberFormat="1" applyFont="1" applyFill="1" applyBorder="1" applyProtection="1"/>
    <xf numFmtId="1" fontId="10" fillId="5" borderId="14" xfId="4" applyNumberFormat="1" applyFont="1" applyFill="1" applyBorder="1" applyAlignment="1" applyProtection="1">
      <alignment horizontal="center"/>
      <protection locked="0"/>
    </xf>
    <xf numFmtId="1" fontId="49" fillId="10" borderId="14" xfId="0" applyNumberFormat="1" applyFont="1" applyFill="1" applyBorder="1" applyAlignment="1" applyProtection="1">
      <alignment horizontal="center"/>
      <protection locked="0"/>
    </xf>
    <xf numFmtId="0" fontId="86" fillId="4" borderId="0" xfId="0" applyFont="1" applyFill="1" applyBorder="1" applyProtection="1"/>
    <xf numFmtId="167" fontId="86" fillId="4" borderId="0" xfId="0" applyNumberFormat="1" applyFont="1" applyFill="1" applyBorder="1" applyAlignment="1" applyProtection="1">
      <alignment horizontal="center"/>
    </xf>
    <xf numFmtId="0" fontId="86" fillId="4" borderId="0" xfId="0" applyNumberFormat="1" applyFont="1" applyFill="1" applyBorder="1" applyAlignment="1" applyProtection="1"/>
    <xf numFmtId="0" fontId="86" fillId="4" borderId="0" xfId="0" applyFont="1" applyFill="1" applyBorder="1" applyAlignment="1" applyProtection="1">
      <alignment horizontal="center"/>
    </xf>
    <xf numFmtId="169" fontId="86" fillId="4" borderId="0" xfId="0" applyNumberFormat="1" applyFont="1" applyFill="1" applyBorder="1" applyProtection="1"/>
    <xf numFmtId="2" fontId="86" fillId="4" borderId="0" xfId="0" applyNumberFormat="1" applyFont="1" applyFill="1" applyBorder="1" applyProtection="1"/>
    <xf numFmtId="164" fontId="85" fillId="4" borderId="0" xfId="0" applyNumberFormat="1" applyFont="1" applyFill="1" applyBorder="1" applyProtection="1"/>
    <xf numFmtId="0" fontId="94" fillId="4" borderId="0" xfId="0" applyNumberFormat="1" applyFont="1" applyFill="1" applyBorder="1" applyAlignment="1" applyProtection="1"/>
    <xf numFmtId="0" fontId="94" fillId="4" borderId="0" xfId="0" applyFont="1" applyFill="1" applyBorder="1" applyProtection="1"/>
    <xf numFmtId="0" fontId="94" fillId="4" borderId="0" xfId="0" applyNumberFormat="1" applyFont="1" applyFill="1" applyBorder="1" applyProtection="1"/>
    <xf numFmtId="164" fontId="94" fillId="4" borderId="0" xfId="0" applyNumberFormat="1" applyFont="1" applyFill="1" applyBorder="1" applyProtection="1"/>
    <xf numFmtId="2" fontId="94" fillId="4" borderId="0" xfId="0" applyNumberFormat="1" applyFont="1" applyFill="1" applyBorder="1" applyProtection="1"/>
    <xf numFmtId="0" fontId="94" fillId="4" borderId="0" xfId="0" applyNumberFormat="1" applyFont="1" applyFill="1" applyBorder="1" applyAlignment="1" applyProtection="1">
      <alignment horizontal="center"/>
    </xf>
    <xf numFmtId="171" fontId="94" fillId="4" borderId="0" xfId="0" applyNumberFormat="1" applyFont="1" applyFill="1" applyBorder="1" applyProtection="1"/>
    <xf numFmtId="0" fontId="86" fillId="4" borderId="0" xfId="0" applyNumberFormat="1" applyFont="1" applyFill="1" applyBorder="1" applyProtection="1"/>
    <xf numFmtId="164" fontId="86" fillId="4" borderId="0" xfId="0" applyNumberFormat="1" applyFont="1" applyFill="1" applyBorder="1" applyProtection="1"/>
    <xf numFmtId="0" fontId="86" fillId="4" borderId="0" xfId="0" applyNumberFormat="1" applyFont="1" applyFill="1" applyBorder="1" applyAlignment="1" applyProtection="1">
      <alignment horizontal="center"/>
    </xf>
    <xf numFmtId="171" fontId="86" fillId="4" borderId="0" xfId="0" applyNumberFormat="1" applyFont="1" applyFill="1" applyBorder="1" applyProtection="1"/>
    <xf numFmtId="0" fontId="95" fillId="4" borderId="0" xfId="0" applyNumberFormat="1" applyFont="1" applyFill="1" applyBorder="1" applyAlignment="1" applyProtection="1"/>
    <xf numFmtId="0" fontId="95" fillId="4" borderId="0" xfId="0" applyFont="1" applyFill="1" applyBorder="1" applyProtection="1"/>
    <xf numFmtId="0" fontId="95" fillId="4" borderId="0" xfId="0" applyNumberFormat="1" applyFont="1" applyFill="1" applyBorder="1" applyProtection="1"/>
    <xf numFmtId="164" fontId="95" fillId="4" borderId="0" xfId="0" applyNumberFormat="1" applyFont="1" applyFill="1" applyBorder="1" applyProtection="1"/>
    <xf numFmtId="2" fontId="95" fillId="4" borderId="0" xfId="0" applyNumberFormat="1" applyFont="1" applyFill="1" applyBorder="1" applyProtection="1"/>
    <xf numFmtId="164" fontId="96" fillId="4" borderId="0" xfId="0" applyNumberFormat="1" applyFont="1" applyFill="1" applyBorder="1" applyProtection="1"/>
    <xf numFmtId="0" fontId="95" fillId="4" borderId="0" xfId="0" applyNumberFormat="1" applyFont="1" applyFill="1" applyBorder="1" applyAlignment="1" applyProtection="1">
      <alignment horizontal="center"/>
    </xf>
    <xf numFmtId="171" fontId="95" fillId="4" borderId="0" xfId="0" applyNumberFormat="1" applyFont="1" applyFill="1" applyBorder="1" applyProtection="1"/>
    <xf numFmtId="171" fontId="86" fillId="4" borderId="0" xfId="0" applyNumberFormat="1" applyFont="1" applyFill="1" applyBorder="1" applyAlignment="1" applyProtection="1">
      <alignment horizontal="center"/>
    </xf>
    <xf numFmtId="2" fontId="83" fillId="4" borderId="0" xfId="0" applyNumberFormat="1" applyFont="1" applyFill="1" applyBorder="1" applyAlignment="1" applyProtection="1">
      <alignment horizontal="center"/>
    </xf>
    <xf numFmtId="0" fontId="84" fillId="4" borderId="0" xfId="0" applyFont="1" applyFill="1" applyBorder="1" applyAlignment="1" applyProtection="1">
      <alignment horizontal="center"/>
    </xf>
    <xf numFmtId="2" fontId="85" fillId="4" borderId="0" xfId="0" applyNumberFormat="1" applyFont="1" applyFill="1" applyBorder="1" applyAlignment="1" applyProtection="1">
      <alignment horizontal="center"/>
    </xf>
    <xf numFmtId="164" fontId="85" fillId="4" borderId="0" xfId="0" applyNumberFormat="1" applyFont="1" applyFill="1" applyBorder="1" applyAlignment="1" applyProtection="1">
      <alignment horizontal="center"/>
    </xf>
    <xf numFmtId="174" fontId="86" fillId="4" borderId="0" xfId="0" applyNumberFormat="1" applyFont="1" applyFill="1" applyBorder="1" applyAlignment="1" applyProtection="1">
      <alignment horizontal="center"/>
    </xf>
    <xf numFmtId="167" fontId="86" fillId="4" borderId="0" xfId="4" applyNumberFormat="1" applyFont="1" applyFill="1" applyBorder="1" applyAlignment="1" applyProtection="1"/>
    <xf numFmtId="9" fontId="86" fillId="4" borderId="0" xfId="3" applyFont="1" applyFill="1" applyBorder="1" applyAlignment="1" applyProtection="1">
      <alignment horizontal="center"/>
    </xf>
    <xf numFmtId="2" fontId="86" fillId="4" borderId="0" xfId="0" applyNumberFormat="1" applyFont="1" applyFill="1" applyBorder="1" applyAlignment="1" applyProtection="1">
      <alignment horizontal="center"/>
    </xf>
    <xf numFmtId="167" fontId="83" fillId="4" borderId="0" xfId="0" applyNumberFormat="1" applyFont="1" applyFill="1" applyBorder="1" applyProtection="1"/>
    <xf numFmtId="2" fontId="83" fillId="4" borderId="0" xfId="0" applyNumberFormat="1" applyFont="1" applyFill="1" applyBorder="1" applyProtection="1"/>
    <xf numFmtId="164" fontId="84" fillId="4" borderId="0" xfId="0" applyNumberFormat="1" applyFont="1" applyFill="1" applyBorder="1" applyProtection="1"/>
    <xf numFmtId="167" fontId="85" fillId="4" borderId="0" xfId="0" applyNumberFormat="1" applyFont="1" applyFill="1" applyBorder="1" applyAlignment="1" applyProtection="1">
      <alignment horizontal="center"/>
    </xf>
    <xf numFmtId="0" fontId="83" fillId="4" borderId="0" xfId="0" quotePrefix="1" applyFont="1" applyFill="1" applyBorder="1" applyAlignment="1" applyProtection="1">
      <alignment horizontal="right"/>
    </xf>
    <xf numFmtId="167" fontId="86" fillId="4" borderId="0" xfId="4" applyNumberFormat="1" applyFont="1" applyFill="1" applyBorder="1" applyProtection="1"/>
    <xf numFmtId="0" fontId="83" fillId="4" borderId="0" xfId="0" applyNumberFormat="1" applyFont="1" applyFill="1" applyBorder="1" applyAlignment="1" applyProtection="1"/>
    <xf numFmtId="0" fontId="83" fillId="4" borderId="0" xfId="0" applyFont="1" applyFill="1" applyBorder="1" applyProtection="1"/>
    <xf numFmtId="171" fontId="94" fillId="4" borderId="0" xfId="0" applyNumberFormat="1" applyFont="1" applyFill="1" applyBorder="1" applyAlignment="1" applyProtection="1">
      <alignment horizontal="center"/>
    </xf>
    <xf numFmtId="0" fontId="97" fillId="4" borderId="0" xfId="0" applyNumberFormat="1" applyFont="1" applyFill="1" applyBorder="1" applyAlignment="1" applyProtection="1"/>
    <xf numFmtId="0" fontId="97" fillId="4" borderId="0" xfId="0" applyFont="1" applyFill="1" applyBorder="1" applyProtection="1"/>
    <xf numFmtId="2" fontId="97" fillId="4" borderId="0" xfId="0" applyNumberFormat="1" applyFont="1" applyFill="1" applyBorder="1" applyProtection="1"/>
    <xf numFmtId="164" fontId="98" fillId="4" borderId="0" xfId="0" applyNumberFormat="1" applyFont="1" applyFill="1" applyBorder="1" applyProtection="1"/>
    <xf numFmtId="171" fontId="95" fillId="4" borderId="0" xfId="0" applyNumberFormat="1" applyFont="1" applyFill="1" applyBorder="1" applyAlignment="1" applyProtection="1">
      <alignment horizontal="center"/>
    </xf>
    <xf numFmtId="167" fontId="83" fillId="4" borderId="0" xfId="4" applyNumberFormat="1" applyFont="1" applyFill="1" applyBorder="1" applyAlignment="1" applyProtection="1"/>
    <xf numFmtId="9" fontId="83" fillId="4" borderId="0" xfId="3" applyFont="1" applyFill="1" applyBorder="1" applyAlignment="1" applyProtection="1">
      <alignment horizontal="center"/>
    </xf>
    <xf numFmtId="164" fontId="84" fillId="4" borderId="0" xfId="0" applyNumberFormat="1" applyFont="1" applyFill="1" applyBorder="1" applyAlignment="1" applyProtection="1">
      <alignment horizontal="center"/>
    </xf>
    <xf numFmtId="0" fontId="83" fillId="4" borderId="0" xfId="0" applyNumberFormat="1" applyFont="1" applyFill="1" applyBorder="1" applyAlignment="1" applyProtection="1">
      <alignment horizontal="center"/>
    </xf>
    <xf numFmtId="167" fontId="83" fillId="4" borderId="0" xfId="4" applyNumberFormat="1" applyFont="1" applyFill="1" applyBorder="1" applyProtection="1"/>
    <xf numFmtId="0" fontId="94" fillId="4" borderId="0" xfId="0" applyFont="1" applyFill="1" applyBorder="1" applyAlignment="1" applyProtection="1">
      <alignment horizontal="center"/>
    </xf>
    <xf numFmtId="0" fontId="98" fillId="4" borderId="0" xfId="0" applyFont="1" applyFill="1" applyBorder="1" applyAlignment="1" applyProtection="1">
      <alignment horizontal="center"/>
    </xf>
    <xf numFmtId="0" fontId="86" fillId="4" borderId="0" xfId="0" applyFont="1" applyFill="1" applyBorder="1" applyAlignment="1" applyProtection="1">
      <alignment horizontal="left"/>
    </xf>
    <xf numFmtId="22" fontId="86" fillId="4" borderId="0" xfId="0" applyNumberFormat="1" applyFont="1" applyFill="1" applyBorder="1" applyAlignment="1" applyProtection="1">
      <alignment horizontal="center"/>
    </xf>
    <xf numFmtId="0" fontId="83" fillId="4" borderId="0" xfId="0" applyFont="1" applyFill="1" applyBorder="1" applyAlignment="1" applyProtection="1">
      <alignment horizontal="center"/>
    </xf>
    <xf numFmtId="164" fontId="83" fillId="4" borderId="0" xfId="0" applyNumberFormat="1" applyFont="1" applyFill="1" applyBorder="1" applyAlignment="1" applyProtection="1">
      <alignment horizontal="right"/>
    </xf>
    <xf numFmtId="2" fontId="83" fillId="4" borderId="0" xfId="0" applyNumberFormat="1" applyFont="1" applyFill="1" applyBorder="1" applyAlignment="1" applyProtection="1">
      <alignment horizontal="right"/>
    </xf>
    <xf numFmtId="164" fontId="84" fillId="4" borderId="0" xfId="0" applyNumberFormat="1" applyFont="1" applyFill="1" applyBorder="1" applyAlignment="1" applyProtection="1">
      <alignment horizontal="right"/>
    </xf>
    <xf numFmtId="1" fontId="7" fillId="9" borderId="14" xfId="4" applyNumberFormat="1" applyFont="1" applyFill="1" applyBorder="1" applyAlignment="1" applyProtection="1">
      <alignment horizontal="center"/>
    </xf>
    <xf numFmtId="165" fontId="86" fillId="4" borderId="0" xfId="4" applyNumberFormat="1" applyFont="1" applyFill="1" applyBorder="1" applyProtection="1"/>
    <xf numFmtId="167" fontId="85" fillId="4" borderId="0" xfId="0" applyNumberFormat="1" applyFont="1" applyFill="1" applyBorder="1" applyAlignment="1" applyProtection="1"/>
    <xf numFmtId="1" fontId="86" fillId="4" borderId="0" xfId="4" applyNumberFormat="1" applyFont="1" applyFill="1" applyBorder="1" applyAlignment="1" applyProtection="1">
      <alignment horizontal="center"/>
      <protection locked="0"/>
    </xf>
    <xf numFmtId="174" fontId="85" fillId="4" borderId="0" xfId="0" applyNumberFormat="1" applyFont="1" applyFill="1" applyBorder="1" applyAlignment="1" applyProtection="1">
      <alignment horizontal="center"/>
    </xf>
    <xf numFmtId="167" fontId="86" fillId="4" borderId="0" xfId="0" applyNumberFormat="1" applyFont="1" applyFill="1" applyBorder="1" applyProtection="1"/>
    <xf numFmtId="164" fontId="86" fillId="4" borderId="0" xfId="0" applyNumberFormat="1" applyFont="1" applyFill="1" applyBorder="1" applyAlignment="1" applyProtection="1">
      <alignment horizontal="right"/>
    </xf>
    <xf numFmtId="0" fontId="99" fillId="4" borderId="0" xfId="0" applyFont="1" applyFill="1" applyBorder="1" applyProtection="1"/>
    <xf numFmtId="1" fontId="100" fillId="4" borderId="14" xfId="0" applyNumberFormat="1" applyFont="1" applyFill="1" applyBorder="1" applyAlignment="1" applyProtection="1">
      <alignment horizontal="left"/>
    </xf>
    <xf numFmtId="0" fontId="100" fillId="4" borderId="14" xfId="0" applyFont="1" applyFill="1" applyBorder="1" applyAlignment="1" applyProtection="1">
      <alignment horizontal="left"/>
    </xf>
    <xf numFmtId="0" fontId="78" fillId="4" borderId="0" xfId="0" applyNumberFormat="1" applyFont="1" applyFill="1" applyBorder="1" applyAlignment="1" applyProtection="1">
      <alignment horizontal="center"/>
    </xf>
    <xf numFmtId="0" fontId="101" fillId="4" borderId="0" xfId="0" applyFont="1" applyFill="1" applyBorder="1" applyAlignment="1" applyProtection="1">
      <alignment horizontal="left"/>
    </xf>
    <xf numFmtId="1" fontId="101" fillId="4" borderId="0" xfId="0" applyNumberFormat="1" applyFont="1" applyFill="1" applyBorder="1" applyAlignment="1" applyProtection="1">
      <alignment horizontal="left"/>
    </xf>
    <xf numFmtId="1" fontId="79" fillId="4" borderId="14" xfId="0" applyNumberFormat="1" applyFont="1" applyFill="1" applyBorder="1" applyAlignment="1" applyProtection="1">
      <alignment horizontal="center"/>
    </xf>
    <xf numFmtId="0" fontId="77" fillId="4" borderId="0" xfId="0" applyNumberFormat="1" applyFont="1" applyFill="1" applyBorder="1" applyAlignment="1" applyProtection="1">
      <alignment horizontal="center"/>
    </xf>
    <xf numFmtId="3" fontId="6" fillId="3" borderId="0" xfId="0" applyNumberFormat="1" applyFont="1" applyFill="1" applyBorder="1" applyAlignment="1" applyProtection="1">
      <alignment horizontal="left"/>
      <protection locked="0"/>
    </xf>
    <xf numFmtId="3" fontId="45" fillId="2" borderId="0" xfId="0" applyNumberFormat="1" applyFont="1" applyFill="1" applyBorder="1" applyAlignment="1" applyProtection="1">
      <alignment horizontal="left"/>
      <protection locked="0"/>
    </xf>
    <xf numFmtId="3" fontId="46" fillId="2" borderId="0" xfId="0" applyNumberFormat="1" applyFont="1" applyFill="1" applyBorder="1" applyAlignment="1" applyProtection="1">
      <alignment horizontal="left"/>
      <protection locked="0"/>
    </xf>
    <xf numFmtId="0" fontId="6" fillId="0" borderId="0" xfId="0" applyFont="1" applyFill="1"/>
    <xf numFmtId="0" fontId="45" fillId="0" borderId="0" xfId="0" applyFont="1" applyFill="1" applyBorder="1" applyAlignment="1" applyProtection="1">
      <alignment horizontal="left"/>
    </xf>
    <xf numFmtId="180" fontId="52" fillId="5" borderId="0" xfId="0" applyNumberFormat="1" applyFont="1" applyFill="1"/>
    <xf numFmtId="177" fontId="8" fillId="4" borderId="14" xfId="0" applyNumberFormat="1" applyFont="1" applyFill="1" applyBorder="1" applyAlignment="1" applyProtection="1">
      <alignment horizontal="left"/>
    </xf>
    <xf numFmtId="0" fontId="47" fillId="4" borderId="11" xfId="0" applyFont="1" applyFill="1" applyBorder="1" applyAlignment="1" applyProtection="1"/>
    <xf numFmtId="0" fontId="84" fillId="4" borderId="14" xfId="0" applyFont="1" applyFill="1" applyBorder="1" applyProtection="1"/>
    <xf numFmtId="0" fontId="79" fillId="4" borderId="14" xfId="0" applyFont="1" applyFill="1" applyBorder="1" applyAlignment="1" applyProtection="1">
      <alignment horizontal="center"/>
    </xf>
    <xf numFmtId="164" fontId="86" fillId="4" borderId="15" xfId="0" applyNumberFormat="1" applyFont="1" applyFill="1" applyBorder="1" applyProtection="1"/>
    <xf numFmtId="0" fontId="47" fillId="4" borderId="14" xfId="0" applyFont="1" applyFill="1" applyBorder="1" applyAlignment="1" applyProtection="1"/>
    <xf numFmtId="9" fontId="6" fillId="9" borderId="14" xfId="0" applyNumberFormat="1" applyFont="1" applyFill="1" applyBorder="1" applyAlignment="1" applyProtection="1">
      <alignment horizontal="center"/>
    </xf>
    <xf numFmtId="164" fontId="6" fillId="4" borderId="15" xfId="0" applyNumberFormat="1" applyFont="1" applyFill="1" applyBorder="1" applyProtection="1"/>
    <xf numFmtId="0" fontId="102" fillId="4" borderId="14" xfId="0" applyFont="1" applyFill="1" applyBorder="1" applyProtection="1"/>
    <xf numFmtId="0" fontId="6" fillId="4" borderId="13" xfId="0" applyFont="1" applyFill="1" applyBorder="1" applyAlignment="1" applyProtection="1">
      <alignment horizontal="center"/>
    </xf>
    <xf numFmtId="2" fontId="6" fillId="4" borderId="15" xfId="0" applyNumberFormat="1" applyFont="1" applyFill="1" applyBorder="1" applyProtection="1"/>
    <xf numFmtId="0" fontId="12" fillId="3" borderId="0" xfId="0" applyFont="1" applyFill="1" applyBorder="1" applyProtection="1"/>
    <xf numFmtId="0" fontId="47" fillId="5" borderId="0" xfId="0" applyFont="1" applyFill="1" applyBorder="1" applyAlignment="1" applyProtection="1"/>
    <xf numFmtId="164" fontId="103" fillId="4" borderId="14" xfId="0" applyNumberFormat="1" applyFont="1" applyFill="1" applyBorder="1" applyProtection="1"/>
    <xf numFmtId="167" fontId="6" fillId="9" borderId="14" xfId="4" applyNumberFormat="1" applyFont="1" applyFill="1" applyBorder="1" applyAlignment="1" applyProtection="1">
      <alignment horizontal="center"/>
    </xf>
    <xf numFmtId="9" fontId="6" fillId="9" borderId="14" xfId="3" applyFont="1" applyFill="1" applyBorder="1" applyAlignment="1" applyProtection="1">
      <alignment horizontal="center"/>
    </xf>
    <xf numFmtId="2" fontId="6" fillId="9" borderId="14" xfId="0" applyNumberFormat="1" applyFont="1" applyFill="1" applyBorder="1" applyAlignment="1" applyProtection="1">
      <alignment horizontal="center"/>
    </xf>
    <xf numFmtId="164" fontId="70" fillId="4" borderId="15" xfId="0" applyNumberFormat="1" applyFont="1" applyFill="1" applyBorder="1" applyProtection="1"/>
    <xf numFmtId="0" fontId="8" fillId="4" borderId="14" xfId="0" applyNumberFormat="1" applyFont="1" applyFill="1" applyBorder="1" applyProtection="1"/>
    <xf numFmtId="0" fontId="12" fillId="4" borderId="14" xfId="0" applyNumberFormat="1" applyFont="1" applyFill="1" applyBorder="1" applyProtection="1"/>
    <xf numFmtId="164" fontId="6" fillId="5" borderId="0" xfId="0" applyNumberFormat="1" applyFont="1" applyFill="1" applyBorder="1" applyAlignment="1" applyProtection="1"/>
    <xf numFmtId="164" fontId="6" fillId="4" borderId="10" xfId="0" applyNumberFormat="1" applyFont="1" applyFill="1" applyBorder="1" applyProtection="1"/>
    <xf numFmtId="164" fontId="78" fillId="4" borderId="11" xfId="0" applyNumberFormat="1" applyFont="1" applyFill="1" applyBorder="1" applyAlignment="1" applyProtection="1"/>
    <xf numFmtId="164" fontId="78" fillId="4" borderId="11" xfId="0" applyNumberFormat="1" applyFont="1" applyFill="1" applyBorder="1" applyAlignment="1" applyProtection="1">
      <alignment horizontal="center"/>
    </xf>
    <xf numFmtId="164" fontId="6" fillId="4" borderId="12" xfId="0" applyNumberFormat="1" applyFont="1" applyFill="1" applyBorder="1" applyProtection="1"/>
    <xf numFmtId="0" fontId="79" fillId="4" borderId="14" xfId="0" applyFont="1" applyFill="1" applyBorder="1" applyProtection="1"/>
    <xf numFmtId="0" fontId="6" fillId="4" borderId="17" xfId="0" applyFont="1" applyFill="1" applyBorder="1" applyAlignment="1" applyProtection="1"/>
    <xf numFmtId="0" fontId="45" fillId="4" borderId="17" xfId="0" applyNumberFormat="1" applyFont="1" applyFill="1" applyBorder="1" applyAlignment="1" applyProtection="1">
      <alignment horizontal="center"/>
    </xf>
    <xf numFmtId="164" fontId="6" fillId="4" borderId="18" xfId="0" applyNumberFormat="1" applyFont="1" applyFill="1" applyBorder="1" applyProtection="1"/>
    <xf numFmtId="0" fontId="6" fillId="4" borderId="11" xfId="0" applyFont="1" applyFill="1" applyBorder="1" applyAlignment="1" applyProtection="1"/>
    <xf numFmtId="164" fontId="6" fillId="4" borderId="11" xfId="0" applyNumberFormat="1" applyFont="1" applyFill="1" applyBorder="1" applyAlignment="1" applyProtection="1">
      <alignment horizontal="center"/>
    </xf>
    <xf numFmtId="164" fontId="6" fillId="4" borderId="14" xfId="0" applyNumberFormat="1" applyFont="1" applyFill="1" applyBorder="1" applyProtection="1"/>
    <xf numFmtId="0" fontId="47" fillId="4" borderId="14" xfId="0" applyNumberFormat="1" applyFont="1" applyFill="1" applyBorder="1" applyAlignment="1" applyProtection="1"/>
    <xf numFmtId="174" fontId="6" fillId="9" borderId="14" xfId="3" applyNumberFormat="1" applyFont="1" applyFill="1" applyBorder="1" applyAlignment="1" applyProtection="1">
      <alignment horizontal="center"/>
    </xf>
    <xf numFmtId="2" fontId="12" fillId="9" borderId="14" xfId="0" applyNumberFormat="1" applyFont="1" applyFill="1" applyBorder="1" applyAlignment="1" applyProtection="1">
      <alignment horizontal="center"/>
    </xf>
    <xf numFmtId="0" fontId="6" fillId="5" borderId="0" xfId="0" applyFont="1" applyFill="1" applyBorder="1" applyAlignment="1" applyProtection="1"/>
    <xf numFmtId="0" fontId="45" fillId="5" borderId="0" xfId="0" applyNumberFormat="1" applyFont="1" applyFill="1" applyBorder="1" applyAlignment="1" applyProtection="1">
      <alignment horizontal="center"/>
    </xf>
    <xf numFmtId="0" fontId="102" fillId="4" borderId="0" xfId="0" applyFont="1" applyFill="1" applyBorder="1" applyProtection="1"/>
    <xf numFmtId="2" fontId="104" fillId="4" borderId="14" xfId="0" applyNumberFormat="1" applyFont="1" applyFill="1" applyBorder="1" applyAlignment="1" applyProtection="1">
      <alignment horizontal="center"/>
    </xf>
    <xf numFmtId="0" fontId="54" fillId="4" borderId="14" xfId="0" applyFont="1" applyFill="1" applyBorder="1" applyAlignment="1" applyProtection="1">
      <alignment horizontal="left"/>
    </xf>
    <xf numFmtId="1" fontId="6" fillId="4" borderId="14" xfId="0" applyNumberFormat="1" applyFont="1" applyFill="1" applyBorder="1" applyProtection="1"/>
    <xf numFmtId="0" fontId="82" fillId="4" borderId="14" xfId="0" applyFont="1" applyFill="1" applyBorder="1" applyAlignment="1" applyProtection="1">
      <alignment horizontal="left"/>
      <protection locked="0"/>
    </xf>
    <xf numFmtId="0" fontId="6" fillId="0" borderId="0" xfId="0" applyFont="1" applyFill="1" applyAlignment="1"/>
    <xf numFmtId="0" fontId="6" fillId="5" borderId="0" xfId="0" applyNumberFormat="1" applyFont="1" applyFill="1" applyBorder="1" applyAlignment="1" applyProtection="1">
      <alignment horizontal="left"/>
    </xf>
    <xf numFmtId="44" fontId="6" fillId="0" borderId="0" xfId="0" applyNumberFormat="1" applyFont="1" applyAlignment="1" applyProtection="1">
      <alignment horizontal="left"/>
    </xf>
    <xf numFmtId="0" fontId="47" fillId="5" borderId="15" xfId="0" applyFont="1" applyFill="1" applyBorder="1" applyAlignment="1" applyProtection="1">
      <alignment horizontal="left"/>
      <protection locked="0"/>
    </xf>
    <xf numFmtId="0" fontId="47" fillId="5" borderId="13" xfId="0" applyFont="1" applyFill="1" applyBorder="1" applyAlignment="1" applyProtection="1">
      <alignment horizontal="left"/>
      <protection locked="0"/>
    </xf>
    <xf numFmtId="0" fontId="77" fillId="5" borderId="0" xfId="0" applyFont="1" applyFill="1" applyBorder="1" applyAlignment="1" applyProtection="1">
      <alignment horizontal="right"/>
    </xf>
    <xf numFmtId="0" fontId="45" fillId="0" borderId="0" xfId="0" applyFont="1" applyFill="1" applyBorder="1" applyAlignment="1" applyProtection="1">
      <alignment horizontal="left"/>
    </xf>
    <xf numFmtId="14" fontId="71" fillId="2" borderId="0" xfId="0" applyNumberFormat="1" applyFont="1" applyFill="1" applyBorder="1" applyAlignment="1" applyProtection="1">
      <alignment horizontal="left"/>
      <protection locked="0"/>
    </xf>
  </cellXfs>
  <cellStyles count="5">
    <cellStyle name="Euro" xfId="1"/>
    <cellStyle name="Hyperlink" xfId="2" builtinId="8"/>
    <cellStyle name="Procent" xfId="3" builtinId="5"/>
    <cellStyle name="Standaard" xfId="0" builtinId="0"/>
    <cellStyle name="Valuta" xfId="4" builtinId="4"/>
  </cellStyles>
  <dxfs count="0"/>
  <tableStyles count="0" defaultTableStyle="TableStyleMedium9" defaultPivotStyle="PivotStyleLight16"/>
  <colors>
    <mruColors>
      <color rgb="FFFFFF99"/>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Liquide Middelen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bal!$H$22:$K$22</c:f>
              <c:numCache>
                <c:formatCode>_-"€"\ * #,##0_-;_-"€"\ * #,##0\-;_-"€"\ * "-"_-;_-@_-</c:formatCode>
                <c:ptCount val="4"/>
                <c:pt idx="0">
                  <c:v>1309130.7635819772</c:v>
                </c:pt>
                <c:pt idx="1">
                  <c:v>2629875.3012236292</c:v>
                </c:pt>
                <c:pt idx="2">
                  <c:v>3958550.6637658235</c:v>
                </c:pt>
                <c:pt idx="3">
                  <c:v>5295098.1695449073</c:v>
                </c:pt>
              </c:numCache>
            </c:numRef>
          </c:val>
        </c:ser>
        <c:dLbls>
          <c:showLegendKey val="0"/>
          <c:showVal val="1"/>
          <c:showCatName val="0"/>
          <c:showSerName val="0"/>
          <c:showPercent val="0"/>
          <c:showBubbleSize val="0"/>
        </c:dLbls>
        <c:gapWidth val="150"/>
        <c:axId val="-1679051808"/>
        <c:axId val="-1679058880"/>
      </c:barChart>
      <c:catAx>
        <c:axId val="-1679051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1679058880"/>
        <c:crosses val="autoZero"/>
        <c:auto val="1"/>
        <c:lblAlgn val="ctr"/>
        <c:lblOffset val="100"/>
        <c:tickLblSkip val="1"/>
        <c:tickMarkSkip val="1"/>
        <c:noMultiLvlLbl val="0"/>
      </c:catAx>
      <c:valAx>
        <c:axId val="-167905888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16790518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Rentabiliteit</a:t>
            </a:r>
          </a:p>
        </c:rich>
      </c:tx>
      <c:layout>
        <c:manualLayout>
          <c:xMode val="edge"/>
          <c:yMode val="edge"/>
          <c:x val="0.40546218487395241"/>
          <c:y val="3.5190615835777136E-2"/>
        </c:manualLayout>
      </c:layout>
      <c:overlay val="0"/>
      <c:spPr>
        <a:noFill/>
        <a:ln w="25400">
          <a:noFill/>
        </a:ln>
      </c:spPr>
    </c:title>
    <c:autoTitleDeleted val="0"/>
    <c:plotArea>
      <c:layout>
        <c:manualLayout>
          <c:layoutTarget val="inner"/>
          <c:xMode val="edge"/>
          <c:yMode val="edge"/>
          <c:x val="0.14075630252101026"/>
          <c:y val="0.19941348973607345"/>
          <c:w val="0.82983193277311751"/>
          <c:h val="0.66568914956012426"/>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ken!#REF!</c:f>
              <c:numCache>
                <c:formatCode>General</c:formatCode>
                <c:ptCount val="1"/>
                <c:pt idx="0">
                  <c:v>1</c:v>
                </c:pt>
              </c:numCache>
            </c:numRef>
          </c:val>
        </c:ser>
        <c:dLbls>
          <c:showLegendKey val="0"/>
          <c:showVal val="1"/>
          <c:showCatName val="0"/>
          <c:showSerName val="0"/>
          <c:showPercent val="0"/>
          <c:showBubbleSize val="0"/>
        </c:dLbls>
        <c:gapWidth val="150"/>
        <c:axId val="-2024024480"/>
        <c:axId val="-1606216240"/>
      </c:barChart>
      <c:catAx>
        <c:axId val="-2024024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606216240"/>
        <c:crosses val="autoZero"/>
        <c:auto val="1"/>
        <c:lblAlgn val="ctr"/>
        <c:lblOffset val="100"/>
        <c:tickLblSkip val="1"/>
        <c:tickMarkSkip val="1"/>
        <c:noMultiLvlLbl val="0"/>
      </c:catAx>
      <c:valAx>
        <c:axId val="-16062162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20240244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Weerstandsvermogen</a:t>
            </a:r>
          </a:p>
        </c:rich>
      </c:tx>
      <c:layout>
        <c:manualLayout>
          <c:xMode val="edge"/>
          <c:yMode val="edge"/>
          <c:x val="0.33193277310924935"/>
          <c:y val="3.5502958579881658E-2"/>
        </c:manualLayout>
      </c:layout>
      <c:overlay val="0"/>
      <c:spPr>
        <a:noFill/>
        <a:ln w="25400">
          <a:noFill/>
        </a:ln>
      </c:spPr>
    </c:title>
    <c:autoTitleDeleted val="0"/>
    <c:plotArea>
      <c:layout>
        <c:manualLayout>
          <c:layoutTarget val="inner"/>
          <c:xMode val="edge"/>
          <c:yMode val="edge"/>
          <c:x val="0.14915966386554622"/>
          <c:y val="0.18639053254438054"/>
          <c:w val="0.8214285714285795"/>
          <c:h val="0.68047337278106457"/>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ken!#REF!</c:f>
              <c:numCache>
                <c:formatCode>General</c:formatCode>
                <c:ptCount val="1"/>
                <c:pt idx="0">
                  <c:v>1</c:v>
                </c:pt>
              </c:numCache>
            </c:numRef>
          </c:val>
        </c:ser>
        <c:dLbls>
          <c:showLegendKey val="0"/>
          <c:showVal val="1"/>
          <c:showCatName val="0"/>
          <c:showSerName val="0"/>
          <c:showPercent val="0"/>
          <c:showBubbleSize val="0"/>
        </c:dLbls>
        <c:gapWidth val="150"/>
        <c:axId val="-1606219504"/>
        <c:axId val="-1606208080"/>
      </c:barChart>
      <c:catAx>
        <c:axId val="-1606219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1606208080"/>
        <c:crosses val="autoZero"/>
        <c:auto val="1"/>
        <c:lblAlgn val="ctr"/>
        <c:lblOffset val="100"/>
        <c:tickLblSkip val="1"/>
        <c:tickMarkSkip val="1"/>
        <c:noMultiLvlLbl val="0"/>
      </c:catAx>
      <c:valAx>
        <c:axId val="-16062080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160621950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Personele 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numFmt formatCode="_-\€\ * #,##0_-;_-\€\ * #,##0\-;_-\€\ * &quot;-&quot;_-;_-@_-" sourceLinked="0"/>
            <c:spPr>
              <a:noFill/>
              <a:ln w="25400">
                <a:noFill/>
              </a:ln>
            </c:spPr>
            <c:txPr>
              <a:bodyPr/>
              <a:lstStyle/>
              <a:p>
                <a:pPr>
                  <a:defRPr sz="2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Lit>
              <c:formatCode>General</c:formatCode>
              <c:ptCount val="1"/>
              <c:pt idx="0">
                <c:v>0</c:v>
              </c:pt>
            </c:numLit>
          </c:val>
        </c:ser>
        <c:dLbls>
          <c:showLegendKey val="0"/>
          <c:showVal val="1"/>
          <c:showCatName val="0"/>
          <c:showSerName val="0"/>
          <c:showPercent val="0"/>
          <c:showBubbleSize val="0"/>
        </c:dLbls>
        <c:gapWidth val="150"/>
        <c:axId val="-1606215152"/>
        <c:axId val="-1606214608"/>
      </c:barChart>
      <c:catAx>
        <c:axId val="-1606215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1606214608"/>
        <c:crosses val="autoZero"/>
        <c:auto val="1"/>
        <c:lblAlgn val="ctr"/>
        <c:lblOffset val="100"/>
        <c:tickLblSkip val="1"/>
        <c:tickMarkSkip val="1"/>
        <c:noMultiLvlLbl val="0"/>
      </c:catAx>
      <c:valAx>
        <c:axId val="-16062146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160621515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Afschrijvingen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begr!$G$24:$J$24</c:f>
              <c:numCache>
                <c:formatCode>_-"€"\ * #,##0_-;_-"€"\ * #,##0\-;_-"€"\ * "-"_-;_-@_-</c:formatCode>
                <c:ptCount val="4"/>
                <c:pt idx="0">
                  <c:v>0</c:v>
                </c:pt>
                <c:pt idx="1">
                  <c:v>0</c:v>
                </c:pt>
                <c:pt idx="2">
                  <c:v>0</c:v>
                </c:pt>
                <c:pt idx="3">
                  <c:v>0</c:v>
                </c:pt>
              </c:numCache>
            </c:numRef>
          </c:val>
        </c:ser>
        <c:dLbls>
          <c:showLegendKey val="0"/>
          <c:showVal val="1"/>
          <c:showCatName val="0"/>
          <c:showSerName val="0"/>
          <c:showPercent val="0"/>
          <c:showBubbleSize val="0"/>
        </c:dLbls>
        <c:gapWidth val="150"/>
        <c:axId val="-1606207536"/>
        <c:axId val="-1606213520"/>
      </c:barChart>
      <c:catAx>
        <c:axId val="-1606207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606213520"/>
        <c:crosses val="autoZero"/>
        <c:auto val="1"/>
        <c:lblAlgn val="ctr"/>
        <c:lblOffset val="100"/>
        <c:tickLblSkip val="1"/>
        <c:tickMarkSkip val="1"/>
        <c:noMultiLvlLbl val="0"/>
      </c:catAx>
      <c:valAx>
        <c:axId val="-160621352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6062075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Huisvestingslasten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2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begr!$G$25:$J$25</c:f>
              <c:numCache>
                <c:formatCode>_-"€"\ * #,##0_-;_-"€"\ * #,##0\-;_-"€"\ * "-"_-;_-@_-</c:formatCode>
                <c:ptCount val="4"/>
                <c:pt idx="0">
                  <c:v>0</c:v>
                </c:pt>
                <c:pt idx="1">
                  <c:v>0</c:v>
                </c:pt>
                <c:pt idx="2">
                  <c:v>0</c:v>
                </c:pt>
                <c:pt idx="3">
                  <c:v>0</c:v>
                </c:pt>
              </c:numCache>
            </c:numRef>
          </c:val>
        </c:ser>
        <c:dLbls>
          <c:showLegendKey val="0"/>
          <c:showVal val="1"/>
          <c:showCatName val="0"/>
          <c:showSerName val="0"/>
          <c:showPercent val="0"/>
          <c:showBubbleSize val="0"/>
        </c:dLbls>
        <c:gapWidth val="150"/>
        <c:axId val="-1606220048"/>
        <c:axId val="-1606206992"/>
      </c:barChart>
      <c:catAx>
        <c:axId val="-1606220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1606206992"/>
        <c:crosses val="autoZero"/>
        <c:auto val="1"/>
        <c:lblAlgn val="ctr"/>
        <c:lblOffset val="100"/>
        <c:tickLblSkip val="1"/>
        <c:tickMarkSkip val="1"/>
        <c:noMultiLvlLbl val="0"/>
      </c:catAx>
      <c:valAx>
        <c:axId val="-1606206992"/>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16062200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instellingslasten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Lit>
              <c:formatCode>General</c:formatCode>
              <c:ptCount val="1"/>
              <c:pt idx="0">
                <c:v>0</c:v>
              </c:pt>
            </c:numLit>
          </c:val>
        </c:ser>
        <c:dLbls>
          <c:showLegendKey val="0"/>
          <c:showVal val="1"/>
          <c:showCatName val="0"/>
          <c:showSerName val="0"/>
          <c:showPercent val="0"/>
          <c:showBubbleSize val="0"/>
        </c:dLbls>
        <c:gapWidth val="150"/>
        <c:axId val="-1606221680"/>
        <c:axId val="-1606205904"/>
      </c:barChart>
      <c:catAx>
        <c:axId val="-1606221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606205904"/>
        <c:crosses val="autoZero"/>
        <c:auto val="1"/>
        <c:lblAlgn val="ctr"/>
        <c:lblOffset val="100"/>
        <c:tickLblSkip val="1"/>
        <c:tickMarkSkip val="1"/>
        <c:noMultiLvlLbl val="0"/>
      </c:catAx>
      <c:valAx>
        <c:axId val="-16062059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6062216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Onderwijsleermiddelen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2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begr!$G$26:$J$26</c:f>
              <c:numCache>
                <c:formatCode>_-"€"\ * #,##0_-;_-"€"\ * #,##0\-;_-"€"\ * "-"_-;_-@_-</c:formatCode>
                <c:ptCount val="4"/>
                <c:pt idx="0">
                  <c:v>0</c:v>
                </c:pt>
                <c:pt idx="1">
                  <c:v>0</c:v>
                </c:pt>
                <c:pt idx="2">
                  <c:v>0</c:v>
                </c:pt>
                <c:pt idx="3">
                  <c:v>0</c:v>
                </c:pt>
              </c:numCache>
            </c:numRef>
          </c:val>
        </c:ser>
        <c:dLbls>
          <c:showLegendKey val="0"/>
          <c:showVal val="1"/>
          <c:showCatName val="0"/>
          <c:showSerName val="0"/>
          <c:showPercent val="0"/>
          <c:showBubbleSize val="0"/>
        </c:dLbls>
        <c:gapWidth val="150"/>
        <c:axId val="-1606204272"/>
        <c:axId val="-1606218416"/>
      </c:barChart>
      <c:catAx>
        <c:axId val="-1606204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1606218416"/>
        <c:crosses val="autoZero"/>
        <c:auto val="1"/>
        <c:lblAlgn val="ctr"/>
        <c:lblOffset val="100"/>
        <c:tickLblSkip val="1"/>
        <c:tickMarkSkip val="1"/>
        <c:noMultiLvlLbl val="0"/>
      </c:catAx>
      <c:valAx>
        <c:axId val="-1606218416"/>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16062042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Resultaat</a:t>
            </a:r>
          </a:p>
        </c:rich>
      </c:tx>
      <c:layout>
        <c:manualLayout>
          <c:xMode val="edge"/>
          <c:yMode val="edge"/>
          <c:x val="0.42677868195346308"/>
          <c:y val="3.5502958579881658E-2"/>
        </c:manualLayout>
      </c:layout>
      <c:overlay val="0"/>
      <c:spPr>
        <a:noFill/>
        <a:ln w="25400">
          <a:noFill/>
        </a:ln>
      </c:spPr>
    </c:title>
    <c:autoTitleDeleted val="0"/>
    <c:plotArea>
      <c:layout>
        <c:manualLayout>
          <c:layoutTarget val="inner"/>
          <c:xMode val="edge"/>
          <c:yMode val="edge"/>
          <c:x val="0.20711318227925429"/>
          <c:y val="0.18639053254438054"/>
          <c:w val="0.76359910638312134"/>
          <c:h val="0.68047337278106457"/>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begr!$G$42:$J$42</c:f>
              <c:numCache>
                <c:formatCode>_-"€"\ * #,##0_-;_-"€"\ * #,##0\-;_-"€"\ * "-"_-;_-@_-</c:formatCode>
                <c:ptCount val="4"/>
                <c:pt idx="0">
                  <c:v>1309130.7635819772</c:v>
                </c:pt>
                <c:pt idx="1">
                  <c:v>1320744.5376416517</c:v>
                </c:pt>
                <c:pt idx="2">
                  <c:v>1328675.3625421943</c:v>
                </c:pt>
                <c:pt idx="3">
                  <c:v>1336547.5057790838</c:v>
                </c:pt>
              </c:numCache>
            </c:numRef>
          </c:val>
        </c:ser>
        <c:dLbls>
          <c:showLegendKey val="0"/>
          <c:showVal val="1"/>
          <c:showCatName val="0"/>
          <c:showSerName val="0"/>
          <c:showPercent val="0"/>
          <c:showBubbleSize val="0"/>
        </c:dLbls>
        <c:gapWidth val="150"/>
        <c:axId val="-1606203728"/>
        <c:axId val="-1606203184"/>
      </c:barChart>
      <c:catAx>
        <c:axId val="-1606203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1606203184"/>
        <c:crosses val="autoZero"/>
        <c:auto val="1"/>
        <c:lblAlgn val="ctr"/>
        <c:lblOffset val="100"/>
        <c:tickLblSkip val="1"/>
        <c:tickMarkSkip val="1"/>
        <c:noMultiLvlLbl val="0"/>
      </c:catAx>
      <c:valAx>
        <c:axId val="-160620318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16062037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Leerlingenverloop</a:t>
            </a:r>
          </a:p>
        </c:rich>
      </c:tx>
      <c:layout>
        <c:manualLayout>
          <c:xMode val="edge"/>
          <c:yMode val="edge"/>
          <c:x val="0.3592436974789916"/>
          <c:y val="3.5294117647058851E-2"/>
        </c:manualLayout>
      </c:layout>
      <c:overlay val="0"/>
      <c:spPr>
        <a:noFill/>
        <a:ln w="25400">
          <a:noFill/>
        </a:ln>
      </c:spPr>
    </c:title>
    <c:autoTitleDeleted val="0"/>
    <c:plotArea>
      <c:layout>
        <c:manualLayout>
          <c:layoutTarget val="inner"/>
          <c:xMode val="edge"/>
          <c:yMode val="edge"/>
          <c:x val="0.12394957983193279"/>
          <c:y val="0.18529438375227855"/>
          <c:w val="0.84663865546219474"/>
          <c:h val="0.60000086167403699"/>
        </c:manualLayout>
      </c:layout>
      <c:barChart>
        <c:barDir val="col"/>
        <c:grouping val="clustered"/>
        <c:varyColors val="0"/>
        <c:ser>
          <c:idx val="0"/>
          <c:order val="0"/>
          <c:tx>
            <c:v>teldatum</c:v>
          </c:tx>
          <c:spPr>
            <a:solidFill>
              <a:srgbClr val="99CC00"/>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geg!$F$17:$J$17</c:f>
              <c:strCache>
                <c:ptCount val="5"/>
                <c:pt idx="0">
                  <c:v>2015/16</c:v>
                </c:pt>
                <c:pt idx="1">
                  <c:v>2016/17</c:v>
                </c:pt>
                <c:pt idx="2">
                  <c:v>2017/18</c:v>
                </c:pt>
                <c:pt idx="3">
                  <c:v>2018/19</c:v>
                </c:pt>
                <c:pt idx="4">
                  <c:v>2019/20</c:v>
                </c:pt>
              </c:strCache>
            </c:strRef>
          </c:cat>
          <c:val>
            <c:numRef>
              <c:f>geg!$F$25:$J$25</c:f>
              <c:numCache>
                <c:formatCode>General</c:formatCode>
                <c:ptCount val="5"/>
                <c:pt idx="0">
                  <c:v>150</c:v>
                </c:pt>
                <c:pt idx="1">
                  <c:v>155</c:v>
                </c:pt>
                <c:pt idx="2">
                  <c:v>155</c:v>
                </c:pt>
                <c:pt idx="3">
                  <c:v>155</c:v>
                </c:pt>
                <c:pt idx="4">
                  <c:v>155</c:v>
                </c:pt>
              </c:numCache>
            </c:numRef>
          </c:val>
        </c:ser>
        <c:ser>
          <c:idx val="1"/>
          <c:order val="1"/>
          <c:tx>
            <c:v>peildatum</c:v>
          </c:tx>
          <c:spPr>
            <a:solidFill>
              <a:srgbClr val="993366"/>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geg!$F$17:$J$17</c:f>
              <c:strCache>
                <c:ptCount val="5"/>
                <c:pt idx="0">
                  <c:v>2015/16</c:v>
                </c:pt>
                <c:pt idx="1">
                  <c:v>2016/17</c:v>
                </c:pt>
                <c:pt idx="2">
                  <c:v>2017/18</c:v>
                </c:pt>
                <c:pt idx="3">
                  <c:v>2018/19</c:v>
                </c:pt>
                <c:pt idx="4">
                  <c:v>2019/20</c:v>
                </c:pt>
              </c:strCache>
            </c:strRef>
          </c:cat>
          <c:val>
            <c:numRef>
              <c:f>geg!$F$30:$J$30</c:f>
              <c:numCache>
                <c:formatCode>General</c:formatCode>
                <c:ptCount val="5"/>
                <c:pt idx="0">
                  <c:v>155</c:v>
                </c:pt>
                <c:pt idx="1">
                  <c:v>158</c:v>
                </c:pt>
                <c:pt idx="2">
                  <c:v>158</c:v>
                </c:pt>
                <c:pt idx="3">
                  <c:v>158</c:v>
                </c:pt>
                <c:pt idx="4">
                  <c:v>158</c:v>
                </c:pt>
              </c:numCache>
            </c:numRef>
          </c:val>
        </c:ser>
        <c:dLbls>
          <c:showLegendKey val="0"/>
          <c:showVal val="1"/>
          <c:showCatName val="0"/>
          <c:showSerName val="0"/>
          <c:showPercent val="0"/>
          <c:showBubbleSize val="0"/>
        </c:dLbls>
        <c:gapWidth val="150"/>
        <c:axId val="-1606218960"/>
        <c:axId val="-1606202096"/>
      </c:barChart>
      <c:catAx>
        <c:axId val="-1606218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1606202096"/>
        <c:crosses val="autoZero"/>
        <c:auto val="1"/>
        <c:lblAlgn val="ctr"/>
        <c:lblOffset val="100"/>
        <c:tickLblSkip val="1"/>
        <c:tickMarkSkip val="1"/>
        <c:noMultiLvlLbl val="0"/>
      </c:catAx>
      <c:valAx>
        <c:axId val="-16062020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16062189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39705882352941607"/>
          <c:y val="0.90882476455149064"/>
          <c:w val="0.30462184873949638"/>
          <c:h val="7.0588235294115953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Verloop Gewogen Gemiddelde Leeftijd</a:t>
            </a:r>
          </a:p>
        </c:rich>
      </c:tx>
      <c:layout>
        <c:manualLayout>
          <c:xMode val="edge"/>
          <c:yMode val="edge"/>
          <c:x val="0.20964404606656944"/>
          <c:y val="3.5190615835777136E-2"/>
        </c:manualLayout>
      </c:layout>
      <c:overlay val="0"/>
      <c:spPr>
        <a:noFill/>
        <a:ln w="25400">
          <a:noFill/>
        </a:ln>
      </c:spPr>
    </c:title>
    <c:autoTitleDeleted val="0"/>
    <c:plotArea>
      <c:layout>
        <c:manualLayout>
          <c:layoutTarget val="inner"/>
          <c:xMode val="edge"/>
          <c:yMode val="edge"/>
          <c:x val="0.13207574209689091"/>
          <c:y val="0.19941348973607345"/>
          <c:w val="0.83857614029771332"/>
          <c:h val="0.66568914956012426"/>
        </c:manualLayout>
      </c:layout>
      <c:barChart>
        <c:barDir val="col"/>
        <c:grouping val="clustered"/>
        <c:varyColors val="0"/>
        <c:ser>
          <c:idx val="0"/>
          <c:order val="0"/>
          <c:spPr>
            <a:solidFill>
              <a:srgbClr val="99CC00"/>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pers!$I$15:$L$15</c:f>
              <c:numCache>
                <c:formatCode>0.00</c:formatCode>
                <c:ptCount val="4"/>
                <c:pt idx="0">
                  <c:v>42</c:v>
                </c:pt>
                <c:pt idx="1">
                  <c:v>43</c:v>
                </c:pt>
                <c:pt idx="2">
                  <c:v>44</c:v>
                </c:pt>
                <c:pt idx="3">
                  <c:v>45</c:v>
                </c:pt>
              </c:numCache>
            </c:numRef>
          </c:val>
        </c:ser>
        <c:dLbls>
          <c:showLegendKey val="0"/>
          <c:showVal val="1"/>
          <c:showCatName val="0"/>
          <c:showSerName val="0"/>
          <c:showPercent val="0"/>
          <c:showBubbleSize val="0"/>
        </c:dLbls>
        <c:gapWidth val="150"/>
        <c:axId val="-1606217328"/>
        <c:axId val="-1606217872"/>
      </c:barChart>
      <c:catAx>
        <c:axId val="-1606217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1606217872"/>
        <c:crosses val="autoZero"/>
        <c:auto val="1"/>
        <c:lblAlgn val="ctr"/>
        <c:lblOffset val="100"/>
        <c:tickLblSkip val="1"/>
        <c:tickMarkSkip val="1"/>
        <c:noMultiLvlLbl val="0"/>
      </c:catAx>
      <c:valAx>
        <c:axId val="-1606217872"/>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6062173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Budget Personeel</a:t>
            </a:r>
          </a:p>
        </c:rich>
      </c:tx>
      <c:layout>
        <c:manualLayout>
          <c:xMode val="edge"/>
          <c:yMode val="edge"/>
          <c:x val="0.36344537815126082"/>
          <c:y val="3.5190615835777136E-2"/>
        </c:manualLayout>
      </c:layout>
      <c:overlay val="0"/>
      <c:spPr>
        <a:noFill/>
        <a:ln w="25400">
          <a:noFill/>
        </a:ln>
      </c:spPr>
    </c:title>
    <c:autoTitleDeleted val="0"/>
    <c:plotArea>
      <c:layout>
        <c:manualLayout>
          <c:layoutTarget val="inner"/>
          <c:xMode val="edge"/>
          <c:yMode val="edge"/>
          <c:x val="0.20798319327731313"/>
          <c:y val="0.18475073313783236"/>
          <c:w val="0.76260504201681889"/>
          <c:h val="0.6011730205278597"/>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begr!$G$8:$J$8</c:f>
              <c:numCache>
                <c:formatCode>General</c:formatCode>
                <c:ptCount val="4"/>
                <c:pt idx="0">
                  <c:v>2016</c:v>
                </c:pt>
                <c:pt idx="1">
                  <c:v>2017</c:v>
                </c:pt>
                <c:pt idx="2">
                  <c:v>2018</c:v>
                </c:pt>
                <c:pt idx="3">
                  <c:v>2019</c:v>
                </c:pt>
              </c:numCache>
            </c:numRef>
          </c:cat>
          <c:val>
            <c:numRef>
              <c:f>pers!$I$153:$L$153</c:f>
              <c:numCache>
                <c:formatCode>_-"€"\ * #,##0_-;_-"€"\ * #,##0\-;_-"€"\ * "-"_-;_-@_-</c:formatCode>
                <c:ptCount val="4"/>
                <c:pt idx="0">
                  <c:v>1272023.4708333334</c:v>
                </c:pt>
                <c:pt idx="1">
                  <c:v>1288771.5858333334</c:v>
                </c:pt>
                <c:pt idx="2">
                  <c:v>1301941.3358333334</c:v>
                </c:pt>
                <c:pt idx="3">
                  <c:v>1315111.0858333334</c:v>
                </c:pt>
              </c:numCache>
            </c:numRef>
          </c:val>
        </c:ser>
        <c:ser>
          <c:idx val="1"/>
          <c:order val="1"/>
          <c:tx>
            <c:v>lasten</c:v>
          </c:tx>
          <c:spPr>
            <a:solidFill>
              <a:srgbClr val="FFCC99"/>
            </a:solidFill>
            <a:ln w="12700">
              <a:solidFill>
                <a:srgbClr val="000000"/>
              </a:solidFill>
              <a:prstDash val="solid"/>
            </a:ln>
          </c:spPr>
          <c:invertIfNegative val="0"/>
          <c:cat>
            <c:numRef>
              <c:f>begr!$G$8:$J$8</c:f>
              <c:numCache>
                <c:formatCode>General</c:formatCode>
                <c:ptCount val="4"/>
                <c:pt idx="0">
                  <c:v>2016</c:v>
                </c:pt>
                <c:pt idx="1">
                  <c:v>2017</c:v>
                </c:pt>
                <c:pt idx="2">
                  <c:v>2018</c:v>
                </c:pt>
                <c:pt idx="3">
                  <c:v>2019</c:v>
                </c:pt>
              </c:numCache>
            </c:numRef>
          </c:cat>
          <c:val>
            <c:numRef>
              <c:f>pers!$I$168:$L$168</c:f>
              <c:numCache>
                <c:formatCode>_-"€"\ * #,##0_-;_-"€"\ * #,##0\-;_-"€"\ * "-"_-;_-@_-</c:formatCode>
                <c:ptCount val="4"/>
                <c:pt idx="0">
                  <c:v>171630.77725135625</c:v>
                </c:pt>
                <c:pt idx="1">
                  <c:v>176765.11819168177</c:v>
                </c:pt>
                <c:pt idx="2">
                  <c:v>182004.04329113927</c:v>
                </c:pt>
                <c:pt idx="3">
                  <c:v>187301.65005424956</c:v>
                </c:pt>
              </c:numCache>
            </c:numRef>
          </c:val>
        </c:ser>
        <c:dLbls>
          <c:showLegendKey val="0"/>
          <c:showVal val="0"/>
          <c:showCatName val="0"/>
          <c:showSerName val="0"/>
          <c:showPercent val="0"/>
          <c:showBubbleSize val="0"/>
        </c:dLbls>
        <c:gapWidth val="150"/>
        <c:axId val="-1679050176"/>
        <c:axId val="-1679062144"/>
      </c:barChart>
      <c:catAx>
        <c:axId val="-1679050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1679062144"/>
        <c:crosses val="autoZero"/>
        <c:auto val="1"/>
        <c:lblAlgn val="ctr"/>
        <c:lblOffset val="100"/>
        <c:tickLblSkip val="1"/>
        <c:tickMarkSkip val="1"/>
        <c:noMultiLvlLbl val="0"/>
      </c:catAx>
      <c:valAx>
        <c:axId val="-167906214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16790501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949579831932782"/>
          <c:y val="0.90909090909090906"/>
          <c:w val="0.22478991596638681"/>
          <c:h val="7.0381231671553413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Eigen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Lit>
              <c:formatCode>General</c:formatCode>
              <c:ptCount val="1"/>
              <c:pt idx="0">
                <c:v>0</c:v>
              </c:pt>
            </c:numLit>
          </c:val>
        </c:ser>
        <c:dLbls>
          <c:showLegendKey val="0"/>
          <c:showVal val="1"/>
          <c:showCatName val="0"/>
          <c:showSerName val="0"/>
          <c:showPercent val="0"/>
          <c:showBubbleSize val="0"/>
        </c:dLbls>
        <c:gapWidth val="150"/>
        <c:axId val="-1606200464"/>
        <c:axId val="-1606199920"/>
      </c:barChart>
      <c:catAx>
        <c:axId val="-1606200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606199920"/>
        <c:crosses val="autoZero"/>
        <c:auto val="1"/>
        <c:lblAlgn val="ctr"/>
        <c:lblOffset val="100"/>
        <c:tickLblSkip val="1"/>
        <c:tickMarkSkip val="1"/>
        <c:noMultiLvlLbl val="0"/>
      </c:catAx>
      <c:valAx>
        <c:axId val="-16061999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6062004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Totale baten per leerling</a:t>
            </a:r>
          </a:p>
        </c:rich>
      </c:tx>
      <c:layout>
        <c:manualLayout>
          <c:xMode val="edge"/>
          <c:yMode val="edge"/>
          <c:x val="0.3130252100840355"/>
          <c:y val="3.5502958579881658E-2"/>
        </c:manualLayout>
      </c:layout>
      <c:overlay val="0"/>
      <c:spPr>
        <a:noFill/>
        <a:ln w="25400">
          <a:noFill/>
        </a:ln>
      </c:spPr>
    </c:title>
    <c:autoTitleDeleted val="0"/>
    <c:plotArea>
      <c:layout>
        <c:manualLayout>
          <c:layoutTarget val="inner"/>
          <c:xMode val="edge"/>
          <c:yMode val="edge"/>
          <c:x val="0.17016806722689076"/>
          <c:y val="0.20118343195266294"/>
          <c:w val="0.80042016806721883"/>
          <c:h val="0.66272189349114052"/>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ken!#REF!</c:f>
              <c:numCache>
                <c:formatCode>General</c:formatCode>
                <c:ptCount val="1"/>
                <c:pt idx="0">
                  <c:v>1</c:v>
                </c:pt>
              </c:numCache>
            </c:numRef>
          </c:val>
        </c:ser>
        <c:dLbls>
          <c:showLegendKey val="0"/>
          <c:showVal val="1"/>
          <c:showCatName val="0"/>
          <c:showSerName val="0"/>
          <c:showPercent val="0"/>
          <c:showBubbleSize val="0"/>
        </c:dLbls>
        <c:gapWidth val="150"/>
        <c:axId val="-1606210256"/>
        <c:axId val="-1606189584"/>
      </c:barChart>
      <c:catAx>
        <c:axId val="-1606210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1606189584"/>
        <c:crosses val="autoZero"/>
        <c:auto val="1"/>
        <c:lblAlgn val="ctr"/>
        <c:lblOffset val="100"/>
        <c:tickLblSkip val="1"/>
        <c:tickMarkSkip val="1"/>
        <c:noMultiLvlLbl val="0"/>
      </c:catAx>
      <c:valAx>
        <c:axId val="-16061895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6062102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nl-NL"/>
              <a:t>Totale lasten per leerling</a:t>
            </a:r>
          </a:p>
        </c:rich>
      </c:tx>
      <c:layout>
        <c:manualLayout>
          <c:xMode val="edge"/>
          <c:yMode val="edge"/>
          <c:x val="0.30932225632812882"/>
          <c:y val="3.5294117647058851E-2"/>
        </c:manualLayout>
      </c:layout>
      <c:overlay val="0"/>
      <c:spPr>
        <a:noFill/>
        <a:ln w="25400">
          <a:noFill/>
        </a:ln>
      </c:spPr>
    </c:title>
    <c:autoTitleDeleted val="0"/>
    <c:plotArea>
      <c:layout>
        <c:manualLayout>
          <c:layoutTarget val="inner"/>
          <c:xMode val="edge"/>
          <c:yMode val="edge"/>
          <c:x val="0.17161034702143188"/>
          <c:y val="0.18823556444675504"/>
          <c:w val="0.79872963984048895"/>
          <c:h val="0.67647155973052664"/>
        </c:manualLayout>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10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ken!#REF!</c:f>
              <c:numCache>
                <c:formatCode>General</c:formatCode>
                <c:ptCount val="1"/>
                <c:pt idx="0">
                  <c:v>1</c:v>
                </c:pt>
              </c:numCache>
            </c:numRef>
          </c:val>
        </c:ser>
        <c:dLbls>
          <c:showLegendKey val="0"/>
          <c:showVal val="1"/>
          <c:showCatName val="0"/>
          <c:showSerName val="0"/>
          <c:showPercent val="0"/>
          <c:showBubbleSize val="0"/>
        </c:dLbls>
        <c:gapWidth val="150"/>
        <c:axId val="-1606197200"/>
        <c:axId val="-1606196112"/>
      </c:barChart>
      <c:catAx>
        <c:axId val="-1606197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1606196112"/>
        <c:crosses val="autoZero"/>
        <c:auto val="1"/>
        <c:lblAlgn val="ctr"/>
        <c:lblOffset val="100"/>
        <c:tickLblSkip val="1"/>
        <c:tickMarkSkip val="1"/>
        <c:noMultiLvlLbl val="0"/>
      </c:catAx>
      <c:valAx>
        <c:axId val="-16061961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160619720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Investeringen</a:t>
            </a:r>
          </a:p>
        </c:rich>
      </c:tx>
      <c:layout>
        <c:manualLayout>
          <c:xMode val="edge"/>
          <c:yMode val="edge"/>
          <c:x val="0.39368465257632268"/>
          <c:y val="3.5608308605341282E-2"/>
        </c:manualLayout>
      </c:layout>
      <c:overlay val="0"/>
      <c:spPr>
        <a:noFill/>
        <a:ln w="25400">
          <a:noFill/>
        </a:ln>
      </c:spPr>
    </c:title>
    <c:autoTitleDeleted val="0"/>
    <c:plotArea>
      <c:layout>
        <c:manualLayout>
          <c:layoutTarget val="inner"/>
          <c:xMode val="edge"/>
          <c:yMode val="edge"/>
          <c:x val="0.11157906206729241"/>
          <c:y val="0.2017807077915022"/>
          <c:w val="0.85894825138595265"/>
          <c:h val="0.66172202702213823"/>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2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act!$G$29:$J$29</c:f>
              <c:numCache>
                <c:formatCode>_-"€"\ * #,##0_-;_-"€"\ * #,##0\-;_-"€"\ * "-"_-;_-@_-</c:formatCode>
                <c:ptCount val="4"/>
                <c:pt idx="0">
                  <c:v>0</c:v>
                </c:pt>
                <c:pt idx="1">
                  <c:v>0</c:v>
                </c:pt>
                <c:pt idx="2">
                  <c:v>0</c:v>
                </c:pt>
                <c:pt idx="3">
                  <c:v>0</c:v>
                </c:pt>
              </c:numCache>
            </c:numRef>
          </c:val>
        </c:ser>
        <c:dLbls>
          <c:showLegendKey val="0"/>
          <c:showVal val="1"/>
          <c:showCatName val="0"/>
          <c:showSerName val="0"/>
          <c:showPercent val="0"/>
          <c:showBubbleSize val="0"/>
        </c:dLbls>
        <c:gapWidth val="150"/>
        <c:axId val="-1606190128"/>
        <c:axId val="-1606195024"/>
      </c:barChart>
      <c:catAx>
        <c:axId val="-1606190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1606195024"/>
        <c:crosses val="autoZero"/>
        <c:auto val="1"/>
        <c:lblAlgn val="ctr"/>
        <c:lblOffset val="100"/>
        <c:tickLblSkip val="1"/>
        <c:tickMarkSkip val="1"/>
        <c:noMultiLvlLbl val="0"/>
      </c:catAx>
      <c:valAx>
        <c:axId val="-160619502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16061901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Kapitalisatiefactor</a:t>
            </a:r>
          </a:p>
        </c:rich>
      </c:tx>
      <c:layout>
        <c:manualLayout>
          <c:xMode val="edge"/>
          <c:yMode val="edge"/>
          <c:x val="0.40546218487395241"/>
          <c:y val="3.5190615835777136E-2"/>
        </c:manualLayout>
      </c:layout>
      <c:overlay val="0"/>
      <c:spPr>
        <a:noFill/>
        <a:ln w="25400">
          <a:noFill/>
        </a:ln>
      </c:spPr>
    </c:title>
    <c:autoTitleDeleted val="0"/>
    <c:plotArea>
      <c:layout>
        <c:manualLayout>
          <c:layoutTarget val="inner"/>
          <c:xMode val="edge"/>
          <c:yMode val="edge"/>
          <c:x val="0.14075630252101032"/>
          <c:y val="0.19941348973607356"/>
          <c:w val="0.82983193277311784"/>
          <c:h val="0.6656891495601247"/>
        </c:manualLayout>
      </c:layout>
      <c:barChart>
        <c:barDir val="col"/>
        <c:grouping val="clustered"/>
        <c:varyColors val="0"/>
        <c:ser>
          <c:idx val="0"/>
          <c:order val="0"/>
          <c:tx>
            <c:v>kapitalisatiefactor</c:v>
          </c:tx>
          <c:invertIfNegative val="0"/>
          <c:dLbls>
            <c:spPr>
              <a:noFill/>
              <a:ln w="25400">
                <a:noFill/>
              </a:ln>
            </c:spPr>
            <c:txPr>
              <a:bodyPr/>
              <a:lstStyle/>
              <a:p>
                <a:pPr>
                  <a:defRPr sz="11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ken!$F$8:$I$8</c:f>
              <c:numCache>
                <c:formatCode>General</c:formatCode>
                <c:ptCount val="4"/>
                <c:pt idx="0">
                  <c:v>2016</c:v>
                </c:pt>
                <c:pt idx="1">
                  <c:v>2017</c:v>
                </c:pt>
                <c:pt idx="2">
                  <c:v>2018</c:v>
                </c:pt>
                <c:pt idx="3">
                  <c:v>2019</c:v>
                </c:pt>
              </c:numCache>
            </c:numRef>
          </c:cat>
          <c:val>
            <c:numRef>
              <c:f>ken!#REF!</c:f>
              <c:numCache>
                <c:formatCode>General</c:formatCode>
                <c:ptCount val="1"/>
                <c:pt idx="0">
                  <c:v>1</c:v>
                </c:pt>
              </c:numCache>
            </c:numRef>
          </c:val>
        </c:ser>
        <c:dLbls>
          <c:showLegendKey val="0"/>
          <c:showVal val="1"/>
          <c:showCatName val="0"/>
          <c:showSerName val="0"/>
          <c:showPercent val="0"/>
          <c:showBubbleSize val="0"/>
        </c:dLbls>
        <c:gapWidth val="150"/>
        <c:axId val="-1606193392"/>
        <c:axId val="-1606192848"/>
      </c:barChart>
      <c:catAx>
        <c:axId val="-1606193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606192848"/>
        <c:crosses val="autoZero"/>
        <c:auto val="1"/>
        <c:lblAlgn val="ctr"/>
        <c:lblOffset val="100"/>
        <c:tickLblSkip val="1"/>
        <c:tickMarkSkip val="1"/>
        <c:noMultiLvlLbl val="0"/>
      </c:catAx>
      <c:valAx>
        <c:axId val="-16061928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60619339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577" r="0.75000000000000577"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Budget Materieel</a:t>
            </a:r>
          </a:p>
        </c:rich>
      </c:tx>
      <c:layout>
        <c:manualLayout>
          <c:xMode val="edge"/>
          <c:yMode val="edge"/>
          <c:x val="0.36764705882352727"/>
          <c:y val="3.5294117647058851E-2"/>
        </c:manualLayout>
      </c:layout>
      <c:overlay val="0"/>
      <c:spPr>
        <a:noFill/>
        <a:ln w="25400">
          <a:noFill/>
        </a:ln>
      </c:spPr>
    </c:title>
    <c:autoTitleDeleted val="0"/>
    <c:plotArea>
      <c:layout>
        <c:manualLayout>
          <c:layoutTarget val="inner"/>
          <c:xMode val="edge"/>
          <c:yMode val="edge"/>
          <c:x val="0.21218487394957827"/>
          <c:y val="0.20000028722467719"/>
          <c:w val="0.75840336134453779"/>
          <c:h val="0.57941259681265689"/>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begr!$G$8:$J$8</c:f>
              <c:numCache>
                <c:formatCode>General</c:formatCode>
                <c:ptCount val="4"/>
                <c:pt idx="0">
                  <c:v>2016</c:v>
                </c:pt>
                <c:pt idx="1">
                  <c:v>2017</c:v>
                </c:pt>
                <c:pt idx="2">
                  <c:v>2018</c:v>
                </c:pt>
                <c:pt idx="3">
                  <c:v>2019</c:v>
                </c:pt>
              </c:numCache>
            </c:numRef>
          </c:cat>
          <c:val>
            <c:numRef>
              <c:f>mat!$I$94:$L$94</c:f>
              <c:numCache>
                <c:formatCode>_-"€"\ * #,##0_-;_-"€"\ * #,##0\-;_-"€"\ * "-"??_-;_-@_-</c:formatCode>
                <c:ptCount val="4"/>
                <c:pt idx="0">
                  <c:v>208738.07</c:v>
                </c:pt>
                <c:pt idx="1">
                  <c:v>208738.07</c:v>
                </c:pt>
                <c:pt idx="2">
                  <c:v>208738.07</c:v>
                </c:pt>
                <c:pt idx="3">
                  <c:v>208738.07</c:v>
                </c:pt>
              </c:numCache>
            </c:numRef>
          </c:val>
        </c:ser>
        <c:ser>
          <c:idx val="1"/>
          <c:order val="1"/>
          <c:tx>
            <c:v>lasten</c:v>
          </c:tx>
          <c:spPr>
            <a:solidFill>
              <a:srgbClr val="FFCC99"/>
            </a:solidFill>
            <a:ln w="12700">
              <a:solidFill>
                <a:srgbClr val="000000"/>
              </a:solidFill>
              <a:prstDash val="solid"/>
            </a:ln>
          </c:spPr>
          <c:invertIfNegative val="0"/>
          <c:val>
            <c:numRef>
              <c:f>mat!$I$176:$L$176</c:f>
              <c:numCache>
                <c:formatCode>_-"€"\ * #,##0_-;_-"€"\ * #,##0\-;_-"€"\ * "-"??_-;_-@_-</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679055616"/>
        <c:axId val="-1679051264"/>
      </c:barChart>
      <c:catAx>
        <c:axId val="-1679055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679051264"/>
        <c:crosses val="autoZero"/>
        <c:auto val="1"/>
        <c:lblAlgn val="ctr"/>
        <c:lblOffset val="100"/>
        <c:tickLblSkip val="1"/>
        <c:tickMarkSkip val="1"/>
        <c:noMultiLvlLbl val="0"/>
      </c:catAx>
      <c:valAx>
        <c:axId val="-167905126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67905561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579831932773138"/>
          <c:y val="0.90588358808089997"/>
          <c:w val="0.24579831932773283"/>
          <c:h val="7.3529411764705732E-2"/>
        </c:manualLayout>
      </c:layout>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Totale baten en lasten</a:t>
            </a:r>
          </a:p>
        </c:rich>
      </c:tx>
      <c:layout>
        <c:manualLayout>
          <c:xMode val="edge"/>
          <c:yMode val="edge"/>
          <c:x val="0.3291145885245379"/>
          <c:y val="3.5294117647058851E-2"/>
        </c:manualLayout>
      </c:layout>
      <c:overlay val="0"/>
      <c:spPr>
        <a:noFill/>
        <a:ln w="25400">
          <a:noFill/>
        </a:ln>
      </c:spPr>
    </c:title>
    <c:autoTitleDeleted val="0"/>
    <c:plotArea>
      <c:layout>
        <c:manualLayout>
          <c:layoutTarget val="inner"/>
          <c:xMode val="edge"/>
          <c:yMode val="edge"/>
          <c:x val="0.22995827968065927"/>
          <c:y val="0.20000028722467719"/>
          <c:w val="0.74050785475148084"/>
          <c:h val="0.57941259681265689"/>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begr!$G$8:$J$8</c:f>
              <c:numCache>
                <c:formatCode>General</c:formatCode>
                <c:ptCount val="4"/>
                <c:pt idx="0">
                  <c:v>2016</c:v>
                </c:pt>
                <c:pt idx="1">
                  <c:v>2017</c:v>
                </c:pt>
                <c:pt idx="2">
                  <c:v>2018</c:v>
                </c:pt>
                <c:pt idx="3">
                  <c:v>2019</c:v>
                </c:pt>
              </c:numCache>
            </c:numRef>
          </c:cat>
          <c:val>
            <c:numRef>
              <c:f>begr!$G$19:$J$19</c:f>
              <c:numCache>
                <c:formatCode>_-"€"\ * #,##0_-;_-"€"\ * #,##0\-;_-"€"\ * "-"_-;_-@_-</c:formatCode>
                <c:ptCount val="4"/>
                <c:pt idx="0">
                  <c:v>1480761.5408333335</c:v>
                </c:pt>
                <c:pt idx="1">
                  <c:v>1497509.6558333335</c:v>
                </c:pt>
                <c:pt idx="2">
                  <c:v>1510679.4058333335</c:v>
                </c:pt>
                <c:pt idx="3">
                  <c:v>1523849.1558333335</c:v>
                </c:pt>
              </c:numCache>
            </c:numRef>
          </c:val>
        </c:ser>
        <c:ser>
          <c:idx val="1"/>
          <c:order val="1"/>
          <c:tx>
            <c:v>lasten</c:v>
          </c:tx>
          <c:spPr>
            <a:solidFill>
              <a:srgbClr val="FFCC99"/>
            </a:solidFill>
            <a:ln w="12700">
              <a:solidFill>
                <a:srgbClr val="000000"/>
              </a:solidFill>
              <a:prstDash val="solid"/>
            </a:ln>
          </c:spPr>
          <c:invertIfNegative val="0"/>
          <c:cat>
            <c:numRef>
              <c:f>begr!$G$8:$J$8</c:f>
              <c:numCache>
                <c:formatCode>General</c:formatCode>
                <c:ptCount val="4"/>
                <c:pt idx="0">
                  <c:v>2016</c:v>
                </c:pt>
                <c:pt idx="1">
                  <c:v>2017</c:v>
                </c:pt>
                <c:pt idx="2">
                  <c:v>2018</c:v>
                </c:pt>
                <c:pt idx="3">
                  <c:v>2019</c:v>
                </c:pt>
              </c:numCache>
            </c:numRef>
          </c:cat>
          <c:val>
            <c:numRef>
              <c:f>begr!$G$27:$J$27</c:f>
              <c:numCache>
                <c:formatCode>_-"€"\ * #,##0_-;_-"€"\ * #,##0\-;_-"€"\ * "-"_-;_-@_-</c:formatCode>
                <c:ptCount val="4"/>
                <c:pt idx="0">
                  <c:v>171630.77725135625</c:v>
                </c:pt>
                <c:pt idx="1">
                  <c:v>176765.11819168177</c:v>
                </c:pt>
                <c:pt idx="2">
                  <c:v>182004.04329113927</c:v>
                </c:pt>
                <c:pt idx="3">
                  <c:v>187301.65005424956</c:v>
                </c:pt>
              </c:numCache>
            </c:numRef>
          </c:val>
        </c:ser>
        <c:dLbls>
          <c:showLegendKey val="0"/>
          <c:showVal val="0"/>
          <c:showCatName val="0"/>
          <c:showSerName val="0"/>
          <c:showPercent val="0"/>
          <c:showBubbleSize val="0"/>
        </c:dLbls>
        <c:gapWidth val="150"/>
        <c:axId val="-1679063232"/>
        <c:axId val="-1679056160"/>
      </c:barChart>
      <c:catAx>
        <c:axId val="-1679063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679056160"/>
        <c:crosses val="autoZero"/>
        <c:auto val="1"/>
        <c:lblAlgn val="ctr"/>
        <c:lblOffset val="100"/>
        <c:tickLblSkip val="1"/>
        <c:tickMarkSkip val="1"/>
        <c:noMultiLvlLbl val="0"/>
      </c:catAx>
      <c:valAx>
        <c:axId val="-167905616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6790632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734287960840716"/>
          <c:y val="0.90588358808089997"/>
          <c:w val="0.24683588602057649"/>
          <c:h val="7.3529411764705732E-2"/>
        </c:manualLayout>
      </c:layout>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Materiële vaste activa</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bal!$H$17:$K$17</c:f>
              <c:numCache>
                <c:formatCode>_-"€"\ * #,##0_-;_-"€"\ * #,##0\-;_-"€"\ * "-"_-;_-@_-</c:formatCode>
                <c:ptCount val="4"/>
                <c:pt idx="0">
                  <c:v>0</c:v>
                </c:pt>
                <c:pt idx="1">
                  <c:v>0</c:v>
                </c:pt>
                <c:pt idx="2">
                  <c:v>0</c:v>
                </c:pt>
                <c:pt idx="3">
                  <c:v>0</c:v>
                </c:pt>
              </c:numCache>
            </c:numRef>
          </c:val>
        </c:ser>
        <c:dLbls>
          <c:showLegendKey val="0"/>
          <c:showVal val="1"/>
          <c:showCatName val="0"/>
          <c:showSerName val="0"/>
          <c:showPercent val="0"/>
          <c:showBubbleSize val="0"/>
        </c:dLbls>
        <c:gapWidth val="150"/>
        <c:axId val="-1764655360"/>
        <c:axId val="-1764658080"/>
      </c:barChart>
      <c:catAx>
        <c:axId val="-1764655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764658080"/>
        <c:crosses val="autoZero"/>
        <c:auto val="1"/>
        <c:lblAlgn val="ctr"/>
        <c:lblOffset val="100"/>
        <c:tickLblSkip val="1"/>
        <c:tickMarkSkip val="1"/>
        <c:noMultiLvlLbl val="0"/>
      </c:catAx>
      <c:valAx>
        <c:axId val="-176465808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17646553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Opbouw totale loonkosten </a:t>
            </a:r>
          </a:p>
        </c:rich>
      </c:tx>
      <c:layout>
        <c:manualLayout>
          <c:xMode val="edge"/>
          <c:yMode val="edge"/>
          <c:x val="0.30252100840336127"/>
          <c:y val="3.5294117647058851E-2"/>
        </c:manualLayout>
      </c:layout>
      <c:overlay val="0"/>
      <c:spPr>
        <a:noFill/>
        <a:ln w="25400">
          <a:noFill/>
        </a:ln>
      </c:spPr>
    </c:title>
    <c:autoTitleDeleted val="0"/>
    <c:plotArea>
      <c:layout>
        <c:manualLayout>
          <c:layoutTarget val="inner"/>
          <c:xMode val="edge"/>
          <c:yMode val="edge"/>
          <c:x val="0.15546218487395214"/>
          <c:y val="0.18529438375227855"/>
          <c:w val="0.81512605042016861"/>
          <c:h val="0.60000086167403699"/>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numFmt formatCode="0%" sourceLinked="0"/>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ken!$F$49:$I$49</c:f>
              <c:numCache>
                <c:formatCode>0%</c:formatCode>
                <c:ptCount val="4"/>
                <c:pt idx="0">
                  <c:v>0.35497689269783089</c:v>
                </c:pt>
                <c:pt idx="1">
                  <c:v>0.35668111811308123</c:v>
                </c:pt>
                <c:pt idx="2">
                  <c:v>0.35853719961383351</c:v>
                </c:pt>
                <c:pt idx="3">
                  <c:v>0.36071278592810846</c:v>
                </c:pt>
              </c:numCache>
            </c:numRef>
          </c:val>
        </c:ser>
        <c:ser>
          <c:idx val="2"/>
          <c:order val="1"/>
          <c:tx>
            <c:v>OBP</c:v>
          </c:tx>
          <c:spPr>
            <a:solidFill>
              <a:srgbClr val="CCFFCC"/>
            </a:solidFill>
            <a:ln w="12700">
              <a:solidFill>
                <a:srgbClr val="000000"/>
              </a:solidFill>
              <a:prstDash val="solid"/>
            </a:ln>
          </c:spPr>
          <c:invertIfNegative val="0"/>
          <c:dLbls>
            <c:dLbl>
              <c:idx val="0"/>
              <c:layout>
                <c:manualLayout>
                  <c:x val="-7.2829131652660532E-4"/>
                  <c:y val="-3.1515532568089206E-3"/>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ken!$F$50:$I$50</c:f>
              <c:numCache>
                <c:formatCode>0%</c:formatCode>
                <c:ptCount val="4"/>
                <c:pt idx="0">
                  <c:v>0.30297817694925744</c:v>
                </c:pt>
                <c:pt idx="1">
                  <c:v>0.30040983505816415</c:v>
                </c:pt>
                <c:pt idx="2">
                  <c:v>0.29801997262904034</c:v>
                </c:pt>
                <c:pt idx="3">
                  <c:v>0.29548089930852339</c:v>
                </c:pt>
              </c:numCache>
            </c:numRef>
          </c:val>
        </c:ser>
        <c:ser>
          <c:idx val="0"/>
          <c:order val="2"/>
          <c:tx>
            <c:v>DIR</c:v>
          </c:tx>
          <c:spPr>
            <a:solidFill>
              <a:srgbClr val="FFFFCC"/>
            </a:solidFill>
            <a:ln w="12700">
              <a:solidFill>
                <a:srgbClr val="000000"/>
              </a:solidFill>
              <a:prstDash val="solid"/>
            </a:ln>
          </c:spPr>
          <c:invertIfNegative val="0"/>
          <c:dLbls>
            <c:dLbl>
              <c:idx val="0"/>
              <c:layout>
                <c:manualLayout>
                  <c:x val="-1.7296367365844095E-3"/>
                  <c:y val="-2.6297020582348612E-3"/>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ken!$F$48:$I$48</c:f>
              <c:numCache>
                <c:formatCode>0%</c:formatCode>
                <c:ptCount val="4"/>
                <c:pt idx="0">
                  <c:v>0.34204493035291167</c:v>
                </c:pt>
                <c:pt idx="1">
                  <c:v>0.34290904682875462</c:v>
                </c:pt>
                <c:pt idx="2">
                  <c:v>0.34344282775712598</c:v>
                </c:pt>
                <c:pt idx="3">
                  <c:v>0.34380631476336815</c:v>
                </c:pt>
              </c:numCache>
            </c:numRef>
          </c:val>
        </c:ser>
        <c:dLbls>
          <c:showLegendKey val="0"/>
          <c:showVal val="1"/>
          <c:showCatName val="0"/>
          <c:showSerName val="0"/>
          <c:showPercent val="0"/>
          <c:showBubbleSize val="0"/>
        </c:dLbls>
        <c:gapWidth val="150"/>
        <c:overlap val="100"/>
        <c:axId val="-1764651008"/>
        <c:axId val="-1764659712"/>
      </c:barChart>
      <c:catAx>
        <c:axId val="-1764651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1764659712"/>
        <c:crosses val="autoZero"/>
        <c:auto val="1"/>
        <c:lblAlgn val="ctr"/>
        <c:lblOffset val="100"/>
        <c:tickLblSkip val="1"/>
        <c:tickMarkSkip val="1"/>
        <c:noMultiLvlLbl val="0"/>
      </c:catAx>
      <c:valAx>
        <c:axId val="-176465971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1764651008"/>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857142857142855"/>
          <c:y val="0.90882476455149064"/>
          <c:w val="0.26260504201680679"/>
          <c:h val="7.0588235294116314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Vreemd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Lit>
              <c:formatCode>General</c:formatCode>
              <c:ptCount val="1"/>
              <c:pt idx="0">
                <c:v>0</c:v>
              </c:pt>
            </c:numLit>
          </c:val>
        </c:ser>
        <c:dLbls>
          <c:showLegendKey val="0"/>
          <c:showVal val="1"/>
          <c:showCatName val="0"/>
          <c:showSerName val="0"/>
          <c:showPercent val="0"/>
          <c:showBubbleSize val="0"/>
        </c:dLbls>
        <c:gapWidth val="150"/>
        <c:axId val="-1764649920"/>
        <c:axId val="-1764657536"/>
      </c:barChart>
      <c:catAx>
        <c:axId val="-1764649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1764657536"/>
        <c:crosses val="autoZero"/>
        <c:auto val="1"/>
        <c:lblAlgn val="ctr"/>
        <c:lblOffset val="100"/>
        <c:tickLblSkip val="1"/>
        <c:tickMarkSkip val="1"/>
        <c:noMultiLvlLbl val="0"/>
      </c:catAx>
      <c:valAx>
        <c:axId val="-176465753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nl-NL"/>
          </a:p>
        </c:txPr>
        <c:crossAx val="-17646499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a:t>
            </a:r>
          </a:p>
        </c:rich>
      </c:tx>
      <c:layout>
        <c:manualLayout>
          <c:xMode val="edge"/>
          <c:yMode val="edge"/>
          <c:x val="0.40756302521008408"/>
          <c:y val="3.5294117647058851E-2"/>
        </c:manualLayout>
      </c:layout>
      <c:overlay val="0"/>
      <c:spPr>
        <a:noFill/>
        <a:ln w="25400">
          <a:noFill/>
        </a:ln>
      </c:spPr>
    </c:title>
    <c:autoTitleDeleted val="0"/>
    <c:plotArea>
      <c:layout>
        <c:manualLayout>
          <c:layoutTarget val="inner"/>
          <c:xMode val="edge"/>
          <c:yMode val="edge"/>
          <c:x val="0.11554621848739496"/>
          <c:y val="0.20000028722467719"/>
          <c:w val="0.85504201680672265"/>
          <c:h val="0.66470683695260979"/>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ken!#REF!</c:f>
              <c:numCache>
                <c:formatCode>General</c:formatCode>
                <c:ptCount val="1"/>
                <c:pt idx="0">
                  <c:v>1</c:v>
                </c:pt>
              </c:numCache>
            </c:numRef>
          </c:val>
        </c:ser>
        <c:dLbls>
          <c:showLegendKey val="0"/>
          <c:showVal val="1"/>
          <c:showCatName val="0"/>
          <c:showSerName val="0"/>
          <c:showPercent val="0"/>
          <c:showBubbleSize val="0"/>
        </c:dLbls>
        <c:gapWidth val="150"/>
        <c:axId val="-1764653728"/>
        <c:axId val="-1764653184"/>
      </c:barChart>
      <c:catAx>
        <c:axId val="-1764653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764653184"/>
        <c:crosses val="autoZero"/>
        <c:auto val="1"/>
        <c:lblAlgn val="ctr"/>
        <c:lblOffset val="100"/>
        <c:tickLblSkip val="1"/>
        <c:tickMarkSkip val="1"/>
        <c:noMultiLvlLbl val="0"/>
      </c:catAx>
      <c:valAx>
        <c:axId val="-1764653184"/>
        <c:scaling>
          <c:orientation val="minMax"/>
          <c:max val="1"/>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17646537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nl-NL"/>
              <a:t>Liquiditeit</a:t>
            </a:r>
          </a:p>
        </c:rich>
      </c:tx>
      <c:layout>
        <c:manualLayout>
          <c:xMode val="edge"/>
          <c:yMode val="edge"/>
          <c:x val="0.42226890756302532"/>
          <c:y val="3.5087719298245612E-2"/>
        </c:manualLayout>
      </c:layout>
      <c:overlay val="0"/>
      <c:spPr>
        <a:noFill/>
        <a:ln w="25400">
          <a:noFill/>
        </a:ln>
      </c:spPr>
    </c:title>
    <c:autoTitleDeleted val="0"/>
    <c:plotArea>
      <c:layout>
        <c:manualLayout>
          <c:layoutTarget val="inner"/>
          <c:xMode val="edge"/>
          <c:yMode val="edge"/>
          <c:x val="9.4537815126052291E-2"/>
          <c:y val="0.18421105232048657"/>
          <c:w val="0.87605042016807577"/>
          <c:h val="0.68421248004751456"/>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noFill/>
              <a:ln w="25400">
                <a:noFill/>
              </a:ln>
            </c:spPr>
            <c:txPr>
              <a:bodyPr/>
              <a:lstStyle/>
              <a:p>
                <a:pPr>
                  <a:defRPr sz="95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begr!$G$8:$J$8</c:f>
              <c:numCache>
                <c:formatCode>General</c:formatCode>
                <c:ptCount val="4"/>
                <c:pt idx="0">
                  <c:v>2016</c:v>
                </c:pt>
                <c:pt idx="1">
                  <c:v>2017</c:v>
                </c:pt>
                <c:pt idx="2">
                  <c:v>2018</c:v>
                </c:pt>
                <c:pt idx="3">
                  <c:v>2019</c:v>
                </c:pt>
              </c:numCache>
            </c:numRef>
          </c:cat>
          <c:val>
            <c:numRef>
              <c:f>ken!#REF!</c:f>
              <c:numCache>
                <c:formatCode>General</c:formatCode>
                <c:ptCount val="1"/>
                <c:pt idx="0">
                  <c:v>1</c:v>
                </c:pt>
              </c:numCache>
            </c:numRef>
          </c:val>
        </c:ser>
        <c:dLbls>
          <c:showLegendKey val="0"/>
          <c:showVal val="1"/>
          <c:showCatName val="0"/>
          <c:showSerName val="0"/>
          <c:showPercent val="0"/>
          <c:showBubbleSize val="0"/>
        </c:dLbls>
        <c:gapWidth val="150"/>
        <c:axId val="-2067162288"/>
        <c:axId val="-2067156848"/>
      </c:barChart>
      <c:catAx>
        <c:axId val="-2067162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2067156848"/>
        <c:crosses val="autoZero"/>
        <c:auto val="1"/>
        <c:lblAlgn val="ctr"/>
        <c:lblOffset val="100"/>
        <c:tickLblSkip val="1"/>
        <c:tickMarkSkip val="1"/>
        <c:noMultiLvlLbl val="0"/>
      </c:catAx>
      <c:valAx>
        <c:axId val="-20671568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nl-NL"/>
          </a:p>
        </c:txPr>
        <c:crossAx val="-206716228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nl-NL"/>
    </a:p>
  </c:txPr>
  <c:printSettings>
    <c:headerFooter alignWithMargins="0"/>
    <c:pageMargins b="1" l="0.75000000000000555" r="0.7500000000000055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12</xdr:col>
      <xdr:colOff>683562</xdr:colOff>
      <xdr:row>3</xdr:row>
      <xdr:rowOff>22412</xdr:rowOff>
    </xdr:from>
    <xdr:to>
      <xdr:col>14</xdr:col>
      <xdr:colOff>572624</xdr:colOff>
      <xdr:row>5</xdr:row>
      <xdr:rowOff>94130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7160562" y="493059"/>
          <a:ext cx="1390650" cy="419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xdr:colOff>
      <xdr:row>173</xdr:row>
      <xdr:rowOff>0</xdr:rowOff>
    </xdr:from>
    <xdr:to>
      <xdr:col>13</xdr:col>
      <xdr:colOff>133350</xdr:colOff>
      <xdr:row>173</xdr:row>
      <xdr:rowOff>0</xdr:rowOff>
    </xdr:to>
    <xdr:pic>
      <xdr:nvPicPr>
        <xdr:cNvPr id="3274" name="Picture 102" descr="vosabblogo"/>
        <xdr:cNvPicPr>
          <a:picLocks noChangeAspect="1" noChangeArrowheads="1"/>
        </xdr:cNvPicPr>
      </xdr:nvPicPr>
      <xdr:blipFill>
        <a:blip xmlns:r="http://schemas.openxmlformats.org/officeDocument/2006/relationships" r:embed="rId1"/>
        <a:srcRect/>
        <a:stretch>
          <a:fillRect/>
        </a:stretch>
      </xdr:blipFill>
      <xdr:spPr bwMode="auto">
        <a:xfrm>
          <a:off x="8039100" y="25736550"/>
          <a:ext cx="1143000"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371478</xdr:colOff>
      <xdr:row>3</xdr:row>
      <xdr:rowOff>21851</xdr:rowOff>
    </xdr:from>
    <xdr:to>
      <xdr:col>20</xdr:col>
      <xdr:colOff>149042</xdr:colOff>
      <xdr:row>4</xdr:row>
      <xdr:rowOff>207308</xdr:rowOff>
    </xdr:to>
    <xdr:pic>
      <xdr:nvPicPr>
        <xdr:cNvPr id="3" name="Picture 9"/>
        <xdr:cNvPicPr>
          <a:picLocks noChangeAspect="1" noChangeArrowheads="1"/>
        </xdr:cNvPicPr>
      </xdr:nvPicPr>
      <xdr:blipFill>
        <a:blip xmlns:r="http://schemas.openxmlformats.org/officeDocument/2006/relationships" r:embed="rId1"/>
        <a:srcRect/>
        <a:stretch>
          <a:fillRect/>
        </a:stretch>
      </xdr:blipFill>
      <xdr:spPr bwMode="auto">
        <a:xfrm>
          <a:off x="15118419" y="492498"/>
          <a:ext cx="1391211" cy="42078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122</xdr:row>
      <xdr:rowOff>0</xdr:rowOff>
    </xdr:from>
    <xdr:to>
      <xdr:col>17</xdr:col>
      <xdr:colOff>9525</xdr:colOff>
      <xdr:row>122</xdr:row>
      <xdr:rowOff>0</xdr:rowOff>
    </xdr:to>
    <xdr:graphicFrame macro="">
      <xdr:nvGraphicFramePr>
        <xdr:cNvPr id="866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30</xdr:row>
      <xdr:rowOff>0</xdr:rowOff>
    </xdr:from>
    <xdr:to>
      <xdr:col>17</xdr:col>
      <xdr:colOff>0</xdr:colOff>
      <xdr:row>50</xdr:row>
      <xdr:rowOff>9525</xdr:rowOff>
    </xdr:to>
    <xdr:graphicFrame macro="">
      <xdr:nvGraphicFramePr>
        <xdr:cNvPr id="8661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30</xdr:row>
      <xdr:rowOff>9525</xdr:rowOff>
    </xdr:from>
    <xdr:to>
      <xdr:col>9</xdr:col>
      <xdr:colOff>0</xdr:colOff>
      <xdr:row>50</xdr:row>
      <xdr:rowOff>9525</xdr:rowOff>
    </xdr:to>
    <xdr:graphicFrame macro="">
      <xdr:nvGraphicFramePr>
        <xdr:cNvPr id="8661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19050</xdr:colOff>
      <xdr:row>8</xdr:row>
      <xdr:rowOff>0</xdr:rowOff>
    </xdr:from>
    <xdr:to>
      <xdr:col>9</xdr:col>
      <xdr:colOff>0</xdr:colOff>
      <xdr:row>28</xdr:row>
      <xdr:rowOff>0</xdr:rowOff>
    </xdr:to>
    <xdr:graphicFrame macro="">
      <xdr:nvGraphicFramePr>
        <xdr:cNvPr id="86620"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171450</xdr:colOff>
      <xdr:row>122</xdr:row>
      <xdr:rowOff>0</xdr:rowOff>
    </xdr:from>
    <xdr:to>
      <xdr:col>8</xdr:col>
      <xdr:colOff>600075</xdr:colOff>
      <xdr:row>122</xdr:row>
      <xdr:rowOff>0</xdr:rowOff>
    </xdr:to>
    <xdr:graphicFrame macro="">
      <xdr:nvGraphicFramePr>
        <xdr:cNvPr id="8662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8</xdr:row>
      <xdr:rowOff>0</xdr:rowOff>
    </xdr:from>
    <xdr:to>
      <xdr:col>17</xdr:col>
      <xdr:colOff>0</xdr:colOff>
      <xdr:row>28</xdr:row>
      <xdr:rowOff>0</xdr:rowOff>
    </xdr:to>
    <xdr:graphicFrame macro="">
      <xdr:nvGraphicFramePr>
        <xdr:cNvPr id="86622"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122</xdr:row>
      <xdr:rowOff>0</xdr:rowOff>
    </xdr:from>
    <xdr:to>
      <xdr:col>16</xdr:col>
      <xdr:colOff>600075</xdr:colOff>
      <xdr:row>122</xdr:row>
      <xdr:rowOff>0</xdr:rowOff>
    </xdr:to>
    <xdr:graphicFrame macro="">
      <xdr:nvGraphicFramePr>
        <xdr:cNvPr id="86623"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122</xdr:row>
      <xdr:rowOff>0</xdr:rowOff>
    </xdr:from>
    <xdr:to>
      <xdr:col>9</xdr:col>
      <xdr:colOff>0</xdr:colOff>
      <xdr:row>142</xdr:row>
      <xdr:rowOff>0</xdr:rowOff>
    </xdr:to>
    <xdr:graphicFrame macro="">
      <xdr:nvGraphicFramePr>
        <xdr:cNvPr id="86624"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0</xdr:colOff>
      <xdr:row>122</xdr:row>
      <xdr:rowOff>0</xdr:rowOff>
    </xdr:from>
    <xdr:to>
      <xdr:col>17</xdr:col>
      <xdr:colOff>0</xdr:colOff>
      <xdr:row>142</xdr:row>
      <xdr:rowOff>19050</xdr:rowOff>
    </xdr:to>
    <xdr:graphicFrame macro="">
      <xdr:nvGraphicFramePr>
        <xdr:cNvPr id="86625"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144</xdr:row>
      <xdr:rowOff>0</xdr:rowOff>
    </xdr:from>
    <xdr:to>
      <xdr:col>9</xdr:col>
      <xdr:colOff>0</xdr:colOff>
      <xdr:row>164</xdr:row>
      <xdr:rowOff>9525</xdr:rowOff>
    </xdr:to>
    <xdr:graphicFrame macro="">
      <xdr:nvGraphicFramePr>
        <xdr:cNvPr id="86626"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0</xdr:colOff>
      <xdr:row>144</xdr:row>
      <xdr:rowOff>0</xdr:rowOff>
    </xdr:from>
    <xdr:to>
      <xdr:col>17</xdr:col>
      <xdr:colOff>0</xdr:colOff>
      <xdr:row>163</xdr:row>
      <xdr:rowOff>142875</xdr:rowOff>
    </xdr:to>
    <xdr:graphicFrame macro="">
      <xdr:nvGraphicFramePr>
        <xdr:cNvPr id="86627"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0</xdr:colOff>
      <xdr:row>122</xdr:row>
      <xdr:rowOff>0</xdr:rowOff>
    </xdr:from>
    <xdr:to>
      <xdr:col>16</xdr:col>
      <xdr:colOff>600075</xdr:colOff>
      <xdr:row>122</xdr:row>
      <xdr:rowOff>0</xdr:rowOff>
    </xdr:to>
    <xdr:graphicFrame macro="">
      <xdr:nvGraphicFramePr>
        <xdr:cNvPr id="86628"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171450</xdr:colOff>
      <xdr:row>122</xdr:row>
      <xdr:rowOff>0</xdr:rowOff>
    </xdr:from>
    <xdr:to>
      <xdr:col>8</xdr:col>
      <xdr:colOff>600075</xdr:colOff>
      <xdr:row>122</xdr:row>
      <xdr:rowOff>0</xdr:rowOff>
    </xdr:to>
    <xdr:graphicFrame macro="">
      <xdr:nvGraphicFramePr>
        <xdr:cNvPr id="86629"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9525</xdr:colOff>
      <xdr:row>122</xdr:row>
      <xdr:rowOff>0</xdr:rowOff>
    </xdr:from>
    <xdr:to>
      <xdr:col>17</xdr:col>
      <xdr:colOff>9525</xdr:colOff>
      <xdr:row>122</xdr:row>
      <xdr:rowOff>0</xdr:rowOff>
    </xdr:to>
    <xdr:graphicFrame macro="">
      <xdr:nvGraphicFramePr>
        <xdr:cNvPr id="86630"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171450</xdr:colOff>
      <xdr:row>122</xdr:row>
      <xdr:rowOff>0</xdr:rowOff>
    </xdr:from>
    <xdr:to>
      <xdr:col>9</xdr:col>
      <xdr:colOff>0</xdr:colOff>
      <xdr:row>122</xdr:row>
      <xdr:rowOff>0</xdr:rowOff>
    </xdr:to>
    <xdr:graphicFrame macro="">
      <xdr:nvGraphicFramePr>
        <xdr:cNvPr id="86631"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9525</xdr:colOff>
      <xdr:row>122</xdr:row>
      <xdr:rowOff>0</xdr:rowOff>
    </xdr:from>
    <xdr:to>
      <xdr:col>17</xdr:col>
      <xdr:colOff>9525</xdr:colOff>
      <xdr:row>122</xdr:row>
      <xdr:rowOff>0</xdr:rowOff>
    </xdr:to>
    <xdr:graphicFrame macro="">
      <xdr:nvGraphicFramePr>
        <xdr:cNvPr id="86632"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371475</xdr:colOff>
      <xdr:row>100</xdr:row>
      <xdr:rowOff>0</xdr:rowOff>
    </xdr:from>
    <xdr:to>
      <xdr:col>17</xdr:col>
      <xdr:colOff>9525</xdr:colOff>
      <xdr:row>119</xdr:row>
      <xdr:rowOff>142875</xdr:rowOff>
    </xdr:to>
    <xdr:graphicFrame macro="">
      <xdr:nvGraphicFramePr>
        <xdr:cNvPr id="86633"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0</xdr:colOff>
      <xdr:row>52</xdr:row>
      <xdr:rowOff>9525</xdr:rowOff>
    </xdr:from>
    <xdr:to>
      <xdr:col>17</xdr:col>
      <xdr:colOff>0</xdr:colOff>
      <xdr:row>72</xdr:row>
      <xdr:rowOff>9525</xdr:rowOff>
    </xdr:to>
    <xdr:graphicFrame macro="">
      <xdr:nvGraphicFramePr>
        <xdr:cNvPr id="86634"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171450</xdr:colOff>
      <xdr:row>52</xdr:row>
      <xdr:rowOff>0</xdr:rowOff>
    </xdr:from>
    <xdr:to>
      <xdr:col>9</xdr:col>
      <xdr:colOff>0</xdr:colOff>
      <xdr:row>72</xdr:row>
      <xdr:rowOff>9525</xdr:rowOff>
    </xdr:to>
    <xdr:graphicFrame macro="">
      <xdr:nvGraphicFramePr>
        <xdr:cNvPr id="86635"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152400</xdr:colOff>
      <xdr:row>122</xdr:row>
      <xdr:rowOff>0</xdr:rowOff>
    </xdr:from>
    <xdr:to>
      <xdr:col>8</xdr:col>
      <xdr:colOff>581025</xdr:colOff>
      <xdr:row>122</xdr:row>
      <xdr:rowOff>0</xdr:rowOff>
    </xdr:to>
    <xdr:graphicFrame macro="">
      <xdr:nvGraphicFramePr>
        <xdr:cNvPr id="86636"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9525</xdr:colOff>
      <xdr:row>74</xdr:row>
      <xdr:rowOff>133350</xdr:rowOff>
    </xdr:from>
    <xdr:to>
      <xdr:col>9</xdr:col>
      <xdr:colOff>9525</xdr:colOff>
      <xdr:row>94</xdr:row>
      <xdr:rowOff>114300</xdr:rowOff>
    </xdr:to>
    <xdr:graphicFrame macro="">
      <xdr:nvGraphicFramePr>
        <xdr:cNvPr id="86637"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38100</xdr:colOff>
      <xdr:row>74</xdr:row>
      <xdr:rowOff>123825</xdr:rowOff>
    </xdr:from>
    <xdr:to>
      <xdr:col>17</xdr:col>
      <xdr:colOff>0</xdr:colOff>
      <xdr:row>94</xdr:row>
      <xdr:rowOff>123825</xdr:rowOff>
    </xdr:to>
    <xdr:graphicFrame macro="">
      <xdr:nvGraphicFramePr>
        <xdr:cNvPr id="86638"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100</xdr:row>
      <xdr:rowOff>9525</xdr:rowOff>
    </xdr:from>
    <xdr:to>
      <xdr:col>8</xdr:col>
      <xdr:colOff>638175</xdr:colOff>
      <xdr:row>119</xdr:row>
      <xdr:rowOff>142875</xdr:rowOff>
    </xdr:to>
    <xdr:graphicFrame macro="">
      <xdr:nvGraphicFramePr>
        <xdr:cNvPr id="86639" name="Chart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9525</xdr:colOff>
      <xdr:row>166</xdr:row>
      <xdr:rowOff>47625</xdr:rowOff>
    </xdr:from>
    <xdr:to>
      <xdr:col>9</xdr:col>
      <xdr:colOff>9525</xdr:colOff>
      <xdr:row>186</xdr:row>
      <xdr:rowOff>57150</xdr:rowOff>
    </xdr:to>
    <xdr:graphicFrame macro="">
      <xdr:nvGraphicFramePr>
        <xdr:cNvPr id="86641"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goedhart@poraad.n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8.bin"/><Relationship Id="rId1" Type="http://schemas.openxmlformats.org/officeDocument/2006/relationships/hyperlink" Target="http://www.poraad.nl/content/werkgeverslasten-po" TargetMode="External"/><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M194"/>
  <sheetViews>
    <sheetView showGridLines="0" zoomScale="85" zoomScaleNormal="85" workbookViewId="0">
      <selection activeCell="L4" sqref="L4"/>
    </sheetView>
  </sheetViews>
  <sheetFormatPr defaultColWidth="9.140625" defaultRowHeight="12.75" x14ac:dyDescent="0.2"/>
  <cols>
    <col min="1" max="1" width="3.7109375" style="49" customWidth="1"/>
    <col min="2" max="2" width="2.7109375" style="49" customWidth="1"/>
    <col min="3" max="12" width="9.140625" style="49"/>
    <col min="13" max="13" width="13.42578125" style="49" bestFit="1" customWidth="1"/>
    <col min="14" max="15" width="9.140625" style="49"/>
    <col min="16" max="16" width="2.7109375" style="49" customWidth="1"/>
    <col min="17" max="16384" width="9.140625" style="49"/>
  </cols>
  <sheetData>
    <row r="4" spans="3:13" ht="15" x14ac:dyDescent="0.25">
      <c r="C4" s="50" t="s">
        <v>605</v>
      </c>
      <c r="K4" s="51" t="s">
        <v>1</v>
      </c>
      <c r="L4" s="1303">
        <v>42268</v>
      </c>
      <c r="M4" s="52"/>
    </row>
    <row r="6" spans="3:13" x14ac:dyDescent="0.2">
      <c r="C6" s="53" t="s">
        <v>13</v>
      </c>
    </row>
    <row r="7" spans="3:13" x14ac:dyDescent="0.2">
      <c r="C7" s="49" t="s">
        <v>2</v>
      </c>
      <c r="G7" s="54" t="s">
        <v>407</v>
      </c>
      <c r="H7" s="49" t="s">
        <v>3</v>
      </c>
    </row>
    <row r="8" spans="3:13" x14ac:dyDescent="0.2">
      <c r="C8" s="49" t="s">
        <v>4</v>
      </c>
    </row>
    <row r="10" spans="3:13" x14ac:dyDescent="0.2">
      <c r="C10" s="55" t="s">
        <v>565</v>
      </c>
    </row>
    <row r="11" spans="3:13" x14ac:dyDescent="0.2">
      <c r="C11" s="55" t="s">
        <v>619</v>
      </c>
    </row>
    <row r="12" spans="3:13" x14ac:dyDescent="0.2">
      <c r="C12" s="55" t="s">
        <v>408</v>
      </c>
    </row>
    <row r="13" spans="3:13" x14ac:dyDescent="0.2">
      <c r="C13" s="55"/>
    </row>
    <row r="14" spans="3:13" x14ac:dyDescent="0.2">
      <c r="C14" s="55" t="s">
        <v>18</v>
      </c>
    </row>
    <row r="15" spans="3:13" x14ac:dyDescent="0.2">
      <c r="C15" s="55" t="s">
        <v>19</v>
      </c>
    </row>
    <row r="16" spans="3:13" x14ac:dyDescent="0.2">
      <c r="C16" s="55" t="s">
        <v>20</v>
      </c>
    </row>
    <row r="17" spans="3:3" x14ac:dyDescent="0.2">
      <c r="C17" s="55" t="s">
        <v>409</v>
      </c>
    </row>
    <row r="20" spans="3:3" x14ac:dyDescent="0.2">
      <c r="C20" s="53" t="s">
        <v>109</v>
      </c>
    </row>
    <row r="21" spans="3:3" x14ac:dyDescent="0.2">
      <c r="C21" s="53"/>
    </row>
    <row r="22" spans="3:3" x14ac:dyDescent="0.2">
      <c r="C22" s="49" t="s">
        <v>21</v>
      </c>
    </row>
    <row r="23" spans="3:3" x14ac:dyDescent="0.2">
      <c r="C23" s="49" t="s">
        <v>22</v>
      </c>
    </row>
    <row r="25" spans="3:3" x14ac:dyDescent="0.2">
      <c r="C25" s="49" t="s">
        <v>23</v>
      </c>
    </row>
    <row r="27" spans="3:3" x14ac:dyDescent="0.2">
      <c r="C27" s="49" t="s">
        <v>108</v>
      </c>
    </row>
    <row r="28" spans="3:3" x14ac:dyDescent="0.2">
      <c r="C28" s="49" t="s">
        <v>6</v>
      </c>
    </row>
    <row r="29" spans="3:3" x14ac:dyDescent="0.2">
      <c r="C29" s="55" t="s">
        <v>500</v>
      </c>
    </row>
    <row r="30" spans="3:3" x14ac:dyDescent="0.2">
      <c r="C30" s="49" t="s">
        <v>117</v>
      </c>
    </row>
    <row r="31" spans="3:3" x14ac:dyDescent="0.2">
      <c r="C31" s="49" t="s">
        <v>118</v>
      </c>
    </row>
    <row r="33" spans="3:3" x14ac:dyDescent="0.2">
      <c r="C33" s="49" t="s">
        <v>24</v>
      </c>
    </row>
    <row r="34" spans="3:3" x14ac:dyDescent="0.2">
      <c r="C34" s="49" t="s">
        <v>417</v>
      </c>
    </row>
    <row r="36" spans="3:3" x14ac:dyDescent="0.2">
      <c r="C36" s="49" t="s">
        <v>5</v>
      </c>
    </row>
    <row r="37" spans="3:3" x14ac:dyDescent="0.2">
      <c r="C37" s="55" t="s">
        <v>501</v>
      </c>
    </row>
    <row r="39" spans="3:3" x14ac:dyDescent="0.2">
      <c r="C39" s="53" t="s">
        <v>110</v>
      </c>
    </row>
    <row r="40" spans="3:3" x14ac:dyDescent="0.2">
      <c r="C40" s="53"/>
    </row>
    <row r="41" spans="3:3" x14ac:dyDescent="0.2">
      <c r="C41" s="49" t="s">
        <v>38</v>
      </c>
    </row>
    <row r="43" spans="3:3" x14ac:dyDescent="0.2">
      <c r="C43" s="896" t="s">
        <v>495</v>
      </c>
    </row>
    <row r="44" spans="3:3" x14ac:dyDescent="0.2">
      <c r="C44" s="49" t="s">
        <v>39</v>
      </c>
    </row>
    <row r="45" spans="3:3" x14ac:dyDescent="0.2">
      <c r="C45" s="55" t="s">
        <v>617</v>
      </c>
    </row>
    <row r="46" spans="3:3" x14ac:dyDescent="0.2">
      <c r="C46" s="55" t="s">
        <v>618</v>
      </c>
    </row>
    <row r="47" spans="3:3" x14ac:dyDescent="0.2">
      <c r="C47" s="49" t="s">
        <v>119</v>
      </c>
    </row>
    <row r="49" spans="3:3" x14ac:dyDescent="0.2">
      <c r="C49" s="55" t="s">
        <v>559</v>
      </c>
    </row>
    <row r="50" spans="3:3" x14ac:dyDescent="0.2">
      <c r="C50" s="49" t="s">
        <v>52</v>
      </c>
    </row>
    <row r="51" spans="3:3" x14ac:dyDescent="0.2">
      <c r="C51" s="49" t="s">
        <v>384</v>
      </c>
    </row>
    <row r="53" spans="3:3" x14ac:dyDescent="0.2">
      <c r="C53" s="56" t="s">
        <v>502</v>
      </c>
    </row>
    <row r="54" spans="3:3" x14ac:dyDescent="0.2">
      <c r="C54" s="56" t="s">
        <v>503</v>
      </c>
    </row>
    <row r="56" spans="3:3" x14ac:dyDescent="0.2">
      <c r="C56" s="55" t="s">
        <v>560</v>
      </c>
    </row>
    <row r="57" spans="3:3" x14ac:dyDescent="0.2">
      <c r="C57" s="55" t="s">
        <v>504</v>
      </c>
    </row>
    <row r="58" spans="3:3" x14ac:dyDescent="0.2">
      <c r="C58" s="55" t="s">
        <v>505</v>
      </c>
    </row>
    <row r="59" spans="3:3" x14ac:dyDescent="0.2">
      <c r="C59" s="55" t="s">
        <v>506</v>
      </c>
    </row>
    <row r="60" spans="3:3" x14ac:dyDescent="0.2">
      <c r="C60" s="55" t="s">
        <v>561</v>
      </c>
    </row>
    <row r="62" spans="3:3" x14ac:dyDescent="0.2">
      <c r="C62" s="896" t="s">
        <v>462</v>
      </c>
    </row>
    <row r="63" spans="3:3" x14ac:dyDescent="0.2">
      <c r="C63" s="55" t="s">
        <v>507</v>
      </c>
    </row>
    <row r="65" spans="3:3" x14ac:dyDescent="0.2">
      <c r="C65" s="49" t="s">
        <v>236</v>
      </c>
    </row>
    <row r="67" spans="3:3" x14ac:dyDescent="0.2">
      <c r="C67" s="49" t="s">
        <v>237</v>
      </c>
    </row>
    <row r="68" spans="3:3" x14ac:dyDescent="0.2">
      <c r="C68" s="55" t="s">
        <v>508</v>
      </c>
    </row>
    <row r="70" spans="3:3" x14ac:dyDescent="0.2">
      <c r="C70" s="57" t="s">
        <v>57</v>
      </c>
    </row>
    <row r="71" spans="3:3" x14ac:dyDescent="0.2">
      <c r="C71" s="888" t="s">
        <v>509</v>
      </c>
    </row>
    <row r="72" spans="3:3" x14ac:dyDescent="0.2">
      <c r="C72" s="58"/>
    </row>
    <row r="73" spans="3:3" x14ac:dyDescent="0.2">
      <c r="C73" s="888" t="s">
        <v>463</v>
      </c>
    </row>
    <row r="74" spans="3:3" x14ac:dyDescent="0.2">
      <c r="C74" s="58" t="s">
        <v>62</v>
      </c>
    </row>
    <row r="75" spans="3:3" x14ac:dyDescent="0.2">
      <c r="C75" s="58" t="s">
        <v>418</v>
      </c>
    </row>
    <row r="76" spans="3:3" x14ac:dyDescent="0.2">
      <c r="C76" s="58" t="s">
        <v>426</v>
      </c>
    </row>
    <row r="77" spans="3:3" x14ac:dyDescent="0.2">
      <c r="C77" s="58" t="s">
        <v>419</v>
      </c>
    </row>
    <row r="78" spans="3:3" x14ac:dyDescent="0.2">
      <c r="C78" s="58"/>
    </row>
    <row r="79" spans="3:3" x14ac:dyDescent="0.2">
      <c r="C79" s="59" t="s">
        <v>121</v>
      </c>
    </row>
    <row r="80" spans="3:3" x14ac:dyDescent="0.2">
      <c r="C80" s="59"/>
    </row>
    <row r="81" spans="3:3" x14ac:dyDescent="0.2">
      <c r="C81" s="58" t="s">
        <v>63</v>
      </c>
    </row>
    <row r="82" spans="3:3" x14ac:dyDescent="0.2">
      <c r="C82" s="58" t="s">
        <v>64</v>
      </c>
    </row>
    <row r="83" spans="3:3" x14ac:dyDescent="0.2">
      <c r="C83" s="58" t="s">
        <v>65</v>
      </c>
    </row>
    <row r="84" spans="3:3" x14ac:dyDescent="0.2">
      <c r="C84" s="888" t="s">
        <v>562</v>
      </c>
    </row>
    <row r="85" spans="3:3" x14ac:dyDescent="0.2">
      <c r="C85" s="888" t="s">
        <v>563</v>
      </c>
    </row>
    <row r="86" spans="3:3" x14ac:dyDescent="0.2">
      <c r="C86" s="58"/>
    </row>
    <row r="87" spans="3:3" x14ac:dyDescent="0.2">
      <c r="C87" s="58" t="s">
        <v>66</v>
      </c>
    </row>
    <row r="88" spans="3:3" x14ac:dyDescent="0.2">
      <c r="C88" s="58" t="s">
        <v>67</v>
      </c>
    </row>
    <row r="89" spans="3:3" x14ac:dyDescent="0.2">
      <c r="C89" s="58" t="s">
        <v>55</v>
      </c>
    </row>
    <row r="90" spans="3:3" x14ac:dyDescent="0.2">
      <c r="C90" s="58"/>
    </row>
    <row r="91" spans="3:3" x14ac:dyDescent="0.2">
      <c r="C91" s="1346" t="s">
        <v>606</v>
      </c>
    </row>
    <row r="92" spans="3:3" x14ac:dyDescent="0.2">
      <c r="C92" s="1346" t="s">
        <v>66</v>
      </c>
    </row>
    <row r="93" spans="3:3" x14ac:dyDescent="0.2">
      <c r="C93" s="1346" t="s">
        <v>67</v>
      </c>
    </row>
    <row r="94" spans="3:3" x14ac:dyDescent="0.2">
      <c r="C94" s="1346" t="s">
        <v>607</v>
      </c>
    </row>
    <row r="95" spans="3:3" x14ac:dyDescent="0.2">
      <c r="C95" s="1346"/>
    </row>
    <row r="96" spans="3:3" x14ac:dyDescent="0.2">
      <c r="C96" s="1346" t="s">
        <v>608</v>
      </c>
    </row>
    <row r="97" spans="3:3" x14ac:dyDescent="0.2">
      <c r="C97" s="1346" t="s">
        <v>609</v>
      </c>
    </row>
    <row r="98" spans="3:3" x14ac:dyDescent="0.2">
      <c r="C98" s="1346" t="s">
        <v>610</v>
      </c>
    </row>
    <row r="99" spans="3:3" x14ac:dyDescent="0.2">
      <c r="C99" s="1346" t="s">
        <v>611</v>
      </c>
    </row>
    <row r="100" spans="3:3" x14ac:dyDescent="0.2">
      <c r="C100" s="1346"/>
    </row>
    <row r="101" spans="3:3" x14ac:dyDescent="0.2">
      <c r="C101" s="1347" t="s">
        <v>612</v>
      </c>
    </row>
    <row r="102" spans="3:3" x14ac:dyDescent="0.2">
      <c r="C102" s="1346" t="s">
        <v>613</v>
      </c>
    </row>
    <row r="103" spans="3:3" x14ac:dyDescent="0.2">
      <c r="C103" s="1346" t="s">
        <v>614</v>
      </c>
    </row>
    <row r="104" spans="3:3" x14ac:dyDescent="0.2">
      <c r="C104" s="888"/>
    </row>
    <row r="105" spans="3:3" x14ac:dyDescent="0.2">
      <c r="C105" s="59" t="s">
        <v>122</v>
      </c>
    </row>
    <row r="106" spans="3:3" x14ac:dyDescent="0.2">
      <c r="C106" s="59"/>
    </row>
    <row r="107" spans="3:3" x14ac:dyDescent="0.2">
      <c r="C107" s="58" t="s">
        <v>68</v>
      </c>
    </row>
    <row r="108" spans="3:3" x14ac:dyDescent="0.2">
      <c r="C108" s="58" t="s">
        <v>69</v>
      </c>
    </row>
    <row r="109" spans="3:3" x14ac:dyDescent="0.2">
      <c r="C109" s="58" t="s">
        <v>70</v>
      </c>
    </row>
    <row r="110" spans="3:3" x14ac:dyDescent="0.2">
      <c r="C110" s="964" t="s">
        <v>510</v>
      </c>
    </row>
    <row r="111" spans="3:3" x14ac:dyDescent="0.2">
      <c r="C111" s="58" t="s">
        <v>71</v>
      </c>
    </row>
    <row r="112" spans="3:3" x14ac:dyDescent="0.2">
      <c r="C112" s="58" t="s">
        <v>72</v>
      </c>
    </row>
    <row r="113" spans="3:3" x14ac:dyDescent="0.2">
      <c r="C113" s="58"/>
    </row>
    <row r="114" spans="3:3" x14ac:dyDescent="0.2">
      <c r="C114" s="965" t="s">
        <v>511</v>
      </c>
    </row>
    <row r="115" spans="3:3" x14ac:dyDescent="0.2">
      <c r="C115" s="59"/>
    </row>
    <row r="116" spans="3:3" x14ac:dyDescent="0.2">
      <c r="C116" s="58" t="s">
        <v>120</v>
      </c>
    </row>
    <row r="118" spans="3:3" x14ac:dyDescent="0.2">
      <c r="C118" s="53" t="s">
        <v>123</v>
      </c>
    </row>
    <row r="119" spans="3:3" x14ac:dyDescent="0.2">
      <c r="C119" s="56"/>
    </row>
    <row r="120" spans="3:3" x14ac:dyDescent="0.2">
      <c r="C120" s="49" t="s">
        <v>234</v>
      </c>
    </row>
    <row r="121" spans="3:3" x14ac:dyDescent="0.2">
      <c r="C121" s="49" t="s">
        <v>385</v>
      </c>
    </row>
    <row r="122" spans="3:3" x14ac:dyDescent="0.2">
      <c r="C122" s="49" t="s">
        <v>386</v>
      </c>
    </row>
    <row r="124" spans="3:3" x14ac:dyDescent="0.2">
      <c r="C124" s="49" t="s">
        <v>73</v>
      </c>
    </row>
    <row r="125" spans="3:3" x14ac:dyDescent="0.2">
      <c r="C125" s="49" t="s">
        <v>74</v>
      </c>
    </row>
    <row r="126" spans="3:3" x14ac:dyDescent="0.2">
      <c r="C126" s="49" t="s">
        <v>75</v>
      </c>
    </row>
    <row r="128" spans="3:3" x14ac:dyDescent="0.2">
      <c r="C128" s="53" t="s">
        <v>124</v>
      </c>
    </row>
    <row r="130" spans="3:3" x14ac:dyDescent="0.2">
      <c r="C130" s="49" t="s">
        <v>372</v>
      </c>
    </row>
    <row r="131" spans="3:3" x14ac:dyDescent="0.2">
      <c r="C131" s="49" t="s">
        <v>373</v>
      </c>
    </row>
    <row r="133" spans="3:3" x14ac:dyDescent="0.2">
      <c r="C133" s="53" t="s">
        <v>125</v>
      </c>
    </row>
    <row r="134" spans="3:3" x14ac:dyDescent="0.2">
      <c r="C134" s="53"/>
    </row>
    <row r="135" spans="3:3" x14ac:dyDescent="0.2">
      <c r="C135" s="49" t="s">
        <v>29</v>
      </c>
    </row>
    <row r="136" spans="3:3" x14ac:dyDescent="0.2">
      <c r="C136" s="49" t="s">
        <v>30</v>
      </c>
    </row>
    <row r="137" spans="3:3" x14ac:dyDescent="0.2">
      <c r="C137" s="49" t="s">
        <v>31</v>
      </c>
    </row>
    <row r="139" spans="3:3" x14ac:dyDescent="0.2">
      <c r="C139" s="53" t="s">
        <v>126</v>
      </c>
    </row>
    <row r="141" spans="3:3" x14ac:dyDescent="0.2">
      <c r="C141" s="49" t="s">
        <v>374</v>
      </c>
    </row>
    <row r="142" spans="3:3" x14ac:dyDescent="0.2">
      <c r="C142" s="55" t="s">
        <v>512</v>
      </c>
    </row>
    <row r="143" spans="3:3" x14ac:dyDescent="0.2">
      <c r="C143" s="55" t="s">
        <v>513</v>
      </c>
    </row>
    <row r="145" spans="3:3" x14ac:dyDescent="0.2">
      <c r="C145" s="53" t="s">
        <v>127</v>
      </c>
    </row>
    <row r="147" spans="3:3" x14ac:dyDescent="0.2">
      <c r="C147" s="49" t="s">
        <v>420</v>
      </c>
    </row>
    <row r="148" spans="3:3" x14ac:dyDescent="0.2">
      <c r="C148" s="49" t="s">
        <v>129</v>
      </c>
    </row>
    <row r="150" spans="3:3" x14ac:dyDescent="0.2">
      <c r="C150" s="53" t="s">
        <v>128</v>
      </c>
    </row>
    <row r="151" spans="3:3" x14ac:dyDescent="0.2">
      <c r="C151" s="53"/>
    </row>
    <row r="152" spans="3:3" x14ac:dyDescent="0.2">
      <c r="C152" s="58" t="s">
        <v>77</v>
      </c>
    </row>
    <row r="153" spans="3:3" x14ac:dyDescent="0.2">
      <c r="C153" s="58" t="s">
        <v>78</v>
      </c>
    </row>
    <row r="155" spans="3:3" x14ac:dyDescent="0.2">
      <c r="C155" s="53" t="s">
        <v>130</v>
      </c>
    </row>
    <row r="156" spans="3:3" x14ac:dyDescent="0.2">
      <c r="C156" s="53"/>
    </row>
    <row r="157" spans="3:3" x14ac:dyDescent="0.2">
      <c r="C157" s="888" t="s">
        <v>460</v>
      </c>
    </row>
    <row r="159" spans="3:3" x14ac:dyDescent="0.2">
      <c r="C159" s="53" t="s">
        <v>32</v>
      </c>
    </row>
    <row r="161" spans="3:3" x14ac:dyDescent="0.2">
      <c r="C161" s="58" t="s">
        <v>79</v>
      </c>
    </row>
    <row r="162" spans="3:3" x14ac:dyDescent="0.2">
      <c r="C162" s="58" t="s">
        <v>80</v>
      </c>
    </row>
    <row r="163" spans="3:3" x14ac:dyDescent="0.2">
      <c r="C163" s="58"/>
    </row>
    <row r="164" spans="3:3" x14ac:dyDescent="0.2">
      <c r="C164" s="58" t="s">
        <v>56</v>
      </c>
    </row>
    <row r="165" spans="3:3" x14ac:dyDescent="0.2">
      <c r="C165" s="58"/>
    </row>
    <row r="166" spans="3:3" x14ac:dyDescent="0.2">
      <c r="C166" s="58" t="s">
        <v>81</v>
      </c>
    </row>
    <row r="167" spans="3:3" x14ac:dyDescent="0.2">
      <c r="C167" s="888" t="s">
        <v>616</v>
      </c>
    </row>
    <row r="168" spans="3:3" x14ac:dyDescent="0.2">
      <c r="C168" s="49" t="s">
        <v>82</v>
      </c>
    </row>
    <row r="170" spans="3:3" x14ac:dyDescent="0.2">
      <c r="C170" s="53" t="s">
        <v>15</v>
      </c>
    </row>
    <row r="171" spans="3:3" x14ac:dyDescent="0.2">
      <c r="C171" s="49" t="s">
        <v>16</v>
      </c>
    </row>
    <row r="172" spans="3:3" x14ac:dyDescent="0.2">
      <c r="C172" s="49" t="s">
        <v>17</v>
      </c>
    </row>
    <row r="174" spans="3:3" x14ac:dyDescent="0.2">
      <c r="C174" s="53" t="s">
        <v>375</v>
      </c>
    </row>
    <row r="175" spans="3:3" x14ac:dyDescent="0.2">
      <c r="C175" s="53"/>
    </row>
    <row r="176" spans="3:3" x14ac:dyDescent="0.2">
      <c r="C176" s="58" t="s">
        <v>383</v>
      </c>
    </row>
    <row r="177" spans="3:8" x14ac:dyDescent="0.2">
      <c r="C177" s="58" t="s">
        <v>149</v>
      </c>
    </row>
    <row r="178" spans="3:8" x14ac:dyDescent="0.2">
      <c r="C178" s="55" t="s">
        <v>615</v>
      </c>
    </row>
    <row r="179" spans="3:8" x14ac:dyDescent="0.2">
      <c r="C179" s="49" t="s">
        <v>131</v>
      </c>
    </row>
    <row r="180" spans="3:8" x14ac:dyDescent="0.2">
      <c r="C180" s="49" t="s">
        <v>235</v>
      </c>
    </row>
    <row r="182" spans="3:8" x14ac:dyDescent="0.2">
      <c r="C182" s="53" t="s">
        <v>34</v>
      </c>
    </row>
    <row r="184" spans="3:8" x14ac:dyDescent="0.2">
      <c r="C184" s="55" t="s">
        <v>464</v>
      </c>
    </row>
    <row r="185" spans="3:8" x14ac:dyDescent="0.2">
      <c r="C185" s="55" t="s">
        <v>566</v>
      </c>
    </row>
    <row r="186" spans="3:8" x14ac:dyDescent="0.2">
      <c r="C186" s="55" t="s">
        <v>621</v>
      </c>
    </row>
    <row r="187" spans="3:8" x14ac:dyDescent="0.2">
      <c r="C187" s="1301" t="s">
        <v>620</v>
      </c>
    </row>
    <row r="188" spans="3:8" x14ac:dyDescent="0.2">
      <c r="C188" s="55"/>
    </row>
    <row r="189" spans="3:8" x14ac:dyDescent="0.2">
      <c r="C189" s="53" t="s">
        <v>35</v>
      </c>
    </row>
    <row r="190" spans="3:8" x14ac:dyDescent="0.2">
      <c r="C190" s="53"/>
    </row>
    <row r="191" spans="3:8" x14ac:dyDescent="0.2">
      <c r="C191" s="58" t="s">
        <v>150</v>
      </c>
    </row>
    <row r="192" spans="3:8" x14ac:dyDescent="0.2">
      <c r="C192" s="49" t="s">
        <v>421</v>
      </c>
      <c r="H192" s="60" t="s">
        <v>422</v>
      </c>
    </row>
    <row r="193" spans="8:8" x14ac:dyDescent="0.2">
      <c r="H193" s="61"/>
    </row>
    <row r="194" spans="8:8" x14ac:dyDescent="0.2">
      <c r="H194" s="61"/>
    </row>
  </sheetData>
  <sheetProtection algorithmName="SHA-512" hashValue="obbyv0Hf36QVDblnjlmAkYwK7E9GWkI2bQgApoYmbiZFFKztE++SmVlBUZbtnhOZp9hyQsdFFVP0wbdM4TEyeg==" saltValue="3D96oR1GbvGOQSVxD9fXaQ==" spinCount="100000" sheet="1" objects="1" scenarios="1"/>
  <phoneticPr fontId="0" type="noConversion"/>
  <hyperlinks>
    <hyperlink ref="H192" r:id="rId1"/>
  </hyperlinks>
  <pageMargins left="0.74803149606299213" right="0.74803149606299213" top="0.98425196850393704" bottom="0.98425196850393704" header="0.51181102362204722" footer="0.51181102362204722"/>
  <pageSetup paperSize="9" scale="62" orientation="portrait" r:id="rId2"/>
  <headerFooter alignWithMargins="0">
    <oddHeader>&amp;L&amp;"Arial,Vet"&amp;F&amp;R&amp;"Arial,Vet"&amp;A</oddHeader>
    <oddFooter>&amp;L&amp;"Arial,Vet"PO-Raad&amp;C&amp;"Arial,Vet"&amp;D&amp;R&amp;"Arial,Vet"pagina &amp;P</oddFooter>
  </headerFooter>
  <rowBreaks count="2" manualBreakCount="2">
    <brk id="61" min="1" max="15" man="1"/>
    <brk id="149" min="1" max="15"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64"/>
  <sheetViews>
    <sheetView zoomScale="85" zoomScaleNormal="85" workbookViewId="0">
      <pane ySplit="9" topLeftCell="A10" activePane="bottomLeft" state="frozen"/>
      <selection activeCell="A4" sqref="A4:XFD4"/>
      <selection pane="bottomLeft" activeCell="B2" sqref="B2"/>
    </sheetView>
  </sheetViews>
  <sheetFormatPr defaultColWidth="9.140625" defaultRowHeight="12.75" x14ac:dyDescent="0.2"/>
  <cols>
    <col min="1" max="1" width="3.7109375" style="454" customWidth="1"/>
    <col min="2" max="3" width="2.7109375" style="454" customWidth="1"/>
    <col min="4" max="4" width="45.7109375" style="454" customWidth="1"/>
    <col min="5" max="5" width="2.7109375" style="454" customWidth="1"/>
    <col min="6" max="8" width="14.85546875" style="454" customWidth="1"/>
    <col min="9" max="9" width="14.85546875" style="461" customWidth="1"/>
    <col min="10" max="10" width="14.85546875" style="454" customWidth="1"/>
    <col min="11" max="12" width="2.7109375" style="454" customWidth="1"/>
    <col min="13" max="16384" width="9.140625" style="454"/>
  </cols>
  <sheetData>
    <row r="1" spans="2:12" ht="12.75" customHeight="1" x14ac:dyDescent="0.2"/>
    <row r="2" spans="2:12" x14ac:dyDescent="0.2">
      <c r="B2" s="462"/>
      <c r="C2" s="463"/>
      <c r="D2" s="463"/>
      <c r="E2" s="463"/>
      <c r="F2" s="463"/>
      <c r="G2" s="463"/>
      <c r="H2" s="464"/>
      <c r="I2" s="463"/>
      <c r="J2" s="463"/>
      <c r="K2" s="463"/>
      <c r="L2" s="465"/>
    </row>
    <row r="3" spans="2:12" x14ac:dyDescent="0.2">
      <c r="B3" s="466"/>
      <c r="C3" s="467"/>
      <c r="D3" s="467"/>
      <c r="E3" s="467"/>
      <c r="F3" s="467"/>
      <c r="G3" s="467"/>
      <c r="H3" s="468"/>
      <c r="I3" s="467"/>
      <c r="J3" s="467"/>
      <c r="K3" s="467"/>
      <c r="L3" s="469"/>
    </row>
    <row r="4" spans="2:12" s="458" customFormat="1" ht="18.75" x14ac:dyDescent="0.3">
      <c r="B4" s="998"/>
      <c r="C4" s="971" t="s">
        <v>433</v>
      </c>
      <c r="D4" s="471"/>
      <c r="E4" s="471"/>
      <c r="F4" s="471"/>
      <c r="G4" s="471"/>
      <c r="H4" s="471"/>
      <c r="I4" s="471"/>
      <c r="J4" s="471"/>
      <c r="K4" s="471"/>
      <c r="L4" s="94"/>
    </row>
    <row r="5" spans="2:12" s="458" customFormat="1" ht="18.75" x14ac:dyDescent="0.3">
      <c r="B5" s="470"/>
      <c r="C5" s="74" t="str">
        <f>geg!F11</f>
        <v>Voorbeeld SBO</v>
      </c>
      <c r="D5" s="73"/>
      <c r="E5" s="471"/>
      <c r="F5" s="471"/>
      <c r="G5" s="471"/>
      <c r="H5" s="471"/>
      <c r="I5" s="471"/>
      <c r="J5" s="471"/>
      <c r="K5" s="471"/>
      <c r="L5" s="94"/>
    </row>
    <row r="6" spans="2:12" ht="14.45" customHeight="1" x14ac:dyDescent="0.2">
      <c r="B6" s="507"/>
      <c r="C6" s="508"/>
      <c r="D6" s="509"/>
      <c r="E6" s="79"/>
      <c r="F6" s="79"/>
      <c r="G6" s="79"/>
      <c r="H6" s="79"/>
      <c r="I6" s="79"/>
      <c r="J6" s="79"/>
      <c r="K6" s="79"/>
      <c r="L6" s="82"/>
    </row>
    <row r="7" spans="2:12" ht="14.45" customHeight="1" x14ac:dyDescent="0.2">
      <c r="B7" s="507"/>
      <c r="C7" s="508"/>
      <c r="D7" s="509"/>
      <c r="E7" s="79"/>
      <c r="F7" s="1029"/>
      <c r="G7" s="1029"/>
      <c r="H7" s="1029"/>
      <c r="I7" s="1029"/>
      <c r="J7" s="1029"/>
      <c r="K7" s="79"/>
      <c r="L7" s="82"/>
    </row>
    <row r="8" spans="2:12" s="18" customFormat="1" ht="14.45" customHeight="1" x14ac:dyDescent="0.2">
      <c r="B8" s="510"/>
      <c r="C8" s="511"/>
      <c r="D8" s="477"/>
      <c r="E8" s="512"/>
      <c r="F8" s="1024">
        <f>tab!D4</f>
        <v>2015</v>
      </c>
      <c r="G8" s="1024">
        <f>F8+1</f>
        <v>2016</v>
      </c>
      <c r="H8" s="1024">
        <f>G8+1</f>
        <v>2017</v>
      </c>
      <c r="I8" s="1024">
        <f>H8+1</f>
        <v>2018</v>
      </c>
      <c r="J8" s="1024">
        <f>I8+1</f>
        <v>2019</v>
      </c>
      <c r="K8" s="512"/>
      <c r="L8" s="513"/>
    </row>
    <row r="9" spans="2:12" ht="14.45" customHeight="1" x14ac:dyDescent="0.2">
      <c r="B9" s="507"/>
      <c r="C9" s="508"/>
      <c r="D9" s="180"/>
      <c r="E9" s="79"/>
      <c r="F9" s="79"/>
      <c r="G9" s="79"/>
      <c r="H9" s="79"/>
      <c r="I9" s="79"/>
      <c r="J9" s="79"/>
      <c r="K9" s="79"/>
      <c r="L9" s="82"/>
    </row>
    <row r="10" spans="2:12" ht="14.45" customHeight="1" x14ac:dyDescent="0.2">
      <c r="B10" s="514"/>
      <c r="C10" s="515"/>
      <c r="D10" s="516"/>
      <c r="E10" s="480"/>
      <c r="F10" s="480"/>
      <c r="G10" s="480"/>
      <c r="H10" s="480"/>
      <c r="I10" s="480"/>
      <c r="J10" s="480"/>
      <c r="K10" s="482"/>
      <c r="L10" s="469"/>
    </row>
    <row r="11" spans="2:12" ht="14.45" customHeight="1" x14ac:dyDescent="0.2">
      <c r="B11" s="514"/>
      <c r="C11" s="517"/>
      <c r="D11" s="1035" t="s">
        <v>292</v>
      </c>
      <c r="E11" s="136"/>
      <c r="F11" s="136"/>
      <c r="G11" s="136"/>
      <c r="H11" s="136"/>
      <c r="I11" s="136"/>
      <c r="J11" s="136"/>
      <c r="K11" s="487"/>
      <c r="L11" s="469"/>
    </row>
    <row r="12" spans="2:12" ht="14.45" customHeight="1" x14ac:dyDescent="0.2">
      <c r="B12" s="514"/>
      <c r="C12" s="517"/>
      <c r="D12" s="518" t="s">
        <v>253</v>
      </c>
      <c r="E12" s="136"/>
      <c r="F12" s="519">
        <v>0</v>
      </c>
      <c r="G12" s="986">
        <f t="shared" ref="G12:J17" si="0">F55</f>
        <v>0</v>
      </c>
      <c r="H12" s="986">
        <f t="shared" si="0"/>
        <v>0</v>
      </c>
      <c r="I12" s="986">
        <f t="shared" si="0"/>
        <v>0</v>
      </c>
      <c r="J12" s="986">
        <f t="shared" si="0"/>
        <v>0</v>
      </c>
      <c r="K12" s="487"/>
      <c r="L12" s="469"/>
    </row>
    <row r="13" spans="2:12" ht="14.45" customHeight="1" x14ac:dyDescent="0.2">
      <c r="B13" s="514"/>
      <c r="C13" s="517"/>
      <c r="D13" s="518" t="s">
        <v>254</v>
      </c>
      <c r="E13" s="136"/>
      <c r="F13" s="520">
        <v>0</v>
      </c>
      <c r="G13" s="986">
        <f t="shared" si="0"/>
        <v>0</v>
      </c>
      <c r="H13" s="986">
        <f t="shared" si="0"/>
        <v>0</v>
      </c>
      <c r="I13" s="986">
        <f t="shared" si="0"/>
        <v>0</v>
      </c>
      <c r="J13" s="986">
        <f t="shared" si="0"/>
        <v>0</v>
      </c>
      <c r="K13" s="487"/>
      <c r="L13" s="469"/>
    </row>
    <row r="14" spans="2:12" ht="14.45" customHeight="1" x14ac:dyDescent="0.2">
      <c r="B14" s="514"/>
      <c r="C14" s="517"/>
      <c r="D14" s="521" t="s">
        <v>50</v>
      </c>
      <c r="E14" s="136"/>
      <c r="F14" s="520">
        <v>0</v>
      </c>
      <c r="G14" s="986">
        <f t="shared" si="0"/>
        <v>0</v>
      </c>
      <c r="H14" s="986">
        <f t="shared" si="0"/>
        <v>0</v>
      </c>
      <c r="I14" s="986">
        <f t="shared" si="0"/>
        <v>0</v>
      </c>
      <c r="J14" s="986">
        <f t="shared" si="0"/>
        <v>0</v>
      </c>
      <c r="K14" s="487"/>
      <c r="L14" s="469"/>
    </row>
    <row r="15" spans="2:12" ht="14.45" customHeight="1" x14ac:dyDescent="0.2">
      <c r="B15" s="514"/>
      <c r="C15" s="517"/>
      <c r="D15" s="521" t="s">
        <v>51</v>
      </c>
      <c r="E15" s="136"/>
      <c r="F15" s="520">
        <v>0</v>
      </c>
      <c r="G15" s="986">
        <f t="shared" si="0"/>
        <v>0</v>
      </c>
      <c r="H15" s="986">
        <f t="shared" si="0"/>
        <v>0</v>
      </c>
      <c r="I15" s="986">
        <f t="shared" si="0"/>
        <v>0</v>
      </c>
      <c r="J15" s="986">
        <f t="shared" si="0"/>
        <v>0</v>
      </c>
      <c r="K15" s="487"/>
      <c r="L15" s="469"/>
    </row>
    <row r="16" spans="2:12" ht="14.45" customHeight="1" x14ac:dyDescent="0.2">
      <c r="B16" s="514"/>
      <c r="C16" s="517"/>
      <c r="D16" s="518" t="s">
        <v>284</v>
      </c>
      <c r="E16" s="136"/>
      <c r="F16" s="520">
        <v>0</v>
      </c>
      <c r="G16" s="986">
        <f t="shared" si="0"/>
        <v>0</v>
      </c>
      <c r="H16" s="986">
        <f t="shared" si="0"/>
        <v>0</v>
      </c>
      <c r="I16" s="986">
        <f t="shared" si="0"/>
        <v>0</v>
      </c>
      <c r="J16" s="986">
        <f t="shared" si="0"/>
        <v>0</v>
      </c>
      <c r="K16" s="487"/>
      <c r="L16" s="469"/>
    </row>
    <row r="17" spans="2:12" ht="14.45" customHeight="1" x14ac:dyDescent="0.2">
      <c r="B17" s="514"/>
      <c r="C17" s="517"/>
      <c r="D17" s="518" t="s">
        <v>255</v>
      </c>
      <c r="E17" s="136"/>
      <c r="F17" s="520">
        <v>0</v>
      </c>
      <c r="G17" s="986">
        <f t="shared" si="0"/>
        <v>0</v>
      </c>
      <c r="H17" s="986">
        <f t="shared" si="0"/>
        <v>0</v>
      </c>
      <c r="I17" s="986">
        <f t="shared" si="0"/>
        <v>0</v>
      </c>
      <c r="J17" s="986">
        <f t="shared" si="0"/>
        <v>0</v>
      </c>
      <c r="K17" s="487"/>
      <c r="L17" s="469"/>
    </row>
    <row r="18" spans="2:12" ht="14.45" customHeight="1" x14ac:dyDescent="0.2">
      <c r="B18" s="514"/>
      <c r="C18" s="517"/>
      <c r="D18" s="522"/>
      <c r="E18" s="136"/>
      <c r="F18" s="1168">
        <f>SUM(F12:F17)</f>
        <v>0</v>
      </c>
      <c r="G18" s="1168">
        <f>SUM(G12:G17)</f>
        <v>0</v>
      </c>
      <c r="H18" s="1168">
        <f>SUM(H12:H17)</f>
        <v>0</v>
      </c>
      <c r="I18" s="1168">
        <f>SUM(I12:I17)</f>
        <v>0</v>
      </c>
      <c r="J18" s="1168">
        <f>SUM(J12:J17)</f>
        <v>0</v>
      </c>
      <c r="K18" s="487"/>
      <c r="L18" s="469"/>
    </row>
    <row r="19" spans="2:12" ht="14.45" customHeight="1" x14ac:dyDescent="0.2">
      <c r="B19" s="514"/>
      <c r="C19" s="523"/>
      <c r="D19" s="524"/>
      <c r="E19" s="492"/>
      <c r="F19" s="492"/>
      <c r="G19" s="492"/>
      <c r="H19" s="492"/>
      <c r="I19" s="492"/>
      <c r="J19" s="492"/>
      <c r="K19" s="494"/>
      <c r="L19" s="469"/>
    </row>
    <row r="20" spans="2:12" ht="14.45" customHeight="1" x14ac:dyDescent="0.2">
      <c r="B20" s="466"/>
      <c r="C20" s="467"/>
      <c r="D20" s="467"/>
      <c r="E20" s="467"/>
      <c r="F20" s="467"/>
      <c r="G20" s="467"/>
      <c r="H20" s="467"/>
      <c r="I20" s="467"/>
      <c r="J20" s="467"/>
      <c r="K20" s="467"/>
      <c r="L20" s="469"/>
    </row>
    <row r="21" spans="2:12" ht="14.45" customHeight="1" x14ac:dyDescent="0.2">
      <c r="B21" s="514"/>
      <c r="C21" s="515"/>
      <c r="D21" s="516"/>
      <c r="E21" s="480"/>
      <c r="F21" s="480"/>
      <c r="G21" s="480"/>
      <c r="H21" s="480"/>
      <c r="I21" s="480"/>
      <c r="J21" s="480"/>
      <c r="K21" s="482"/>
      <c r="L21" s="469"/>
    </row>
    <row r="22" spans="2:12" ht="14.45" customHeight="1" x14ac:dyDescent="0.2">
      <c r="B22" s="514"/>
      <c r="C22" s="517"/>
      <c r="D22" s="1035" t="s">
        <v>434</v>
      </c>
      <c r="E22" s="136"/>
      <c r="F22" s="522"/>
      <c r="G22" s="136"/>
      <c r="H22" s="136"/>
      <c r="I22" s="136"/>
      <c r="J22" s="136"/>
      <c r="K22" s="487"/>
      <c r="L22" s="469"/>
    </row>
    <row r="23" spans="2:12" ht="14.45" customHeight="1" x14ac:dyDescent="0.2">
      <c r="B23" s="514"/>
      <c r="C23" s="517"/>
      <c r="D23" s="518" t="s">
        <v>253</v>
      </c>
      <c r="E23" s="136"/>
      <c r="F23" s="994">
        <f>(SUMIF(mip!$D13:$D146,"gebouwen en terreinen",mip!X13:X146))</f>
        <v>0</v>
      </c>
      <c r="G23" s="994">
        <f>(SUMIF(mip!$D13:$D146,"gebouwen en terreinen",mip!Y13:Y146))</f>
        <v>0</v>
      </c>
      <c r="H23" s="994">
        <f>(SUMIF(mip!$D13:$D146,"gebouwen en terreinen",mip!Z13:Z146))</f>
        <v>0</v>
      </c>
      <c r="I23" s="994">
        <f>(SUMIF(mip!$D13:$D146,"gebouwen en terreinen",mip!AA13:AA146))</f>
        <v>0</v>
      </c>
      <c r="J23" s="994">
        <f>(SUMIF(mip!$D13:$D146,"gebouwen en terreinen",mip!AB13:AB146))</f>
        <v>0</v>
      </c>
      <c r="K23" s="487"/>
      <c r="L23" s="469"/>
    </row>
    <row r="24" spans="2:12" ht="14.45" customHeight="1" x14ac:dyDescent="0.2">
      <c r="B24" s="514"/>
      <c r="C24" s="517"/>
      <c r="D24" s="518" t="s">
        <v>254</v>
      </c>
      <c r="E24" s="136"/>
      <c r="F24" s="994">
        <f>(SUMIF(mip!$D13:$D146,"inventaris en apparatuur",mip!X13:X146))</f>
        <v>0</v>
      </c>
      <c r="G24" s="994">
        <f>(SUMIF(mip!$D13:$D146,"inventaris en apparatuur",mip!Y13:Y146))</f>
        <v>0</v>
      </c>
      <c r="H24" s="994">
        <f>(SUMIF(mip!$D13:$D146,"inventaris en apparatuur",mip!Z13:Z146))</f>
        <v>0</v>
      </c>
      <c r="I24" s="994">
        <f>(SUMIF(mip!$D13:$D146,"inventaris en apparatuur",mip!AA13:AA146))</f>
        <v>0</v>
      </c>
      <c r="J24" s="994">
        <f>(SUMIF(mip!$D13:$D146,"inventaris en apparatuur",mip!AB13:AB146))</f>
        <v>0</v>
      </c>
      <c r="K24" s="487"/>
      <c r="L24" s="469"/>
    </row>
    <row r="25" spans="2:12" ht="14.45" customHeight="1" x14ac:dyDescent="0.2">
      <c r="B25" s="514"/>
      <c r="C25" s="517"/>
      <c r="D25" s="521" t="s">
        <v>50</v>
      </c>
      <c r="E25" s="136"/>
      <c r="F25" s="994">
        <f>(SUMIF(mip!$D13:$D146,"meubilair",mip!X13:X146))</f>
        <v>0</v>
      </c>
      <c r="G25" s="994">
        <f>(SUMIF(mip!$D13:$D146,"meubilair",mip!Y13:Y146))</f>
        <v>0</v>
      </c>
      <c r="H25" s="994">
        <f>(SUMIF(mip!$D13:$D146,"meubilair",mip!Z13:Z146))</f>
        <v>0</v>
      </c>
      <c r="I25" s="994">
        <f>(SUMIF(mip!$D13:$D146,"meubilair",mip!AA13:AA146))</f>
        <v>0</v>
      </c>
      <c r="J25" s="994">
        <f>(SUMIF(mip!$D13:$D146,"meubilair",mip!AB13:AB146))</f>
        <v>0</v>
      </c>
      <c r="K25" s="487"/>
      <c r="L25" s="469"/>
    </row>
    <row r="26" spans="2:12" ht="14.45" customHeight="1" x14ac:dyDescent="0.2">
      <c r="B26" s="514"/>
      <c r="C26" s="517"/>
      <c r="D26" s="521" t="s">
        <v>51</v>
      </c>
      <c r="E26" s="136"/>
      <c r="F26" s="994">
        <f>(SUMIF(mip!$D13:$D146,"ICT",mip!X13:X146))</f>
        <v>0</v>
      </c>
      <c r="G26" s="994">
        <f>(SUMIF(mip!$D13:$D146,"ICT",mip!Y13:Y146))</f>
        <v>0</v>
      </c>
      <c r="H26" s="994">
        <f>(SUMIF(mip!$D13:$D146,"ICT",mip!Z13:Z146))</f>
        <v>0</v>
      </c>
      <c r="I26" s="994">
        <f>(SUMIF(mip!$D13:$D146,"ICT",mip!AA13:AA146))</f>
        <v>0</v>
      </c>
      <c r="J26" s="994">
        <f>(SUMIF(mip!$D13:$D146,"ICT",mip!AB13:AB146))</f>
        <v>0</v>
      </c>
      <c r="K26" s="487"/>
      <c r="L26" s="469"/>
    </row>
    <row r="27" spans="2:12" ht="14.45" customHeight="1" x14ac:dyDescent="0.2">
      <c r="B27" s="514"/>
      <c r="C27" s="517"/>
      <c r="D27" s="518" t="s">
        <v>284</v>
      </c>
      <c r="E27" s="136"/>
      <c r="F27" s="994">
        <f>(SUMIF(mip!$D13:$D146,"Leermiddelen PO",mip!X13:X146))</f>
        <v>0</v>
      </c>
      <c r="G27" s="994">
        <f>(SUMIF(mip!$D13:$D146,"Leermiddelen PO",mip!Y13:Y146))</f>
        <v>0</v>
      </c>
      <c r="H27" s="994">
        <f>(SUMIF(mip!$D13:$D146,"Leermiddelen PO",mip!Z13:Z146))</f>
        <v>0</v>
      </c>
      <c r="I27" s="994">
        <f>(SUMIF(mip!$D13:$D146,"Leermiddelen PO",mip!AA13:AA146))</f>
        <v>0</v>
      </c>
      <c r="J27" s="994">
        <f>(SUMIF(mip!$D13:$D146,"Leermiddelen PO",mip!AB13:AB146))</f>
        <v>0</v>
      </c>
      <c r="K27" s="487"/>
      <c r="L27" s="469"/>
    </row>
    <row r="28" spans="2:12" ht="14.45" customHeight="1" x14ac:dyDescent="0.2">
      <c r="B28" s="514"/>
      <c r="C28" s="517"/>
      <c r="D28" s="518" t="s">
        <v>255</v>
      </c>
      <c r="E28" s="136"/>
      <c r="F28" s="994">
        <f>(SUMIF(mip!$D13:$D146,"overige materiële vaste activa",mip!X13:X146))</f>
        <v>0</v>
      </c>
      <c r="G28" s="994">
        <f>(SUMIF(mip!$D13:$D146,"overige materiële vaste activa",mip!Y13:Y146))</f>
        <v>0</v>
      </c>
      <c r="H28" s="994">
        <f>(SUMIF(mip!$D13:$D146,"overige materiële vaste activa",mip!Z13:Z146))</f>
        <v>0</v>
      </c>
      <c r="I28" s="994">
        <f>(SUMIF(mip!$D13:$D146,"overige materiële vaste activa",mip!AA13:AA146))</f>
        <v>0</v>
      </c>
      <c r="J28" s="994">
        <f>(SUMIF(mip!$D13:$D146,"overige materiële vaste activa",mip!AB13:AB146))</f>
        <v>0</v>
      </c>
      <c r="K28" s="487"/>
      <c r="L28" s="469"/>
    </row>
    <row r="29" spans="2:12" ht="14.45" customHeight="1" x14ac:dyDescent="0.2">
      <c r="B29" s="514"/>
      <c r="C29" s="517"/>
      <c r="D29" s="522"/>
      <c r="E29" s="136"/>
      <c r="F29" s="1168">
        <f>SUM(F23:F28)</f>
        <v>0</v>
      </c>
      <c r="G29" s="1168">
        <f>SUM(G23:G28)</f>
        <v>0</v>
      </c>
      <c r="H29" s="1168">
        <f>SUM(H23:H28)</f>
        <v>0</v>
      </c>
      <c r="I29" s="1168">
        <f>SUM(I23:I28)</f>
        <v>0</v>
      </c>
      <c r="J29" s="1168">
        <f>SUM(J23:J28)</f>
        <v>0</v>
      </c>
      <c r="K29" s="487"/>
      <c r="L29" s="469"/>
    </row>
    <row r="30" spans="2:12" ht="14.45" customHeight="1" x14ac:dyDescent="0.2">
      <c r="B30" s="514"/>
      <c r="C30" s="523"/>
      <c r="D30" s="524"/>
      <c r="E30" s="492"/>
      <c r="F30" s="492"/>
      <c r="G30" s="492"/>
      <c r="H30" s="492"/>
      <c r="I30" s="492"/>
      <c r="J30" s="492"/>
      <c r="K30" s="494"/>
      <c r="L30" s="469"/>
    </row>
    <row r="31" spans="2:12" ht="14.45" customHeight="1" x14ac:dyDescent="0.2">
      <c r="B31" s="466"/>
      <c r="C31" s="467"/>
      <c r="D31" s="467"/>
      <c r="E31" s="467"/>
      <c r="F31" s="467"/>
      <c r="G31" s="467"/>
      <c r="H31" s="467"/>
      <c r="I31" s="467"/>
      <c r="J31" s="467"/>
      <c r="K31" s="467"/>
      <c r="L31" s="469"/>
    </row>
    <row r="32" spans="2:12" ht="14.45" customHeight="1" x14ac:dyDescent="0.2">
      <c r="B32" s="466"/>
      <c r="C32" s="479"/>
      <c r="D32" s="525"/>
      <c r="E32" s="480"/>
      <c r="F32" s="480"/>
      <c r="G32" s="480"/>
      <c r="H32" s="526"/>
      <c r="I32" s="480"/>
      <c r="J32" s="480"/>
      <c r="K32" s="482"/>
      <c r="L32" s="469"/>
    </row>
    <row r="33" spans="2:12" ht="14.45" customHeight="1" x14ac:dyDescent="0.2">
      <c r="B33" s="514"/>
      <c r="C33" s="517"/>
      <c r="D33" s="1035" t="s">
        <v>266</v>
      </c>
      <c r="E33" s="136"/>
      <c r="F33" s="136"/>
      <c r="G33" s="136"/>
      <c r="H33" s="136"/>
      <c r="I33" s="136"/>
      <c r="J33" s="136"/>
      <c r="K33" s="487"/>
      <c r="L33" s="469"/>
    </row>
    <row r="34" spans="2:12" ht="14.45" customHeight="1" x14ac:dyDescent="0.2">
      <c r="B34" s="514"/>
      <c r="C34" s="517"/>
      <c r="D34" s="518" t="s">
        <v>253</v>
      </c>
      <c r="E34" s="136"/>
      <c r="F34" s="994">
        <f>(SUMIF(mip!$D13:$D146,"gebouwen en terreinen",mip!R13:R146))</f>
        <v>0</v>
      </c>
      <c r="G34" s="994">
        <f>(SUMIF(mip!$D13:$D146,"gebouwen en terreinen",mip!S13:S146))</f>
        <v>0</v>
      </c>
      <c r="H34" s="994">
        <f>(SUMIF(mip!$D13:$D146,"gebouwen en terreinen",mip!T13:T146))</f>
        <v>0</v>
      </c>
      <c r="I34" s="994">
        <f>(SUMIF(mip!$D13:$D146,"gebouwen en terreinen",mip!U13:U146))</f>
        <v>0</v>
      </c>
      <c r="J34" s="994">
        <f>(SUMIF(mip!$D13:$D146,"gebouwen en terreinen",mip!V13:V146))</f>
        <v>0</v>
      </c>
      <c r="K34" s="487"/>
      <c r="L34" s="469"/>
    </row>
    <row r="35" spans="2:12" ht="14.45" customHeight="1" x14ac:dyDescent="0.2">
      <c r="B35" s="514"/>
      <c r="C35" s="517"/>
      <c r="D35" s="518" t="s">
        <v>254</v>
      </c>
      <c r="E35" s="136"/>
      <c r="F35" s="989">
        <f>(SUMIF(mip!$D13:$D146,"inventaris en apparatuur",mip!R13:R146))</f>
        <v>0</v>
      </c>
      <c r="G35" s="989">
        <f>(SUMIF(mip!$D13:$D146,"inventaris en apparatuur",mip!S13:S146))</f>
        <v>0</v>
      </c>
      <c r="H35" s="989">
        <f>(SUMIF(mip!$D13:$D146,"inventaris en apparatuur",mip!T13:T146))</f>
        <v>0</v>
      </c>
      <c r="I35" s="989">
        <f>(SUMIF(mip!$D13:$D146,"inventaris en apparatuur",mip!U13:U146))</f>
        <v>0</v>
      </c>
      <c r="J35" s="989">
        <f>(SUMIF(mip!$D13:$D146,"inventaris en apparatuur",mip!V13:V146))</f>
        <v>0</v>
      </c>
      <c r="K35" s="487"/>
      <c r="L35" s="469"/>
    </row>
    <row r="36" spans="2:12" ht="14.45" customHeight="1" x14ac:dyDescent="0.2">
      <c r="B36" s="514"/>
      <c r="C36" s="517"/>
      <c r="D36" s="521" t="s">
        <v>50</v>
      </c>
      <c r="E36" s="136"/>
      <c r="F36" s="989">
        <f>(SUMIF(mip!$D13:$D146,"meubilair",mip!R13:R146))</f>
        <v>0</v>
      </c>
      <c r="G36" s="989">
        <f>(SUMIF(mip!$D13:$D146,"meubilair",mip!S13:S146))</f>
        <v>0</v>
      </c>
      <c r="H36" s="989">
        <f>(SUMIF(mip!$D13:$D146,"meubilair",mip!T13:T146))</f>
        <v>0</v>
      </c>
      <c r="I36" s="989">
        <f>(SUMIF(mip!$D13:$D146,"meubilair",mip!U13:U146))</f>
        <v>0</v>
      </c>
      <c r="J36" s="989">
        <f>(SUMIF(mip!$D13:$D146,"meubilair",mip!V13:V146))</f>
        <v>0</v>
      </c>
      <c r="K36" s="487"/>
      <c r="L36" s="469"/>
    </row>
    <row r="37" spans="2:12" ht="14.45" customHeight="1" x14ac:dyDescent="0.2">
      <c r="B37" s="514"/>
      <c r="C37" s="517"/>
      <c r="D37" s="521" t="s">
        <v>51</v>
      </c>
      <c r="E37" s="136"/>
      <c r="F37" s="989">
        <f>(SUMIF(mip!$D13:$D146,"ICT",mip!R13:R146))</f>
        <v>0</v>
      </c>
      <c r="G37" s="989">
        <f>(SUMIF(mip!$D13:$D146,"ICT",mip!S13:S146))</f>
        <v>0</v>
      </c>
      <c r="H37" s="989">
        <f>(SUMIF(mip!$D13:$D146,"ICT",mip!T13:T146))</f>
        <v>0</v>
      </c>
      <c r="I37" s="989">
        <f>(SUMIF(mip!$D13:$D146,"ICT",mip!U13:U146))</f>
        <v>0</v>
      </c>
      <c r="J37" s="989">
        <f>(SUMIF(mip!$D13:$D146,"ICT",mip!V13:V146))</f>
        <v>0</v>
      </c>
      <c r="K37" s="487"/>
      <c r="L37" s="469"/>
    </row>
    <row r="38" spans="2:12" ht="14.45" customHeight="1" x14ac:dyDescent="0.2">
      <c r="B38" s="514"/>
      <c r="C38" s="517"/>
      <c r="D38" s="518" t="s">
        <v>284</v>
      </c>
      <c r="E38" s="136"/>
      <c r="F38" s="989">
        <f>(SUMIF(mip!$D13:$D146,"Leermiddelen PO",mip!R13:R146))</f>
        <v>0</v>
      </c>
      <c r="G38" s="989">
        <f>(SUMIF(mip!$D13:$D146,"Leermiddelen PO",mip!S13:S146))</f>
        <v>0</v>
      </c>
      <c r="H38" s="989">
        <f>(SUMIF(mip!$D13:$D146,"Leermiddelen PO",mip!T13:T146))</f>
        <v>0</v>
      </c>
      <c r="I38" s="989">
        <f>(SUMIF(mip!$D13:$D146,"Leermiddelen PO",mip!U13:U146))</f>
        <v>0</v>
      </c>
      <c r="J38" s="989">
        <f>(SUMIF(mip!$D13:$D146,"Leermiddelen PO",mip!V13:V146))</f>
        <v>0</v>
      </c>
      <c r="K38" s="487"/>
      <c r="L38" s="469"/>
    </row>
    <row r="39" spans="2:12" ht="14.45" customHeight="1" x14ac:dyDescent="0.2">
      <c r="B39" s="514"/>
      <c r="C39" s="517"/>
      <c r="D39" s="518" t="s">
        <v>255</v>
      </c>
      <c r="E39" s="136"/>
      <c r="F39" s="989">
        <f>(SUMIF(mip!$D13:$D146,"overige materiële vaste activa",mip!R13:R146))</f>
        <v>0</v>
      </c>
      <c r="G39" s="989">
        <f>(SUMIF(mip!$D13:$D146,"overige materiële vaste activa",mip!S13:S146))</f>
        <v>0</v>
      </c>
      <c r="H39" s="989">
        <f>(SUMIF(mip!$D13:$D146,"overige materiële vaste activa",mip!T13:T146))</f>
        <v>0</v>
      </c>
      <c r="I39" s="989">
        <f>(SUMIF(mip!$D13:$D146,"overige materiële vaste activa",mip!U13:U146))</f>
        <v>0</v>
      </c>
      <c r="J39" s="989">
        <f>(SUMIF(mip!$D13:$D146,"overige materiële vaste activa",mip!V13:V146))</f>
        <v>0</v>
      </c>
      <c r="K39" s="487"/>
      <c r="L39" s="469"/>
    </row>
    <row r="40" spans="2:12" ht="14.45" hidden="1" customHeight="1" x14ac:dyDescent="0.2">
      <c r="B40" s="475"/>
      <c r="C40" s="527"/>
      <c r="D40" s="235"/>
      <c r="E40" s="528"/>
      <c r="F40" s="1167">
        <f>SUM(F34:F39)</f>
        <v>0</v>
      </c>
      <c r="G40" s="1167">
        <f>SUM(G34:G39)</f>
        <v>0</v>
      </c>
      <c r="H40" s="1167">
        <f>SUM(H34:H39)</f>
        <v>0</v>
      </c>
      <c r="I40" s="1167">
        <f>SUM(I34:I39)</f>
        <v>0</v>
      </c>
      <c r="J40" s="1167">
        <f>SUM(J34:J39)</f>
        <v>0</v>
      </c>
      <c r="K40" s="529"/>
      <c r="L40" s="530"/>
    </row>
    <row r="41" spans="2:12" ht="14.45" hidden="1" customHeight="1" x14ac:dyDescent="0.2">
      <c r="B41" s="514"/>
      <c r="C41" s="517"/>
      <c r="D41" s="1035" t="s">
        <v>525</v>
      </c>
      <c r="E41" s="136"/>
      <c r="F41" s="136"/>
      <c r="G41" s="136"/>
      <c r="H41" s="136"/>
      <c r="I41" s="136"/>
      <c r="J41" s="136"/>
      <c r="K41" s="487"/>
      <c r="L41" s="469"/>
    </row>
    <row r="42" spans="2:12" ht="14.45" hidden="1" customHeight="1" x14ac:dyDescent="0.2">
      <c r="B42" s="514"/>
      <c r="C42" s="517"/>
      <c r="D42" s="518" t="s">
        <v>253</v>
      </c>
      <c r="E42" s="136"/>
      <c r="F42" s="519">
        <v>0</v>
      </c>
      <c r="G42" s="489">
        <v>0</v>
      </c>
      <c r="H42" s="489">
        <v>0</v>
      </c>
      <c r="I42" s="489">
        <v>0</v>
      </c>
      <c r="J42" s="489">
        <v>0</v>
      </c>
      <c r="K42" s="487"/>
      <c r="L42" s="469"/>
    </row>
    <row r="43" spans="2:12" ht="14.45" hidden="1" customHeight="1" x14ac:dyDescent="0.2">
      <c r="B43" s="514"/>
      <c r="C43" s="517"/>
      <c r="D43" s="518" t="s">
        <v>254</v>
      </c>
      <c r="E43" s="136"/>
      <c r="F43" s="520">
        <v>0</v>
      </c>
      <c r="G43" s="489">
        <v>0</v>
      </c>
      <c r="H43" s="489">
        <v>0</v>
      </c>
      <c r="I43" s="489">
        <v>0</v>
      </c>
      <c r="J43" s="489">
        <v>0</v>
      </c>
      <c r="K43" s="487"/>
      <c r="L43" s="469"/>
    </row>
    <row r="44" spans="2:12" ht="14.45" hidden="1" customHeight="1" x14ac:dyDescent="0.2">
      <c r="B44" s="514"/>
      <c r="C44" s="517"/>
      <c r="D44" s="521" t="s">
        <v>50</v>
      </c>
      <c r="E44" s="136"/>
      <c r="F44" s="520">
        <v>0</v>
      </c>
      <c r="G44" s="489">
        <v>0</v>
      </c>
      <c r="H44" s="489">
        <v>0</v>
      </c>
      <c r="I44" s="489">
        <v>0</v>
      </c>
      <c r="J44" s="489">
        <v>0</v>
      </c>
      <c r="K44" s="487"/>
      <c r="L44" s="469"/>
    </row>
    <row r="45" spans="2:12" ht="14.45" hidden="1" customHeight="1" x14ac:dyDescent="0.2">
      <c r="B45" s="514"/>
      <c r="C45" s="517"/>
      <c r="D45" s="521" t="s">
        <v>51</v>
      </c>
      <c r="E45" s="136"/>
      <c r="F45" s="520">
        <v>0</v>
      </c>
      <c r="G45" s="489">
        <v>0</v>
      </c>
      <c r="H45" s="489">
        <v>0</v>
      </c>
      <c r="I45" s="489">
        <v>0</v>
      </c>
      <c r="J45" s="489">
        <v>0</v>
      </c>
      <c r="K45" s="487"/>
      <c r="L45" s="469"/>
    </row>
    <row r="46" spans="2:12" ht="14.45" hidden="1" customHeight="1" x14ac:dyDescent="0.2">
      <c r="B46" s="514"/>
      <c r="C46" s="517"/>
      <c r="D46" s="518" t="s">
        <v>284</v>
      </c>
      <c r="E46" s="136"/>
      <c r="F46" s="520">
        <v>0</v>
      </c>
      <c r="G46" s="489">
        <v>0</v>
      </c>
      <c r="H46" s="489">
        <v>0</v>
      </c>
      <c r="I46" s="489">
        <v>0</v>
      </c>
      <c r="J46" s="489">
        <v>0</v>
      </c>
      <c r="K46" s="487"/>
      <c r="L46" s="469"/>
    </row>
    <row r="47" spans="2:12" ht="14.45" hidden="1" customHeight="1" x14ac:dyDescent="0.2">
      <c r="B47" s="514"/>
      <c r="C47" s="517"/>
      <c r="D47" s="518" t="s">
        <v>255</v>
      </c>
      <c r="E47" s="136"/>
      <c r="F47" s="520">
        <v>0</v>
      </c>
      <c r="G47" s="489">
        <v>0</v>
      </c>
      <c r="H47" s="489">
        <v>0</v>
      </c>
      <c r="I47" s="489">
        <v>0</v>
      </c>
      <c r="J47" s="489">
        <v>0</v>
      </c>
      <c r="K47" s="487"/>
      <c r="L47" s="469"/>
    </row>
    <row r="48" spans="2:12" ht="14.45" hidden="1" customHeight="1" x14ac:dyDescent="0.2">
      <c r="B48" s="475"/>
      <c r="C48" s="527"/>
      <c r="D48" s="235"/>
      <c r="E48" s="528"/>
      <c r="F48" s="1167">
        <f>SUM(F42:F47)</f>
        <v>0</v>
      </c>
      <c r="G48" s="1167">
        <f>SUM(G42:G47)</f>
        <v>0</v>
      </c>
      <c r="H48" s="1167">
        <f>SUM(H42:H47)</f>
        <v>0</v>
      </c>
      <c r="I48" s="1167">
        <f>SUM(I42:I47)</f>
        <v>0</v>
      </c>
      <c r="J48" s="1167">
        <f>SUM(J42:J47)</f>
        <v>0</v>
      </c>
      <c r="K48" s="529"/>
      <c r="L48" s="530"/>
    </row>
    <row r="49" spans="2:12" ht="14.45" hidden="1" customHeight="1" x14ac:dyDescent="0.2">
      <c r="B49" s="466"/>
      <c r="C49" s="135"/>
      <c r="D49" s="136"/>
      <c r="E49" s="136"/>
      <c r="F49" s="136"/>
      <c r="G49" s="136"/>
      <c r="H49" s="531"/>
      <c r="I49" s="136"/>
      <c r="J49" s="136"/>
      <c r="K49" s="487"/>
      <c r="L49" s="469"/>
    </row>
    <row r="50" spans="2:12" s="453" customFormat="1" ht="14.45" customHeight="1" x14ac:dyDescent="0.2">
      <c r="B50" s="532"/>
      <c r="C50" s="533"/>
      <c r="D50" s="534" t="s">
        <v>199</v>
      </c>
      <c r="E50" s="534"/>
      <c r="F50" s="1166">
        <f>F40+F48</f>
        <v>0</v>
      </c>
      <c r="G50" s="1166">
        <f>G40+G48</f>
        <v>0</v>
      </c>
      <c r="H50" s="1166">
        <f>H40+H48</f>
        <v>0</v>
      </c>
      <c r="I50" s="1166">
        <f>I40+I48</f>
        <v>0</v>
      </c>
      <c r="J50" s="1166">
        <f>J40+J48</f>
        <v>0</v>
      </c>
      <c r="K50" s="535"/>
      <c r="L50" s="536"/>
    </row>
    <row r="51" spans="2:12" ht="14.45" customHeight="1" x14ac:dyDescent="0.2">
      <c r="B51" s="466"/>
      <c r="C51" s="491"/>
      <c r="D51" s="492"/>
      <c r="E51" s="492"/>
      <c r="F51" s="492"/>
      <c r="G51" s="492"/>
      <c r="H51" s="493"/>
      <c r="I51" s="492"/>
      <c r="J51" s="492"/>
      <c r="K51" s="494"/>
      <c r="L51" s="469"/>
    </row>
    <row r="52" spans="2:12" ht="14.45" customHeight="1" x14ac:dyDescent="0.2">
      <c r="B52" s="466"/>
      <c r="C52" s="467"/>
      <c r="D52" s="467"/>
      <c r="E52" s="467"/>
      <c r="F52" s="467"/>
      <c r="G52" s="467"/>
      <c r="H52" s="467"/>
      <c r="I52" s="467"/>
      <c r="J52" s="467"/>
      <c r="K52" s="467"/>
      <c r="L52" s="469"/>
    </row>
    <row r="53" spans="2:12" ht="14.45" customHeight="1" x14ac:dyDescent="0.2">
      <c r="B53" s="514"/>
      <c r="C53" s="515"/>
      <c r="D53" s="516"/>
      <c r="E53" s="480"/>
      <c r="F53" s="480"/>
      <c r="G53" s="480"/>
      <c r="H53" s="480"/>
      <c r="I53" s="480"/>
      <c r="J53" s="480"/>
      <c r="K53" s="482"/>
      <c r="L53" s="469"/>
    </row>
    <row r="54" spans="2:12" ht="14.45" customHeight="1" x14ac:dyDescent="0.2">
      <c r="B54" s="514"/>
      <c r="C54" s="517"/>
      <c r="D54" s="1035" t="s">
        <v>287</v>
      </c>
      <c r="E54" s="136"/>
      <c r="F54" s="136"/>
      <c r="G54" s="136"/>
      <c r="H54" s="136"/>
      <c r="I54" s="136"/>
      <c r="J54" s="136"/>
      <c r="K54" s="487"/>
      <c r="L54" s="469"/>
    </row>
    <row r="55" spans="2:12" ht="14.45" customHeight="1" x14ac:dyDescent="0.2">
      <c r="B55" s="514"/>
      <c r="C55" s="517"/>
      <c r="D55" s="518" t="s">
        <v>253</v>
      </c>
      <c r="E55" s="136"/>
      <c r="F55" s="986">
        <f t="shared" ref="F55:J60" si="1">F12+F23-F34-F42</f>
        <v>0</v>
      </c>
      <c r="G55" s="986">
        <f t="shared" si="1"/>
        <v>0</v>
      </c>
      <c r="H55" s="986">
        <f t="shared" si="1"/>
        <v>0</v>
      </c>
      <c r="I55" s="986">
        <f t="shared" si="1"/>
        <v>0</v>
      </c>
      <c r="J55" s="986">
        <f t="shared" si="1"/>
        <v>0</v>
      </c>
      <c r="K55" s="487"/>
      <c r="L55" s="469"/>
    </row>
    <row r="56" spans="2:12" ht="14.45" customHeight="1" x14ac:dyDescent="0.2">
      <c r="B56" s="514"/>
      <c r="C56" s="517"/>
      <c r="D56" s="518" t="s">
        <v>254</v>
      </c>
      <c r="E56" s="136"/>
      <c r="F56" s="986">
        <f t="shared" si="1"/>
        <v>0</v>
      </c>
      <c r="G56" s="986">
        <f t="shared" si="1"/>
        <v>0</v>
      </c>
      <c r="H56" s="986">
        <f t="shared" si="1"/>
        <v>0</v>
      </c>
      <c r="I56" s="986">
        <f t="shared" si="1"/>
        <v>0</v>
      </c>
      <c r="J56" s="986">
        <f t="shared" si="1"/>
        <v>0</v>
      </c>
      <c r="K56" s="487"/>
      <c r="L56" s="469"/>
    </row>
    <row r="57" spans="2:12" ht="14.45" customHeight="1" x14ac:dyDescent="0.2">
      <c r="B57" s="514"/>
      <c r="C57" s="517"/>
      <c r="D57" s="521" t="s">
        <v>50</v>
      </c>
      <c r="E57" s="136"/>
      <c r="F57" s="986">
        <f t="shared" si="1"/>
        <v>0</v>
      </c>
      <c r="G57" s="986">
        <f t="shared" si="1"/>
        <v>0</v>
      </c>
      <c r="H57" s="986">
        <f t="shared" si="1"/>
        <v>0</v>
      </c>
      <c r="I57" s="986">
        <f t="shared" si="1"/>
        <v>0</v>
      </c>
      <c r="J57" s="986">
        <f t="shared" si="1"/>
        <v>0</v>
      </c>
      <c r="K57" s="487"/>
      <c r="L57" s="469"/>
    </row>
    <row r="58" spans="2:12" ht="14.45" customHeight="1" x14ac:dyDescent="0.2">
      <c r="B58" s="514"/>
      <c r="C58" s="517"/>
      <c r="D58" s="521" t="s">
        <v>51</v>
      </c>
      <c r="E58" s="136"/>
      <c r="F58" s="986">
        <f t="shared" si="1"/>
        <v>0</v>
      </c>
      <c r="G58" s="986">
        <f t="shared" si="1"/>
        <v>0</v>
      </c>
      <c r="H58" s="986">
        <f t="shared" si="1"/>
        <v>0</v>
      </c>
      <c r="I58" s="986">
        <f t="shared" si="1"/>
        <v>0</v>
      </c>
      <c r="J58" s="986">
        <f t="shared" si="1"/>
        <v>0</v>
      </c>
      <c r="K58" s="487"/>
      <c r="L58" s="469"/>
    </row>
    <row r="59" spans="2:12" ht="14.45" customHeight="1" x14ac:dyDescent="0.2">
      <c r="B59" s="514"/>
      <c r="C59" s="517"/>
      <c r="D59" s="518" t="s">
        <v>284</v>
      </c>
      <c r="E59" s="136"/>
      <c r="F59" s="986">
        <f t="shared" si="1"/>
        <v>0</v>
      </c>
      <c r="G59" s="986">
        <f t="shared" si="1"/>
        <v>0</v>
      </c>
      <c r="H59" s="986">
        <f t="shared" si="1"/>
        <v>0</v>
      </c>
      <c r="I59" s="986">
        <f t="shared" si="1"/>
        <v>0</v>
      </c>
      <c r="J59" s="986">
        <f t="shared" si="1"/>
        <v>0</v>
      </c>
      <c r="K59" s="487"/>
      <c r="L59" s="469"/>
    </row>
    <row r="60" spans="2:12" ht="14.45" customHeight="1" x14ac:dyDescent="0.2">
      <c r="B60" s="514"/>
      <c r="C60" s="517"/>
      <c r="D60" s="518" t="s">
        <v>255</v>
      </c>
      <c r="E60" s="136"/>
      <c r="F60" s="986">
        <f t="shared" si="1"/>
        <v>0</v>
      </c>
      <c r="G60" s="986">
        <f t="shared" si="1"/>
        <v>0</v>
      </c>
      <c r="H60" s="986">
        <f t="shared" si="1"/>
        <v>0</v>
      </c>
      <c r="I60" s="986">
        <f t="shared" si="1"/>
        <v>0</v>
      </c>
      <c r="J60" s="986">
        <f t="shared" si="1"/>
        <v>0</v>
      </c>
      <c r="K60" s="487"/>
      <c r="L60" s="469"/>
    </row>
    <row r="61" spans="2:12" ht="14.45" customHeight="1" x14ac:dyDescent="0.2">
      <c r="B61" s="537"/>
      <c r="C61" s="538"/>
      <c r="D61" s="522"/>
      <c r="E61" s="534"/>
      <c r="F61" s="1166">
        <f>SUM(F55:F60)</f>
        <v>0</v>
      </c>
      <c r="G61" s="1166">
        <f>SUM(G55:G60)</f>
        <v>0</v>
      </c>
      <c r="H61" s="1166">
        <f>SUM(H55:H60)</f>
        <v>0</v>
      </c>
      <c r="I61" s="1166">
        <f>SUM(I55:I60)</f>
        <v>0</v>
      </c>
      <c r="J61" s="1166">
        <f>SUM(J55:J60)</f>
        <v>0</v>
      </c>
      <c r="K61" s="535"/>
      <c r="L61" s="536"/>
    </row>
    <row r="62" spans="2:12" ht="14.45" customHeight="1" x14ac:dyDescent="0.2">
      <c r="B62" s="466"/>
      <c r="C62" s="491"/>
      <c r="D62" s="492"/>
      <c r="E62" s="492"/>
      <c r="F62" s="492"/>
      <c r="G62" s="492"/>
      <c r="H62" s="492"/>
      <c r="I62" s="492"/>
      <c r="J62" s="492"/>
      <c r="K62" s="494"/>
      <c r="L62" s="469"/>
    </row>
    <row r="63" spans="2:12" ht="14.45" customHeight="1" x14ac:dyDescent="0.2">
      <c r="B63" s="466"/>
      <c r="C63" s="467"/>
      <c r="D63" s="467"/>
      <c r="E63" s="467"/>
      <c r="F63" s="467"/>
      <c r="G63" s="467"/>
      <c r="H63" s="467"/>
      <c r="I63" s="467"/>
      <c r="J63" s="467"/>
      <c r="K63" s="467"/>
      <c r="L63" s="469"/>
    </row>
    <row r="64" spans="2:12" ht="14.45" customHeight="1" x14ac:dyDescent="0.25">
      <c r="B64" s="496"/>
      <c r="C64" s="497"/>
      <c r="D64" s="497"/>
      <c r="E64" s="497"/>
      <c r="F64" s="497"/>
      <c r="G64" s="497"/>
      <c r="H64" s="497"/>
      <c r="I64" s="497"/>
      <c r="J64" s="497"/>
      <c r="K64" s="89" t="s">
        <v>410</v>
      </c>
      <c r="L64" s="498"/>
    </row>
  </sheetData>
  <sheetProtection algorithmName="SHA-512" hashValue="+IFL1WevU+GG3LJMiHsPYoR8zW7Rz2yON22RSEaCVC1sNe4PfSAbuUGU3iHwf0TchKHSIv6NkSguZrgnhveh0w==" saltValue="0mJfRmFWZkwsqXrPLdFksw==" spinCount="100000" sheet="1" objects="1" scenarios="1"/>
  <phoneticPr fontId="0" type="noConversion"/>
  <pageMargins left="0.78740157480314965" right="0.78740157480314965" top="0.98425196850393704" bottom="0.98425196850393704" header="0.51181102362204722" footer="0.51181102362204722"/>
  <pageSetup paperSize="9" scale="65" orientation="portrait" r:id="rId1"/>
  <headerFooter alignWithMargins="0">
    <oddHeader>&amp;L&amp;"Arial,Vet"&amp;F&amp;R&amp;"Arial,Vet"&amp;A</oddHeader>
    <oddFooter>&amp;L&amp;"Arial,Vet"goedhart / keizer&amp;C&amp;"Arial,Vet"&amp;D&amp;R&amp;"Arial,Vet"pagina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W130"/>
  <sheetViews>
    <sheetView zoomScale="85" zoomScaleNormal="85" workbookViewId="0">
      <selection activeCell="A4" sqref="A4:XFD4"/>
    </sheetView>
  </sheetViews>
  <sheetFormatPr defaultColWidth="9.140625" defaultRowHeight="12.75" x14ac:dyDescent="0.2"/>
  <cols>
    <col min="1" max="1" width="3.7109375" style="454" customWidth="1"/>
    <col min="2" max="3" width="2.7109375" style="454" customWidth="1"/>
    <col min="4" max="4" width="36.28515625" style="454" customWidth="1"/>
    <col min="5" max="5" width="0.85546875" style="454" customWidth="1"/>
    <col min="6" max="6" width="35.85546875" style="454" customWidth="1"/>
    <col min="7" max="7" width="0.85546875" style="454" customWidth="1"/>
    <col min="8" max="8" width="30.85546875" style="454" customWidth="1"/>
    <col min="9" max="11" width="8.7109375" style="454" customWidth="1"/>
    <col min="12" max="12" width="10.7109375" style="801" customWidth="1"/>
    <col min="13" max="13" width="0.85546875" style="454" customWidth="1"/>
    <col min="14" max="14" width="31.5703125" style="454" customWidth="1"/>
    <col min="15" max="15" width="10.7109375" style="915" customWidth="1"/>
    <col min="16" max="16" width="0.85546875" style="454" customWidth="1"/>
    <col min="17" max="17" width="30.140625" style="454" customWidth="1"/>
    <col min="18" max="18" width="10.7109375" style="454" customWidth="1"/>
    <col min="19" max="19" width="2.7109375" style="454" customWidth="1"/>
    <col min="20" max="20" width="10.7109375" style="454" customWidth="1"/>
    <col min="21" max="22" width="2.7109375" style="454" customWidth="1"/>
    <col min="23" max="23" width="15.42578125" style="454" customWidth="1"/>
    <col min="24" max="25" width="5.7109375" style="454" customWidth="1"/>
    <col min="26" max="16384" width="9.140625" style="454"/>
  </cols>
  <sheetData>
    <row r="2" spans="2:23" x14ac:dyDescent="0.2">
      <c r="B2" s="462"/>
      <c r="C2" s="463"/>
      <c r="D2" s="463"/>
      <c r="E2" s="463"/>
      <c r="F2" s="463"/>
      <c r="G2" s="463"/>
      <c r="H2" s="463"/>
      <c r="I2" s="463"/>
      <c r="J2" s="463"/>
      <c r="K2" s="463"/>
      <c r="L2" s="777"/>
      <c r="M2" s="463"/>
      <c r="N2" s="463"/>
      <c r="O2" s="916"/>
      <c r="P2" s="463"/>
      <c r="Q2" s="463"/>
      <c r="R2" s="463"/>
      <c r="S2" s="463"/>
      <c r="T2" s="463"/>
      <c r="U2" s="463"/>
      <c r="V2" s="465"/>
    </row>
    <row r="3" spans="2:23" x14ac:dyDescent="0.2">
      <c r="B3" s="466"/>
      <c r="C3" s="467"/>
      <c r="D3" s="467"/>
      <c r="E3" s="467"/>
      <c r="F3" s="467"/>
      <c r="G3" s="467"/>
      <c r="H3" s="467"/>
      <c r="I3" s="467"/>
      <c r="J3" s="467"/>
      <c r="K3" s="467"/>
      <c r="L3" s="778"/>
      <c r="M3" s="467"/>
      <c r="N3" s="467"/>
      <c r="O3" s="917"/>
      <c r="P3" s="467"/>
      <c r="Q3" s="467"/>
      <c r="R3" s="467"/>
      <c r="S3" s="467"/>
      <c r="T3" s="467"/>
      <c r="U3" s="467"/>
      <c r="V3" s="469"/>
    </row>
    <row r="4" spans="2:23" s="144" customFormat="1" ht="18.75" customHeight="1" x14ac:dyDescent="0.3">
      <c r="B4" s="997"/>
      <c r="C4" s="971" t="s">
        <v>485</v>
      </c>
      <c r="D4" s="971"/>
      <c r="E4" s="145"/>
      <c r="F4" s="549"/>
      <c r="G4" s="145"/>
      <c r="H4" s="145"/>
      <c r="I4" s="145"/>
      <c r="J4" s="145"/>
      <c r="K4" s="145"/>
      <c r="L4" s="918"/>
      <c r="M4" s="145"/>
      <c r="N4" s="145"/>
      <c r="O4" s="919"/>
      <c r="P4" s="145"/>
      <c r="Q4" s="145"/>
      <c r="R4" s="145"/>
      <c r="S4" s="145"/>
      <c r="T4" s="145"/>
      <c r="U4" s="145"/>
      <c r="V4" s="151"/>
    </row>
    <row r="5" spans="2:23" ht="18.75" customHeight="1" x14ac:dyDescent="0.3">
      <c r="B5" s="72"/>
      <c r="C5" s="74" t="str">
        <f>geg!F11</f>
        <v>Voorbeeld SBO</v>
      </c>
      <c r="D5" s="474"/>
      <c r="E5" s="467"/>
      <c r="F5" s="550"/>
      <c r="G5" s="467"/>
      <c r="H5" s="467"/>
      <c r="I5" s="467"/>
      <c r="J5" s="467"/>
      <c r="K5" s="467"/>
      <c r="L5" s="778"/>
      <c r="M5" s="467"/>
      <c r="N5" s="467"/>
      <c r="O5" s="917"/>
      <c r="P5" s="467"/>
      <c r="Q5" s="467"/>
      <c r="R5" s="467"/>
      <c r="S5" s="467"/>
      <c r="T5" s="467"/>
      <c r="U5" s="467"/>
      <c r="V5" s="469"/>
    </row>
    <row r="6" spans="2:23" x14ac:dyDescent="0.2">
      <c r="B6" s="466"/>
      <c r="C6" s="467"/>
      <c r="D6" s="467"/>
      <c r="E6" s="467"/>
      <c r="F6" s="467"/>
      <c r="G6" s="467"/>
      <c r="H6" s="467"/>
      <c r="I6" s="467"/>
      <c r="J6" s="467"/>
      <c r="K6" s="467"/>
      <c r="L6" s="778"/>
      <c r="M6" s="467"/>
      <c r="N6" s="467"/>
      <c r="O6" s="917"/>
      <c r="P6" s="467"/>
      <c r="Q6" s="467"/>
      <c r="R6" s="467"/>
      <c r="S6" s="467"/>
      <c r="T6" s="467"/>
      <c r="U6" s="467"/>
      <c r="V6" s="469"/>
    </row>
    <row r="7" spans="2:23" x14ac:dyDescent="0.2">
      <c r="B7" s="466"/>
      <c r="C7" s="467"/>
      <c r="D7" s="467"/>
      <c r="E7" s="467"/>
      <c r="F7" s="467"/>
      <c r="G7" s="467"/>
      <c r="H7" s="467"/>
      <c r="I7" s="467"/>
      <c r="J7" s="467"/>
      <c r="K7" s="467"/>
      <c r="L7" s="778"/>
      <c r="M7" s="467"/>
      <c r="N7" s="467"/>
      <c r="O7" s="917"/>
      <c r="P7" s="467"/>
      <c r="Q7" s="467"/>
      <c r="R7" s="467"/>
      <c r="S7" s="467"/>
      <c r="T7" s="467"/>
      <c r="U7" s="467"/>
      <c r="V7" s="469"/>
    </row>
    <row r="8" spans="2:23" x14ac:dyDescent="0.2">
      <c r="B8" s="466"/>
      <c r="C8" s="467"/>
      <c r="D8" s="467"/>
      <c r="E8" s="555"/>
      <c r="F8" s="467"/>
      <c r="G8" s="555"/>
      <c r="H8" s="467"/>
      <c r="I8" s="467"/>
      <c r="J8" s="467"/>
      <c r="K8" s="467"/>
      <c r="L8" s="778"/>
      <c r="M8" s="555"/>
      <c r="N8" s="467"/>
      <c r="O8" s="917"/>
      <c r="P8" s="555"/>
      <c r="Q8" s="467"/>
      <c r="R8" s="467"/>
      <c r="S8" s="555"/>
      <c r="T8" s="467"/>
      <c r="U8" s="555"/>
      <c r="V8" s="556"/>
      <c r="W8" s="557"/>
    </row>
    <row r="9" spans="2:23" x14ac:dyDescent="0.2">
      <c r="B9" s="466"/>
      <c r="C9" s="467"/>
      <c r="D9" s="467"/>
      <c r="E9" s="555"/>
      <c r="F9" s="467"/>
      <c r="G9" s="555"/>
      <c r="H9" s="467"/>
      <c r="I9" s="467"/>
      <c r="J9" s="467"/>
      <c r="K9" s="467"/>
      <c r="L9" s="778"/>
      <c r="M9" s="555"/>
      <c r="N9" s="467"/>
      <c r="O9" s="917"/>
      <c r="P9" s="555"/>
      <c r="Q9" s="467"/>
      <c r="R9" s="467"/>
      <c r="S9" s="555"/>
      <c r="T9" s="467"/>
      <c r="U9" s="555"/>
      <c r="V9" s="556"/>
      <c r="W9" s="557"/>
    </row>
    <row r="10" spans="2:23" x14ac:dyDescent="0.2">
      <c r="B10" s="466"/>
      <c r="C10" s="479"/>
      <c r="D10" s="480"/>
      <c r="E10" s="558"/>
      <c r="F10" s="480"/>
      <c r="G10" s="558"/>
      <c r="H10" s="480"/>
      <c r="I10" s="480"/>
      <c r="J10" s="480"/>
      <c r="K10" s="480"/>
      <c r="L10" s="920"/>
      <c r="M10" s="558"/>
      <c r="N10" s="480"/>
      <c r="O10" s="921"/>
      <c r="P10" s="558"/>
      <c r="Q10" s="482"/>
      <c r="R10" s="480"/>
      <c r="S10" s="558"/>
      <c r="T10" s="482"/>
      <c r="U10" s="558"/>
      <c r="V10" s="556"/>
      <c r="W10" s="557"/>
    </row>
    <row r="11" spans="2:23" x14ac:dyDescent="0.2">
      <c r="B11" s="466"/>
      <c r="C11" s="479"/>
      <c r="D11" s="166" t="s">
        <v>470</v>
      </c>
      <c r="E11" s="558"/>
      <c r="G11" s="557"/>
      <c r="H11" s="922" t="s">
        <v>478</v>
      </c>
      <c r="I11" s="484"/>
      <c r="J11" s="460"/>
      <c r="K11" s="460"/>
      <c r="L11" s="885"/>
      <c r="M11" s="923"/>
      <c r="N11" s="924" t="s">
        <v>479</v>
      </c>
      <c r="O11" s="925"/>
      <c r="P11" s="923"/>
      <c r="Q11" s="926" t="s">
        <v>474</v>
      </c>
      <c r="S11" s="923"/>
      <c r="T11" s="945" t="s">
        <v>480</v>
      </c>
      <c r="U11" s="558"/>
      <c r="V11" s="556"/>
      <c r="W11" s="557"/>
    </row>
    <row r="12" spans="2:23" x14ac:dyDescent="0.2">
      <c r="B12" s="466"/>
      <c r="C12" s="479"/>
      <c r="D12" s="906" t="s">
        <v>471</v>
      </c>
      <c r="E12" s="558"/>
      <c r="F12" s="907" t="s">
        <v>472</v>
      </c>
      <c r="G12" s="557"/>
      <c r="H12" s="907" t="s">
        <v>473</v>
      </c>
      <c r="I12" s="428" t="s">
        <v>226</v>
      </c>
      <c r="J12" s="428" t="s">
        <v>247</v>
      </c>
      <c r="K12" s="270" t="s">
        <v>154</v>
      </c>
      <c r="L12" s="927" t="s">
        <v>246</v>
      </c>
      <c r="M12" s="928"/>
      <c r="N12" s="907" t="s">
        <v>473</v>
      </c>
      <c r="O12" s="929" t="s">
        <v>246</v>
      </c>
      <c r="P12" s="928"/>
      <c r="Q12" s="907" t="s">
        <v>473</v>
      </c>
      <c r="R12" s="270" t="s">
        <v>246</v>
      </c>
      <c r="S12" s="928"/>
      <c r="T12" s="270"/>
      <c r="U12" s="558"/>
      <c r="V12" s="556"/>
      <c r="W12" s="557"/>
    </row>
    <row r="13" spans="2:23" x14ac:dyDescent="0.2">
      <c r="B13" s="466"/>
      <c r="C13" s="135"/>
      <c r="D13" s="905"/>
      <c r="E13" s="487"/>
      <c r="F13" s="905"/>
      <c r="G13" s="487"/>
      <c r="H13" s="905"/>
      <c r="I13" s="433" t="s">
        <v>186</v>
      </c>
      <c r="J13" s="433">
        <v>1</v>
      </c>
      <c r="K13" s="803">
        <v>1</v>
      </c>
      <c r="L13" s="930">
        <f>(((IF(I13="",0,VLOOKUP(I13,tab!$A$61:$V$103,J13+2,FALSE)))*K13)*12)*(1+tab!$D$48)</f>
        <v>22521.24</v>
      </c>
      <c r="M13" s="487"/>
      <c r="N13" s="905"/>
      <c r="O13" s="931">
        <v>0</v>
      </c>
      <c r="P13" s="487"/>
      <c r="Q13" s="908"/>
      <c r="R13" s="931">
        <v>0</v>
      </c>
      <c r="S13" s="487"/>
      <c r="T13" s="946">
        <f>L13+O13+R13</f>
        <v>22521.24</v>
      </c>
      <c r="U13" s="487"/>
      <c r="V13" s="469"/>
    </row>
    <row r="14" spans="2:23" x14ac:dyDescent="0.2">
      <c r="B14" s="466"/>
      <c r="C14" s="491"/>
      <c r="D14" s="905"/>
      <c r="E14" s="494"/>
      <c r="F14" s="905"/>
      <c r="G14" s="494"/>
      <c r="H14" s="905"/>
      <c r="I14" s="433"/>
      <c r="J14" s="433"/>
      <c r="K14" s="803"/>
      <c r="L14" s="930">
        <f>(((IF(I14="",0,VLOOKUP(I14,tab!$A$61:$V$103,J14+2,FALSE)))*K14)*12)*(1+tab!$D$48)</f>
        <v>0</v>
      </c>
      <c r="M14" s="494"/>
      <c r="N14" s="905"/>
      <c r="O14" s="931">
        <v>0</v>
      </c>
      <c r="P14" s="494"/>
      <c r="Q14" s="909"/>
      <c r="R14" s="931">
        <v>0</v>
      </c>
      <c r="S14" s="494"/>
      <c r="T14" s="946">
        <f t="shared" ref="T14:T19" si="0">L14+O14+R14</f>
        <v>0</v>
      </c>
      <c r="U14" s="494"/>
      <c r="V14" s="469"/>
    </row>
    <row r="15" spans="2:23" x14ac:dyDescent="0.2">
      <c r="B15" s="466"/>
      <c r="C15" s="491"/>
      <c r="D15" s="905"/>
      <c r="E15" s="494"/>
      <c r="F15" s="905"/>
      <c r="G15" s="494"/>
      <c r="H15" s="905"/>
      <c r="I15" s="433"/>
      <c r="J15" s="433"/>
      <c r="K15" s="803"/>
      <c r="L15" s="930">
        <f>(((IF(I15="",0,VLOOKUP(I15,tab!$A$61:$V$103,J15+2,FALSE)))*K15)*12)*(1+tab!$D$48)</f>
        <v>0</v>
      </c>
      <c r="M15" s="494"/>
      <c r="N15" s="905"/>
      <c r="O15" s="931">
        <v>0</v>
      </c>
      <c r="P15" s="494"/>
      <c r="Q15" s="909"/>
      <c r="R15" s="931">
        <v>0</v>
      </c>
      <c r="S15" s="494"/>
      <c r="T15" s="946">
        <f t="shared" si="0"/>
        <v>0</v>
      </c>
      <c r="U15" s="494"/>
      <c r="V15" s="469"/>
    </row>
    <row r="16" spans="2:23" x14ac:dyDescent="0.2">
      <c r="B16" s="466"/>
      <c r="C16" s="491"/>
      <c r="D16" s="905"/>
      <c r="E16" s="494"/>
      <c r="F16" s="905"/>
      <c r="G16" s="494"/>
      <c r="H16" s="905"/>
      <c r="I16" s="433"/>
      <c r="J16" s="433"/>
      <c r="K16" s="803"/>
      <c r="L16" s="930">
        <f>(((IF(I16="",0,VLOOKUP(I16,tab!$A$61:$V$103,J16+2,FALSE)))*K16)*12)*(1+tab!$D$48)</f>
        <v>0</v>
      </c>
      <c r="M16" s="494"/>
      <c r="N16" s="905"/>
      <c r="O16" s="931">
        <v>0</v>
      </c>
      <c r="P16" s="494"/>
      <c r="Q16" s="909"/>
      <c r="R16" s="931">
        <v>0</v>
      </c>
      <c r="S16" s="494"/>
      <c r="T16" s="946">
        <f t="shared" si="0"/>
        <v>0</v>
      </c>
      <c r="U16" s="494"/>
      <c r="V16" s="469"/>
    </row>
    <row r="17" spans="2:23" x14ac:dyDescent="0.2">
      <c r="B17" s="466"/>
      <c r="C17" s="491"/>
      <c r="D17" s="905"/>
      <c r="E17" s="494"/>
      <c r="F17" s="905"/>
      <c r="G17" s="494"/>
      <c r="H17" s="905"/>
      <c r="I17" s="433"/>
      <c r="J17" s="433"/>
      <c r="K17" s="803"/>
      <c r="L17" s="930">
        <f>(((IF(I17="",0,VLOOKUP(I17,tab!$A$61:$V$103,J17+2,FALSE)))*K17)*12)*(1+tab!$D$48)</f>
        <v>0</v>
      </c>
      <c r="M17" s="494"/>
      <c r="N17" s="905"/>
      <c r="O17" s="931">
        <v>0</v>
      </c>
      <c r="P17" s="494"/>
      <c r="Q17" s="909"/>
      <c r="R17" s="931">
        <v>0</v>
      </c>
      <c r="S17" s="494"/>
      <c r="T17" s="946">
        <f t="shared" si="0"/>
        <v>0</v>
      </c>
      <c r="U17" s="494"/>
      <c r="V17" s="469"/>
    </row>
    <row r="18" spans="2:23" x14ac:dyDescent="0.2">
      <c r="B18" s="466"/>
      <c r="C18" s="491"/>
      <c r="D18" s="905"/>
      <c r="E18" s="494"/>
      <c r="F18" s="905"/>
      <c r="G18" s="494"/>
      <c r="H18" s="905"/>
      <c r="I18" s="433"/>
      <c r="J18" s="433"/>
      <c r="K18" s="803"/>
      <c r="L18" s="930">
        <f>(((IF(I18="",0,VLOOKUP(I18,tab!$A$61:$V$103,J18+2,FALSE)))*K18)*12)*(1+tab!$D$48)</f>
        <v>0</v>
      </c>
      <c r="M18" s="494"/>
      <c r="N18" s="905"/>
      <c r="O18" s="931">
        <v>0</v>
      </c>
      <c r="P18" s="494"/>
      <c r="Q18" s="909"/>
      <c r="R18" s="931">
        <v>0</v>
      </c>
      <c r="S18" s="494"/>
      <c r="T18" s="946">
        <f t="shared" si="0"/>
        <v>0</v>
      </c>
      <c r="U18" s="494"/>
      <c r="V18" s="469"/>
    </row>
    <row r="19" spans="2:23" x14ac:dyDescent="0.2">
      <c r="B19" s="466"/>
      <c r="C19" s="932"/>
      <c r="D19" s="910"/>
      <c r="E19" s="932"/>
      <c r="F19" s="910"/>
      <c r="G19" s="932"/>
      <c r="H19" s="910"/>
      <c r="I19" s="910"/>
      <c r="J19" s="910"/>
      <c r="K19" s="910"/>
      <c r="L19" s="933">
        <f>SUM(L13:L18)</f>
        <v>22521.24</v>
      </c>
      <c r="M19" s="932"/>
      <c r="N19" s="910"/>
      <c r="O19" s="911">
        <f>SUM(O13:O18)</f>
        <v>0</v>
      </c>
      <c r="P19" s="932"/>
      <c r="Q19" s="910"/>
      <c r="R19" s="911">
        <f>SUM(R13:R18)</f>
        <v>0</v>
      </c>
      <c r="S19" s="932"/>
      <c r="T19" s="947">
        <f t="shared" si="0"/>
        <v>22521.24</v>
      </c>
      <c r="U19" s="932"/>
      <c r="V19" s="469"/>
    </row>
    <row r="20" spans="2:23" x14ac:dyDescent="0.2">
      <c r="B20" s="466"/>
      <c r="E20" s="485"/>
      <c r="F20" s="485"/>
      <c r="G20" s="485"/>
      <c r="H20" s="485"/>
      <c r="I20" s="485"/>
      <c r="J20" s="485"/>
      <c r="K20" s="485"/>
      <c r="L20" s="934"/>
      <c r="M20" s="485"/>
      <c r="N20" s="485"/>
      <c r="O20" s="935"/>
      <c r="P20" s="485"/>
      <c r="Q20" s="485"/>
      <c r="R20" s="485"/>
      <c r="S20" s="485"/>
      <c r="T20" s="485"/>
      <c r="U20" s="485"/>
      <c r="V20" s="469"/>
    </row>
    <row r="21" spans="2:23" x14ac:dyDescent="0.2">
      <c r="B21" s="466"/>
      <c r="C21" s="467"/>
      <c r="D21" s="467"/>
      <c r="E21" s="550"/>
      <c r="F21" s="550"/>
      <c r="G21" s="550"/>
      <c r="H21" s="550"/>
      <c r="I21" s="550"/>
      <c r="J21" s="550"/>
      <c r="K21" s="550"/>
      <c r="L21" s="936"/>
      <c r="M21" s="550"/>
      <c r="N21" s="550"/>
      <c r="O21" s="937"/>
      <c r="P21" s="550"/>
      <c r="Q21" s="550"/>
      <c r="R21" s="550"/>
      <c r="S21" s="550"/>
      <c r="T21" s="550"/>
      <c r="U21" s="550"/>
      <c r="V21" s="469"/>
    </row>
    <row r="22" spans="2:23" x14ac:dyDescent="0.2">
      <c r="B22" s="466"/>
      <c r="C22" s="479"/>
      <c r="D22" s="480"/>
      <c r="E22" s="558"/>
      <c r="F22" s="480"/>
      <c r="G22" s="558"/>
      <c r="H22" s="480"/>
      <c r="I22" s="480"/>
      <c r="J22" s="480"/>
      <c r="K22" s="480"/>
      <c r="L22" s="920"/>
      <c r="M22" s="558"/>
      <c r="N22" s="480"/>
      <c r="O22" s="921"/>
      <c r="P22" s="558"/>
      <c r="Q22" s="482"/>
      <c r="R22" s="480"/>
      <c r="S22" s="558"/>
      <c r="T22" s="482"/>
      <c r="U22" s="558"/>
      <c r="V22" s="469"/>
    </row>
    <row r="23" spans="2:23" x14ac:dyDescent="0.2">
      <c r="B23" s="466"/>
      <c r="C23" s="479"/>
      <c r="D23" s="166" t="s">
        <v>475</v>
      </c>
      <c r="E23" s="558"/>
      <c r="G23" s="557"/>
      <c r="H23" s="922" t="s">
        <v>478</v>
      </c>
      <c r="I23" s="484"/>
      <c r="J23" s="460"/>
      <c r="K23" s="460"/>
      <c r="L23" s="885"/>
      <c r="M23" s="923"/>
      <c r="N23" s="924" t="s">
        <v>479</v>
      </c>
      <c r="O23" s="925"/>
      <c r="P23" s="923"/>
      <c r="Q23" s="926" t="s">
        <v>474</v>
      </c>
      <c r="S23" s="923"/>
      <c r="T23" s="945" t="s">
        <v>480</v>
      </c>
      <c r="U23" s="558"/>
      <c r="V23" s="469"/>
    </row>
    <row r="24" spans="2:23" x14ac:dyDescent="0.2">
      <c r="B24" s="466"/>
      <c r="C24" s="479"/>
      <c r="D24" s="906" t="s">
        <v>471</v>
      </c>
      <c r="E24" s="558"/>
      <c r="F24" s="907" t="s">
        <v>472</v>
      </c>
      <c r="G24" s="557"/>
      <c r="H24" s="907" t="s">
        <v>473</v>
      </c>
      <c r="I24" s="428" t="s">
        <v>226</v>
      </c>
      <c r="J24" s="428" t="s">
        <v>247</v>
      </c>
      <c r="K24" s="270" t="s">
        <v>154</v>
      </c>
      <c r="L24" s="927" t="s">
        <v>246</v>
      </c>
      <c r="M24" s="928"/>
      <c r="N24" s="907" t="s">
        <v>473</v>
      </c>
      <c r="O24" s="929" t="s">
        <v>246</v>
      </c>
      <c r="P24" s="928"/>
      <c r="Q24" s="907" t="s">
        <v>473</v>
      </c>
      <c r="R24" s="270" t="s">
        <v>246</v>
      </c>
      <c r="S24" s="928"/>
      <c r="T24" s="270"/>
      <c r="U24" s="558"/>
      <c r="V24" s="556"/>
      <c r="W24" s="557"/>
    </row>
    <row r="25" spans="2:23" x14ac:dyDescent="0.2">
      <c r="B25" s="466"/>
      <c r="C25" s="135"/>
      <c r="D25" s="905"/>
      <c r="E25" s="487"/>
      <c r="F25" s="905"/>
      <c r="G25" s="487"/>
      <c r="H25" s="905"/>
      <c r="I25" s="433"/>
      <c r="J25" s="433"/>
      <c r="K25" s="803"/>
      <c r="L25" s="930">
        <f>(((IF(I25="",0,VLOOKUP(I25,tab!$A$61:$V$103,J25+2,FALSE)))*K25)*12)*(1+tab!$D$48)</f>
        <v>0</v>
      </c>
      <c r="M25" s="487"/>
      <c r="N25" s="905"/>
      <c r="O25" s="931">
        <v>0</v>
      </c>
      <c r="P25" s="487"/>
      <c r="Q25" s="908"/>
      <c r="R25" s="931">
        <v>0</v>
      </c>
      <c r="S25" s="487"/>
      <c r="T25" s="946">
        <f t="shared" ref="T25:T31" si="1">L25+O25+R25</f>
        <v>0</v>
      </c>
      <c r="U25" s="487"/>
      <c r="V25" s="469"/>
    </row>
    <row r="26" spans="2:23" x14ac:dyDescent="0.2">
      <c r="B26" s="466"/>
      <c r="C26" s="491"/>
      <c r="D26" s="905"/>
      <c r="E26" s="494"/>
      <c r="F26" s="905"/>
      <c r="G26" s="494"/>
      <c r="H26" s="905"/>
      <c r="I26" s="433"/>
      <c r="J26" s="433"/>
      <c r="K26" s="803"/>
      <c r="L26" s="930">
        <f>(((IF(I26="",0,VLOOKUP(I26,tab!$A$61:$V$103,J26+2,FALSE)))*K26)*12)*(1+tab!$D$48)</f>
        <v>0</v>
      </c>
      <c r="M26" s="494"/>
      <c r="N26" s="905"/>
      <c r="O26" s="931">
        <v>0</v>
      </c>
      <c r="P26" s="494"/>
      <c r="Q26" s="909"/>
      <c r="R26" s="931">
        <v>0</v>
      </c>
      <c r="S26" s="494"/>
      <c r="T26" s="946">
        <f t="shared" si="1"/>
        <v>0</v>
      </c>
      <c r="U26" s="494"/>
      <c r="V26" s="469"/>
    </row>
    <row r="27" spans="2:23" x14ac:dyDescent="0.2">
      <c r="B27" s="466"/>
      <c r="C27" s="491"/>
      <c r="D27" s="905"/>
      <c r="E27" s="494"/>
      <c r="F27" s="905"/>
      <c r="G27" s="494"/>
      <c r="H27" s="905"/>
      <c r="I27" s="433"/>
      <c r="J27" s="433"/>
      <c r="K27" s="803"/>
      <c r="L27" s="930">
        <f>(((IF(I27="",0,VLOOKUP(I27,tab!$A$61:$V$103,J27+2,FALSE)))*K27)*12)*(1+tab!$D$48)</f>
        <v>0</v>
      </c>
      <c r="M27" s="494"/>
      <c r="N27" s="905"/>
      <c r="O27" s="931">
        <v>0</v>
      </c>
      <c r="P27" s="494"/>
      <c r="Q27" s="909"/>
      <c r="R27" s="931">
        <v>0</v>
      </c>
      <c r="S27" s="494"/>
      <c r="T27" s="946">
        <f t="shared" si="1"/>
        <v>0</v>
      </c>
      <c r="U27" s="494"/>
      <c r="V27" s="469"/>
    </row>
    <row r="28" spans="2:23" x14ac:dyDescent="0.2">
      <c r="B28" s="466"/>
      <c r="C28" s="491"/>
      <c r="D28" s="905"/>
      <c r="E28" s="494"/>
      <c r="F28" s="905"/>
      <c r="G28" s="494"/>
      <c r="H28" s="905"/>
      <c r="I28" s="433"/>
      <c r="J28" s="433"/>
      <c r="K28" s="803"/>
      <c r="L28" s="930">
        <f>(((IF(I28="",0,VLOOKUP(I28,tab!$A$61:$V$103,J28+2,FALSE)))*K28)*12)*(1+tab!$D$48)</f>
        <v>0</v>
      </c>
      <c r="M28" s="494"/>
      <c r="N28" s="905"/>
      <c r="O28" s="931">
        <v>0</v>
      </c>
      <c r="P28" s="494"/>
      <c r="Q28" s="909"/>
      <c r="R28" s="931">
        <v>0</v>
      </c>
      <c r="S28" s="494"/>
      <c r="T28" s="946">
        <f t="shared" si="1"/>
        <v>0</v>
      </c>
      <c r="U28" s="494"/>
      <c r="V28" s="469"/>
    </row>
    <row r="29" spans="2:23" x14ac:dyDescent="0.2">
      <c r="B29" s="466"/>
      <c r="C29" s="491"/>
      <c r="D29" s="905"/>
      <c r="E29" s="494"/>
      <c r="F29" s="905"/>
      <c r="G29" s="494"/>
      <c r="H29" s="905"/>
      <c r="I29" s="433"/>
      <c r="J29" s="433"/>
      <c r="K29" s="803"/>
      <c r="L29" s="930">
        <f>(((IF(I29="",0,VLOOKUP(I29,tab!$A$61:$V$103,J29+2,FALSE)))*K29)*12)*(1+tab!$D$48)</f>
        <v>0</v>
      </c>
      <c r="M29" s="494"/>
      <c r="N29" s="905"/>
      <c r="O29" s="931">
        <v>0</v>
      </c>
      <c r="P29" s="494"/>
      <c r="Q29" s="909"/>
      <c r="R29" s="931">
        <v>0</v>
      </c>
      <c r="S29" s="494"/>
      <c r="T29" s="946">
        <f t="shared" si="1"/>
        <v>0</v>
      </c>
      <c r="U29" s="494"/>
      <c r="V29" s="469"/>
    </row>
    <row r="30" spans="2:23" x14ac:dyDescent="0.2">
      <c r="B30" s="466"/>
      <c r="C30" s="491"/>
      <c r="D30" s="905"/>
      <c r="E30" s="494"/>
      <c r="F30" s="905"/>
      <c r="G30" s="494"/>
      <c r="H30" s="905"/>
      <c r="I30" s="433"/>
      <c r="J30" s="433"/>
      <c r="K30" s="803"/>
      <c r="L30" s="930">
        <f>(((IF(I30="",0,VLOOKUP(I30,tab!$A$61:$V$103,J30+2,FALSE)))*K30)*12)*(1+tab!$D$48)</f>
        <v>0</v>
      </c>
      <c r="M30" s="494"/>
      <c r="N30" s="905"/>
      <c r="O30" s="931">
        <v>0</v>
      </c>
      <c r="P30" s="494"/>
      <c r="Q30" s="909"/>
      <c r="R30" s="931">
        <v>0</v>
      </c>
      <c r="S30" s="494"/>
      <c r="T30" s="946">
        <f t="shared" si="1"/>
        <v>0</v>
      </c>
      <c r="U30" s="494"/>
      <c r="V30" s="469"/>
    </row>
    <row r="31" spans="2:23" x14ac:dyDescent="0.2">
      <c r="B31" s="466"/>
      <c r="C31" s="932"/>
      <c r="D31" s="932"/>
      <c r="E31" s="938"/>
      <c r="F31" s="938"/>
      <c r="G31" s="938"/>
      <c r="H31" s="910"/>
      <c r="I31" s="910"/>
      <c r="J31" s="910"/>
      <c r="K31" s="910"/>
      <c r="L31" s="933">
        <f>SUM(L25:L30)</f>
        <v>0</v>
      </c>
      <c r="M31" s="938"/>
      <c r="N31" s="910"/>
      <c r="O31" s="911">
        <f>SUM(O25:O30)</f>
        <v>0</v>
      </c>
      <c r="P31" s="932"/>
      <c r="Q31" s="938"/>
      <c r="R31" s="911">
        <f>SUM(R25:R30)</f>
        <v>0</v>
      </c>
      <c r="S31" s="932"/>
      <c r="T31" s="947">
        <f t="shared" si="1"/>
        <v>0</v>
      </c>
      <c r="U31" s="938"/>
      <c r="V31" s="469"/>
    </row>
    <row r="32" spans="2:23" x14ac:dyDescent="0.2">
      <c r="B32" s="466"/>
      <c r="E32" s="485"/>
      <c r="F32" s="485"/>
      <c r="G32" s="485"/>
      <c r="H32" s="485"/>
      <c r="I32" s="485"/>
      <c r="J32" s="485"/>
      <c r="K32" s="485"/>
      <c r="L32" s="934"/>
      <c r="M32" s="485"/>
      <c r="N32" s="485"/>
      <c r="O32" s="935"/>
      <c r="P32" s="485"/>
      <c r="Q32" s="485"/>
      <c r="R32" s="485"/>
      <c r="S32" s="485"/>
      <c r="T32" s="485"/>
      <c r="U32" s="485"/>
      <c r="V32" s="469"/>
    </row>
    <row r="33" spans="2:23" x14ac:dyDescent="0.2">
      <c r="B33" s="466"/>
      <c r="C33" s="467"/>
      <c r="D33" s="584"/>
      <c r="E33" s="467"/>
      <c r="F33" s="585"/>
      <c r="G33" s="467"/>
      <c r="H33" s="585"/>
      <c r="I33" s="585"/>
      <c r="J33" s="585"/>
      <c r="K33" s="585"/>
      <c r="L33" s="887"/>
      <c r="M33" s="467"/>
      <c r="N33" s="585"/>
      <c r="O33" s="939"/>
      <c r="P33" s="467"/>
      <c r="Q33" s="585"/>
      <c r="R33" s="585"/>
      <c r="S33" s="467"/>
      <c r="T33" s="585"/>
      <c r="U33" s="467"/>
      <c r="V33" s="469"/>
    </row>
    <row r="34" spans="2:23" x14ac:dyDescent="0.2">
      <c r="B34" s="466"/>
      <c r="C34" s="479"/>
      <c r="D34" s="480"/>
      <c r="E34" s="558"/>
      <c r="F34" s="480"/>
      <c r="G34" s="558"/>
      <c r="H34" s="480"/>
      <c r="I34" s="480"/>
      <c r="J34" s="480"/>
      <c r="K34" s="480"/>
      <c r="L34" s="920"/>
      <c r="M34" s="558"/>
      <c r="N34" s="480"/>
      <c r="O34" s="921"/>
      <c r="P34" s="558"/>
      <c r="Q34" s="482"/>
      <c r="R34" s="480"/>
      <c r="S34" s="558"/>
      <c r="T34" s="482"/>
      <c r="U34" s="558"/>
      <c r="V34" s="469"/>
    </row>
    <row r="35" spans="2:23" x14ac:dyDescent="0.2">
      <c r="B35" s="466"/>
      <c r="C35" s="479"/>
      <c r="D35" s="166" t="s">
        <v>476</v>
      </c>
      <c r="E35" s="558"/>
      <c r="G35" s="557"/>
      <c r="H35" s="922" t="s">
        <v>478</v>
      </c>
      <c r="I35" s="484"/>
      <c r="J35" s="460"/>
      <c r="K35" s="460"/>
      <c r="L35" s="885"/>
      <c r="M35" s="923"/>
      <c r="N35" s="924" t="s">
        <v>479</v>
      </c>
      <c r="O35" s="925"/>
      <c r="P35" s="923"/>
      <c r="Q35" s="926" t="s">
        <v>474</v>
      </c>
      <c r="S35" s="923"/>
      <c r="T35" s="945" t="s">
        <v>480</v>
      </c>
      <c r="U35" s="558"/>
      <c r="V35" s="469"/>
    </row>
    <row r="36" spans="2:23" x14ac:dyDescent="0.2">
      <c r="B36" s="466"/>
      <c r="C36" s="479"/>
      <c r="D36" s="906" t="s">
        <v>471</v>
      </c>
      <c r="E36" s="558"/>
      <c r="F36" s="907" t="s">
        <v>472</v>
      </c>
      <c r="G36" s="557"/>
      <c r="H36" s="907" t="s">
        <v>473</v>
      </c>
      <c r="I36" s="428" t="s">
        <v>226</v>
      </c>
      <c r="J36" s="428" t="s">
        <v>247</v>
      </c>
      <c r="K36" s="270" t="s">
        <v>154</v>
      </c>
      <c r="L36" s="927" t="s">
        <v>246</v>
      </c>
      <c r="M36" s="928"/>
      <c r="N36" s="907" t="s">
        <v>473</v>
      </c>
      <c r="O36" s="929" t="s">
        <v>246</v>
      </c>
      <c r="P36" s="928"/>
      <c r="Q36" s="907" t="s">
        <v>473</v>
      </c>
      <c r="R36" s="270" t="s">
        <v>246</v>
      </c>
      <c r="S36" s="928"/>
      <c r="T36" s="270"/>
      <c r="U36" s="558"/>
      <c r="V36" s="556"/>
      <c r="W36" s="557"/>
    </row>
    <row r="37" spans="2:23" x14ac:dyDescent="0.2">
      <c r="B37" s="466"/>
      <c r="C37" s="135"/>
      <c r="D37" s="905"/>
      <c r="E37" s="487"/>
      <c r="F37" s="905"/>
      <c r="G37" s="487"/>
      <c r="H37" s="905"/>
      <c r="I37" s="433"/>
      <c r="J37" s="433"/>
      <c r="K37" s="803"/>
      <c r="L37" s="930">
        <f>(((IF(I37="",0,VLOOKUP(I37,tab!$A$61:$V$103,J37+2,FALSE)))*K37)*12)*(1+tab!$D$48)</f>
        <v>0</v>
      </c>
      <c r="M37" s="487"/>
      <c r="N37" s="905"/>
      <c r="O37" s="931">
        <v>0</v>
      </c>
      <c r="P37" s="487"/>
      <c r="Q37" s="908"/>
      <c r="R37" s="931">
        <v>0</v>
      </c>
      <c r="S37" s="487"/>
      <c r="T37" s="946">
        <f t="shared" ref="T37:T43" si="2">L37+O37+R37</f>
        <v>0</v>
      </c>
      <c r="U37" s="487"/>
      <c r="V37" s="469"/>
    </row>
    <row r="38" spans="2:23" x14ac:dyDescent="0.2">
      <c r="B38" s="466"/>
      <c r="C38" s="491"/>
      <c r="D38" s="905"/>
      <c r="E38" s="494"/>
      <c r="F38" s="905"/>
      <c r="G38" s="494"/>
      <c r="H38" s="905"/>
      <c r="I38" s="433"/>
      <c r="J38" s="433"/>
      <c r="K38" s="803"/>
      <c r="L38" s="930">
        <f>(((IF(I38="",0,VLOOKUP(I38,tab!$A$61:$V$103,J38+2,FALSE)))*K38)*12)*(1+tab!$D$48)</f>
        <v>0</v>
      </c>
      <c r="M38" s="494"/>
      <c r="N38" s="905"/>
      <c r="O38" s="931">
        <v>0</v>
      </c>
      <c r="P38" s="494"/>
      <c r="Q38" s="909"/>
      <c r="R38" s="931">
        <v>0</v>
      </c>
      <c r="S38" s="494"/>
      <c r="T38" s="946">
        <f t="shared" si="2"/>
        <v>0</v>
      </c>
      <c r="U38" s="494"/>
      <c r="V38" s="469"/>
    </row>
    <row r="39" spans="2:23" x14ac:dyDescent="0.2">
      <c r="B39" s="466"/>
      <c r="C39" s="491"/>
      <c r="D39" s="905"/>
      <c r="E39" s="494"/>
      <c r="F39" s="905"/>
      <c r="G39" s="494"/>
      <c r="H39" s="905"/>
      <c r="I39" s="433"/>
      <c r="J39" s="433"/>
      <c r="K39" s="803"/>
      <c r="L39" s="930">
        <f>(((IF(I39="",0,VLOOKUP(I39,tab!$A$61:$V$103,J39+2,FALSE)))*K39)*12)*(1+tab!$D$48)</f>
        <v>0</v>
      </c>
      <c r="M39" s="494"/>
      <c r="N39" s="905"/>
      <c r="O39" s="931">
        <v>0</v>
      </c>
      <c r="P39" s="494"/>
      <c r="Q39" s="909"/>
      <c r="R39" s="931">
        <v>0</v>
      </c>
      <c r="S39" s="494"/>
      <c r="T39" s="946">
        <f t="shared" si="2"/>
        <v>0</v>
      </c>
      <c r="U39" s="494"/>
      <c r="V39" s="469"/>
    </row>
    <row r="40" spans="2:23" x14ac:dyDescent="0.2">
      <c r="B40" s="466"/>
      <c r="C40" s="491"/>
      <c r="D40" s="905"/>
      <c r="E40" s="494"/>
      <c r="F40" s="905"/>
      <c r="G40" s="494"/>
      <c r="H40" s="905"/>
      <c r="I40" s="433"/>
      <c r="J40" s="433"/>
      <c r="K40" s="803"/>
      <c r="L40" s="930">
        <f>(((IF(I40="",0,VLOOKUP(I40,tab!$A$61:$V$103,J40+2,FALSE)))*K40)*12)*(1+tab!$D$48)</f>
        <v>0</v>
      </c>
      <c r="M40" s="494"/>
      <c r="N40" s="905"/>
      <c r="O40" s="931">
        <v>0</v>
      </c>
      <c r="P40" s="494"/>
      <c r="Q40" s="909"/>
      <c r="R40" s="931">
        <v>0</v>
      </c>
      <c r="S40" s="494"/>
      <c r="T40" s="946">
        <f t="shared" si="2"/>
        <v>0</v>
      </c>
      <c r="U40" s="494"/>
      <c r="V40" s="469"/>
    </row>
    <row r="41" spans="2:23" x14ac:dyDescent="0.2">
      <c r="B41" s="466"/>
      <c r="C41" s="491"/>
      <c r="D41" s="905"/>
      <c r="E41" s="494"/>
      <c r="F41" s="905"/>
      <c r="G41" s="494"/>
      <c r="H41" s="905"/>
      <c r="I41" s="433"/>
      <c r="J41" s="433"/>
      <c r="K41" s="803"/>
      <c r="L41" s="930">
        <f>(((IF(I41="",0,VLOOKUP(I41,tab!$A$61:$V$103,J41+2,FALSE)))*K41)*12)*(1+tab!$D$48)</f>
        <v>0</v>
      </c>
      <c r="M41" s="494"/>
      <c r="N41" s="905"/>
      <c r="O41" s="931">
        <v>0</v>
      </c>
      <c r="P41" s="494"/>
      <c r="Q41" s="909"/>
      <c r="R41" s="931">
        <v>0</v>
      </c>
      <c r="S41" s="494"/>
      <c r="T41" s="946">
        <f t="shared" si="2"/>
        <v>0</v>
      </c>
      <c r="U41" s="494"/>
      <c r="V41" s="469"/>
    </row>
    <row r="42" spans="2:23" x14ac:dyDescent="0.2">
      <c r="B42" s="466"/>
      <c r="C42" s="491"/>
      <c r="D42" s="905"/>
      <c r="E42" s="494"/>
      <c r="F42" s="905"/>
      <c r="G42" s="494"/>
      <c r="H42" s="905"/>
      <c r="I42" s="433"/>
      <c r="J42" s="433"/>
      <c r="K42" s="803"/>
      <c r="L42" s="930">
        <f>(((IF(I42="",0,VLOOKUP(I42,tab!$A$61:$V$103,J42+2,FALSE)))*K42)*12)*(1+tab!$D$48)</f>
        <v>0</v>
      </c>
      <c r="M42" s="494"/>
      <c r="N42" s="905"/>
      <c r="O42" s="931">
        <v>0</v>
      </c>
      <c r="P42" s="494"/>
      <c r="Q42" s="909"/>
      <c r="R42" s="931">
        <v>0</v>
      </c>
      <c r="S42" s="494"/>
      <c r="T42" s="946">
        <f t="shared" si="2"/>
        <v>0</v>
      </c>
      <c r="U42" s="494"/>
      <c r="V42" s="469"/>
    </row>
    <row r="43" spans="2:23" x14ac:dyDescent="0.2">
      <c r="B43" s="466"/>
      <c r="C43" s="932"/>
      <c r="D43" s="932"/>
      <c r="E43" s="938"/>
      <c r="F43" s="938"/>
      <c r="G43" s="938"/>
      <c r="H43" s="910"/>
      <c r="I43" s="910"/>
      <c r="J43" s="910"/>
      <c r="K43" s="910"/>
      <c r="L43" s="933">
        <f>SUM(L37:L42)</f>
        <v>0</v>
      </c>
      <c r="M43" s="938"/>
      <c r="N43" s="910"/>
      <c r="O43" s="911">
        <f>SUM(O37:O42)</f>
        <v>0</v>
      </c>
      <c r="P43" s="932"/>
      <c r="Q43" s="938"/>
      <c r="R43" s="911">
        <f>SUM(R37:R42)</f>
        <v>0</v>
      </c>
      <c r="S43" s="932"/>
      <c r="T43" s="947">
        <f t="shared" si="2"/>
        <v>0</v>
      </c>
      <c r="U43" s="938"/>
      <c r="V43" s="469"/>
    </row>
    <row r="44" spans="2:23" x14ac:dyDescent="0.2">
      <c r="B44" s="466"/>
      <c r="E44" s="485"/>
      <c r="F44" s="485"/>
      <c r="G44" s="485"/>
      <c r="H44" s="485"/>
      <c r="I44" s="485"/>
      <c r="J44" s="485"/>
      <c r="K44" s="485"/>
      <c r="L44" s="934"/>
      <c r="M44" s="485"/>
      <c r="N44" s="485"/>
      <c r="O44" s="935"/>
      <c r="P44" s="485"/>
      <c r="Q44" s="485"/>
      <c r="R44" s="485"/>
      <c r="S44" s="485"/>
      <c r="T44" s="485"/>
      <c r="U44" s="485"/>
      <c r="V44" s="469"/>
    </row>
    <row r="45" spans="2:23" x14ac:dyDescent="0.2">
      <c r="B45" s="466"/>
      <c r="C45" s="467"/>
      <c r="D45" s="584"/>
      <c r="E45" s="467"/>
      <c r="F45" s="585"/>
      <c r="G45" s="467"/>
      <c r="H45" s="585"/>
      <c r="I45" s="585"/>
      <c r="J45" s="585"/>
      <c r="K45" s="585"/>
      <c r="L45" s="887"/>
      <c r="M45" s="467"/>
      <c r="N45" s="585"/>
      <c r="O45" s="939"/>
      <c r="P45" s="467"/>
      <c r="Q45" s="585"/>
      <c r="R45" s="585"/>
      <c r="S45" s="467"/>
      <c r="T45" s="585"/>
      <c r="U45" s="467"/>
      <c r="V45" s="469"/>
    </row>
    <row r="46" spans="2:23" x14ac:dyDescent="0.2">
      <c r="B46" s="466"/>
      <c r="C46" s="479"/>
      <c r="D46" s="480"/>
      <c r="E46" s="558"/>
      <c r="F46" s="480"/>
      <c r="G46" s="558"/>
      <c r="H46" s="480"/>
      <c r="I46" s="480"/>
      <c r="J46" s="480"/>
      <c r="K46" s="480"/>
      <c r="L46" s="920"/>
      <c r="M46" s="558"/>
      <c r="N46" s="480"/>
      <c r="O46" s="921"/>
      <c r="P46" s="558"/>
      <c r="Q46" s="482"/>
      <c r="R46" s="480"/>
      <c r="S46" s="558"/>
      <c r="T46" s="482"/>
      <c r="U46" s="558"/>
      <c r="V46" s="469"/>
    </row>
    <row r="47" spans="2:23" x14ac:dyDescent="0.2">
      <c r="B47" s="466"/>
      <c r="C47" s="479"/>
      <c r="D47" s="166" t="s">
        <v>481</v>
      </c>
      <c r="E47" s="558"/>
      <c r="G47" s="557"/>
      <c r="H47" s="922" t="s">
        <v>478</v>
      </c>
      <c r="I47" s="484"/>
      <c r="J47" s="460"/>
      <c r="K47" s="460"/>
      <c r="L47" s="885"/>
      <c r="M47" s="923"/>
      <c r="N47" s="924" t="s">
        <v>479</v>
      </c>
      <c r="O47" s="925"/>
      <c r="P47" s="923"/>
      <c r="Q47" s="926" t="s">
        <v>474</v>
      </c>
      <c r="S47" s="923"/>
      <c r="T47" s="945" t="s">
        <v>480</v>
      </c>
      <c r="U47" s="558"/>
      <c r="V47" s="469"/>
    </row>
    <row r="48" spans="2:23" x14ac:dyDescent="0.2">
      <c r="B48" s="466"/>
      <c r="C48" s="479"/>
      <c r="D48" s="906" t="s">
        <v>471</v>
      </c>
      <c r="E48" s="558"/>
      <c r="F48" s="907" t="s">
        <v>472</v>
      </c>
      <c r="G48" s="557"/>
      <c r="H48" s="907" t="s">
        <v>473</v>
      </c>
      <c r="I48" s="428" t="s">
        <v>226</v>
      </c>
      <c r="J48" s="428" t="s">
        <v>247</v>
      </c>
      <c r="K48" s="270" t="s">
        <v>154</v>
      </c>
      <c r="L48" s="927" t="s">
        <v>246</v>
      </c>
      <c r="M48" s="928"/>
      <c r="N48" s="907" t="s">
        <v>473</v>
      </c>
      <c r="O48" s="929" t="s">
        <v>246</v>
      </c>
      <c r="P48" s="928"/>
      <c r="Q48" s="907" t="s">
        <v>473</v>
      </c>
      <c r="R48" s="270" t="s">
        <v>246</v>
      </c>
      <c r="S48" s="928"/>
      <c r="T48" s="270"/>
      <c r="U48" s="558"/>
      <c r="V48" s="469"/>
    </row>
    <row r="49" spans="2:22" x14ac:dyDescent="0.2">
      <c r="B49" s="466"/>
      <c r="C49" s="135"/>
      <c r="D49" s="905"/>
      <c r="E49" s="487"/>
      <c r="F49" s="905"/>
      <c r="G49" s="487"/>
      <c r="H49" s="905"/>
      <c r="I49" s="433"/>
      <c r="J49" s="433"/>
      <c r="K49" s="803"/>
      <c r="L49" s="930">
        <f>(((IF(I49="",0,VLOOKUP(I49,tab!$A$61:$V$103,J49+2,FALSE)))*K49)*12)*(1+tab!$D$48)</f>
        <v>0</v>
      </c>
      <c r="M49" s="487"/>
      <c r="N49" s="905"/>
      <c r="O49" s="931">
        <v>0</v>
      </c>
      <c r="P49" s="487"/>
      <c r="Q49" s="908"/>
      <c r="R49" s="931">
        <v>0</v>
      </c>
      <c r="S49" s="487"/>
      <c r="T49" s="946">
        <f t="shared" ref="T49:T55" si="3">L49+O49+R49</f>
        <v>0</v>
      </c>
      <c r="U49" s="487"/>
      <c r="V49" s="469"/>
    </row>
    <row r="50" spans="2:22" x14ac:dyDescent="0.2">
      <c r="B50" s="466"/>
      <c r="C50" s="491"/>
      <c r="D50" s="905"/>
      <c r="E50" s="494"/>
      <c r="F50" s="905"/>
      <c r="G50" s="494"/>
      <c r="H50" s="905"/>
      <c r="I50" s="433"/>
      <c r="J50" s="433"/>
      <c r="K50" s="803"/>
      <c r="L50" s="930">
        <f>(((IF(I50="",0,VLOOKUP(I50,tab!$A$61:$V$103,J50+2,FALSE)))*K50)*12)*(1+tab!$D$48)</f>
        <v>0</v>
      </c>
      <c r="M50" s="494"/>
      <c r="N50" s="905"/>
      <c r="O50" s="931">
        <v>0</v>
      </c>
      <c r="P50" s="494"/>
      <c r="Q50" s="909"/>
      <c r="R50" s="931">
        <v>0</v>
      </c>
      <c r="S50" s="494"/>
      <c r="T50" s="946">
        <f t="shared" si="3"/>
        <v>0</v>
      </c>
      <c r="U50" s="494"/>
      <c r="V50" s="469"/>
    </row>
    <row r="51" spans="2:22" x14ac:dyDescent="0.2">
      <c r="B51" s="466"/>
      <c r="C51" s="491"/>
      <c r="D51" s="905"/>
      <c r="E51" s="494"/>
      <c r="F51" s="905"/>
      <c r="G51" s="494"/>
      <c r="H51" s="905"/>
      <c r="I51" s="433"/>
      <c r="J51" s="433"/>
      <c r="K51" s="803"/>
      <c r="L51" s="930">
        <f>(((IF(I51="",0,VLOOKUP(I51,tab!$A$61:$V$103,J51+2,FALSE)))*K51)*12)*(1+tab!$D$48)</f>
        <v>0</v>
      </c>
      <c r="M51" s="494"/>
      <c r="N51" s="905"/>
      <c r="O51" s="931">
        <v>0</v>
      </c>
      <c r="P51" s="494"/>
      <c r="Q51" s="909"/>
      <c r="R51" s="931">
        <v>0</v>
      </c>
      <c r="S51" s="494"/>
      <c r="T51" s="946">
        <f t="shared" si="3"/>
        <v>0</v>
      </c>
      <c r="U51" s="494"/>
      <c r="V51" s="469"/>
    </row>
    <row r="52" spans="2:22" x14ac:dyDescent="0.2">
      <c r="B52" s="466"/>
      <c r="C52" s="491"/>
      <c r="D52" s="905"/>
      <c r="E52" s="494"/>
      <c r="F52" s="905"/>
      <c r="G52" s="494"/>
      <c r="H52" s="905"/>
      <c r="I52" s="433"/>
      <c r="J52" s="433"/>
      <c r="K52" s="803"/>
      <c r="L52" s="930">
        <f>(((IF(I52="",0,VLOOKUP(I52,tab!$A$61:$V$103,J52+2,FALSE)))*K52)*12)*(1+tab!$D$48)</f>
        <v>0</v>
      </c>
      <c r="M52" s="494"/>
      <c r="N52" s="905"/>
      <c r="O52" s="931">
        <v>0</v>
      </c>
      <c r="P52" s="494"/>
      <c r="Q52" s="909"/>
      <c r="R52" s="931">
        <v>0</v>
      </c>
      <c r="S52" s="494"/>
      <c r="T52" s="946">
        <f t="shared" si="3"/>
        <v>0</v>
      </c>
      <c r="U52" s="494"/>
      <c r="V52" s="469"/>
    </row>
    <row r="53" spans="2:22" x14ac:dyDescent="0.2">
      <c r="B53" s="466"/>
      <c r="C53" s="491"/>
      <c r="D53" s="905"/>
      <c r="E53" s="494"/>
      <c r="F53" s="905"/>
      <c r="G53" s="494"/>
      <c r="H53" s="905"/>
      <c r="I53" s="433"/>
      <c r="J53" s="433"/>
      <c r="K53" s="803"/>
      <c r="L53" s="930">
        <f>(((IF(I53="",0,VLOOKUP(I53,tab!$A$61:$V$103,J53+2,FALSE)))*K53)*12)*(1+tab!$D$48)</f>
        <v>0</v>
      </c>
      <c r="M53" s="494"/>
      <c r="N53" s="905"/>
      <c r="O53" s="931">
        <v>0</v>
      </c>
      <c r="P53" s="494"/>
      <c r="Q53" s="909"/>
      <c r="R53" s="931">
        <v>0</v>
      </c>
      <c r="S53" s="494"/>
      <c r="T53" s="946">
        <f t="shared" si="3"/>
        <v>0</v>
      </c>
      <c r="U53" s="494"/>
      <c r="V53" s="469"/>
    </row>
    <row r="54" spans="2:22" x14ac:dyDescent="0.2">
      <c r="B54" s="466"/>
      <c r="C54" s="491"/>
      <c r="D54" s="905"/>
      <c r="E54" s="494"/>
      <c r="F54" s="905"/>
      <c r="G54" s="494"/>
      <c r="H54" s="905"/>
      <c r="I54" s="433"/>
      <c r="J54" s="433"/>
      <c r="K54" s="803"/>
      <c r="L54" s="930">
        <f>(((IF(I54="",0,VLOOKUP(I54,tab!$A$61:$V$103,J54+2,FALSE)))*K54)*12)*(1+tab!$D$48)</f>
        <v>0</v>
      </c>
      <c r="M54" s="494"/>
      <c r="N54" s="905"/>
      <c r="O54" s="931">
        <v>0</v>
      </c>
      <c r="P54" s="494"/>
      <c r="Q54" s="909"/>
      <c r="R54" s="931">
        <v>0</v>
      </c>
      <c r="S54" s="494"/>
      <c r="T54" s="946">
        <f t="shared" si="3"/>
        <v>0</v>
      </c>
      <c r="U54" s="494"/>
      <c r="V54" s="469"/>
    </row>
    <row r="55" spans="2:22" x14ac:dyDescent="0.2">
      <c r="B55" s="466"/>
      <c r="C55" s="932"/>
      <c r="D55" s="932"/>
      <c r="E55" s="938"/>
      <c r="F55" s="938"/>
      <c r="G55" s="938"/>
      <c r="H55" s="910"/>
      <c r="I55" s="910"/>
      <c r="J55" s="910"/>
      <c r="K55" s="910"/>
      <c r="L55" s="933">
        <f>SUM(L49:L54)</f>
        <v>0</v>
      </c>
      <c r="M55" s="938"/>
      <c r="N55" s="910"/>
      <c r="O55" s="911">
        <f>SUM(O49:O54)</f>
        <v>0</v>
      </c>
      <c r="P55" s="932"/>
      <c r="Q55" s="938"/>
      <c r="R55" s="911">
        <f>SUM(R49:R54)</f>
        <v>0</v>
      </c>
      <c r="S55" s="932"/>
      <c r="T55" s="947">
        <f t="shared" si="3"/>
        <v>0</v>
      </c>
      <c r="U55" s="938"/>
      <c r="V55" s="469"/>
    </row>
    <row r="56" spans="2:22" x14ac:dyDescent="0.2">
      <c r="B56" s="466"/>
      <c r="E56" s="485"/>
      <c r="F56" s="485"/>
      <c r="G56" s="485"/>
      <c r="H56" s="485"/>
      <c r="I56" s="485"/>
      <c r="J56" s="485"/>
      <c r="K56" s="485"/>
      <c r="L56" s="934"/>
      <c r="M56" s="485"/>
      <c r="N56" s="485"/>
      <c r="O56" s="935"/>
      <c r="P56" s="485"/>
      <c r="Q56" s="485"/>
      <c r="R56" s="485"/>
      <c r="S56" s="485"/>
      <c r="T56" s="485"/>
      <c r="U56" s="485"/>
      <c r="V56" s="469"/>
    </row>
    <row r="57" spans="2:22" x14ac:dyDescent="0.2">
      <c r="B57" s="466"/>
      <c r="C57" s="467"/>
      <c r="D57" s="584"/>
      <c r="E57" s="467"/>
      <c r="F57" s="585"/>
      <c r="G57" s="467"/>
      <c r="H57" s="585"/>
      <c r="I57" s="585"/>
      <c r="J57" s="585"/>
      <c r="K57" s="585"/>
      <c r="L57" s="887"/>
      <c r="M57" s="467"/>
      <c r="N57" s="585"/>
      <c r="O57" s="939"/>
      <c r="P57" s="467"/>
      <c r="Q57" s="585"/>
      <c r="R57" s="585"/>
      <c r="S57" s="467"/>
      <c r="T57" s="585"/>
      <c r="U57" s="467"/>
      <c r="V57" s="469"/>
    </row>
    <row r="58" spans="2:22" x14ac:dyDescent="0.2">
      <c r="B58" s="466"/>
      <c r="C58" s="467"/>
      <c r="D58" s="584"/>
      <c r="E58" s="467"/>
      <c r="F58" s="585"/>
      <c r="G58" s="467"/>
      <c r="H58" s="585"/>
      <c r="I58" s="585"/>
      <c r="J58" s="585"/>
      <c r="K58" s="585"/>
      <c r="L58" s="887"/>
      <c r="M58" s="467"/>
      <c r="N58" s="585"/>
      <c r="O58" s="939"/>
      <c r="P58" s="467"/>
      <c r="Q58" s="585"/>
      <c r="R58" s="585"/>
      <c r="S58" s="467"/>
      <c r="T58" s="585"/>
      <c r="U58" s="467"/>
      <c r="V58" s="469"/>
    </row>
    <row r="59" spans="2:22" x14ac:dyDescent="0.2">
      <c r="B59" s="466"/>
      <c r="C59" s="467"/>
      <c r="D59" s="584"/>
      <c r="E59" s="467"/>
      <c r="F59" s="585"/>
      <c r="G59" s="467"/>
      <c r="H59" s="585"/>
      <c r="I59" s="585"/>
      <c r="J59" s="585"/>
      <c r="K59" s="585"/>
      <c r="L59" s="887"/>
      <c r="M59" s="467"/>
      <c r="N59" s="585"/>
      <c r="O59" s="939"/>
      <c r="P59" s="467"/>
      <c r="Q59" s="585"/>
      <c r="R59" s="585"/>
      <c r="S59" s="467"/>
      <c r="T59" s="585"/>
      <c r="U59" s="467"/>
      <c r="V59" s="469"/>
    </row>
    <row r="60" spans="2:22" x14ac:dyDescent="0.2">
      <c r="B60" s="466"/>
      <c r="C60" s="467"/>
      <c r="D60" s="584"/>
      <c r="E60" s="467"/>
      <c r="F60" s="585"/>
      <c r="G60" s="467"/>
      <c r="H60" s="585"/>
      <c r="I60" s="585"/>
      <c r="J60" s="585"/>
      <c r="K60" s="585"/>
      <c r="L60" s="887"/>
      <c r="M60" s="467"/>
      <c r="N60" s="585"/>
      <c r="O60" s="939"/>
      <c r="P60" s="467"/>
      <c r="Q60" s="585"/>
      <c r="R60" s="585"/>
      <c r="S60" s="467"/>
      <c r="T60" s="585"/>
      <c r="U60" s="467"/>
      <c r="V60" s="469"/>
    </row>
    <row r="61" spans="2:22" x14ac:dyDescent="0.2">
      <c r="B61" s="466"/>
      <c r="C61" s="467"/>
      <c r="D61" s="584"/>
      <c r="E61" s="467"/>
      <c r="F61" s="585"/>
      <c r="G61" s="467"/>
      <c r="H61" s="585"/>
      <c r="I61" s="585"/>
      <c r="J61" s="585"/>
      <c r="K61" s="585"/>
      <c r="L61" s="887"/>
      <c r="M61" s="467"/>
      <c r="N61" s="585"/>
      <c r="O61" s="939"/>
      <c r="P61" s="467"/>
      <c r="Q61" s="585"/>
      <c r="R61" s="585"/>
      <c r="S61" s="467"/>
      <c r="T61" s="585"/>
      <c r="U61" s="467"/>
      <c r="V61" s="469"/>
    </row>
    <row r="62" spans="2:22" x14ac:dyDescent="0.2">
      <c r="B62" s="466"/>
      <c r="C62" s="467"/>
      <c r="D62" s="584"/>
      <c r="E62" s="467"/>
      <c r="F62" s="585"/>
      <c r="G62" s="467"/>
      <c r="H62" s="585"/>
      <c r="I62" s="585"/>
      <c r="J62" s="585"/>
      <c r="K62" s="585"/>
      <c r="L62" s="887"/>
      <c r="M62" s="467"/>
      <c r="N62" s="585"/>
      <c r="O62" s="939"/>
      <c r="P62" s="467"/>
      <c r="Q62" s="585"/>
      <c r="R62" s="585"/>
      <c r="S62" s="467"/>
      <c r="T62" s="585"/>
      <c r="U62" s="467"/>
      <c r="V62" s="469"/>
    </row>
    <row r="63" spans="2:22" x14ac:dyDescent="0.2">
      <c r="B63" s="466"/>
      <c r="C63" s="467"/>
      <c r="D63" s="584"/>
      <c r="E63" s="467"/>
      <c r="F63" s="585"/>
      <c r="G63" s="467"/>
      <c r="H63" s="585"/>
      <c r="I63" s="585"/>
      <c r="J63" s="585"/>
      <c r="K63" s="585"/>
      <c r="L63" s="887"/>
      <c r="M63" s="467"/>
      <c r="N63" s="585"/>
      <c r="O63" s="939"/>
      <c r="P63" s="467"/>
      <c r="Q63" s="585"/>
      <c r="R63" s="585"/>
      <c r="S63" s="467"/>
      <c r="T63" s="585"/>
      <c r="U63" s="467"/>
      <c r="V63" s="469"/>
    </row>
    <row r="64" spans="2:22" x14ac:dyDescent="0.2">
      <c r="B64" s="466"/>
      <c r="C64" s="467"/>
      <c r="D64" s="584"/>
      <c r="E64" s="467"/>
      <c r="F64" s="585"/>
      <c r="G64" s="467"/>
      <c r="H64" s="585"/>
      <c r="I64" s="585"/>
      <c r="J64" s="585"/>
      <c r="K64" s="585"/>
      <c r="L64" s="887"/>
      <c r="M64" s="467"/>
      <c r="N64" s="585"/>
      <c r="O64" s="939"/>
      <c r="P64" s="467"/>
      <c r="Q64" s="585"/>
      <c r="R64" s="585"/>
      <c r="S64" s="467"/>
      <c r="T64" s="585"/>
      <c r="U64" s="467"/>
      <c r="V64" s="469"/>
    </row>
    <row r="65" spans="2:22" x14ac:dyDescent="0.2">
      <c r="B65" s="466"/>
      <c r="C65" s="467"/>
      <c r="D65" s="584"/>
      <c r="E65" s="467"/>
      <c r="F65" s="585"/>
      <c r="G65" s="467"/>
      <c r="H65" s="585"/>
      <c r="I65" s="585"/>
      <c r="J65" s="585"/>
      <c r="K65" s="585"/>
      <c r="L65" s="887"/>
      <c r="M65" s="467"/>
      <c r="N65" s="585"/>
      <c r="O65" s="939"/>
      <c r="P65" s="467"/>
      <c r="Q65" s="585"/>
      <c r="R65" s="585"/>
      <c r="S65" s="467"/>
      <c r="T65" s="585"/>
      <c r="U65" s="467"/>
      <c r="V65" s="469"/>
    </row>
    <row r="66" spans="2:22" x14ac:dyDescent="0.2">
      <c r="B66" s="466"/>
      <c r="C66" s="467"/>
      <c r="D66" s="584"/>
      <c r="E66" s="467"/>
      <c r="F66" s="585"/>
      <c r="G66" s="467"/>
      <c r="H66" s="585"/>
      <c r="I66" s="585"/>
      <c r="J66" s="585"/>
      <c r="K66" s="585"/>
      <c r="L66" s="887"/>
      <c r="M66" s="467"/>
      <c r="N66" s="585"/>
      <c r="O66" s="939"/>
      <c r="P66" s="467"/>
      <c r="Q66" s="585"/>
      <c r="R66" s="585"/>
      <c r="S66" s="467"/>
      <c r="T66" s="585"/>
      <c r="U66" s="467"/>
      <c r="V66" s="469"/>
    </row>
    <row r="67" spans="2:22" x14ac:dyDescent="0.2">
      <c r="B67" s="466"/>
      <c r="C67" s="467"/>
      <c r="D67" s="584"/>
      <c r="E67" s="467"/>
      <c r="F67" s="585"/>
      <c r="G67" s="467"/>
      <c r="H67" s="585"/>
      <c r="I67" s="585"/>
      <c r="J67" s="585"/>
      <c r="K67" s="585"/>
      <c r="L67" s="887"/>
      <c r="M67" s="467"/>
      <c r="N67" s="585"/>
      <c r="O67" s="939"/>
      <c r="P67" s="467"/>
      <c r="Q67" s="585"/>
      <c r="R67" s="585"/>
      <c r="S67" s="467"/>
      <c r="T67" s="585"/>
      <c r="U67" s="467"/>
      <c r="V67" s="469"/>
    </row>
    <row r="68" spans="2:22" x14ac:dyDescent="0.2">
      <c r="B68" s="466"/>
      <c r="C68" s="467"/>
      <c r="D68" s="584"/>
      <c r="E68" s="467"/>
      <c r="F68" s="585"/>
      <c r="G68" s="467"/>
      <c r="H68" s="585"/>
      <c r="I68" s="585"/>
      <c r="J68" s="585"/>
      <c r="K68" s="585"/>
      <c r="L68" s="887"/>
      <c r="M68" s="467"/>
      <c r="N68" s="585"/>
      <c r="O68" s="939"/>
      <c r="P68" s="467"/>
      <c r="Q68" s="585"/>
      <c r="R68" s="585"/>
      <c r="S68" s="467"/>
      <c r="T68" s="585"/>
      <c r="U68" s="467"/>
      <c r="V68" s="469"/>
    </row>
    <row r="69" spans="2:22" x14ac:dyDescent="0.2">
      <c r="B69" s="466"/>
      <c r="C69" s="467"/>
      <c r="D69" s="584"/>
      <c r="E69" s="467"/>
      <c r="F69" s="585"/>
      <c r="G69" s="467"/>
      <c r="H69" s="585"/>
      <c r="I69" s="585"/>
      <c r="J69" s="585"/>
      <c r="K69" s="585"/>
      <c r="L69" s="887"/>
      <c r="M69" s="467"/>
      <c r="N69" s="585"/>
      <c r="O69" s="939"/>
      <c r="P69" s="467"/>
      <c r="Q69" s="585"/>
      <c r="R69" s="585"/>
      <c r="S69" s="467"/>
      <c r="T69" s="585"/>
      <c r="U69" s="467"/>
      <c r="V69" s="469"/>
    </row>
    <row r="70" spans="2:22" x14ac:dyDescent="0.2">
      <c r="B70" s="466"/>
      <c r="C70" s="467"/>
      <c r="D70" s="584"/>
      <c r="E70" s="467"/>
      <c r="F70" s="585"/>
      <c r="G70" s="467"/>
      <c r="H70" s="585"/>
      <c r="I70" s="585"/>
      <c r="J70" s="585"/>
      <c r="K70" s="585"/>
      <c r="L70" s="887"/>
      <c r="M70" s="467"/>
      <c r="N70" s="585"/>
      <c r="O70" s="939"/>
      <c r="P70" s="467"/>
      <c r="Q70" s="585"/>
      <c r="R70" s="585"/>
      <c r="S70" s="467"/>
      <c r="T70" s="585"/>
      <c r="U70" s="467"/>
      <c r="V70" s="469"/>
    </row>
    <row r="71" spans="2:22" x14ac:dyDescent="0.2">
      <c r="B71" s="466"/>
      <c r="C71" s="467"/>
      <c r="D71" s="584"/>
      <c r="E71" s="467"/>
      <c r="F71" s="585"/>
      <c r="G71" s="467"/>
      <c r="H71" s="585"/>
      <c r="I71" s="585"/>
      <c r="J71" s="585"/>
      <c r="K71" s="585"/>
      <c r="L71" s="887"/>
      <c r="M71" s="467"/>
      <c r="N71" s="585"/>
      <c r="O71" s="939"/>
      <c r="P71" s="467"/>
      <c r="Q71" s="585"/>
      <c r="R71" s="585"/>
      <c r="S71" s="467"/>
      <c r="T71" s="585"/>
      <c r="U71" s="467"/>
      <c r="V71" s="469"/>
    </row>
    <row r="72" spans="2:22" x14ac:dyDescent="0.2">
      <c r="B72" s="466"/>
      <c r="C72" s="467"/>
      <c r="D72" s="584"/>
      <c r="E72" s="467"/>
      <c r="F72" s="585"/>
      <c r="G72" s="467"/>
      <c r="H72" s="585"/>
      <c r="I72" s="585"/>
      <c r="J72" s="585"/>
      <c r="K72" s="585"/>
      <c r="L72" s="887"/>
      <c r="M72" s="467"/>
      <c r="N72" s="585"/>
      <c r="O72" s="939"/>
      <c r="P72" s="467"/>
      <c r="Q72" s="585"/>
      <c r="R72" s="585"/>
      <c r="S72" s="467"/>
      <c r="T72" s="585"/>
      <c r="U72" s="467"/>
      <c r="V72" s="469"/>
    </row>
    <row r="73" spans="2:22" x14ac:dyDescent="0.2">
      <c r="B73" s="466"/>
      <c r="C73" s="467"/>
      <c r="D73" s="584"/>
      <c r="E73" s="467"/>
      <c r="F73" s="585"/>
      <c r="G73" s="467"/>
      <c r="H73" s="585"/>
      <c r="I73" s="585"/>
      <c r="J73" s="585"/>
      <c r="K73" s="585"/>
      <c r="L73" s="887"/>
      <c r="M73" s="467"/>
      <c r="N73" s="585"/>
      <c r="O73" s="939"/>
      <c r="P73" s="467"/>
      <c r="Q73" s="585"/>
      <c r="R73" s="585"/>
      <c r="S73" s="467"/>
      <c r="T73" s="585"/>
      <c r="U73" s="467"/>
      <c r="V73" s="469"/>
    </row>
    <row r="74" spans="2:22" x14ac:dyDescent="0.2">
      <c r="B74" s="466"/>
      <c r="C74" s="467"/>
      <c r="D74" s="584"/>
      <c r="E74" s="467"/>
      <c r="F74" s="585"/>
      <c r="G74" s="467"/>
      <c r="H74" s="585"/>
      <c r="I74" s="585"/>
      <c r="J74" s="585"/>
      <c r="K74" s="585"/>
      <c r="L74" s="887"/>
      <c r="M74" s="467"/>
      <c r="N74" s="585"/>
      <c r="O74" s="939"/>
      <c r="P74" s="467"/>
      <c r="Q74" s="585"/>
      <c r="R74" s="585"/>
      <c r="S74" s="467"/>
      <c r="T74" s="585"/>
      <c r="U74" s="467"/>
      <c r="V74" s="469"/>
    </row>
    <row r="75" spans="2:22" x14ac:dyDescent="0.2">
      <c r="B75" s="466"/>
      <c r="C75" s="467"/>
      <c r="D75" s="584"/>
      <c r="E75" s="467"/>
      <c r="F75" s="585"/>
      <c r="G75" s="467"/>
      <c r="H75" s="585"/>
      <c r="I75" s="585"/>
      <c r="J75" s="585"/>
      <c r="K75" s="585"/>
      <c r="L75" s="887"/>
      <c r="M75" s="467"/>
      <c r="N75" s="585"/>
      <c r="O75" s="939"/>
      <c r="P75" s="467"/>
      <c r="Q75" s="585"/>
      <c r="R75" s="585"/>
      <c r="S75" s="467"/>
      <c r="T75" s="585"/>
      <c r="U75" s="467"/>
      <c r="V75" s="469"/>
    </row>
    <row r="76" spans="2:22" x14ac:dyDescent="0.2">
      <c r="B76" s="466"/>
      <c r="C76" s="467"/>
      <c r="D76" s="584"/>
      <c r="E76" s="467"/>
      <c r="F76" s="585"/>
      <c r="G76" s="467"/>
      <c r="H76" s="585"/>
      <c r="I76" s="585"/>
      <c r="J76" s="585"/>
      <c r="K76" s="585"/>
      <c r="L76" s="887"/>
      <c r="M76" s="467"/>
      <c r="N76" s="585"/>
      <c r="O76" s="939"/>
      <c r="P76" s="467"/>
      <c r="Q76" s="585"/>
      <c r="R76" s="585"/>
      <c r="S76" s="467"/>
      <c r="T76" s="585"/>
      <c r="U76" s="467"/>
      <c r="V76" s="469"/>
    </row>
    <row r="77" spans="2:22" ht="15" x14ac:dyDescent="0.25">
      <c r="B77" s="496"/>
      <c r="C77" s="497"/>
      <c r="D77" s="586"/>
      <c r="E77" s="89"/>
      <c r="F77" s="587"/>
      <c r="G77" s="89"/>
      <c r="H77" s="587"/>
      <c r="I77" s="587"/>
      <c r="J77" s="587"/>
      <c r="K77" s="587"/>
      <c r="L77" s="940"/>
      <c r="M77" s="89"/>
      <c r="N77" s="587"/>
      <c r="O77" s="941"/>
      <c r="P77" s="89"/>
      <c r="Q77" s="587"/>
      <c r="R77" s="587"/>
      <c r="S77" s="89"/>
      <c r="T77" s="587"/>
      <c r="U77" s="89" t="s">
        <v>410</v>
      </c>
      <c r="V77" s="498"/>
    </row>
    <row r="78" spans="2:22" x14ac:dyDescent="0.2">
      <c r="D78" s="488"/>
      <c r="F78" s="588"/>
      <c r="H78" s="588"/>
      <c r="I78" s="588"/>
      <c r="J78" s="588"/>
      <c r="K78" s="588"/>
      <c r="L78" s="942"/>
      <c r="N78" s="588"/>
      <c r="O78" s="943"/>
      <c r="Q78" s="588"/>
      <c r="R78" s="588"/>
      <c r="T78" s="588"/>
    </row>
    <row r="79" spans="2:22" x14ac:dyDescent="0.2">
      <c r="H79" s="589"/>
      <c r="I79" s="589"/>
      <c r="J79" s="589"/>
      <c r="K79" s="589"/>
      <c r="N79" s="589"/>
    </row>
    <row r="80" spans="2:22" x14ac:dyDescent="0.2">
      <c r="H80" s="589"/>
      <c r="I80" s="589"/>
      <c r="J80" s="589"/>
      <c r="K80" s="589"/>
      <c r="N80" s="589"/>
    </row>
    <row r="81" spans="4:14" x14ac:dyDescent="0.2">
      <c r="H81" s="589"/>
      <c r="I81" s="589"/>
      <c r="J81" s="589"/>
      <c r="K81" s="589"/>
      <c r="N81" s="589"/>
    </row>
    <row r="82" spans="4:14" x14ac:dyDescent="0.2">
      <c r="H82" s="589"/>
      <c r="I82" s="589"/>
      <c r="J82" s="589"/>
      <c r="K82" s="589"/>
      <c r="N82" s="589"/>
    </row>
    <row r="83" spans="4:14" x14ac:dyDescent="0.2">
      <c r="D83" s="944" t="s">
        <v>161</v>
      </c>
      <c r="H83" s="589"/>
      <c r="I83" s="589"/>
      <c r="J83" s="589"/>
      <c r="K83" s="589"/>
      <c r="N83" s="589"/>
    </row>
    <row r="84" spans="4:14" x14ac:dyDescent="0.2">
      <c r="D84" s="944" t="s">
        <v>162</v>
      </c>
      <c r="H84" s="589"/>
      <c r="I84" s="589"/>
      <c r="J84" s="589"/>
      <c r="K84" s="589"/>
      <c r="N84" s="589"/>
    </row>
    <row r="85" spans="4:14" x14ac:dyDescent="0.2">
      <c r="D85" s="944" t="s">
        <v>163</v>
      </c>
      <c r="H85" s="589"/>
      <c r="I85" s="589"/>
      <c r="J85" s="589"/>
      <c r="K85" s="589"/>
      <c r="N85" s="589"/>
    </row>
    <row r="86" spans="4:14" x14ac:dyDescent="0.2">
      <c r="D86" s="944" t="s">
        <v>164</v>
      </c>
      <c r="H86" s="589"/>
      <c r="I86" s="589"/>
      <c r="J86" s="589"/>
      <c r="K86" s="589"/>
      <c r="N86" s="589"/>
    </row>
    <row r="87" spans="4:14" x14ac:dyDescent="0.2">
      <c r="D87" s="944" t="s">
        <v>167</v>
      </c>
      <c r="H87" s="589"/>
      <c r="I87" s="589"/>
      <c r="J87" s="589"/>
      <c r="K87" s="589"/>
      <c r="N87" s="589"/>
    </row>
    <row r="88" spans="4:14" x14ac:dyDescent="0.2">
      <c r="D88" s="944" t="s">
        <v>155</v>
      </c>
      <c r="H88" s="589"/>
      <c r="I88" s="589"/>
      <c r="J88" s="589"/>
      <c r="K88" s="589"/>
      <c r="N88" s="589"/>
    </row>
    <row r="89" spans="4:14" x14ac:dyDescent="0.2">
      <c r="D89" s="944" t="s">
        <v>156</v>
      </c>
      <c r="H89" s="589"/>
      <c r="I89" s="589"/>
      <c r="J89" s="589"/>
      <c r="K89" s="589"/>
      <c r="N89" s="589"/>
    </row>
    <row r="90" spans="4:14" x14ac:dyDescent="0.2">
      <c r="D90" s="944" t="s">
        <v>184</v>
      </c>
      <c r="H90" s="589"/>
      <c r="I90" s="589"/>
      <c r="J90" s="589"/>
      <c r="K90" s="589"/>
      <c r="N90" s="589"/>
    </row>
    <row r="91" spans="4:14" x14ac:dyDescent="0.2">
      <c r="D91" s="944" t="s">
        <v>157</v>
      </c>
      <c r="H91" s="589"/>
      <c r="I91" s="589"/>
      <c r="J91" s="589"/>
      <c r="K91" s="589"/>
      <c r="N91" s="589"/>
    </row>
    <row r="92" spans="4:14" x14ac:dyDescent="0.2">
      <c r="D92" s="944" t="s">
        <v>185</v>
      </c>
      <c r="H92" s="589"/>
      <c r="I92" s="589"/>
      <c r="J92" s="589"/>
      <c r="K92" s="589"/>
      <c r="N92" s="589"/>
    </row>
    <row r="93" spans="4:14" x14ac:dyDescent="0.2">
      <c r="D93" s="944" t="s">
        <v>165</v>
      </c>
      <c r="H93" s="589"/>
      <c r="I93" s="589"/>
      <c r="J93" s="589"/>
      <c r="K93" s="589"/>
      <c r="N93" s="589"/>
    </row>
    <row r="94" spans="4:14" x14ac:dyDescent="0.2">
      <c r="D94" s="944" t="s">
        <v>166</v>
      </c>
      <c r="H94" s="589"/>
      <c r="I94" s="589"/>
      <c r="J94" s="589"/>
      <c r="K94" s="589"/>
      <c r="N94" s="589"/>
    </row>
    <row r="95" spans="4:14" x14ac:dyDescent="0.2">
      <c r="D95" s="828" t="s">
        <v>188</v>
      </c>
      <c r="H95" s="589"/>
      <c r="I95" s="589"/>
      <c r="J95" s="589"/>
      <c r="K95" s="589"/>
      <c r="N95" s="589"/>
    </row>
    <row r="96" spans="4:14" x14ac:dyDescent="0.2">
      <c r="D96" s="828" t="s">
        <v>198</v>
      </c>
      <c r="H96" s="589"/>
      <c r="I96" s="589"/>
      <c r="J96" s="589"/>
      <c r="K96" s="589"/>
      <c r="N96" s="589"/>
    </row>
    <row r="97" spans="4:14" x14ac:dyDescent="0.2">
      <c r="D97" s="828" t="s">
        <v>189</v>
      </c>
      <c r="H97" s="589"/>
      <c r="I97" s="589"/>
      <c r="J97" s="589"/>
      <c r="K97" s="589"/>
      <c r="N97" s="589"/>
    </row>
    <row r="98" spans="4:14" x14ac:dyDescent="0.2">
      <c r="D98" s="944" t="s">
        <v>158</v>
      </c>
      <c r="H98" s="589"/>
      <c r="I98" s="589"/>
      <c r="J98" s="589"/>
      <c r="K98" s="589"/>
      <c r="N98" s="589"/>
    </row>
    <row r="99" spans="4:14" x14ac:dyDescent="0.2">
      <c r="D99" s="944" t="s">
        <v>159</v>
      </c>
      <c r="H99" s="589"/>
      <c r="I99" s="589"/>
      <c r="J99" s="589"/>
      <c r="K99" s="589"/>
      <c r="N99" s="589"/>
    </row>
    <row r="100" spans="4:14" x14ac:dyDescent="0.2">
      <c r="D100" s="944" t="s">
        <v>160</v>
      </c>
      <c r="H100" s="589"/>
      <c r="I100" s="589"/>
      <c r="J100" s="589"/>
      <c r="K100" s="589"/>
      <c r="N100" s="589"/>
    </row>
    <row r="101" spans="4:14" x14ac:dyDescent="0.2">
      <c r="D101" s="944" t="s">
        <v>168</v>
      </c>
      <c r="H101" s="589"/>
      <c r="I101" s="589"/>
      <c r="J101" s="589"/>
      <c r="K101" s="589"/>
      <c r="N101" s="589"/>
    </row>
    <row r="102" spans="4:14" x14ac:dyDescent="0.2">
      <c r="D102" s="944" t="s">
        <v>169</v>
      </c>
      <c r="H102" s="589"/>
      <c r="I102" s="589"/>
      <c r="J102" s="589"/>
      <c r="K102" s="589"/>
      <c r="N102" s="589"/>
    </row>
    <row r="103" spans="4:14" x14ac:dyDescent="0.2">
      <c r="D103" s="828" t="s">
        <v>186</v>
      </c>
      <c r="H103" s="589"/>
      <c r="I103" s="589"/>
      <c r="J103" s="589"/>
      <c r="K103" s="589"/>
      <c r="N103" s="589"/>
    </row>
    <row r="104" spans="4:14" x14ac:dyDescent="0.2">
      <c r="D104" s="828" t="s">
        <v>187</v>
      </c>
      <c r="H104" s="589"/>
      <c r="I104" s="589"/>
      <c r="J104" s="589"/>
      <c r="K104" s="589"/>
      <c r="N104" s="589"/>
    </row>
    <row r="105" spans="4:14" x14ac:dyDescent="0.2">
      <c r="D105" s="894" t="s">
        <v>337</v>
      </c>
      <c r="H105" s="589"/>
      <c r="I105" s="589"/>
      <c r="J105" s="589"/>
      <c r="K105" s="589"/>
      <c r="N105" s="589"/>
    </row>
    <row r="106" spans="4:14" x14ac:dyDescent="0.2">
      <c r="D106" s="894" t="s">
        <v>332</v>
      </c>
      <c r="H106" s="589"/>
      <c r="I106" s="589"/>
      <c r="J106" s="589"/>
      <c r="K106" s="589"/>
      <c r="N106" s="589"/>
    </row>
    <row r="107" spans="4:14" x14ac:dyDescent="0.2">
      <c r="D107" s="894" t="s">
        <v>333</v>
      </c>
      <c r="H107" s="589"/>
      <c r="I107" s="589"/>
      <c r="J107" s="589"/>
      <c r="K107" s="589"/>
      <c r="N107" s="589"/>
    </row>
    <row r="108" spans="4:14" x14ac:dyDescent="0.2">
      <c r="D108" s="894" t="s">
        <v>335</v>
      </c>
      <c r="H108" s="589"/>
      <c r="I108" s="589"/>
      <c r="J108" s="589"/>
      <c r="K108" s="589"/>
      <c r="N108" s="589"/>
    </row>
    <row r="109" spans="4:14" x14ac:dyDescent="0.2">
      <c r="D109" s="894" t="s">
        <v>334</v>
      </c>
      <c r="H109" s="589"/>
      <c r="I109" s="589"/>
      <c r="J109" s="589"/>
      <c r="K109" s="589"/>
      <c r="N109" s="589"/>
    </row>
    <row r="110" spans="4:14" x14ac:dyDescent="0.2">
      <c r="D110" s="828">
        <v>1</v>
      </c>
      <c r="H110" s="589"/>
      <c r="I110" s="589"/>
      <c r="J110" s="589"/>
      <c r="K110" s="589"/>
      <c r="N110" s="589"/>
    </row>
    <row r="111" spans="4:14" x14ac:dyDescent="0.2">
      <c r="D111" s="828">
        <v>2</v>
      </c>
      <c r="H111" s="589"/>
      <c r="I111" s="589"/>
      <c r="J111" s="589"/>
      <c r="K111" s="589"/>
      <c r="N111" s="589"/>
    </row>
    <row r="112" spans="4:14" x14ac:dyDescent="0.2">
      <c r="D112" s="828">
        <v>3</v>
      </c>
      <c r="H112" s="589"/>
      <c r="I112" s="589"/>
      <c r="J112" s="589"/>
      <c r="K112" s="589"/>
      <c r="N112" s="589"/>
    </row>
    <row r="113" spans="4:14" x14ac:dyDescent="0.2">
      <c r="D113" s="828">
        <v>4</v>
      </c>
      <c r="H113" s="589"/>
      <c r="I113" s="589"/>
      <c r="J113" s="589"/>
      <c r="K113" s="589"/>
      <c r="N113" s="589"/>
    </row>
    <row r="114" spans="4:14" x14ac:dyDescent="0.2">
      <c r="D114" s="828">
        <v>5</v>
      </c>
      <c r="H114" s="589"/>
      <c r="I114" s="589"/>
      <c r="J114" s="589"/>
      <c r="K114" s="589"/>
      <c r="N114" s="589"/>
    </row>
    <row r="115" spans="4:14" x14ac:dyDescent="0.2">
      <c r="D115" s="828">
        <v>6</v>
      </c>
      <c r="H115" s="589"/>
      <c r="I115" s="589"/>
      <c r="J115" s="589"/>
      <c r="K115" s="589"/>
      <c r="N115" s="589"/>
    </row>
    <row r="116" spans="4:14" x14ac:dyDescent="0.2">
      <c r="D116" s="828">
        <v>7</v>
      </c>
      <c r="H116" s="589"/>
      <c r="I116" s="589"/>
      <c r="J116" s="589"/>
      <c r="K116" s="589"/>
      <c r="N116" s="589"/>
    </row>
    <row r="117" spans="4:14" x14ac:dyDescent="0.2">
      <c r="D117" s="828">
        <v>8</v>
      </c>
      <c r="H117" s="589"/>
      <c r="I117" s="589"/>
      <c r="J117" s="589"/>
      <c r="K117" s="589"/>
      <c r="N117" s="589"/>
    </row>
    <row r="118" spans="4:14" x14ac:dyDescent="0.2">
      <c r="D118" s="828">
        <v>9</v>
      </c>
      <c r="H118" s="589"/>
      <c r="I118" s="589"/>
      <c r="J118" s="589"/>
      <c r="K118" s="589"/>
      <c r="N118" s="589"/>
    </row>
    <row r="119" spans="4:14" x14ac:dyDescent="0.2">
      <c r="D119" s="828">
        <v>10</v>
      </c>
      <c r="H119" s="589"/>
      <c r="I119" s="589"/>
      <c r="J119" s="589"/>
      <c r="K119" s="589"/>
      <c r="N119" s="589"/>
    </row>
    <row r="120" spans="4:14" x14ac:dyDescent="0.2">
      <c r="D120" s="828">
        <v>11</v>
      </c>
      <c r="H120" s="589"/>
      <c r="I120" s="589"/>
      <c r="J120" s="589"/>
      <c r="K120" s="589"/>
      <c r="N120" s="589"/>
    </row>
    <row r="121" spans="4:14" x14ac:dyDescent="0.2">
      <c r="D121" s="828">
        <v>12</v>
      </c>
      <c r="H121" s="589"/>
      <c r="I121" s="589"/>
      <c r="J121" s="589"/>
      <c r="K121" s="589"/>
      <c r="N121" s="589"/>
    </row>
    <row r="122" spans="4:14" x14ac:dyDescent="0.2">
      <c r="D122" s="828">
        <v>13</v>
      </c>
      <c r="H122" s="589"/>
      <c r="I122" s="589"/>
      <c r="J122" s="589"/>
      <c r="K122" s="589"/>
      <c r="N122" s="589"/>
    </row>
    <row r="123" spans="4:14" x14ac:dyDescent="0.2">
      <c r="D123" s="828">
        <v>14</v>
      </c>
      <c r="H123" s="589"/>
      <c r="I123" s="589"/>
      <c r="J123" s="589"/>
      <c r="K123" s="589"/>
      <c r="N123" s="589"/>
    </row>
    <row r="124" spans="4:14" x14ac:dyDescent="0.2">
      <c r="D124" s="828">
        <v>15</v>
      </c>
      <c r="H124" s="589"/>
      <c r="I124" s="589"/>
      <c r="J124" s="589"/>
      <c r="K124" s="589"/>
      <c r="N124" s="589"/>
    </row>
    <row r="125" spans="4:14" x14ac:dyDescent="0.2">
      <c r="D125" s="828">
        <v>16</v>
      </c>
      <c r="H125" s="589"/>
      <c r="I125" s="589"/>
      <c r="J125" s="589"/>
      <c r="K125" s="589"/>
      <c r="N125" s="589"/>
    </row>
    <row r="126" spans="4:14" x14ac:dyDescent="0.2">
      <c r="H126" s="589"/>
      <c r="I126" s="589"/>
      <c r="J126" s="589"/>
      <c r="K126" s="589"/>
      <c r="N126" s="589"/>
    </row>
    <row r="127" spans="4:14" x14ac:dyDescent="0.2">
      <c r="H127" s="589"/>
      <c r="I127" s="589"/>
      <c r="J127" s="589"/>
      <c r="K127" s="589"/>
      <c r="N127" s="589"/>
    </row>
    <row r="128" spans="4:14" x14ac:dyDescent="0.2">
      <c r="H128" s="589"/>
      <c r="I128" s="589"/>
      <c r="J128" s="589"/>
      <c r="K128" s="589"/>
      <c r="N128" s="589"/>
    </row>
    <row r="129" spans="8:14" x14ac:dyDescent="0.2">
      <c r="H129" s="589"/>
      <c r="I129" s="589"/>
      <c r="J129" s="589"/>
      <c r="K129" s="589"/>
      <c r="N129" s="589"/>
    </row>
    <row r="130" spans="8:14" x14ac:dyDescent="0.2">
      <c r="H130" s="589"/>
      <c r="I130" s="589"/>
      <c r="J130" s="589"/>
      <c r="K130" s="589"/>
      <c r="N130" s="589"/>
    </row>
  </sheetData>
  <dataValidations count="1">
    <dataValidation type="list" allowBlank="1" showInputMessage="1" showErrorMessage="1" sqref="I37:I42 I25:I30 I13:I18 I49:I54">
      <formula1>$D$83:$D$125</formula1>
    </dataValidation>
  </dataValidations>
  <pageMargins left="0.70866141732283472" right="0.70866141732283472" top="0.74803149606299213" bottom="0.74803149606299213" header="0.31496062992125984" footer="0.31496062992125984"/>
  <pageSetup paperSize="9" scale="50"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dimension ref="B1:M108"/>
  <sheetViews>
    <sheetView showGridLines="0" zoomScale="85" zoomScaleNormal="85" zoomScaleSheetLayoutView="75" workbookViewId="0">
      <pane ySplit="9" topLeftCell="A10" activePane="bottomLeft" state="frozen"/>
      <selection activeCell="A4" sqref="A4:XFD4"/>
      <selection pane="bottomLeft" activeCell="B2" sqref="B2"/>
    </sheetView>
  </sheetViews>
  <sheetFormatPr defaultColWidth="9.140625" defaultRowHeight="12.75" x14ac:dyDescent="0.2"/>
  <cols>
    <col min="1" max="1" width="3.7109375" style="454" customWidth="1"/>
    <col min="2" max="3" width="2.7109375" style="454" customWidth="1"/>
    <col min="4" max="4" width="40.7109375" style="454" customWidth="1"/>
    <col min="5" max="5" width="2.7109375" style="454" customWidth="1"/>
    <col min="6" max="10" width="14.85546875" style="454" customWidth="1"/>
    <col min="11" max="12" width="2.7109375" style="454" customWidth="1"/>
    <col min="13" max="13" width="15.42578125" style="454" customWidth="1"/>
    <col min="14" max="15" width="5.7109375" style="454" customWidth="1"/>
    <col min="16" max="16384" width="9.140625" style="454"/>
  </cols>
  <sheetData>
    <row r="1" spans="2:13" ht="12.75" customHeight="1" x14ac:dyDescent="0.2"/>
    <row r="2" spans="2:13" x14ac:dyDescent="0.2">
      <c r="B2" s="462"/>
      <c r="C2" s="463"/>
      <c r="D2" s="463"/>
      <c r="E2" s="463"/>
      <c r="F2" s="463"/>
      <c r="G2" s="463"/>
      <c r="H2" s="463"/>
      <c r="I2" s="463"/>
      <c r="J2" s="463"/>
      <c r="K2" s="463"/>
      <c r="L2" s="465"/>
    </row>
    <row r="3" spans="2:13" x14ac:dyDescent="0.2">
      <c r="B3" s="466"/>
      <c r="C3" s="467"/>
      <c r="D3" s="467"/>
      <c r="E3" s="467"/>
      <c r="F3" s="467"/>
      <c r="G3" s="467"/>
      <c r="H3" s="467"/>
      <c r="I3" s="467"/>
      <c r="J3" s="467"/>
      <c r="K3" s="467"/>
      <c r="L3" s="469"/>
    </row>
    <row r="4" spans="2:13" s="144" customFormat="1" ht="18.75" x14ac:dyDescent="0.3">
      <c r="B4" s="997"/>
      <c r="C4" s="971" t="s">
        <v>134</v>
      </c>
      <c r="D4" s="971"/>
      <c r="E4" s="145"/>
      <c r="F4" s="549"/>
      <c r="G4" s="549"/>
      <c r="H4" s="145"/>
      <c r="I4" s="145"/>
      <c r="J4" s="145"/>
      <c r="K4" s="145"/>
      <c r="L4" s="151"/>
    </row>
    <row r="5" spans="2:13" ht="18.75" x14ac:dyDescent="0.3">
      <c r="B5" s="72"/>
      <c r="C5" s="74" t="str">
        <f>geg!F11</f>
        <v>Voorbeeld SBO</v>
      </c>
      <c r="D5" s="474"/>
      <c r="E5" s="467"/>
      <c r="F5" s="550"/>
      <c r="G5" s="550"/>
      <c r="H5" s="467"/>
      <c r="I5" s="467"/>
      <c r="J5" s="467"/>
      <c r="K5" s="467"/>
      <c r="L5" s="469"/>
    </row>
    <row r="6" spans="2:13" x14ac:dyDescent="0.2">
      <c r="B6" s="466"/>
      <c r="C6" s="467"/>
      <c r="D6" s="467"/>
      <c r="E6" s="467"/>
      <c r="F6" s="467"/>
      <c r="G6" s="467"/>
      <c r="H6" s="467"/>
      <c r="I6" s="467"/>
      <c r="J6" s="467"/>
      <c r="K6" s="467"/>
      <c r="L6" s="469"/>
    </row>
    <row r="7" spans="2:13" x14ac:dyDescent="0.2">
      <c r="B7" s="466"/>
      <c r="C7" s="467"/>
      <c r="D7" s="467"/>
      <c r="E7" s="467"/>
      <c r="F7" s="467"/>
      <c r="G7" s="467"/>
      <c r="H7" s="467"/>
      <c r="I7" s="467"/>
      <c r="J7" s="467"/>
      <c r="K7" s="467"/>
      <c r="L7" s="469"/>
    </row>
    <row r="8" spans="2:13" s="144" customFormat="1" x14ac:dyDescent="0.2">
      <c r="B8" s="150"/>
      <c r="C8" s="145"/>
      <c r="D8" s="551"/>
      <c r="E8" s="500"/>
      <c r="F8" s="1024">
        <f>tab!D4</f>
        <v>2015</v>
      </c>
      <c r="G8" s="1024">
        <f>tab!E4</f>
        <v>2016</v>
      </c>
      <c r="H8" s="1024">
        <f>G8+1</f>
        <v>2017</v>
      </c>
      <c r="I8" s="1024">
        <f>H8+1</f>
        <v>2018</v>
      </c>
      <c r="J8" s="1024">
        <f>I8+1</f>
        <v>2019</v>
      </c>
      <c r="K8" s="552"/>
      <c r="L8" s="553"/>
      <c r="M8" s="554"/>
    </row>
    <row r="9" spans="2:13" x14ac:dyDescent="0.2">
      <c r="B9" s="466"/>
      <c r="C9" s="467"/>
      <c r="D9" s="467"/>
      <c r="E9" s="221"/>
      <c r="F9" s="467"/>
      <c r="G9" s="467"/>
      <c r="H9" s="467"/>
      <c r="I9" s="467"/>
      <c r="J9" s="467"/>
      <c r="K9" s="555"/>
      <c r="L9" s="556"/>
      <c r="M9" s="557"/>
    </row>
    <row r="10" spans="2:13" x14ac:dyDescent="0.2">
      <c r="B10" s="466"/>
      <c r="C10" s="135"/>
      <c r="D10" s="136"/>
      <c r="E10" s="236"/>
      <c r="F10" s="136"/>
      <c r="G10" s="136"/>
      <c r="H10" s="136"/>
      <c r="I10" s="136"/>
      <c r="J10" s="136"/>
      <c r="K10" s="559"/>
      <c r="L10" s="556"/>
      <c r="M10" s="557"/>
    </row>
    <row r="11" spans="2:13" x14ac:dyDescent="0.2">
      <c r="B11" s="466"/>
      <c r="C11" s="135"/>
      <c r="D11" s="1025" t="s">
        <v>411</v>
      </c>
      <c r="E11" s="236"/>
      <c r="F11" s="136"/>
      <c r="G11" s="136"/>
      <c r="H11" s="136"/>
      <c r="I11" s="136"/>
      <c r="J11" s="136"/>
      <c r="K11" s="559"/>
      <c r="L11" s="556"/>
      <c r="M11" s="557"/>
    </row>
    <row r="12" spans="2:13" x14ac:dyDescent="0.2">
      <c r="B12" s="466"/>
      <c r="C12" s="135"/>
      <c r="D12" s="1026"/>
      <c r="E12" s="236"/>
      <c r="F12" s="136"/>
      <c r="G12" s="136"/>
      <c r="H12" s="136"/>
      <c r="I12" s="136"/>
      <c r="J12" s="136"/>
      <c r="K12" s="559"/>
      <c r="L12" s="556"/>
      <c r="M12" s="557"/>
    </row>
    <row r="13" spans="2:13" x14ac:dyDescent="0.2">
      <c r="B13" s="466"/>
      <c r="C13" s="135"/>
      <c r="D13" s="136" t="s">
        <v>135</v>
      </c>
      <c r="E13" s="236"/>
      <c r="F13" s="136"/>
      <c r="G13" s="136"/>
      <c r="H13" s="136"/>
      <c r="I13" s="136"/>
      <c r="J13" s="136"/>
      <c r="K13" s="559"/>
      <c r="L13" s="556"/>
      <c r="M13" s="557"/>
    </row>
    <row r="14" spans="2:13" x14ac:dyDescent="0.2">
      <c r="B14" s="466"/>
      <c r="C14" s="135"/>
      <c r="D14" s="518" t="s">
        <v>437</v>
      </c>
      <c r="E14" s="136"/>
      <c r="F14" s="957">
        <v>0</v>
      </c>
      <c r="G14" s="992">
        <f>pers!I153+mat!I58</f>
        <v>1480761.5408333335</v>
      </c>
      <c r="H14" s="992">
        <f>pers!J153+mat!J58</f>
        <v>1497509.6558333335</v>
      </c>
      <c r="I14" s="992">
        <f>pers!K153+mat!K58</f>
        <v>1510679.4058333335</v>
      </c>
      <c r="J14" s="992">
        <f>pers!L153+mat!L58</f>
        <v>1523849.1558333335</v>
      </c>
      <c r="K14" s="487"/>
      <c r="L14" s="469"/>
    </row>
    <row r="15" spans="2:13" ht="12" customHeight="1" x14ac:dyDescent="0.2">
      <c r="B15" s="466"/>
      <c r="C15" s="135"/>
      <c r="D15" s="518" t="s">
        <v>438</v>
      </c>
      <c r="E15" s="136"/>
      <c r="F15" s="957">
        <v>0</v>
      </c>
      <c r="G15" s="1169">
        <f>pers!I154+mat!I70</f>
        <v>0</v>
      </c>
      <c r="H15" s="1169">
        <f>pers!J154+mat!J70</f>
        <v>0</v>
      </c>
      <c r="I15" s="1169">
        <f>pers!K154+mat!K70</f>
        <v>0</v>
      </c>
      <c r="J15" s="1169">
        <f>pers!L154+mat!L70</f>
        <v>0</v>
      </c>
      <c r="K15" s="487"/>
      <c r="L15" s="469"/>
    </row>
    <row r="16" spans="2:13" ht="12" customHeight="1" x14ac:dyDescent="0.2">
      <c r="B16" s="466"/>
      <c r="C16" s="135"/>
      <c r="D16" s="518" t="s">
        <v>439</v>
      </c>
      <c r="E16" s="136"/>
      <c r="F16" s="957">
        <v>0</v>
      </c>
      <c r="G16" s="992">
        <v>0</v>
      </c>
      <c r="H16" s="992">
        <v>0</v>
      </c>
      <c r="I16" s="992">
        <v>0</v>
      </c>
      <c r="J16" s="992">
        <v>0</v>
      </c>
      <c r="K16" s="487"/>
      <c r="L16" s="469"/>
    </row>
    <row r="17" spans="2:12" ht="12" customHeight="1" x14ac:dyDescent="0.2">
      <c r="B17" s="466"/>
      <c r="C17" s="135"/>
      <c r="D17" s="518" t="s">
        <v>440</v>
      </c>
      <c r="E17" s="136"/>
      <c r="F17" s="957">
        <v>0</v>
      </c>
      <c r="G17" s="992">
        <f>pers!I155+mat!I82</f>
        <v>0</v>
      </c>
      <c r="H17" s="992">
        <f>pers!J155+mat!J82</f>
        <v>0</v>
      </c>
      <c r="I17" s="992">
        <f>pers!K155+mat!K82</f>
        <v>0</v>
      </c>
      <c r="J17" s="992">
        <f>pers!L155+mat!L82</f>
        <v>0</v>
      </c>
      <c r="K17" s="487"/>
      <c r="L17" s="469"/>
    </row>
    <row r="18" spans="2:12" ht="12" customHeight="1" x14ac:dyDescent="0.2">
      <c r="B18" s="466"/>
      <c r="C18" s="135"/>
      <c r="D18" s="518" t="s">
        <v>441</v>
      </c>
      <c r="E18" s="136"/>
      <c r="F18" s="957">
        <v>0</v>
      </c>
      <c r="G18" s="992">
        <f>pers!I158+mat!I90-mat!I82</f>
        <v>0</v>
      </c>
      <c r="H18" s="992">
        <f>pers!J158+mat!J90-mat!J82</f>
        <v>0</v>
      </c>
      <c r="I18" s="992">
        <f>pers!K158+mat!K90-mat!K82</f>
        <v>0</v>
      </c>
      <c r="J18" s="992">
        <f>pers!L158+mat!L90-mat!L82</f>
        <v>0</v>
      </c>
      <c r="K18" s="487"/>
      <c r="L18" s="469"/>
    </row>
    <row r="19" spans="2:12" x14ac:dyDescent="0.2">
      <c r="B19" s="466"/>
      <c r="C19" s="135"/>
      <c r="D19" s="522"/>
      <c r="E19" s="534"/>
      <c r="F19" s="1049">
        <f t="shared" ref="F19:J19" si="0">SUM(F14:F18)</f>
        <v>0</v>
      </c>
      <c r="G19" s="1049">
        <f t="shared" si="0"/>
        <v>1480761.5408333335</v>
      </c>
      <c r="H19" s="1049">
        <f t="shared" si="0"/>
        <v>1497509.6558333335</v>
      </c>
      <c r="I19" s="1049">
        <f t="shared" si="0"/>
        <v>1510679.4058333335</v>
      </c>
      <c r="J19" s="1049">
        <f t="shared" si="0"/>
        <v>1523849.1558333335</v>
      </c>
      <c r="K19" s="487"/>
      <c r="L19" s="469"/>
    </row>
    <row r="20" spans="2:12" x14ac:dyDescent="0.2">
      <c r="B20" s="560"/>
      <c r="C20" s="561"/>
      <c r="D20" s="136" t="s">
        <v>57</v>
      </c>
      <c r="E20" s="534"/>
      <c r="F20" s="562"/>
      <c r="G20" s="562"/>
      <c r="H20" s="562"/>
      <c r="I20" s="562"/>
      <c r="J20" s="562"/>
      <c r="K20" s="487"/>
      <c r="L20" s="469"/>
    </row>
    <row r="21" spans="2:12" hidden="1" x14ac:dyDescent="0.2">
      <c r="B21" s="466"/>
      <c r="C21" s="135"/>
      <c r="D21" s="576" t="s">
        <v>14</v>
      </c>
      <c r="E21" s="528"/>
      <c r="F21" s="863">
        <f>pers!H163</f>
        <v>0</v>
      </c>
      <c r="G21" s="863">
        <f>pers!I163</f>
        <v>171630.77725135625</v>
      </c>
      <c r="H21" s="863">
        <f>pers!J163</f>
        <v>176765.11819168177</v>
      </c>
      <c r="I21" s="863">
        <f>pers!K163</f>
        <v>182004.04329113927</v>
      </c>
      <c r="J21" s="863">
        <f>pers!L163</f>
        <v>187301.65005424956</v>
      </c>
      <c r="K21" s="487"/>
      <c r="L21" s="469"/>
    </row>
    <row r="22" spans="2:12" hidden="1" x14ac:dyDescent="0.2">
      <c r="B22" s="466"/>
      <c r="C22" s="135"/>
      <c r="D22" s="862" t="s">
        <v>103</v>
      </c>
      <c r="E22" s="528"/>
      <c r="F22" s="863">
        <f>pers!H164</f>
        <v>0</v>
      </c>
      <c r="G22" s="863">
        <f>pers!I164</f>
        <v>0</v>
      </c>
      <c r="H22" s="863">
        <f>pers!J164</f>
        <v>0</v>
      </c>
      <c r="I22" s="863">
        <f>pers!K164</f>
        <v>0</v>
      </c>
      <c r="J22" s="863">
        <f>pers!L164</f>
        <v>0</v>
      </c>
      <c r="K22" s="487"/>
      <c r="L22" s="469"/>
    </row>
    <row r="23" spans="2:12" x14ac:dyDescent="0.2">
      <c r="B23" s="466"/>
      <c r="C23" s="135"/>
      <c r="D23" s="563" t="s">
        <v>442</v>
      </c>
      <c r="E23" s="528"/>
      <c r="F23" s="957">
        <v>0</v>
      </c>
      <c r="G23" s="1169">
        <f>SUM(G21:G22)</f>
        <v>171630.77725135625</v>
      </c>
      <c r="H23" s="1169">
        <f>SUM(H21:H22)</f>
        <v>176765.11819168177</v>
      </c>
      <c r="I23" s="1169">
        <f>SUM(I21:I22)</f>
        <v>182004.04329113927</v>
      </c>
      <c r="J23" s="1169">
        <f>SUM(J21:J22)</f>
        <v>187301.65005424956</v>
      </c>
      <c r="K23" s="487"/>
      <c r="L23" s="469"/>
    </row>
    <row r="24" spans="2:12" x14ac:dyDescent="0.2">
      <c r="B24" s="466"/>
      <c r="C24" s="135"/>
      <c r="D24" s="136" t="s">
        <v>443</v>
      </c>
      <c r="E24" s="136"/>
      <c r="F24" s="1169">
        <f>act!F50</f>
        <v>0</v>
      </c>
      <c r="G24" s="1169">
        <f>act!G50</f>
        <v>0</v>
      </c>
      <c r="H24" s="1169">
        <f>act!H50</f>
        <v>0</v>
      </c>
      <c r="I24" s="1169">
        <f>act!I50</f>
        <v>0</v>
      </c>
      <c r="J24" s="1169">
        <f>act!J50</f>
        <v>0</v>
      </c>
      <c r="K24" s="487"/>
      <c r="L24" s="469"/>
    </row>
    <row r="25" spans="2:12" x14ac:dyDescent="0.2">
      <c r="B25" s="466"/>
      <c r="C25" s="135"/>
      <c r="D25" s="136" t="s">
        <v>444</v>
      </c>
      <c r="E25" s="136"/>
      <c r="F25" s="1169">
        <f>mat!H130</f>
        <v>0</v>
      </c>
      <c r="G25" s="1169">
        <f>mat!I130</f>
        <v>0</v>
      </c>
      <c r="H25" s="1169">
        <f>mat!J130</f>
        <v>0</v>
      </c>
      <c r="I25" s="1169">
        <f>mat!K130</f>
        <v>0</v>
      </c>
      <c r="J25" s="1169">
        <f>mat!L130</f>
        <v>0</v>
      </c>
      <c r="K25" s="487"/>
      <c r="L25" s="469"/>
    </row>
    <row r="26" spans="2:12" x14ac:dyDescent="0.2">
      <c r="B26" s="466"/>
      <c r="C26" s="135"/>
      <c r="D26" s="136" t="s">
        <v>445</v>
      </c>
      <c r="E26" s="136"/>
      <c r="F26" s="992">
        <f>mat!H172</f>
        <v>0</v>
      </c>
      <c r="G26" s="992">
        <f>mat!I172</f>
        <v>0</v>
      </c>
      <c r="H26" s="992">
        <f>mat!J172</f>
        <v>0</v>
      </c>
      <c r="I26" s="992">
        <f>mat!K172</f>
        <v>0</v>
      </c>
      <c r="J26" s="992">
        <f>mat!L172</f>
        <v>0</v>
      </c>
      <c r="K26" s="487"/>
      <c r="L26" s="469"/>
    </row>
    <row r="27" spans="2:12" x14ac:dyDescent="0.2">
      <c r="B27" s="466"/>
      <c r="C27" s="135"/>
      <c r="D27" s="522"/>
      <c r="E27" s="136"/>
      <c r="F27" s="1049">
        <f t="shared" ref="F27:J27" si="1">SUM(F23:F26)</f>
        <v>0</v>
      </c>
      <c r="G27" s="1049">
        <f t="shared" si="1"/>
        <v>171630.77725135625</v>
      </c>
      <c r="H27" s="1049">
        <f t="shared" si="1"/>
        <v>176765.11819168177</v>
      </c>
      <c r="I27" s="1049">
        <f t="shared" si="1"/>
        <v>182004.04329113927</v>
      </c>
      <c r="J27" s="1049">
        <f t="shared" si="1"/>
        <v>187301.65005424956</v>
      </c>
      <c r="K27" s="487"/>
      <c r="L27" s="469"/>
    </row>
    <row r="28" spans="2:12" x14ac:dyDescent="0.2">
      <c r="B28" s="466"/>
      <c r="C28" s="135"/>
      <c r="D28" s="564"/>
      <c r="E28" s="528"/>
      <c r="F28" s="565"/>
      <c r="G28" s="565"/>
      <c r="H28" s="565"/>
      <c r="I28" s="565"/>
      <c r="J28" s="565"/>
      <c r="K28" s="487"/>
      <c r="L28" s="469"/>
    </row>
    <row r="29" spans="2:12" x14ac:dyDescent="0.2">
      <c r="B29" s="532"/>
      <c r="C29" s="533"/>
      <c r="D29" s="522" t="s">
        <v>136</v>
      </c>
      <c r="E29" s="528"/>
      <c r="F29" s="1046">
        <f t="shared" ref="F29:J29" si="2">F19-F27</f>
        <v>0</v>
      </c>
      <c r="G29" s="1046">
        <f t="shared" si="2"/>
        <v>1309130.7635819772</v>
      </c>
      <c r="H29" s="1046">
        <f t="shared" si="2"/>
        <v>1320744.5376416517</v>
      </c>
      <c r="I29" s="1046">
        <f t="shared" si="2"/>
        <v>1328675.3625421943</v>
      </c>
      <c r="J29" s="1046">
        <f t="shared" si="2"/>
        <v>1336547.5057790838</v>
      </c>
      <c r="K29" s="487"/>
      <c r="L29" s="469"/>
    </row>
    <row r="30" spans="2:12" x14ac:dyDescent="0.2">
      <c r="B30" s="466"/>
      <c r="C30" s="491"/>
      <c r="D30" s="566"/>
      <c r="E30" s="567"/>
      <c r="F30" s="568"/>
      <c r="G30" s="568"/>
      <c r="H30" s="568"/>
      <c r="I30" s="568"/>
      <c r="J30" s="568"/>
      <c r="K30" s="494"/>
      <c r="L30" s="469"/>
    </row>
    <row r="31" spans="2:12" x14ac:dyDescent="0.2">
      <c r="B31" s="466"/>
      <c r="C31" s="467"/>
      <c r="D31" s="569"/>
      <c r="E31" s="570"/>
      <c r="F31" s="571"/>
      <c r="G31" s="571"/>
      <c r="H31" s="571"/>
      <c r="I31" s="571"/>
      <c r="J31" s="571"/>
      <c r="K31" s="467"/>
      <c r="L31" s="469"/>
    </row>
    <row r="32" spans="2:12" x14ac:dyDescent="0.2">
      <c r="B32" s="466"/>
      <c r="C32" s="479"/>
      <c r="D32" s="572"/>
      <c r="E32" s="573"/>
      <c r="F32" s="574"/>
      <c r="G32" s="574"/>
      <c r="H32" s="574"/>
      <c r="I32" s="574"/>
      <c r="J32" s="574"/>
      <c r="K32" s="482"/>
      <c r="L32" s="469"/>
    </row>
    <row r="33" spans="2:12" x14ac:dyDescent="0.2">
      <c r="B33" s="466"/>
      <c r="C33" s="135"/>
      <c r="D33" s="1035" t="s">
        <v>411</v>
      </c>
      <c r="E33" s="528"/>
      <c r="F33" s="575"/>
      <c r="G33" s="575"/>
      <c r="H33" s="575"/>
      <c r="I33" s="575"/>
      <c r="J33" s="575"/>
      <c r="K33" s="487"/>
      <c r="L33" s="469"/>
    </row>
    <row r="34" spans="2:12" x14ac:dyDescent="0.2">
      <c r="B34" s="466"/>
      <c r="C34" s="135"/>
      <c r="D34" s="576"/>
      <c r="E34" s="528"/>
      <c r="F34" s="575"/>
      <c r="G34" s="575"/>
      <c r="H34" s="575"/>
      <c r="I34" s="575"/>
      <c r="J34" s="575"/>
      <c r="K34" s="487"/>
      <c r="L34" s="469"/>
    </row>
    <row r="35" spans="2:12" x14ac:dyDescent="0.2">
      <c r="B35" s="466"/>
      <c r="C35" s="135"/>
      <c r="D35" s="518" t="s">
        <v>446</v>
      </c>
      <c r="E35" s="528"/>
      <c r="F35" s="577">
        <v>0</v>
      </c>
      <c r="G35" s="577">
        <v>0</v>
      </c>
      <c r="H35" s="577">
        <v>0</v>
      </c>
      <c r="I35" s="577">
        <v>0</v>
      </c>
      <c r="J35" s="577">
        <v>0</v>
      </c>
      <c r="K35" s="487"/>
      <c r="L35" s="469"/>
    </row>
    <row r="36" spans="2:12" x14ac:dyDescent="0.2">
      <c r="B36" s="466"/>
      <c r="C36" s="135"/>
      <c r="D36" s="518" t="s">
        <v>447</v>
      </c>
      <c r="E36" s="528"/>
      <c r="F36" s="577">
        <v>0</v>
      </c>
      <c r="G36" s="577">
        <v>0</v>
      </c>
      <c r="H36" s="577">
        <v>0</v>
      </c>
      <c r="I36" s="577">
        <v>0</v>
      </c>
      <c r="J36" s="577">
        <v>0</v>
      </c>
      <c r="K36" s="487"/>
      <c r="L36" s="469"/>
    </row>
    <row r="37" spans="2:12" x14ac:dyDescent="0.2">
      <c r="B37" s="466"/>
      <c r="C37" s="135"/>
      <c r="D37" s="518"/>
      <c r="E37" s="528"/>
      <c r="F37" s="575"/>
      <c r="G37" s="575"/>
      <c r="H37" s="575"/>
      <c r="I37" s="575"/>
      <c r="J37" s="575"/>
      <c r="K37" s="487"/>
      <c r="L37" s="469"/>
    </row>
    <row r="38" spans="2:12" s="453" customFormat="1" x14ac:dyDescent="0.2">
      <c r="B38" s="532"/>
      <c r="C38" s="533"/>
      <c r="D38" s="522" t="s">
        <v>137</v>
      </c>
      <c r="E38" s="534"/>
      <c r="F38" s="1046">
        <f t="shared" ref="F38:J38" si="3">F35-F36</f>
        <v>0</v>
      </c>
      <c r="G38" s="1046">
        <f t="shared" si="3"/>
        <v>0</v>
      </c>
      <c r="H38" s="1046">
        <f t="shared" si="3"/>
        <v>0</v>
      </c>
      <c r="I38" s="1046">
        <f t="shared" si="3"/>
        <v>0</v>
      </c>
      <c r="J38" s="1046">
        <f t="shared" si="3"/>
        <v>0</v>
      </c>
      <c r="K38" s="535"/>
      <c r="L38" s="536"/>
    </row>
    <row r="39" spans="2:12" x14ac:dyDescent="0.2">
      <c r="B39" s="466"/>
      <c r="C39" s="135"/>
      <c r="D39" s="518"/>
      <c r="E39" s="528"/>
      <c r="F39" s="575"/>
      <c r="G39" s="575"/>
      <c r="H39" s="575"/>
      <c r="I39" s="575"/>
      <c r="J39" s="575"/>
      <c r="K39" s="487"/>
      <c r="L39" s="469"/>
    </row>
    <row r="40" spans="2:12" x14ac:dyDescent="0.2">
      <c r="B40" s="466"/>
      <c r="C40" s="467"/>
      <c r="D40" s="569"/>
      <c r="E40" s="570"/>
      <c r="F40" s="571"/>
      <c r="G40" s="571"/>
      <c r="H40" s="571"/>
      <c r="I40" s="571"/>
      <c r="J40" s="571"/>
      <c r="K40" s="467"/>
      <c r="L40" s="469"/>
    </row>
    <row r="41" spans="2:12" x14ac:dyDescent="0.2">
      <c r="B41" s="466"/>
      <c r="C41" s="135"/>
      <c r="D41" s="518"/>
      <c r="E41" s="528"/>
      <c r="F41" s="575"/>
      <c r="G41" s="575"/>
      <c r="H41" s="575"/>
      <c r="I41" s="575"/>
      <c r="J41" s="575"/>
      <c r="K41" s="487"/>
      <c r="L41" s="469"/>
    </row>
    <row r="42" spans="2:12" s="453" customFormat="1" x14ac:dyDescent="0.2">
      <c r="B42" s="532"/>
      <c r="C42" s="533"/>
      <c r="D42" s="1035" t="s">
        <v>143</v>
      </c>
      <c r="E42" s="534"/>
      <c r="F42" s="1046">
        <f t="shared" ref="F42:J42" si="4">F29+F38</f>
        <v>0</v>
      </c>
      <c r="G42" s="1046">
        <f t="shared" si="4"/>
        <v>1309130.7635819772</v>
      </c>
      <c r="H42" s="1046">
        <f t="shared" si="4"/>
        <v>1320744.5376416517</v>
      </c>
      <c r="I42" s="1046">
        <f t="shared" si="4"/>
        <v>1328675.3625421943</v>
      </c>
      <c r="J42" s="1046">
        <f t="shared" si="4"/>
        <v>1336547.5057790838</v>
      </c>
      <c r="K42" s="535"/>
      <c r="L42" s="536"/>
    </row>
    <row r="43" spans="2:12" x14ac:dyDescent="0.2">
      <c r="B43" s="466"/>
      <c r="C43" s="135"/>
      <c r="D43" s="518"/>
      <c r="E43" s="528"/>
      <c r="F43" s="575"/>
      <c r="G43" s="575"/>
      <c r="H43" s="575"/>
      <c r="I43" s="575"/>
      <c r="J43" s="575"/>
      <c r="K43" s="487"/>
      <c r="L43" s="469"/>
    </row>
    <row r="44" spans="2:12" x14ac:dyDescent="0.2">
      <c r="B44" s="466"/>
      <c r="C44" s="467"/>
      <c r="D44" s="569"/>
      <c r="E44" s="570"/>
      <c r="F44" s="571"/>
      <c r="G44" s="571"/>
      <c r="H44" s="571"/>
      <c r="I44" s="571"/>
      <c r="J44" s="571"/>
      <c r="K44" s="467"/>
      <c r="L44" s="469"/>
    </row>
    <row r="45" spans="2:12" x14ac:dyDescent="0.2">
      <c r="B45" s="466"/>
      <c r="C45" s="467"/>
      <c r="D45" s="569"/>
      <c r="E45" s="570"/>
      <c r="F45" s="571"/>
      <c r="G45" s="571"/>
      <c r="H45" s="571"/>
      <c r="I45" s="571"/>
      <c r="J45" s="571"/>
      <c r="K45" s="467"/>
      <c r="L45" s="469"/>
    </row>
    <row r="46" spans="2:12" x14ac:dyDescent="0.2">
      <c r="B46" s="466"/>
      <c r="C46" s="135"/>
      <c r="D46" s="136"/>
      <c r="E46" s="136"/>
      <c r="F46" s="578"/>
      <c r="G46" s="578"/>
      <c r="H46" s="578"/>
      <c r="I46" s="578"/>
      <c r="J46" s="578"/>
      <c r="K46" s="579"/>
      <c r="L46" s="469"/>
    </row>
    <row r="47" spans="2:12" s="144" customFormat="1" x14ac:dyDescent="0.2">
      <c r="B47" s="150"/>
      <c r="C47" s="139"/>
      <c r="D47" s="1025" t="s">
        <v>140</v>
      </c>
      <c r="E47" s="140"/>
      <c r="F47" s="580"/>
      <c r="G47" s="580"/>
      <c r="H47" s="580"/>
      <c r="I47" s="580"/>
      <c r="J47" s="580"/>
      <c r="K47" s="581"/>
      <c r="L47" s="151"/>
    </row>
    <row r="48" spans="2:12" x14ac:dyDescent="0.2">
      <c r="B48" s="466"/>
      <c r="C48" s="135"/>
      <c r="D48" s="136"/>
      <c r="E48" s="136"/>
      <c r="F48" s="578"/>
      <c r="G48" s="578"/>
      <c r="H48" s="578"/>
      <c r="I48" s="578"/>
      <c r="J48" s="578"/>
      <c r="K48" s="579"/>
      <c r="L48" s="469"/>
    </row>
    <row r="49" spans="2:12" x14ac:dyDescent="0.2">
      <c r="B49" s="466"/>
      <c r="C49" s="135"/>
      <c r="D49" s="136" t="s">
        <v>141</v>
      </c>
      <c r="E49" s="136"/>
      <c r="F49" s="577">
        <v>0</v>
      </c>
      <c r="G49" s="986">
        <f>pers!I159</f>
        <v>0</v>
      </c>
      <c r="H49" s="986">
        <f>pers!J159</f>
        <v>0</v>
      </c>
      <c r="I49" s="986">
        <f>pers!K159</f>
        <v>0</v>
      </c>
      <c r="J49" s="986">
        <f>pers!L159</f>
        <v>0</v>
      </c>
      <c r="K49" s="579"/>
      <c r="L49" s="469"/>
    </row>
    <row r="50" spans="2:12" x14ac:dyDescent="0.2">
      <c r="B50" s="466"/>
      <c r="C50" s="135"/>
      <c r="D50" s="136" t="s">
        <v>142</v>
      </c>
      <c r="E50" s="136"/>
      <c r="F50" s="577">
        <v>0</v>
      </c>
      <c r="G50" s="986">
        <f>mat!I55</f>
        <v>0</v>
      </c>
      <c r="H50" s="986">
        <f>mat!J55</f>
        <v>0</v>
      </c>
      <c r="I50" s="986">
        <f>mat!K55</f>
        <v>0</v>
      </c>
      <c r="J50" s="986">
        <f>mat!L55</f>
        <v>0</v>
      </c>
      <c r="K50" s="579"/>
      <c r="L50" s="469"/>
    </row>
    <row r="51" spans="2:12" x14ac:dyDescent="0.2">
      <c r="B51" s="466"/>
      <c r="C51" s="135"/>
      <c r="D51" s="534"/>
      <c r="E51" s="136"/>
      <c r="F51" s="1166">
        <f t="shared" ref="F51:J51" si="5">SUM(F49:F50)</f>
        <v>0</v>
      </c>
      <c r="G51" s="1166">
        <f t="shared" si="5"/>
        <v>0</v>
      </c>
      <c r="H51" s="1166">
        <f t="shared" si="5"/>
        <v>0</v>
      </c>
      <c r="I51" s="1166">
        <f t="shared" si="5"/>
        <v>0</v>
      </c>
      <c r="J51" s="1166">
        <f t="shared" si="5"/>
        <v>0</v>
      </c>
      <c r="K51" s="579"/>
      <c r="L51" s="469"/>
    </row>
    <row r="52" spans="2:12" x14ac:dyDescent="0.2">
      <c r="B52" s="466"/>
      <c r="C52" s="491"/>
      <c r="D52" s="492"/>
      <c r="E52" s="492"/>
      <c r="F52" s="582"/>
      <c r="G52" s="582"/>
      <c r="H52" s="582"/>
      <c r="I52" s="582"/>
      <c r="J52" s="582"/>
      <c r="K52" s="583"/>
      <c r="L52" s="469"/>
    </row>
    <row r="53" spans="2:12" x14ac:dyDescent="0.2">
      <c r="B53" s="466"/>
      <c r="C53" s="467"/>
      <c r="D53" s="584"/>
      <c r="E53" s="467"/>
      <c r="F53" s="585"/>
      <c r="G53" s="585"/>
      <c r="H53" s="585"/>
      <c r="I53" s="585"/>
      <c r="J53" s="585"/>
      <c r="K53" s="467"/>
      <c r="L53" s="469"/>
    </row>
    <row r="54" spans="2:12" ht="15" x14ac:dyDescent="0.25">
      <c r="B54" s="496"/>
      <c r="C54" s="497"/>
      <c r="D54" s="586"/>
      <c r="E54" s="497"/>
      <c r="F54" s="587"/>
      <c r="G54" s="587"/>
      <c r="H54" s="587"/>
      <c r="I54" s="587"/>
      <c r="J54" s="587"/>
      <c r="K54" s="89" t="s">
        <v>410</v>
      </c>
      <c r="L54" s="498"/>
    </row>
    <row r="55" spans="2:12" x14ac:dyDescent="0.2">
      <c r="D55" s="488"/>
      <c r="F55" s="588"/>
      <c r="G55" s="588"/>
      <c r="H55" s="588"/>
      <c r="I55" s="588"/>
      <c r="J55" s="588"/>
    </row>
    <row r="56" spans="2:12" x14ac:dyDescent="0.2">
      <c r="I56" s="589"/>
    </row>
    <row r="57" spans="2:12" x14ac:dyDescent="0.2">
      <c r="I57" s="589"/>
    </row>
    <row r="58" spans="2:12" x14ac:dyDescent="0.2">
      <c r="I58" s="589"/>
    </row>
    <row r="59" spans="2:12" x14ac:dyDescent="0.2">
      <c r="I59" s="589"/>
    </row>
    <row r="60" spans="2:12" x14ac:dyDescent="0.2">
      <c r="C60" s="1129"/>
      <c r="D60" s="1130"/>
      <c r="E60" s="1039"/>
      <c r="F60" s="1039" t="str">
        <f>tab!D2</f>
        <v>2015/16</v>
      </c>
      <c r="G60" s="1039" t="str">
        <f>tab!E2</f>
        <v>2016/17</v>
      </c>
      <c r="H60" s="1039" t="str">
        <f>tab!F2</f>
        <v>2017/18</v>
      </c>
      <c r="I60" s="1039" t="str">
        <f>tab!G2</f>
        <v>2018/19</v>
      </c>
      <c r="J60" s="1039" t="str">
        <f>tab!H2</f>
        <v>2019/20</v>
      </c>
    </row>
    <row r="61" spans="2:12" x14ac:dyDescent="0.2">
      <c r="C61" s="1028" t="s">
        <v>112</v>
      </c>
      <c r="D61" s="1040"/>
      <c r="E61" s="1103"/>
      <c r="F61" s="1131"/>
      <c r="G61" s="1131"/>
      <c r="H61" s="1131"/>
      <c r="I61" s="1131"/>
      <c r="J61" s="1040"/>
    </row>
    <row r="62" spans="2:12" x14ac:dyDescent="0.2">
      <c r="C62" s="1109" t="s">
        <v>138</v>
      </c>
      <c r="D62" s="1040"/>
      <c r="E62" s="1103"/>
      <c r="F62" s="1131">
        <f>pers!H64+mat!H192</f>
        <v>1469921.4658333333</v>
      </c>
      <c r="G62" s="1131">
        <f>pers!I64+mat!I192</f>
        <v>1492022.26</v>
      </c>
      <c r="H62" s="1131">
        <f>pers!J64+mat!J192</f>
        <v>1505192.01</v>
      </c>
      <c r="I62" s="1131">
        <f>pers!K64+mat!K192</f>
        <v>1518361.76</v>
      </c>
      <c r="J62" s="1131">
        <f>pers!L64+mat!L192</f>
        <v>1531531.51</v>
      </c>
    </row>
    <row r="63" spans="2:12" x14ac:dyDescent="0.2">
      <c r="C63" s="1109" t="s">
        <v>93</v>
      </c>
      <c r="D63" s="1040"/>
      <c r="E63" s="1103"/>
      <c r="F63" s="1131">
        <f>pers!H77+mat!H193</f>
        <v>0</v>
      </c>
      <c r="G63" s="1131">
        <f>pers!I77+mat!I193</f>
        <v>0</v>
      </c>
      <c r="H63" s="1131">
        <f>pers!J77+mat!J193</f>
        <v>0</v>
      </c>
      <c r="I63" s="1131">
        <f>pers!K77+mat!K193</f>
        <v>0</v>
      </c>
      <c r="J63" s="1131">
        <f>pers!L77+mat!L193</f>
        <v>0</v>
      </c>
    </row>
    <row r="64" spans="2:12" x14ac:dyDescent="0.2">
      <c r="C64" s="1109" t="s">
        <v>139</v>
      </c>
      <c r="D64" s="1040"/>
      <c r="E64" s="1103"/>
      <c r="F64" s="1131">
        <v>0</v>
      </c>
      <c r="G64" s="1131">
        <v>0</v>
      </c>
      <c r="H64" s="1131">
        <v>0</v>
      </c>
      <c r="I64" s="1131">
        <v>0</v>
      </c>
      <c r="J64" s="1131">
        <v>0</v>
      </c>
    </row>
    <row r="65" spans="3:10" x14ac:dyDescent="0.2">
      <c r="C65" s="1109" t="s">
        <v>100</v>
      </c>
      <c r="D65" s="1040"/>
      <c r="E65" s="1103"/>
      <c r="F65" s="1131">
        <f>pers!H88+mat!H194</f>
        <v>0</v>
      </c>
      <c r="G65" s="1131">
        <f>pers!I88+mat!I194</f>
        <v>0</v>
      </c>
      <c r="H65" s="1131">
        <f>pers!J88+mat!J194</f>
        <v>0</v>
      </c>
      <c r="I65" s="1131">
        <f>pers!K88+mat!K194</f>
        <v>0</v>
      </c>
      <c r="J65" s="1131">
        <f>pers!L88+mat!L194</f>
        <v>0</v>
      </c>
    </row>
    <row r="66" spans="3:10" x14ac:dyDescent="0.2">
      <c r="C66" s="1109" t="s">
        <v>264</v>
      </c>
      <c r="D66" s="1040"/>
      <c r="E66" s="1103"/>
      <c r="F66" s="1131">
        <f>pers!H97-pers!H88+mat!H195</f>
        <v>0</v>
      </c>
      <c r="G66" s="1131">
        <f>pers!I97-pers!I88+mat!I195</f>
        <v>0</v>
      </c>
      <c r="H66" s="1131">
        <f>pers!J97-pers!J88+mat!J195</f>
        <v>0</v>
      </c>
      <c r="I66" s="1131">
        <f>pers!K97-pers!K88+mat!K195</f>
        <v>0</v>
      </c>
      <c r="J66" s="1131">
        <f>pers!L97-pers!L88+mat!L195</f>
        <v>0</v>
      </c>
    </row>
    <row r="67" spans="3:10" x14ac:dyDescent="0.2">
      <c r="C67" s="1132"/>
      <c r="D67" s="1040"/>
      <c r="E67" s="1103"/>
      <c r="F67" s="1133">
        <f>SUM(F62:F66)</f>
        <v>1469921.4658333333</v>
      </c>
      <c r="G67" s="1133">
        <f>SUM(G62:G66)</f>
        <v>1492022.26</v>
      </c>
      <c r="H67" s="1133">
        <f>SUM(H62:H66)</f>
        <v>1505192.01</v>
      </c>
      <c r="I67" s="1133">
        <f>SUM(I62:I66)</f>
        <v>1518361.76</v>
      </c>
      <c r="J67" s="1133">
        <f>SUM(J62:J66)</f>
        <v>1531531.51</v>
      </c>
    </row>
    <row r="68" spans="3:10" x14ac:dyDescent="0.2">
      <c r="C68" s="1028" t="s">
        <v>57</v>
      </c>
      <c r="D68" s="1040"/>
      <c r="E68" s="1103"/>
      <c r="F68" s="1131"/>
      <c r="G68" s="1131"/>
      <c r="H68" s="1131"/>
      <c r="I68" s="1131"/>
      <c r="J68" s="1040"/>
    </row>
    <row r="69" spans="3:10" x14ac:dyDescent="0.2">
      <c r="C69" s="1040" t="s">
        <v>528</v>
      </c>
      <c r="D69" s="1040"/>
      <c r="E69" s="1103"/>
      <c r="F69" s="1131">
        <f>pers!H138</f>
        <v>169515.09352622062</v>
      </c>
      <c r="G69" s="1131">
        <f>pers!I138</f>
        <v>174592.73446654613</v>
      </c>
      <c r="H69" s="1131">
        <f>pers!J138</f>
        <v>179806.45540687162</v>
      </c>
      <c r="I69" s="1131">
        <f>pers!K138</f>
        <v>185080.66632911394</v>
      </c>
      <c r="J69" s="1131">
        <f>pers!L138</f>
        <v>190411.02726943942</v>
      </c>
    </row>
    <row r="70" spans="3:10" x14ac:dyDescent="0.2">
      <c r="C70" s="1040" t="s">
        <v>266</v>
      </c>
      <c r="D70" s="1040"/>
      <c r="E70" s="1103"/>
      <c r="F70" s="1131">
        <f>mat!H198</f>
        <v>0</v>
      </c>
      <c r="G70" s="1131">
        <f>mat!I198</f>
        <v>0</v>
      </c>
      <c r="H70" s="1131">
        <f>mat!J198</f>
        <v>0</v>
      </c>
      <c r="I70" s="1131">
        <f>mat!K198</f>
        <v>0</v>
      </c>
      <c r="J70" s="1131">
        <f>mat!L198</f>
        <v>0</v>
      </c>
    </row>
    <row r="71" spans="3:10" x14ac:dyDescent="0.2">
      <c r="C71" s="1040" t="s">
        <v>267</v>
      </c>
      <c r="D71" s="1040"/>
      <c r="E71" s="1103"/>
      <c r="F71" s="1131">
        <f>mat!H199</f>
        <v>0</v>
      </c>
      <c r="G71" s="1131">
        <f>mat!I199</f>
        <v>0</v>
      </c>
      <c r="H71" s="1131">
        <f>mat!J199</f>
        <v>0</v>
      </c>
      <c r="I71" s="1131">
        <f>mat!K199</f>
        <v>0</v>
      </c>
      <c r="J71" s="1131">
        <f>mat!L199</f>
        <v>0</v>
      </c>
    </row>
    <row r="72" spans="3:10" x14ac:dyDescent="0.2">
      <c r="C72" s="1040" t="s">
        <v>147</v>
      </c>
      <c r="D72" s="1040"/>
      <c r="E72" s="1103"/>
      <c r="F72" s="1131">
        <f>mat!H200</f>
        <v>0</v>
      </c>
      <c r="G72" s="1131">
        <f>mat!I200</f>
        <v>0</v>
      </c>
      <c r="H72" s="1131">
        <f>mat!J200</f>
        <v>0</v>
      </c>
      <c r="I72" s="1131">
        <f>mat!K200</f>
        <v>0</v>
      </c>
      <c r="J72" s="1131">
        <f>mat!L200</f>
        <v>0</v>
      </c>
    </row>
    <row r="73" spans="3:10" x14ac:dyDescent="0.2">
      <c r="C73" s="1132"/>
      <c r="D73" s="1040"/>
      <c r="E73" s="1103"/>
      <c r="F73" s="1133">
        <f>SUM(F70:F72)</f>
        <v>0</v>
      </c>
      <c r="G73" s="1133">
        <f>SUM(G70:G72)</f>
        <v>0</v>
      </c>
      <c r="H73" s="1133">
        <f>SUM(H70:H72)</f>
        <v>0</v>
      </c>
      <c r="I73" s="1133">
        <f>SUM(I70:I72)</f>
        <v>0</v>
      </c>
      <c r="J73" s="1133">
        <f>SUM(J70:J72)</f>
        <v>0</v>
      </c>
    </row>
    <row r="74" spans="3:10" x14ac:dyDescent="0.2">
      <c r="C74" s="1134"/>
      <c r="D74" s="1040"/>
      <c r="E74" s="1103"/>
      <c r="F74" s="1131"/>
      <c r="G74" s="1131"/>
      <c r="H74" s="1131"/>
      <c r="I74" s="1131"/>
      <c r="J74" s="1040"/>
    </row>
    <row r="75" spans="3:10" x14ac:dyDescent="0.2">
      <c r="C75" s="1132" t="s">
        <v>113</v>
      </c>
      <c r="D75" s="1040"/>
      <c r="E75" s="1103"/>
      <c r="F75" s="1133">
        <f>+F67-F73</f>
        <v>1469921.4658333333</v>
      </c>
      <c r="G75" s="1133">
        <f>+G67-G73</f>
        <v>1492022.26</v>
      </c>
      <c r="H75" s="1133">
        <f>+H67-H73</f>
        <v>1505192.01</v>
      </c>
      <c r="I75" s="1133">
        <f>+I67-I73</f>
        <v>1518361.76</v>
      </c>
      <c r="J75" s="1133">
        <f>+J67-J73</f>
        <v>1531531.51</v>
      </c>
    </row>
    <row r="76" spans="3:10" x14ac:dyDescent="0.2">
      <c r="I76" s="589"/>
    </row>
    <row r="77" spans="3:10" x14ac:dyDescent="0.2">
      <c r="I77" s="589"/>
    </row>
    <row r="78" spans="3:10" x14ac:dyDescent="0.2">
      <c r="I78" s="589"/>
    </row>
    <row r="79" spans="3:10" x14ac:dyDescent="0.2">
      <c r="I79" s="589"/>
    </row>
    <row r="80" spans="3:10" x14ac:dyDescent="0.2">
      <c r="I80" s="589"/>
    </row>
    <row r="81" spans="9:9" x14ac:dyDescent="0.2">
      <c r="I81" s="589"/>
    </row>
    <row r="82" spans="9:9" x14ac:dyDescent="0.2">
      <c r="I82" s="589"/>
    </row>
    <row r="83" spans="9:9" x14ac:dyDescent="0.2">
      <c r="I83" s="589"/>
    </row>
    <row r="84" spans="9:9" x14ac:dyDescent="0.2">
      <c r="I84" s="589"/>
    </row>
    <row r="85" spans="9:9" x14ac:dyDescent="0.2">
      <c r="I85" s="589"/>
    </row>
    <row r="86" spans="9:9" x14ac:dyDescent="0.2">
      <c r="I86" s="589"/>
    </row>
    <row r="87" spans="9:9" x14ac:dyDescent="0.2">
      <c r="I87" s="589"/>
    </row>
    <row r="88" spans="9:9" x14ac:dyDescent="0.2">
      <c r="I88" s="589"/>
    </row>
    <row r="89" spans="9:9" x14ac:dyDescent="0.2">
      <c r="I89" s="589"/>
    </row>
    <row r="90" spans="9:9" x14ac:dyDescent="0.2">
      <c r="I90" s="589"/>
    </row>
    <row r="91" spans="9:9" x14ac:dyDescent="0.2">
      <c r="I91" s="589"/>
    </row>
    <row r="92" spans="9:9" x14ac:dyDescent="0.2">
      <c r="I92" s="589"/>
    </row>
    <row r="93" spans="9:9" x14ac:dyDescent="0.2">
      <c r="I93" s="589"/>
    </row>
    <row r="94" spans="9:9" x14ac:dyDescent="0.2">
      <c r="I94" s="589"/>
    </row>
    <row r="95" spans="9:9" x14ac:dyDescent="0.2">
      <c r="I95" s="589"/>
    </row>
    <row r="96" spans="9:9" x14ac:dyDescent="0.2">
      <c r="I96" s="589"/>
    </row>
    <row r="97" spans="9:9" x14ac:dyDescent="0.2">
      <c r="I97" s="589"/>
    </row>
    <row r="98" spans="9:9" x14ac:dyDescent="0.2">
      <c r="I98" s="589"/>
    </row>
    <row r="99" spans="9:9" x14ac:dyDescent="0.2">
      <c r="I99" s="589"/>
    </row>
    <row r="100" spans="9:9" x14ac:dyDescent="0.2">
      <c r="I100" s="589"/>
    </row>
    <row r="101" spans="9:9" x14ac:dyDescent="0.2">
      <c r="I101" s="589"/>
    </row>
    <row r="102" spans="9:9" x14ac:dyDescent="0.2">
      <c r="I102" s="589"/>
    </row>
    <row r="103" spans="9:9" x14ac:dyDescent="0.2">
      <c r="I103" s="589"/>
    </row>
    <row r="104" spans="9:9" x14ac:dyDescent="0.2">
      <c r="I104" s="589"/>
    </row>
    <row r="105" spans="9:9" x14ac:dyDescent="0.2">
      <c r="I105" s="589"/>
    </row>
    <row r="106" spans="9:9" x14ac:dyDescent="0.2">
      <c r="I106" s="589"/>
    </row>
    <row r="107" spans="9:9" x14ac:dyDescent="0.2">
      <c r="I107" s="589"/>
    </row>
    <row r="108" spans="9:9" x14ac:dyDescent="0.2">
      <c r="I108" s="589"/>
    </row>
  </sheetData>
  <sheetProtection algorithmName="SHA-512" hashValue="gmKruzhY4uYl5gOMMqJ0WVkkghmJKOemthuQAam6T28kuJGmiNTx7ZhsQAfrv+idh6K2qug3Oa7isfh1gzNgLw==" saltValue="JH6g3emqujZSQYU+YiTVUw==" spinCount="100000" sheet="1" objects="1" scenarios="1"/>
  <phoneticPr fontId="0" type="noConversion"/>
  <pageMargins left="0.78740157480314965" right="0.78740157480314965" top="0.98425196850393704" bottom="0.98425196850393704" header="0.51181102362204722" footer="0.51181102362204722"/>
  <pageSetup paperSize="9" scale="65" orientation="portrait" r:id="rId1"/>
  <headerFooter alignWithMargins="0">
    <oddHeader>&amp;L&amp;"Arial,Vet"&amp;F&amp;R&amp;"Arial,Vet"&amp;A</oddHeader>
    <oddFooter>&amp;L&amp;"Arial,Vet"PO-Raad&amp;C&amp;"Arial,Vet"&amp;D&amp;R&amp;"Arial,Vet"pagina &amp;P</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pageSetUpPr fitToPage="1"/>
  </sheetPr>
  <dimension ref="B1:U60"/>
  <sheetViews>
    <sheetView showGridLines="0" zoomScale="85" zoomScaleNormal="85" zoomScaleSheetLayoutView="85" workbookViewId="0">
      <pane ySplit="9" topLeftCell="A10" activePane="bottomLeft" state="frozen"/>
      <selection activeCell="A4" sqref="A4:XFD4"/>
      <selection pane="bottomLeft" activeCell="B2" sqref="B2"/>
    </sheetView>
  </sheetViews>
  <sheetFormatPr defaultColWidth="9.140625" defaultRowHeight="12.75" x14ac:dyDescent="0.2"/>
  <cols>
    <col min="1" max="1" width="3.7109375" style="454" customWidth="1"/>
    <col min="2" max="3" width="2.7109375" style="454" customWidth="1"/>
    <col min="4" max="4" width="41" style="454" customWidth="1"/>
    <col min="5" max="5" width="2.7109375" style="454" customWidth="1"/>
    <col min="6" max="7" width="14.85546875" style="454" customWidth="1"/>
    <col min="8" max="11" width="14.85546875" style="590" customWidth="1"/>
    <col min="12" max="12" width="2.7109375" style="590" customWidth="1"/>
    <col min="13" max="13" width="2.7109375" style="454" customWidth="1"/>
    <col min="14" max="14" width="11.42578125" style="591" customWidth="1"/>
    <col min="15" max="15" width="33.7109375" style="454" customWidth="1"/>
    <col min="16" max="16" width="2.5703125" style="454" customWidth="1"/>
    <col min="17" max="21" width="10.7109375" style="454" customWidth="1"/>
    <col min="22" max="22" width="2.7109375" style="454" customWidth="1"/>
    <col min="23" max="16384" width="9.140625" style="454"/>
  </cols>
  <sheetData>
    <row r="1" spans="2:17" ht="12.75" customHeight="1" x14ac:dyDescent="0.2"/>
    <row r="2" spans="2:17" x14ac:dyDescent="0.2">
      <c r="B2" s="462"/>
      <c r="C2" s="463"/>
      <c r="D2" s="463"/>
      <c r="E2" s="463"/>
      <c r="F2" s="463"/>
      <c r="G2" s="463"/>
      <c r="H2" s="592"/>
      <c r="I2" s="592"/>
      <c r="J2" s="592"/>
      <c r="K2" s="592"/>
      <c r="L2" s="592"/>
      <c r="M2" s="465"/>
    </row>
    <row r="3" spans="2:17" x14ac:dyDescent="0.2">
      <c r="B3" s="466"/>
      <c r="C3" s="467"/>
      <c r="D3" s="467"/>
      <c r="E3" s="467"/>
      <c r="F3" s="467"/>
      <c r="G3" s="467"/>
      <c r="H3" s="593"/>
      <c r="I3" s="593"/>
      <c r="J3" s="593"/>
      <c r="K3" s="593"/>
      <c r="L3" s="593"/>
      <c r="M3" s="469"/>
    </row>
    <row r="4" spans="2:17" s="18" customFormat="1" ht="18.75" x14ac:dyDescent="0.3">
      <c r="B4" s="996"/>
      <c r="C4" s="971" t="s">
        <v>216</v>
      </c>
      <c r="D4" s="145"/>
      <c r="E4" s="79"/>
      <c r="F4" s="79"/>
      <c r="G4" s="79"/>
      <c r="H4" s="178"/>
      <c r="I4" s="178"/>
      <c r="J4" s="178"/>
      <c r="K4" s="178"/>
      <c r="L4" s="178"/>
      <c r="M4" s="82"/>
      <c r="N4" s="459"/>
    </row>
    <row r="5" spans="2:17" s="18" customFormat="1" ht="18.75" x14ac:dyDescent="0.3">
      <c r="B5" s="539"/>
      <c r="C5" s="74" t="str">
        <f>geg!F11</f>
        <v>Voorbeeld SBO</v>
      </c>
      <c r="D5" s="79"/>
      <c r="E5" s="79"/>
      <c r="F5" s="79"/>
      <c r="G5" s="79"/>
      <c r="H5" s="178"/>
      <c r="I5" s="178"/>
      <c r="J5" s="178"/>
      <c r="K5" s="178"/>
      <c r="L5" s="178"/>
      <c r="M5" s="82"/>
      <c r="N5" s="459"/>
    </row>
    <row r="6" spans="2:17" x14ac:dyDescent="0.2">
      <c r="B6" s="594"/>
      <c r="C6" s="570"/>
      <c r="D6" s="467"/>
      <c r="E6" s="467"/>
      <c r="F6" s="467"/>
      <c r="G6" s="467"/>
      <c r="H6" s="593"/>
      <c r="I6" s="593"/>
      <c r="J6" s="593"/>
      <c r="K6" s="593"/>
      <c r="L6" s="593"/>
      <c r="M6" s="469"/>
    </row>
    <row r="7" spans="2:17" x14ac:dyDescent="0.2">
      <c r="B7" s="594"/>
      <c r="C7" s="570"/>
      <c r="D7" s="467"/>
      <c r="E7" s="467"/>
      <c r="F7" s="467"/>
      <c r="G7" s="467"/>
      <c r="H7" s="593"/>
      <c r="I7" s="593"/>
      <c r="J7" s="593"/>
      <c r="K7" s="593"/>
      <c r="L7" s="593"/>
      <c r="M7" s="469"/>
    </row>
    <row r="8" spans="2:17" s="18" customFormat="1" x14ac:dyDescent="0.2">
      <c r="B8" s="476"/>
      <c r="C8" s="177"/>
      <c r="D8" s="512"/>
      <c r="E8" s="79"/>
      <c r="F8" s="1024">
        <f>tab!C4</f>
        <v>2014</v>
      </c>
      <c r="G8" s="1024">
        <f>tab!D4</f>
        <v>2015</v>
      </c>
      <c r="H8" s="1024">
        <f>begr!G8</f>
        <v>2016</v>
      </c>
      <c r="I8" s="1024">
        <f>begr!H8</f>
        <v>2017</v>
      </c>
      <c r="J8" s="1024">
        <f>begr!I8</f>
        <v>2018</v>
      </c>
      <c r="K8" s="1024">
        <f>begr!J8</f>
        <v>2019</v>
      </c>
      <c r="L8" s="81"/>
      <c r="M8" s="82"/>
      <c r="N8" s="459"/>
    </row>
    <row r="9" spans="2:17" x14ac:dyDescent="0.2">
      <c r="B9" s="532"/>
      <c r="C9" s="595"/>
      <c r="D9" s="570"/>
      <c r="E9" s="467"/>
      <c r="F9" s="1171"/>
      <c r="G9" s="1171"/>
      <c r="H9" s="70"/>
      <c r="I9" s="70"/>
      <c r="J9" s="70"/>
      <c r="K9" s="70"/>
      <c r="L9" s="70"/>
      <c r="M9" s="469"/>
    </row>
    <row r="10" spans="2:17" x14ac:dyDescent="0.2">
      <c r="B10" s="532"/>
      <c r="C10" s="596"/>
      <c r="D10" s="573"/>
      <c r="E10" s="480"/>
      <c r="F10" s="480"/>
      <c r="G10" s="480"/>
      <c r="H10" s="540"/>
      <c r="I10" s="540"/>
      <c r="J10" s="540"/>
      <c r="K10" s="540"/>
      <c r="L10" s="541"/>
      <c r="M10" s="469"/>
    </row>
    <row r="11" spans="2:17" x14ac:dyDescent="0.2">
      <c r="B11" s="466"/>
      <c r="C11" s="135"/>
      <c r="D11" s="1025" t="s">
        <v>76</v>
      </c>
      <c r="E11" s="136"/>
      <c r="F11" s="136"/>
      <c r="G11" s="136"/>
      <c r="H11" s="137"/>
      <c r="I11" s="137"/>
      <c r="J11" s="137"/>
      <c r="K11" s="137"/>
      <c r="L11" s="138"/>
      <c r="M11" s="469"/>
    </row>
    <row r="12" spans="2:17" x14ac:dyDescent="0.2">
      <c r="B12" s="466"/>
      <c r="C12" s="135"/>
      <c r="D12" s="136"/>
      <c r="E12" s="136"/>
      <c r="F12" s="136"/>
      <c r="G12" s="136"/>
      <c r="H12" s="136"/>
      <c r="I12" s="136"/>
      <c r="J12" s="136"/>
      <c r="K12" s="136"/>
      <c r="L12" s="487"/>
      <c r="M12" s="597"/>
      <c r="N12" s="598"/>
      <c r="O12" s="590"/>
      <c r="P12" s="590"/>
      <c r="Q12" s="590"/>
    </row>
    <row r="13" spans="2:17" x14ac:dyDescent="0.2">
      <c r="B13" s="466"/>
      <c r="C13" s="135"/>
      <c r="D13" s="528" t="s">
        <v>193</v>
      </c>
      <c r="E13" s="136"/>
      <c r="F13" s="136"/>
      <c r="G13" s="136"/>
      <c r="H13" s="136"/>
      <c r="I13" s="136"/>
      <c r="J13" s="136"/>
      <c r="K13" s="136"/>
      <c r="L13" s="487"/>
      <c r="M13" s="469"/>
    </row>
    <row r="14" spans="2:17" x14ac:dyDescent="0.2">
      <c r="B14" s="466"/>
      <c r="C14" s="135"/>
      <c r="D14" s="136" t="s">
        <v>452</v>
      </c>
      <c r="E14" s="136"/>
      <c r="F14" s="519">
        <v>0</v>
      </c>
      <c r="G14" s="519">
        <v>0</v>
      </c>
      <c r="H14" s="519">
        <f>G14</f>
        <v>0</v>
      </c>
      <c r="I14" s="519">
        <f t="shared" ref="I14:K16" si="0">H14</f>
        <v>0</v>
      </c>
      <c r="J14" s="519">
        <f t="shared" si="0"/>
        <v>0</v>
      </c>
      <c r="K14" s="519">
        <f t="shared" si="0"/>
        <v>0</v>
      </c>
      <c r="L14" s="600"/>
      <c r="M14" s="469"/>
    </row>
    <row r="15" spans="2:17" x14ac:dyDescent="0.2">
      <c r="B15" s="466"/>
      <c r="C15" s="135"/>
      <c r="D15" s="136" t="s">
        <v>453</v>
      </c>
      <c r="E15" s="136"/>
      <c r="F15" s="986">
        <f>act!E61</f>
        <v>0</v>
      </c>
      <c r="G15" s="986">
        <f>act!F61</f>
        <v>0</v>
      </c>
      <c r="H15" s="986">
        <f>act!G61</f>
        <v>0</v>
      </c>
      <c r="I15" s="986">
        <f>act!H61</f>
        <v>0</v>
      </c>
      <c r="J15" s="986">
        <f>act!I61</f>
        <v>0</v>
      </c>
      <c r="K15" s="986">
        <f>act!J61</f>
        <v>0</v>
      </c>
      <c r="L15" s="599"/>
      <c r="M15" s="469"/>
    </row>
    <row r="16" spans="2:17" x14ac:dyDescent="0.2">
      <c r="B16" s="466"/>
      <c r="C16" s="135"/>
      <c r="D16" s="136" t="s">
        <v>454</v>
      </c>
      <c r="E16" s="136"/>
      <c r="F16" s="519">
        <v>0</v>
      </c>
      <c r="G16" s="519">
        <v>0</v>
      </c>
      <c r="H16" s="519">
        <f>G16</f>
        <v>0</v>
      </c>
      <c r="I16" s="519">
        <f t="shared" si="0"/>
        <v>0</v>
      </c>
      <c r="J16" s="519">
        <f t="shared" si="0"/>
        <v>0</v>
      </c>
      <c r="K16" s="519">
        <f t="shared" si="0"/>
        <v>0</v>
      </c>
      <c r="L16" s="600"/>
      <c r="M16" s="469"/>
    </row>
    <row r="17" spans="2:21" x14ac:dyDescent="0.2">
      <c r="B17" s="466"/>
      <c r="C17" s="135"/>
      <c r="D17" s="522"/>
      <c r="E17" s="136"/>
      <c r="F17" s="1167">
        <f t="shared" ref="F17:K17" si="1">SUM(F14:F16)</f>
        <v>0</v>
      </c>
      <c r="G17" s="1167">
        <f t="shared" si="1"/>
        <v>0</v>
      </c>
      <c r="H17" s="1167">
        <f t="shared" si="1"/>
        <v>0</v>
      </c>
      <c r="I17" s="1167">
        <f t="shared" si="1"/>
        <v>0</v>
      </c>
      <c r="J17" s="1167">
        <f t="shared" si="1"/>
        <v>0</v>
      </c>
      <c r="K17" s="1167">
        <f t="shared" si="1"/>
        <v>0</v>
      </c>
      <c r="L17" s="601"/>
      <c r="M17" s="469"/>
    </row>
    <row r="18" spans="2:21" x14ac:dyDescent="0.2">
      <c r="B18" s="466"/>
      <c r="C18" s="135"/>
      <c r="D18" s="528" t="s">
        <v>192</v>
      </c>
      <c r="E18" s="136"/>
      <c r="F18" s="136"/>
      <c r="G18" s="136"/>
      <c r="H18" s="602"/>
      <c r="I18" s="602"/>
      <c r="J18" s="602"/>
      <c r="K18" s="602"/>
      <c r="L18" s="600"/>
      <c r="M18" s="469"/>
    </row>
    <row r="19" spans="2:21" x14ac:dyDescent="0.2">
      <c r="B19" s="466"/>
      <c r="C19" s="135"/>
      <c r="D19" s="136" t="s">
        <v>455</v>
      </c>
      <c r="E19" s="136"/>
      <c r="F19" s="519">
        <v>0</v>
      </c>
      <c r="G19" s="519">
        <v>0</v>
      </c>
      <c r="H19" s="519">
        <f>G19</f>
        <v>0</v>
      </c>
      <c r="I19" s="519">
        <f t="shared" ref="I19:K21" si="2">H19</f>
        <v>0</v>
      </c>
      <c r="J19" s="519">
        <f t="shared" si="2"/>
        <v>0</v>
      </c>
      <c r="K19" s="519">
        <f t="shared" si="2"/>
        <v>0</v>
      </c>
      <c r="L19" s="600"/>
      <c r="M19" s="469"/>
    </row>
    <row r="20" spans="2:21" x14ac:dyDescent="0.2">
      <c r="B20" s="466"/>
      <c r="C20" s="135"/>
      <c r="D20" s="136" t="s">
        <v>456</v>
      </c>
      <c r="E20" s="136"/>
      <c r="F20" s="519">
        <v>0</v>
      </c>
      <c r="G20" s="519">
        <v>0</v>
      </c>
      <c r="H20" s="519">
        <f>G20</f>
        <v>0</v>
      </c>
      <c r="I20" s="519">
        <f t="shared" si="2"/>
        <v>0</v>
      </c>
      <c r="J20" s="519">
        <f t="shared" si="2"/>
        <v>0</v>
      </c>
      <c r="K20" s="519">
        <f t="shared" si="2"/>
        <v>0</v>
      </c>
      <c r="L20" s="600"/>
      <c r="M20" s="469"/>
    </row>
    <row r="21" spans="2:21" x14ac:dyDescent="0.2">
      <c r="B21" s="466"/>
      <c r="C21" s="135"/>
      <c r="D21" s="136" t="s">
        <v>457</v>
      </c>
      <c r="E21" s="136"/>
      <c r="F21" s="519">
        <v>0</v>
      </c>
      <c r="G21" s="519">
        <v>0</v>
      </c>
      <c r="H21" s="519">
        <f>G21</f>
        <v>0</v>
      </c>
      <c r="I21" s="519">
        <f t="shared" si="2"/>
        <v>0</v>
      </c>
      <c r="J21" s="519">
        <f t="shared" si="2"/>
        <v>0</v>
      </c>
      <c r="K21" s="519">
        <f t="shared" si="2"/>
        <v>0</v>
      </c>
      <c r="L21" s="600"/>
      <c r="M21" s="469"/>
    </row>
    <row r="22" spans="2:21" x14ac:dyDescent="0.2">
      <c r="B22" s="466"/>
      <c r="C22" s="135"/>
      <c r="D22" s="136" t="s">
        <v>458</v>
      </c>
      <c r="E22" s="136"/>
      <c r="F22" s="519">
        <v>0</v>
      </c>
      <c r="G22" s="994">
        <f>G57-(G17+(SUM(G19:G21)))</f>
        <v>0</v>
      </c>
      <c r="H22" s="994">
        <f>H57-(H17+(SUM(H19:H21)))</f>
        <v>1309130.7635819772</v>
      </c>
      <c r="I22" s="994">
        <f>I57-(I17+(SUM(I19:I21)))</f>
        <v>2629875.3012236292</v>
      </c>
      <c r="J22" s="994">
        <f>J57-(J17+(SUM(J19:J21)))</f>
        <v>3958550.6637658235</v>
      </c>
      <c r="K22" s="994">
        <f>K57-(K17+(SUM(K19:K21)))</f>
        <v>5295098.1695449073</v>
      </c>
      <c r="L22" s="600"/>
      <c r="M22" s="469"/>
    </row>
    <row r="23" spans="2:21" x14ac:dyDescent="0.2">
      <c r="B23" s="466"/>
      <c r="C23" s="135"/>
      <c r="D23" s="522"/>
      <c r="E23" s="136"/>
      <c r="F23" s="1167">
        <f t="shared" ref="F23:K23" si="3">SUM(F19:F22)</f>
        <v>0</v>
      </c>
      <c r="G23" s="1167">
        <f t="shared" si="3"/>
        <v>0</v>
      </c>
      <c r="H23" s="1167">
        <f t="shared" si="3"/>
        <v>1309130.7635819772</v>
      </c>
      <c r="I23" s="1167">
        <f t="shared" si="3"/>
        <v>2629875.3012236292</v>
      </c>
      <c r="J23" s="1167">
        <f t="shared" si="3"/>
        <v>3958550.6637658235</v>
      </c>
      <c r="K23" s="1167">
        <f t="shared" si="3"/>
        <v>5295098.1695449073</v>
      </c>
      <c r="L23" s="601"/>
      <c r="M23" s="469"/>
    </row>
    <row r="24" spans="2:21" x14ac:dyDescent="0.2">
      <c r="B24" s="466"/>
      <c r="C24" s="135"/>
      <c r="D24" s="136"/>
      <c r="E24" s="136"/>
      <c r="F24" s="136"/>
      <c r="G24" s="136"/>
      <c r="H24" s="136"/>
      <c r="I24" s="136"/>
      <c r="J24" s="136"/>
      <c r="K24" s="136"/>
      <c r="L24" s="487"/>
      <c r="M24" s="469"/>
    </row>
    <row r="25" spans="2:21" x14ac:dyDescent="0.2">
      <c r="B25" s="466"/>
      <c r="C25" s="135"/>
      <c r="D25" s="522" t="s">
        <v>380</v>
      </c>
      <c r="E25" s="578"/>
      <c r="F25" s="1168">
        <f t="shared" ref="F25:K25" si="4">F17+F23</f>
        <v>0</v>
      </c>
      <c r="G25" s="1168">
        <f t="shared" si="4"/>
        <v>0</v>
      </c>
      <c r="H25" s="1168">
        <f t="shared" si="4"/>
        <v>1309130.7635819772</v>
      </c>
      <c r="I25" s="1168">
        <f t="shared" si="4"/>
        <v>2629875.3012236292</v>
      </c>
      <c r="J25" s="1168">
        <f t="shared" si="4"/>
        <v>3958550.6637658235</v>
      </c>
      <c r="K25" s="1168">
        <f t="shared" si="4"/>
        <v>5295098.1695449073</v>
      </c>
      <c r="L25" s="601"/>
      <c r="M25" s="469"/>
    </row>
    <row r="26" spans="2:21" x14ac:dyDescent="0.2">
      <c r="B26" s="466"/>
      <c r="C26" s="491"/>
      <c r="D26" s="492"/>
      <c r="E26" s="582"/>
      <c r="F26" s="582"/>
      <c r="G26" s="582"/>
      <c r="H26" s="603"/>
      <c r="I26" s="603"/>
      <c r="J26" s="603"/>
      <c r="K26" s="603"/>
      <c r="L26" s="604"/>
      <c r="M26" s="469"/>
      <c r="O26" s="488"/>
      <c r="Q26" s="443"/>
      <c r="R26" s="443"/>
      <c r="S26" s="443"/>
      <c r="T26" s="443"/>
      <c r="U26" s="443"/>
    </row>
    <row r="27" spans="2:21" x14ac:dyDescent="0.2">
      <c r="B27" s="466"/>
      <c r="C27" s="467"/>
      <c r="D27" s="467"/>
      <c r="E27" s="550"/>
      <c r="F27" s="550"/>
      <c r="G27" s="550"/>
      <c r="H27" s="593"/>
      <c r="I27" s="593"/>
      <c r="J27" s="593"/>
      <c r="K27" s="593"/>
      <c r="L27" s="593"/>
      <c r="M27" s="469"/>
      <c r="O27" s="488"/>
      <c r="Q27" s="443"/>
      <c r="R27" s="443"/>
      <c r="S27" s="443"/>
      <c r="T27" s="443"/>
      <c r="U27" s="443"/>
    </row>
    <row r="28" spans="2:21" x14ac:dyDescent="0.2">
      <c r="B28" s="466"/>
      <c r="C28" s="479"/>
      <c r="D28" s="480"/>
      <c r="E28" s="605"/>
      <c r="F28" s="605"/>
      <c r="G28" s="605"/>
      <c r="H28" s="605"/>
      <c r="I28" s="605"/>
      <c r="J28" s="605"/>
      <c r="K28" s="605"/>
      <c r="L28" s="606"/>
      <c r="M28" s="469"/>
      <c r="O28" s="488"/>
      <c r="Q28" s="443"/>
      <c r="R28" s="443"/>
      <c r="S28" s="443"/>
      <c r="T28" s="443"/>
      <c r="U28" s="443"/>
    </row>
    <row r="29" spans="2:21" x14ac:dyDescent="0.2">
      <c r="B29" s="466"/>
      <c r="C29" s="135"/>
      <c r="D29" s="1025" t="s">
        <v>381</v>
      </c>
      <c r="E29" s="136"/>
      <c r="F29" s="578"/>
      <c r="G29" s="578"/>
      <c r="H29" s="607"/>
      <c r="I29" s="607"/>
      <c r="J29" s="607"/>
      <c r="K29" s="607"/>
      <c r="L29" s="599"/>
      <c r="M29" s="469"/>
      <c r="O29" s="488"/>
      <c r="Q29" s="443"/>
      <c r="R29" s="443"/>
      <c r="S29" s="443"/>
      <c r="T29" s="443"/>
      <c r="U29" s="443"/>
    </row>
    <row r="30" spans="2:21" x14ac:dyDescent="0.2">
      <c r="B30" s="207"/>
      <c r="C30" s="232"/>
      <c r="D30" s="136"/>
      <c r="E30" s="578"/>
      <c r="F30" s="578"/>
      <c r="G30" s="578"/>
      <c r="H30" s="607"/>
      <c r="I30" s="607"/>
      <c r="J30" s="607"/>
      <c r="K30" s="607"/>
      <c r="L30" s="599"/>
      <c r="M30" s="469"/>
      <c r="O30" s="488"/>
      <c r="Q30" s="443"/>
      <c r="R30" s="443"/>
      <c r="S30" s="443"/>
      <c r="T30" s="443"/>
      <c r="U30" s="443"/>
    </row>
    <row r="31" spans="2:21" x14ac:dyDescent="0.2">
      <c r="B31" s="207"/>
      <c r="C31" s="232"/>
      <c r="D31" s="136" t="s">
        <v>448</v>
      </c>
      <c r="E31" s="578"/>
      <c r="F31" s="578"/>
      <c r="G31" s="578"/>
      <c r="H31" s="607"/>
      <c r="I31" s="607"/>
      <c r="J31" s="607"/>
      <c r="K31" s="607"/>
      <c r="L31" s="599"/>
      <c r="M31" s="469"/>
      <c r="O31" s="488"/>
      <c r="Q31" s="443"/>
      <c r="R31" s="443"/>
      <c r="S31" s="443"/>
      <c r="T31" s="443"/>
      <c r="U31" s="443"/>
    </row>
    <row r="32" spans="2:21" x14ac:dyDescent="0.2">
      <c r="B32" s="207"/>
      <c r="C32" s="232"/>
      <c r="D32" s="136" t="s">
        <v>376</v>
      </c>
      <c r="E32" s="578"/>
      <c r="F32" s="1170">
        <f>F25-(F33+F34+F35+F42+F46+F55)</f>
        <v>0</v>
      </c>
      <c r="G32" s="994">
        <f>F36+begr!F42-SUM(G33:G35)</f>
        <v>0</v>
      </c>
      <c r="H32" s="994">
        <f>G36+begr!G42-SUM(H33:H35)</f>
        <v>1309130.7635819772</v>
      </c>
      <c r="I32" s="994">
        <f>H36+begr!H42-SUM(I33:I35)</f>
        <v>2629875.3012236292</v>
      </c>
      <c r="J32" s="994">
        <f>I36+begr!I42-SUM(J33:J35)</f>
        <v>3958550.6637658235</v>
      </c>
      <c r="K32" s="994">
        <f>J36+begr!J42-SUM(K33:K35)</f>
        <v>5295098.1695449073</v>
      </c>
      <c r="L32" s="599"/>
      <c r="M32" s="469"/>
      <c r="O32" s="488"/>
      <c r="Q32" s="443"/>
      <c r="R32" s="443"/>
      <c r="S32" s="443"/>
      <c r="T32" s="443"/>
      <c r="U32" s="443"/>
    </row>
    <row r="33" spans="2:21" x14ac:dyDescent="0.2">
      <c r="B33" s="207"/>
      <c r="C33" s="232"/>
      <c r="D33" s="904" t="s">
        <v>377</v>
      </c>
      <c r="E33" s="578"/>
      <c r="F33" s="519">
        <v>0</v>
      </c>
      <c r="G33" s="519">
        <v>0</v>
      </c>
      <c r="H33" s="519">
        <f>G33</f>
        <v>0</v>
      </c>
      <c r="I33" s="519">
        <f t="shared" ref="I33:K35" si="5">H33</f>
        <v>0</v>
      </c>
      <c r="J33" s="519">
        <f t="shared" si="5"/>
        <v>0</v>
      </c>
      <c r="K33" s="519">
        <f t="shared" si="5"/>
        <v>0</v>
      </c>
      <c r="L33" s="599"/>
      <c r="M33" s="469"/>
      <c r="O33" s="488"/>
      <c r="Q33" s="443"/>
      <c r="R33" s="443"/>
      <c r="S33" s="443"/>
      <c r="T33" s="443"/>
      <c r="U33" s="443"/>
    </row>
    <row r="34" spans="2:21" x14ac:dyDescent="0.2">
      <c r="B34" s="207"/>
      <c r="C34" s="232"/>
      <c r="D34" s="904" t="s">
        <v>378</v>
      </c>
      <c r="E34" s="578"/>
      <c r="F34" s="519">
        <v>0</v>
      </c>
      <c r="G34" s="519">
        <v>0</v>
      </c>
      <c r="H34" s="519">
        <f>G34</f>
        <v>0</v>
      </c>
      <c r="I34" s="519">
        <f t="shared" si="5"/>
        <v>0</v>
      </c>
      <c r="J34" s="519">
        <f t="shared" si="5"/>
        <v>0</v>
      </c>
      <c r="K34" s="519">
        <f t="shared" si="5"/>
        <v>0</v>
      </c>
      <c r="L34" s="599"/>
      <c r="M34" s="469"/>
      <c r="O34" s="488"/>
      <c r="Q34" s="443"/>
      <c r="R34" s="443"/>
      <c r="S34" s="443"/>
      <c r="T34" s="443"/>
      <c r="U34" s="443"/>
    </row>
    <row r="35" spans="2:21" x14ac:dyDescent="0.2">
      <c r="B35" s="207"/>
      <c r="C35" s="232"/>
      <c r="D35" s="904" t="s">
        <v>379</v>
      </c>
      <c r="E35" s="578"/>
      <c r="F35" s="519">
        <v>0</v>
      </c>
      <c r="G35" s="519">
        <v>0</v>
      </c>
      <c r="H35" s="519">
        <f>G35</f>
        <v>0</v>
      </c>
      <c r="I35" s="519">
        <f t="shared" si="5"/>
        <v>0</v>
      </c>
      <c r="J35" s="519">
        <f t="shared" si="5"/>
        <v>0</v>
      </c>
      <c r="K35" s="519">
        <f t="shared" si="5"/>
        <v>0</v>
      </c>
      <c r="L35" s="599"/>
      <c r="M35" s="469"/>
      <c r="O35" s="488"/>
      <c r="Q35" s="443"/>
      <c r="R35" s="443"/>
      <c r="S35" s="443"/>
      <c r="T35" s="443"/>
      <c r="U35" s="443"/>
    </row>
    <row r="36" spans="2:21" x14ac:dyDescent="0.2">
      <c r="B36" s="466"/>
      <c r="C36" s="135"/>
      <c r="D36" s="534"/>
      <c r="E36" s="136"/>
      <c r="F36" s="1167">
        <f t="shared" ref="F36:K36" si="6">SUM(F32:F35)</f>
        <v>0</v>
      </c>
      <c r="G36" s="1167">
        <f t="shared" si="6"/>
        <v>0</v>
      </c>
      <c r="H36" s="1167">
        <f t="shared" si="6"/>
        <v>1309130.7635819772</v>
      </c>
      <c r="I36" s="1167">
        <f t="shared" si="6"/>
        <v>2629875.3012236292</v>
      </c>
      <c r="J36" s="1167">
        <f t="shared" si="6"/>
        <v>3958550.6637658235</v>
      </c>
      <c r="K36" s="1167">
        <f t="shared" si="6"/>
        <v>5295098.1695449073</v>
      </c>
      <c r="L36" s="601"/>
      <c r="M36" s="469"/>
    </row>
    <row r="37" spans="2:21" x14ac:dyDescent="0.2">
      <c r="B37" s="466"/>
      <c r="C37" s="135"/>
      <c r="D37" s="136" t="s">
        <v>449</v>
      </c>
      <c r="E37" s="136"/>
      <c r="F37" s="136"/>
      <c r="G37" s="136"/>
      <c r="H37" s="136"/>
      <c r="I37" s="136"/>
      <c r="J37" s="136"/>
      <c r="K37" s="136"/>
      <c r="L37" s="487"/>
      <c r="M37" s="469"/>
    </row>
    <row r="38" spans="2:21" x14ac:dyDescent="0.2">
      <c r="B38" s="466"/>
      <c r="C38" s="135"/>
      <c r="D38" s="104" t="s">
        <v>599</v>
      </c>
      <c r="E38" s="136"/>
      <c r="F38" s="994">
        <f>mop!E19</f>
        <v>0</v>
      </c>
      <c r="G38" s="994">
        <f>mop!F19</f>
        <v>0</v>
      </c>
      <c r="H38" s="994">
        <f>mop!G19</f>
        <v>0</v>
      </c>
      <c r="I38" s="994">
        <f>mop!H19</f>
        <v>0</v>
      </c>
      <c r="J38" s="994">
        <f>mop!I19</f>
        <v>0</v>
      </c>
      <c r="K38" s="994">
        <f>mop!J19</f>
        <v>0</v>
      </c>
      <c r="L38" s="600"/>
      <c r="M38" s="469"/>
    </row>
    <row r="39" spans="2:21" s="18" customFormat="1" x14ac:dyDescent="0.2">
      <c r="B39" s="78"/>
      <c r="C39" s="608"/>
      <c r="D39" s="104" t="s">
        <v>600</v>
      </c>
      <c r="E39" s="136"/>
      <c r="F39" s="519">
        <v>0</v>
      </c>
      <c r="G39" s="519">
        <v>0</v>
      </c>
      <c r="H39" s="519">
        <v>0</v>
      </c>
      <c r="I39" s="519">
        <v>0</v>
      </c>
      <c r="J39" s="519">
        <v>0</v>
      </c>
      <c r="K39" s="519">
        <v>0</v>
      </c>
      <c r="L39" s="600"/>
      <c r="M39" s="82"/>
      <c r="N39" s="459"/>
    </row>
    <row r="40" spans="2:21" s="18" customFormat="1" x14ac:dyDescent="0.2">
      <c r="B40" s="78"/>
      <c r="C40" s="608"/>
      <c r="D40" s="104" t="s">
        <v>601</v>
      </c>
      <c r="E40" s="136"/>
      <c r="F40" s="519">
        <v>0</v>
      </c>
      <c r="G40" s="519">
        <v>0</v>
      </c>
      <c r="H40" s="519">
        <v>0</v>
      </c>
      <c r="I40" s="519">
        <v>0</v>
      </c>
      <c r="J40" s="519">
        <v>0</v>
      </c>
      <c r="K40" s="519">
        <v>0</v>
      </c>
      <c r="L40" s="600"/>
      <c r="M40" s="82"/>
      <c r="N40" s="459"/>
    </row>
    <row r="41" spans="2:21" s="18" customFormat="1" x14ac:dyDescent="0.2">
      <c r="B41" s="78"/>
      <c r="C41" s="608"/>
      <c r="D41" s="104" t="s">
        <v>412</v>
      </c>
      <c r="E41" s="136"/>
      <c r="F41" s="519">
        <v>0</v>
      </c>
      <c r="G41" s="519">
        <v>0</v>
      </c>
      <c r="H41" s="519">
        <f>G41</f>
        <v>0</v>
      </c>
      <c r="I41" s="519">
        <f>H41</f>
        <v>0</v>
      </c>
      <c r="J41" s="519">
        <f>I41</f>
        <v>0</v>
      </c>
      <c r="K41" s="519">
        <f>J41</f>
        <v>0</v>
      </c>
      <c r="L41" s="600"/>
      <c r="M41" s="82"/>
      <c r="N41" s="459"/>
    </row>
    <row r="42" spans="2:21" x14ac:dyDescent="0.2">
      <c r="B42" s="466"/>
      <c r="C42" s="135"/>
      <c r="D42" s="534"/>
      <c r="E42" s="136"/>
      <c r="F42" s="1167">
        <f t="shared" ref="F42:K42" si="7">SUM(F38:F41)</f>
        <v>0</v>
      </c>
      <c r="G42" s="1167">
        <f t="shared" si="7"/>
        <v>0</v>
      </c>
      <c r="H42" s="1167">
        <f t="shared" si="7"/>
        <v>0</v>
      </c>
      <c r="I42" s="1167">
        <f t="shared" si="7"/>
        <v>0</v>
      </c>
      <c r="J42" s="1167">
        <f t="shared" si="7"/>
        <v>0</v>
      </c>
      <c r="K42" s="1167">
        <f t="shared" si="7"/>
        <v>0</v>
      </c>
      <c r="L42" s="601"/>
      <c r="M42" s="469"/>
    </row>
    <row r="43" spans="2:21" x14ac:dyDescent="0.2">
      <c r="B43" s="466"/>
      <c r="C43" s="135"/>
      <c r="D43" s="136" t="s">
        <v>450</v>
      </c>
      <c r="E43" s="136"/>
      <c r="F43" s="136"/>
      <c r="G43" s="136"/>
      <c r="H43" s="602"/>
      <c r="I43" s="602"/>
      <c r="J43" s="602"/>
      <c r="K43" s="602"/>
      <c r="L43" s="600"/>
      <c r="M43" s="469"/>
    </row>
    <row r="44" spans="2:21" x14ac:dyDescent="0.2">
      <c r="B44" s="466"/>
      <c r="C44" s="135"/>
      <c r="D44" s="136" t="s">
        <v>270</v>
      </c>
      <c r="E44" s="136"/>
      <c r="F44" s="519">
        <v>0</v>
      </c>
      <c r="G44" s="519">
        <v>0</v>
      </c>
      <c r="H44" s="519">
        <f>G44</f>
        <v>0</v>
      </c>
      <c r="I44" s="519">
        <f t="shared" ref="I44:K45" si="8">H44</f>
        <v>0</v>
      </c>
      <c r="J44" s="519">
        <f t="shared" si="8"/>
        <v>0</v>
      </c>
      <c r="K44" s="519">
        <f t="shared" si="8"/>
        <v>0</v>
      </c>
      <c r="L44" s="600"/>
      <c r="M44" s="469"/>
    </row>
    <row r="45" spans="2:21" x14ac:dyDescent="0.2">
      <c r="B45" s="466"/>
      <c r="C45" s="135"/>
      <c r="D45" s="136" t="s">
        <v>271</v>
      </c>
      <c r="E45" s="136"/>
      <c r="F45" s="519">
        <v>0</v>
      </c>
      <c r="G45" s="519">
        <v>0</v>
      </c>
      <c r="H45" s="519">
        <f>G45</f>
        <v>0</v>
      </c>
      <c r="I45" s="519">
        <f t="shared" si="8"/>
        <v>0</v>
      </c>
      <c r="J45" s="519">
        <f t="shared" si="8"/>
        <v>0</v>
      </c>
      <c r="K45" s="519">
        <f t="shared" si="8"/>
        <v>0</v>
      </c>
      <c r="L45" s="600"/>
      <c r="M45" s="469"/>
    </row>
    <row r="46" spans="2:21" x14ac:dyDescent="0.2">
      <c r="B46" s="466"/>
      <c r="C46" s="135"/>
      <c r="D46" s="522"/>
      <c r="E46" s="136"/>
      <c r="F46" s="1167">
        <f t="shared" ref="F46:K46" si="9">SUM(F44:F45)</f>
        <v>0</v>
      </c>
      <c r="G46" s="1167">
        <f t="shared" si="9"/>
        <v>0</v>
      </c>
      <c r="H46" s="1167">
        <f t="shared" si="9"/>
        <v>0</v>
      </c>
      <c r="I46" s="1167">
        <f t="shared" si="9"/>
        <v>0</v>
      </c>
      <c r="J46" s="1167">
        <f t="shared" si="9"/>
        <v>0</v>
      </c>
      <c r="K46" s="1167">
        <f t="shared" si="9"/>
        <v>0</v>
      </c>
      <c r="L46" s="601"/>
      <c r="M46" s="469"/>
    </row>
    <row r="47" spans="2:21" x14ac:dyDescent="0.2">
      <c r="B47" s="466"/>
      <c r="C47" s="135"/>
      <c r="D47" s="136" t="s">
        <v>451</v>
      </c>
      <c r="E47" s="136"/>
      <c r="F47" s="136"/>
      <c r="G47" s="136"/>
      <c r="H47" s="602"/>
      <c r="I47" s="602"/>
      <c r="J47" s="602"/>
      <c r="K47" s="602"/>
      <c r="L47" s="600"/>
      <c r="M47" s="469"/>
    </row>
    <row r="48" spans="2:21" x14ac:dyDescent="0.2">
      <c r="B48" s="466"/>
      <c r="C48" s="135"/>
      <c r="D48" s="136" t="s">
        <v>270</v>
      </c>
      <c r="E48" s="136"/>
      <c r="F48" s="519">
        <v>0</v>
      </c>
      <c r="G48" s="519">
        <v>0</v>
      </c>
      <c r="H48" s="519">
        <f t="shared" ref="H48:H54" si="10">G48</f>
        <v>0</v>
      </c>
      <c r="I48" s="519">
        <f t="shared" ref="I48:K52" si="11">H48</f>
        <v>0</v>
      </c>
      <c r="J48" s="519">
        <f t="shared" si="11"/>
        <v>0</v>
      </c>
      <c r="K48" s="519">
        <f t="shared" si="11"/>
        <v>0</v>
      </c>
      <c r="L48" s="600"/>
      <c r="M48" s="469"/>
    </row>
    <row r="49" spans="2:13" x14ac:dyDescent="0.2">
      <c r="B49" s="466"/>
      <c r="C49" s="135"/>
      <c r="D49" s="136" t="s">
        <v>197</v>
      </c>
      <c r="E49" s="136"/>
      <c r="F49" s="519">
        <v>0</v>
      </c>
      <c r="G49" s="519">
        <v>0</v>
      </c>
      <c r="H49" s="519">
        <f t="shared" si="10"/>
        <v>0</v>
      </c>
      <c r="I49" s="519">
        <f t="shared" si="11"/>
        <v>0</v>
      </c>
      <c r="J49" s="519">
        <f t="shared" si="11"/>
        <v>0</v>
      </c>
      <c r="K49" s="519">
        <f t="shared" si="11"/>
        <v>0</v>
      </c>
      <c r="L49" s="600"/>
      <c r="M49" s="469"/>
    </row>
    <row r="50" spans="2:13" x14ac:dyDescent="0.2">
      <c r="B50" s="466"/>
      <c r="C50" s="135"/>
      <c r="D50" s="136" t="s">
        <v>269</v>
      </c>
      <c r="E50" s="136"/>
      <c r="F50" s="519">
        <v>0</v>
      </c>
      <c r="G50" s="519">
        <v>0</v>
      </c>
      <c r="H50" s="519">
        <f t="shared" si="10"/>
        <v>0</v>
      </c>
      <c r="I50" s="519">
        <f t="shared" si="11"/>
        <v>0</v>
      </c>
      <c r="J50" s="519">
        <f t="shared" si="11"/>
        <v>0</v>
      </c>
      <c r="K50" s="519">
        <f t="shared" si="11"/>
        <v>0</v>
      </c>
      <c r="L50" s="600"/>
      <c r="M50" s="469"/>
    </row>
    <row r="51" spans="2:13" x14ac:dyDescent="0.2">
      <c r="B51" s="466"/>
      <c r="C51" s="135"/>
      <c r="D51" s="136" t="s">
        <v>272</v>
      </c>
      <c r="E51" s="136"/>
      <c r="F51" s="519">
        <v>0</v>
      </c>
      <c r="G51" s="519">
        <v>0</v>
      </c>
      <c r="H51" s="519">
        <f t="shared" si="10"/>
        <v>0</v>
      </c>
      <c r="I51" s="519">
        <f t="shared" si="11"/>
        <v>0</v>
      </c>
      <c r="J51" s="519">
        <f t="shared" si="11"/>
        <v>0</v>
      </c>
      <c r="K51" s="519">
        <f t="shared" si="11"/>
        <v>0</v>
      </c>
      <c r="L51" s="600"/>
      <c r="M51" s="469"/>
    </row>
    <row r="52" spans="2:13" x14ac:dyDescent="0.2">
      <c r="B52" s="466"/>
      <c r="C52" s="135"/>
      <c r="D52" s="136" t="s">
        <v>273</v>
      </c>
      <c r="E52" s="136"/>
      <c r="F52" s="519">
        <v>0</v>
      </c>
      <c r="G52" s="519">
        <v>0</v>
      </c>
      <c r="H52" s="519">
        <f t="shared" si="10"/>
        <v>0</v>
      </c>
      <c r="I52" s="519">
        <f t="shared" si="11"/>
        <v>0</v>
      </c>
      <c r="J52" s="519">
        <f t="shared" si="11"/>
        <v>0</v>
      </c>
      <c r="K52" s="519">
        <f t="shared" si="11"/>
        <v>0</v>
      </c>
      <c r="L52" s="600"/>
      <c r="M52" s="469"/>
    </row>
    <row r="53" spans="2:13" x14ac:dyDescent="0.2">
      <c r="B53" s="466"/>
      <c r="C53" s="135"/>
      <c r="D53" s="136" t="s">
        <v>274</v>
      </c>
      <c r="E53" s="136"/>
      <c r="F53" s="519">
        <v>0</v>
      </c>
      <c r="G53" s="519">
        <v>0</v>
      </c>
      <c r="H53" s="519">
        <f t="shared" si="10"/>
        <v>0</v>
      </c>
      <c r="I53" s="519">
        <f t="shared" ref="I53:K54" si="12">H53</f>
        <v>0</v>
      </c>
      <c r="J53" s="519">
        <f t="shared" si="12"/>
        <v>0</v>
      </c>
      <c r="K53" s="519">
        <f t="shared" si="12"/>
        <v>0</v>
      </c>
      <c r="L53" s="600"/>
      <c r="M53" s="469"/>
    </row>
    <row r="54" spans="2:13" x14ac:dyDescent="0.2">
      <c r="B54" s="466"/>
      <c r="C54" s="135"/>
      <c r="D54" s="136" t="s">
        <v>275</v>
      </c>
      <c r="E54" s="136"/>
      <c r="F54" s="519">
        <v>0</v>
      </c>
      <c r="G54" s="519">
        <v>0</v>
      </c>
      <c r="H54" s="519">
        <f t="shared" si="10"/>
        <v>0</v>
      </c>
      <c r="I54" s="519">
        <f t="shared" si="12"/>
        <v>0</v>
      </c>
      <c r="J54" s="519">
        <f t="shared" si="12"/>
        <v>0</v>
      </c>
      <c r="K54" s="519">
        <f t="shared" si="12"/>
        <v>0</v>
      </c>
      <c r="L54" s="600"/>
      <c r="M54" s="469"/>
    </row>
    <row r="55" spans="2:13" x14ac:dyDescent="0.2">
      <c r="B55" s="466"/>
      <c r="C55" s="135"/>
      <c r="D55" s="522"/>
      <c r="E55" s="136"/>
      <c r="F55" s="1167">
        <f t="shared" ref="F55:K55" si="13">SUM(F48:F54)</f>
        <v>0</v>
      </c>
      <c r="G55" s="1167">
        <f t="shared" si="13"/>
        <v>0</v>
      </c>
      <c r="H55" s="1167">
        <f t="shared" si="13"/>
        <v>0</v>
      </c>
      <c r="I55" s="1167">
        <f t="shared" si="13"/>
        <v>0</v>
      </c>
      <c r="J55" s="1167">
        <f t="shared" si="13"/>
        <v>0</v>
      </c>
      <c r="K55" s="1167">
        <f t="shared" si="13"/>
        <v>0</v>
      </c>
      <c r="L55" s="601"/>
      <c r="M55" s="469"/>
    </row>
    <row r="56" spans="2:13" x14ac:dyDescent="0.2">
      <c r="B56" s="466"/>
      <c r="C56" s="135"/>
      <c r="D56" s="136"/>
      <c r="E56" s="136"/>
      <c r="F56" s="136"/>
      <c r="G56" s="136"/>
      <c r="H56" s="136"/>
      <c r="I56" s="136"/>
      <c r="J56" s="136"/>
      <c r="K56" s="136"/>
      <c r="L56" s="487"/>
      <c r="M56" s="469"/>
    </row>
    <row r="57" spans="2:13" x14ac:dyDescent="0.2">
      <c r="B57" s="466"/>
      <c r="C57" s="135"/>
      <c r="D57" s="522" t="s">
        <v>382</v>
      </c>
      <c r="E57" s="136"/>
      <c r="F57" s="1168">
        <f t="shared" ref="F57:K57" si="14">F36+F42+F46+F55</f>
        <v>0</v>
      </c>
      <c r="G57" s="1168">
        <f>G36+G42+G46+G55</f>
        <v>0</v>
      </c>
      <c r="H57" s="1168">
        <f t="shared" si="14"/>
        <v>1309130.7635819772</v>
      </c>
      <c r="I57" s="1168">
        <f t="shared" si="14"/>
        <v>2629875.3012236292</v>
      </c>
      <c r="J57" s="1168">
        <f t="shared" si="14"/>
        <v>3958550.6637658235</v>
      </c>
      <c r="K57" s="1168">
        <f t="shared" si="14"/>
        <v>5295098.1695449073</v>
      </c>
      <c r="L57" s="601"/>
      <c r="M57" s="469"/>
    </row>
    <row r="58" spans="2:13" x14ac:dyDescent="0.2">
      <c r="B58" s="466"/>
      <c r="C58" s="491"/>
      <c r="D58" s="609"/>
      <c r="E58" s="492"/>
      <c r="F58" s="610"/>
      <c r="G58" s="610"/>
      <c r="H58" s="610"/>
      <c r="I58" s="610"/>
      <c r="J58" s="610"/>
      <c r="K58" s="610"/>
      <c r="L58" s="611"/>
      <c r="M58" s="469"/>
    </row>
    <row r="59" spans="2:13" x14ac:dyDescent="0.2">
      <c r="B59" s="466"/>
      <c r="C59" s="467"/>
      <c r="D59" s="612"/>
      <c r="E59" s="467"/>
      <c r="F59" s="613"/>
      <c r="G59" s="613"/>
      <c r="H59" s="613"/>
      <c r="I59" s="613"/>
      <c r="J59" s="613"/>
      <c r="K59" s="613"/>
      <c r="L59" s="613"/>
      <c r="M59" s="469"/>
    </row>
    <row r="60" spans="2:13" ht="15" x14ac:dyDescent="0.25">
      <c r="B60" s="496"/>
      <c r="C60" s="497"/>
      <c r="D60" s="614"/>
      <c r="E60" s="497"/>
      <c r="F60" s="497"/>
      <c r="G60" s="497"/>
      <c r="H60" s="615"/>
      <c r="I60" s="615"/>
      <c r="J60" s="615"/>
      <c r="K60" s="615"/>
      <c r="L60" s="89"/>
      <c r="M60" s="498"/>
    </row>
  </sheetData>
  <sheetProtection algorithmName="SHA-512" hashValue="GAeNezTqBE2jWYog2OIoRyaNlLQffuQlPs5HEEIoDZEU9LfgctbjmHCGMiror9im/MT73RB71pswmlYzDLtrHg==" saltValue="1iUYu2/k6WaGScVab7H+Dw==" spinCount="100000" sheet="1" objects="1" scenarios="1"/>
  <phoneticPr fontId="0" type="noConversion"/>
  <pageMargins left="0.78740157480314965" right="0.78740157480314965" top="0.98425196850393704" bottom="0.98425196850393704" header="0.51181102362204722" footer="0.51181102362204722"/>
  <pageSetup paperSize="9" scale="65" orientation="portrait" r:id="rId1"/>
  <headerFooter alignWithMargins="0">
    <oddHeader>&amp;L&amp;"Arial,Vet"&amp;F&amp;R&amp;"Arial,Vet"&amp;A</oddHeader>
    <oddFooter>&amp;L&amp;"Arial,Vet"PO-Raad&amp;C&amp;"Arial,Vet"&amp;D&amp;R&amp;"Arial,Vet"pagina &amp;P</oddFooter>
  </headerFooter>
  <rowBreaks count="1" manualBreakCount="1">
    <brk id="61" min="1" max="13" man="1"/>
  </rowBreaks>
  <colBreaks count="1" manualBreakCount="1">
    <brk id="22" min="3" max="63"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B1:P56"/>
  <sheetViews>
    <sheetView showGridLines="0" zoomScale="85" zoomScaleNormal="85" zoomScaleSheetLayoutView="85" workbookViewId="0">
      <pane ySplit="10" topLeftCell="A11" activePane="bottomLeft" state="frozen"/>
      <selection activeCell="B2" sqref="B2"/>
      <selection pane="bottomLeft" activeCell="B2" sqref="B2"/>
    </sheetView>
  </sheetViews>
  <sheetFormatPr defaultColWidth="9.140625" defaultRowHeight="12.75" x14ac:dyDescent="0.2"/>
  <cols>
    <col min="1" max="1" width="3.7109375" style="14" customWidth="1"/>
    <col min="2" max="3" width="2.7109375" style="14" customWidth="1"/>
    <col min="4" max="4" width="45.7109375" style="14" customWidth="1"/>
    <col min="5" max="5" width="2.7109375" style="14" customWidth="1"/>
    <col min="6" max="10" width="14.7109375" style="21" customWidth="1"/>
    <col min="11" max="11" width="2.7109375" style="22" customWidth="1"/>
    <col min="12" max="12" width="2.7109375" style="14" customWidth="1"/>
    <col min="13" max="13" width="11.42578125" style="174" customWidth="1"/>
    <col min="14" max="14" width="33.7109375" style="14" customWidth="1"/>
    <col min="15" max="15" width="2.5703125" style="14" customWidth="1"/>
    <col min="16" max="20" width="10.7109375" style="14" customWidth="1"/>
    <col min="21" max="21" width="2.7109375" style="14" customWidth="1"/>
    <col min="22" max="16384" width="9.140625" style="14"/>
  </cols>
  <sheetData>
    <row r="1" spans="2:16" ht="12" customHeight="1" x14ac:dyDescent="0.2"/>
    <row r="2" spans="2:16" x14ac:dyDescent="0.2">
      <c r="B2" s="462"/>
      <c r="C2" s="463"/>
      <c r="D2" s="463"/>
      <c r="E2" s="592"/>
      <c r="F2" s="592"/>
      <c r="G2" s="592"/>
      <c r="H2" s="592"/>
      <c r="I2" s="592"/>
      <c r="J2" s="592"/>
      <c r="K2" s="592"/>
      <c r="L2" s="465"/>
    </row>
    <row r="3" spans="2:16" x14ac:dyDescent="0.2">
      <c r="B3" s="466"/>
      <c r="C3" s="467"/>
      <c r="D3" s="467"/>
      <c r="E3" s="593"/>
      <c r="F3" s="593"/>
      <c r="G3" s="593"/>
      <c r="H3" s="593"/>
      <c r="I3" s="593"/>
      <c r="J3" s="593"/>
      <c r="K3" s="593"/>
      <c r="L3" s="469"/>
    </row>
    <row r="4" spans="2:16" ht="18.75" x14ac:dyDescent="0.3">
      <c r="B4" s="539"/>
      <c r="C4" s="970" t="s">
        <v>318</v>
      </c>
      <c r="D4" s="79"/>
      <c r="E4" s="178"/>
      <c r="F4" s="350"/>
      <c r="G4" s="350"/>
      <c r="H4" s="178"/>
      <c r="I4" s="178"/>
      <c r="J4" s="178"/>
      <c r="K4" s="178"/>
      <c r="L4" s="82"/>
    </row>
    <row r="5" spans="2:16" ht="18.75" x14ac:dyDescent="0.3">
      <c r="B5" s="616"/>
      <c r="C5" s="361" t="str">
        <f>geg!F11</f>
        <v>Voorbeeld SBO</v>
      </c>
      <c r="D5" s="474"/>
      <c r="E5" s="617"/>
      <c r="F5" s="618"/>
      <c r="G5" s="618"/>
      <c r="H5" s="617"/>
      <c r="I5" s="617"/>
      <c r="J5" s="617"/>
      <c r="K5" s="617"/>
      <c r="L5" s="619"/>
    </row>
    <row r="6" spans="2:16" x14ac:dyDescent="0.2">
      <c r="B6" s="207"/>
      <c r="C6" s="212"/>
      <c r="D6" s="467"/>
      <c r="E6" s="593"/>
      <c r="F6" s="593"/>
      <c r="G6" s="593"/>
      <c r="H6" s="593"/>
      <c r="I6" s="593"/>
      <c r="J6" s="593"/>
      <c r="K6" s="593"/>
      <c r="L6" s="469"/>
    </row>
    <row r="7" spans="2:16" x14ac:dyDescent="0.2">
      <c r="B7" s="207"/>
      <c r="C7" s="212"/>
      <c r="D7" s="467"/>
      <c r="E7" s="593"/>
      <c r="F7" s="593"/>
      <c r="G7" s="593"/>
      <c r="H7" s="593"/>
      <c r="I7" s="593"/>
      <c r="J7" s="593"/>
      <c r="K7" s="593"/>
      <c r="L7" s="469"/>
    </row>
    <row r="8" spans="2:16" x14ac:dyDescent="0.2">
      <c r="B8" s="207"/>
      <c r="C8" s="212"/>
      <c r="D8" s="467"/>
      <c r="E8" s="593"/>
      <c r="F8" s="593"/>
      <c r="G8" s="593"/>
      <c r="H8" s="593"/>
      <c r="I8" s="593"/>
      <c r="J8" s="593"/>
      <c r="K8" s="593"/>
      <c r="L8" s="469"/>
    </row>
    <row r="9" spans="2:16" x14ac:dyDescent="0.2">
      <c r="B9" s="476"/>
      <c r="C9" s="177"/>
      <c r="D9" s="511"/>
      <c r="E9" s="81"/>
      <c r="F9" s="1024">
        <f>bal!G8</f>
        <v>2015</v>
      </c>
      <c r="G9" s="1024">
        <f>bal!H8</f>
        <v>2016</v>
      </c>
      <c r="H9" s="1024">
        <f>bal!I8</f>
        <v>2017</v>
      </c>
      <c r="I9" s="1024">
        <f>bal!J8</f>
        <v>2018</v>
      </c>
      <c r="J9" s="1024">
        <f>bal!K8</f>
        <v>2019</v>
      </c>
      <c r="K9" s="81"/>
      <c r="L9" s="82"/>
    </row>
    <row r="10" spans="2:16" x14ac:dyDescent="0.2">
      <c r="B10" s="532"/>
      <c r="C10" s="595"/>
      <c r="D10" s="570"/>
      <c r="E10" s="70"/>
      <c r="F10" s="70"/>
      <c r="G10" s="70"/>
      <c r="H10" s="70"/>
      <c r="I10" s="70"/>
      <c r="J10" s="70"/>
      <c r="K10" s="70"/>
      <c r="L10" s="469"/>
    </row>
    <row r="11" spans="2:16" x14ac:dyDescent="0.2">
      <c r="B11" s="466"/>
      <c r="C11" s="479"/>
      <c r="D11" s="480"/>
      <c r="E11" s="620"/>
      <c r="F11" s="620"/>
      <c r="G11" s="620"/>
      <c r="H11" s="620"/>
      <c r="I11" s="620"/>
      <c r="J11" s="620"/>
      <c r="K11" s="621"/>
      <c r="L11" s="469"/>
    </row>
    <row r="12" spans="2:16" x14ac:dyDescent="0.2">
      <c r="B12" s="532"/>
      <c r="C12" s="533"/>
      <c r="D12" s="1025" t="s">
        <v>484</v>
      </c>
      <c r="E12" s="622"/>
      <c r="F12" s="1168">
        <f>bal!F22</f>
        <v>0</v>
      </c>
      <c r="G12" s="1168">
        <f>bal!G22</f>
        <v>0</v>
      </c>
      <c r="H12" s="1168">
        <f>G52</f>
        <v>1309130.76</v>
      </c>
      <c r="I12" s="1168">
        <f>H52</f>
        <v>2629875.2999999998</v>
      </c>
      <c r="J12" s="1168">
        <f>I52</f>
        <v>3958550.66</v>
      </c>
      <c r="K12" s="623"/>
      <c r="L12" s="536"/>
    </row>
    <row r="13" spans="2:16" x14ac:dyDescent="0.2">
      <c r="B13" s="466"/>
      <c r="C13" s="491"/>
      <c r="D13" s="624"/>
      <c r="E13" s="603"/>
      <c r="F13" s="603"/>
      <c r="G13" s="603"/>
      <c r="H13" s="603"/>
      <c r="I13" s="603"/>
      <c r="J13" s="603"/>
      <c r="K13" s="604"/>
      <c r="L13" s="469"/>
    </row>
    <row r="14" spans="2:16" x14ac:dyDescent="0.2">
      <c r="B14" s="466"/>
      <c r="C14" s="467"/>
      <c r="D14" s="467"/>
      <c r="E14" s="593"/>
      <c r="F14" s="593"/>
      <c r="G14" s="593"/>
      <c r="H14" s="593"/>
      <c r="I14" s="593"/>
      <c r="J14" s="593"/>
      <c r="K14" s="593"/>
      <c r="L14" s="469"/>
    </row>
    <row r="15" spans="2:16" x14ac:dyDescent="0.2">
      <c r="B15" s="466"/>
      <c r="C15" s="479"/>
      <c r="D15" s="480"/>
      <c r="E15" s="620"/>
      <c r="F15" s="620"/>
      <c r="G15" s="620"/>
      <c r="H15" s="620"/>
      <c r="I15" s="620"/>
      <c r="J15" s="620"/>
      <c r="K15" s="621"/>
      <c r="L15" s="469"/>
    </row>
    <row r="16" spans="2:16" x14ac:dyDescent="0.2">
      <c r="B16" s="466"/>
      <c r="C16" s="135"/>
      <c r="D16" s="1025" t="s">
        <v>310</v>
      </c>
      <c r="E16" s="607"/>
      <c r="F16" s="607"/>
      <c r="G16" s="607"/>
      <c r="H16" s="607"/>
      <c r="I16" s="607"/>
      <c r="J16" s="607"/>
      <c r="K16" s="599"/>
      <c r="L16" s="469"/>
      <c r="M16" s="175"/>
      <c r="N16" s="22"/>
      <c r="O16" s="22"/>
      <c r="P16" s="22"/>
    </row>
    <row r="17" spans="2:16" x14ac:dyDescent="0.2">
      <c r="B17" s="466"/>
      <c r="C17" s="135"/>
      <c r="D17" s="534"/>
      <c r="E17" s="607"/>
      <c r="F17" s="607"/>
      <c r="G17" s="607"/>
      <c r="H17" s="607"/>
      <c r="I17" s="607"/>
      <c r="J17" s="607"/>
      <c r="K17" s="599"/>
      <c r="L17" s="469"/>
      <c r="M17" s="175"/>
      <c r="N17" s="22"/>
      <c r="O17" s="22"/>
      <c r="P17" s="22"/>
    </row>
    <row r="18" spans="2:16" x14ac:dyDescent="0.2">
      <c r="B18" s="466"/>
      <c r="C18" s="135"/>
      <c r="D18" s="136" t="s">
        <v>148</v>
      </c>
      <c r="E18" s="607"/>
      <c r="F18" s="992">
        <f>begr!F42</f>
        <v>0</v>
      </c>
      <c r="G18" s="992">
        <f>begr!G42</f>
        <v>1309130.7635819772</v>
      </c>
      <c r="H18" s="992">
        <f>begr!H42</f>
        <v>1320744.5376416517</v>
      </c>
      <c r="I18" s="992">
        <f>begr!I42</f>
        <v>1328675.3625421943</v>
      </c>
      <c r="J18" s="992">
        <f>begr!J42</f>
        <v>1336547.5057790838</v>
      </c>
      <c r="K18" s="599"/>
      <c r="L18" s="469"/>
    </row>
    <row r="19" spans="2:16" x14ac:dyDescent="0.2">
      <c r="B19" s="466"/>
      <c r="C19" s="135"/>
      <c r="D19" s="136"/>
      <c r="E19" s="607"/>
      <c r="F19" s="607"/>
      <c r="G19" s="607"/>
      <c r="H19" s="607"/>
      <c r="I19" s="607"/>
      <c r="J19" s="607"/>
      <c r="K19" s="599"/>
      <c r="L19" s="469"/>
    </row>
    <row r="20" spans="2:16" x14ac:dyDescent="0.2">
      <c r="B20" s="466"/>
      <c r="C20" s="135"/>
      <c r="D20" s="136" t="s">
        <v>266</v>
      </c>
      <c r="E20" s="607"/>
      <c r="F20" s="994">
        <f>mat!H113</f>
        <v>0</v>
      </c>
      <c r="G20" s="994">
        <f>mat!I113</f>
        <v>0</v>
      </c>
      <c r="H20" s="994">
        <f>mat!J113</f>
        <v>0</v>
      </c>
      <c r="I20" s="994">
        <f>mat!K113</f>
        <v>0</v>
      </c>
      <c r="J20" s="994">
        <f>mat!L113</f>
        <v>0</v>
      </c>
      <c r="K20" s="599"/>
      <c r="L20" s="469"/>
    </row>
    <row r="21" spans="2:16" x14ac:dyDescent="0.2">
      <c r="B21" s="466"/>
      <c r="C21" s="135"/>
      <c r="D21" s="136"/>
      <c r="E21" s="607"/>
      <c r="F21" s="602"/>
      <c r="G21" s="602"/>
      <c r="H21" s="602"/>
      <c r="I21" s="602"/>
      <c r="J21" s="602"/>
      <c r="K21" s="599"/>
      <c r="L21" s="469"/>
    </row>
    <row r="22" spans="2:16" x14ac:dyDescent="0.2">
      <c r="B22" s="466"/>
      <c r="C22" s="135"/>
      <c r="D22" s="625" t="s">
        <v>311</v>
      </c>
      <c r="E22" s="607"/>
      <c r="F22" s="602"/>
      <c r="G22" s="602"/>
      <c r="H22" s="602"/>
      <c r="I22" s="602"/>
      <c r="J22" s="602"/>
      <c r="K22" s="599"/>
      <c r="L22" s="469"/>
    </row>
    <row r="23" spans="2:16" x14ac:dyDescent="0.2">
      <c r="B23" s="466"/>
      <c r="C23" s="135"/>
      <c r="D23" s="136" t="s">
        <v>7</v>
      </c>
      <c r="E23" s="607"/>
      <c r="F23" s="994">
        <f>(bal!F19)-(bal!G19)</f>
        <v>0</v>
      </c>
      <c r="G23" s="994">
        <f>(bal!G19)-(bal!H19)</f>
        <v>0</v>
      </c>
      <c r="H23" s="994">
        <f>(bal!H19)-(bal!I19)</f>
        <v>0</v>
      </c>
      <c r="I23" s="994">
        <f>(bal!I19)-(bal!J19)</f>
        <v>0</v>
      </c>
      <c r="J23" s="994">
        <f>(bal!J19)-(bal!K19)</f>
        <v>0</v>
      </c>
      <c r="K23" s="599"/>
      <c r="L23" s="469"/>
    </row>
    <row r="24" spans="2:16" x14ac:dyDescent="0.2">
      <c r="B24" s="466"/>
      <c r="C24" s="135"/>
      <c r="D24" s="136" t="s">
        <v>8</v>
      </c>
      <c r="E24" s="607"/>
      <c r="F24" s="994">
        <f>(bal!F20)-(bal!G20)</f>
        <v>0</v>
      </c>
      <c r="G24" s="994">
        <f>(bal!G20)-(bal!H20)</f>
        <v>0</v>
      </c>
      <c r="H24" s="994">
        <f>(bal!H20)-(bal!I20)</f>
        <v>0</v>
      </c>
      <c r="I24" s="994">
        <f>(bal!I20)-(bal!J20)</f>
        <v>0</v>
      </c>
      <c r="J24" s="994">
        <f>(bal!J20)-(bal!K20)</f>
        <v>0</v>
      </c>
      <c r="K24" s="599"/>
      <c r="L24" s="469"/>
    </row>
    <row r="25" spans="2:16" x14ac:dyDescent="0.2">
      <c r="B25" s="466"/>
      <c r="C25" s="135"/>
      <c r="D25" s="136" t="s">
        <v>9</v>
      </c>
      <c r="E25" s="607"/>
      <c r="F25" s="994">
        <f>(bal!F21)-(bal!G21)</f>
        <v>0</v>
      </c>
      <c r="G25" s="994">
        <f>(bal!G21)-(bal!H21)</f>
        <v>0</v>
      </c>
      <c r="H25" s="994">
        <f>(bal!H21)-(bal!I21)</f>
        <v>0</v>
      </c>
      <c r="I25" s="994">
        <f>(bal!I21)-(bal!J21)</f>
        <v>0</v>
      </c>
      <c r="J25" s="994">
        <f>(bal!J21)-(bal!K21)</f>
        <v>0</v>
      </c>
      <c r="K25" s="599"/>
      <c r="L25" s="469"/>
    </row>
    <row r="26" spans="2:16" x14ac:dyDescent="0.2">
      <c r="B26" s="466"/>
      <c r="C26" s="135"/>
      <c r="D26" s="136" t="s">
        <v>302</v>
      </c>
      <c r="E26" s="607"/>
      <c r="F26" s="994">
        <f>(bal!G55)-(bal!F55)</f>
        <v>0</v>
      </c>
      <c r="G26" s="994">
        <f>(bal!H55)-(bal!G55)</f>
        <v>0</v>
      </c>
      <c r="H26" s="994">
        <f>(bal!I55)-(bal!H55)</f>
        <v>0</v>
      </c>
      <c r="I26" s="994">
        <f>(bal!J55)-(bal!I55)</f>
        <v>0</v>
      </c>
      <c r="J26" s="994">
        <f>(bal!K55)-(bal!J55)</f>
        <v>0</v>
      </c>
      <c r="K26" s="599"/>
      <c r="L26" s="469"/>
    </row>
    <row r="27" spans="2:16" x14ac:dyDescent="0.2">
      <c r="B27" s="466"/>
      <c r="C27" s="135"/>
      <c r="D27" s="136"/>
      <c r="E27" s="607"/>
      <c r="F27" s="1167">
        <f>SUM(F23:F26)</f>
        <v>0</v>
      </c>
      <c r="G27" s="1167">
        <f>SUM(G23:G26)</f>
        <v>0</v>
      </c>
      <c r="H27" s="1167">
        <f>SUM(H23:H26)</f>
        <v>0</v>
      </c>
      <c r="I27" s="1167">
        <f>SUM(I23:I26)</f>
        <v>0</v>
      </c>
      <c r="J27" s="1167">
        <f>SUM(J23:J26)</f>
        <v>0</v>
      </c>
      <c r="K27" s="599"/>
      <c r="L27" s="469"/>
    </row>
    <row r="28" spans="2:16" x14ac:dyDescent="0.2">
      <c r="B28" s="466"/>
      <c r="C28" s="135"/>
      <c r="D28" s="626"/>
      <c r="E28" s="607"/>
      <c r="F28" s="602"/>
      <c r="G28" s="602"/>
      <c r="H28" s="602"/>
      <c r="I28" s="602"/>
      <c r="J28" s="602"/>
      <c r="K28" s="599"/>
      <c r="L28" s="469"/>
    </row>
    <row r="29" spans="2:16" x14ac:dyDescent="0.2">
      <c r="B29" s="466"/>
      <c r="C29" s="135"/>
      <c r="D29" s="136" t="s">
        <v>316</v>
      </c>
      <c r="E29" s="607"/>
      <c r="F29" s="994">
        <f>(bal!G42)-(bal!F42)</f>
        <v>0</v>
      </c>
      <c r="G29" s="994">
        <f>(bal!H42)-(bal!G42)</f>
        <v>0</v>
      </c>
      <c r="H29" s="994">
        <f>(bal!I42)-(bal!H42)</f>
        <v>0</v>
      </c>
      <c r="I29" s="994">
        <f>(bal!J42)-(bal!I42)</f>
        <v>0</v>
      </c>
      <c r="J29" s="994">
        <f>(bal!K42)-(bal!J42)</f>
        <v>0</v>
      </c>
      <c r="K29" s="599"/>
      <c r="L29" s="469"/>
    </row>
    <row r="30" spans="2:16" x14ac:dyDescent="0.2">
      <c r="B30" s="466"/>
      <c r="C30" s="135"/>
      <c r="D30" s="136"/>
      <c r="E30" s="607"/>
      <c r="F30" s="602"/>
      <c r="G30" s="602"/>
      <c r="H30" s="602"/>
      <c r="I30" s="602"/>
      <c r="J30" s="602"/>
      <c r="K30" s="599"/>
      <c r="L30" s="469"/>
    </row>
    <row r="31" spans="2:16" x14ac:dyDescent="0.2">
      <c r="B31" s="466"/>
      <c r="C31" s="135"/>
      <c r="D31" s="534" t="s">
        <v>291</v>
      </c>
      <c r="E31" s="607"/>
      <c r="F31" s="1168">
        <f>F18+F20+F27+F29</f>
        <v>0</v>
      </c>
      <c r="G31" s="1168">
        <f>G18+G20+G27+G29</f>
        <v>1309130.7635819772</v>
      </c>
      <c r="H31" s="1168">
        <f>H18+H20+H27+H29</f>
        <v>1320744.5376416517</v>
      </c>
      <c r="I31" s="1168">
        <f>I18+I20+I27+I29</f>
        <v>1328675.3625421943</v>
      </c>
      <c r="J31" s="1168">
        <f>J18+J20+J27+J29</f>
        <v>1336547.5057790838</v>
      </c>
      <c r="K31" s="599"/>
      <c r="L31" s="469"/>
    </row>
    <row r="32" spans="2:16" x14ac:dyDescent="0.2">
      <c r="B32" s="466"/>
      <c r="C32" s="135"/>
      <c r="D32" s="136"/>
      <c r="E32" s="607"/>
      <c r="F32" s="602"/>
      <c r="G32" s="602"/>
      <c r="H32" s="602"/>
      <c r="I32" s="602"/>
      <c r="J32" s="602"/>
      <c r="K32" s="599"/>
      <c r="L32" s="469"/>
    </row>
    <row r="33" spans="2:12" x14ac:dyDescent="0.2">
      <c r="B33" s="466"/>
      <c r="C33" s="467"/>
      <c r="D33" s="467"/>
      <c r="E33" s="593"/>
      <c r="F33" s="593"/>
      <c r="G33" s="593"/>
      <c r="H33" s="593"/>
      <c r="I33" s="593"/>
      <c r="J33" s="593"/>
      <c r="K33" s="593"/>
      <c r="L33" s="469"/>
    </row>
    <row r="34" spans="2:12" x14ac:dyDescent="0.2">
      <c r="B34" s="466"/>
      <c r="C34" s="135"/>
      <c r="D34" s="136"/>
      <c r="E34" s="607"/>
      <c r="F34" s="602"/>
      <c r="G34" s="602"/>
      <c r="H34" s="602"/>
      <c r="I34" s="602"/>
      <c r="J34" s="602"/>
      <c r="K34" s="599"/>
      <c r="L34" s="469"/>
    </row>
    <row r="35" spans="2:12" x14ac:dyDescent="0.2">
      <c r="B35" s="466"/>
      <c r="C35" s="135"/>
      <c r="D35" s="1025" t="s">
        <v>312</v>
      </c>
      <c r="E35" s="607"/>
      <c r="F35" s="602"/>
      <c r="G35" s="602"/>
      <c r="H35" s="602"/>
      <c r="I35" s="602"/>
      <c r="J35" s="602"/>
      <c r="K35" s="599"/>
      <c r="L35" s="469"/>
    </row>
    <row r="36" spans="2:12" x14ac:dyDescent="0.2">
      <c r="B36" s="466"/>
      <c r="C36" s="135"/>
      <c r="D36" s="534"/>
      <c r="E36" s="607"/>
      <c r="F36" s="602"/>
      <c r="G36" s="602"/>
      <c r="H36" s="602"/>
      <c r="I36" s="602"/>
      <c r="J36" s="602"/>
      <c r="K36" s="599"/>
      <c r="L36" s="469"/>
    </row>
    <row r="37" spans="2:12" x14ac:dyDescent="0.2">
      <c r="B37" s="466"/>
      <c r="C37" s="135"/>
      <c r="D37" s="136" t="s">
        <v>314</v>
      </c>
      <c r="E37" s="607"/>
      <c r="F37" s="994">
        <f>act!F29</f>
        <v>0</v>
      </c>
      <c r="G37" s="994">
        <f>act!G29</f>
        <v>0</v>
      </c>
      <c r="H37" s="994">
        <f>act!H29</f>
        <v>0</v>
      </c>
      <c r="I37" s="994">
        <f>act!I29</f>
        <v>0</v>
      </c>
      <c r="J37" s="994">
        <f>act!J29</f>
        <v>0</v>
      </c>
      <c r="K37" s="599"/>
      <c r="L37" s="469"/>
    </row>
    <row r="38" spans="2:12" x14ac:dyDescent="0.2">
      <c r="B38" s="466"/>
      <c r="C38" s="135"/>
      <c r="D38" s="136" t="s">
        <v>313</v>
      </c>
      <c r="E38" s="607"/>
      <c r="F38" s="994">
        <f>(bal!G14)-(bal!F14)</f>
        <v>0</v>
      </c>
      <c r="G38" s="994">
        <f>(bal!H14)-(bal!G14)</f>
        <v>0</v>
      </c>
      <c r="H38" s="994">
        <f>(bal!I14)-(bal!H14)</f>
        <v>0</v>
      </c>
      <c r="I38" s="994">
        <f>(bal!J14)-(bal!I14)</f>
        <v>0</v>
      </c>
      <c r="J38" s="994">
        <f>(bal!K14)-(bal!J14)</f>
        <v>0</v>
      </c>
      <c r="K38" s="599"/>
      <c r="L38" s="469"/>
    </row>
    <row r="39" spans="2:12" x14ac:dyDescent="0.2">
      <c r="B39" s="466"/>
      <c r="C39" s="135"/>
      <c r="D39" s="136" t="s">
        <v>315</v>
      </c>
      <c r="E39" s="607"/>
      <c r="F39" s="994">
        <f>(bal!G16)-(bal!F16)</f>
        <v>0</v>
      </c>
      <c r="G39" s="994">
        <f>(bal!H16)-(bal!G16)</f>
        <v>0</v>
      </c>
      <c r="H39" s="994">
        <f>(bal!I16)-(bal!H16)</f>
        <v>0</v>
      </c>
      <c r="I39" s="994">
        <f>(bal!J16)-(bal!I16)</f>
        <v>0</v>
      </c>
      <c r="J39" s="994">
        <f>(bal!K16)-(bal!J16)</f>
        <v>0</v>
      </c>
      <c r="K39" s="599"/>
      <c r="L39" s="469"/>
    </row>
    <row r="40" spans="2:12" x14ac:dyDescent="0.2">
      <c r="B40" s="466"/>
      <c r="C40" s="135"/>
      <c r="D40" s="136"/>
      <c r="E40" s="607"/>
      <c r="F40" s="602"/>
      <c r="G40" s="602"/>
      <c r="H40" s="602"/>
      <c r="I40" s="602"/>
      <c r="J40" s="602"/>
      <c r="K40" s="599"/>
      <c r="L40" s="469"/>
    </row>
    <row r="41" spans="2:12" x14ac:dyDescent="0.2">
      <c r="B41" s="466"/>
      <c r="C41" s="135"/>
      <c r="D41" s="534" t="s">
        <v>291</v>
      </c>
      <c r="E41" s="607"/>
      <c r="F41" s="1174">
        <f>SUM(F37:F39)</f>
        <v>0</v>
      </c>
      <c r="G41" s="1174">
        <f>SUM(G37:G39)</f>
        <v>0</v>
      </c>
      <c r="H41" s="1174">
        <f>SUM(H37:H39)</f>
        <v>0</v>
      </c>
      <c r="I41" s="1174">
        <f>SUM(I37:I39)</f>
        <v>0</v>
      </c>
      <c r="J41" s="1174">
        <f>SUM(J37:J39)</f>
        <v>0</v>
      </c>
      <c r="K41" s="599"/>
      <c r="L41" s="469"/>
    </row>
    <row r="42" spans="2:12" x14ac:dyDescent="0.2">
      <c r="B42" s="466"/>
      <c r="C42" s="135"/>
      <c r="D42" s="136"/>
      <c r="E42" s="607"/>
      <c r="F42" s="602"/>
      <c r="G42" s="602"/>
      <c r="H42" s="602"/>
      <c r="I42" s="602"/>
      <c r="J42" s="602"/>
      <c r="K42" s="599"/>
      <c r="L42" s="469"/>
    </row>
    <row r="43" spans="2:12" x14ac:dyDescent="0.2">
      <c r="B43" s="466"/>
      <c r="C43" s="467"/>
      <c r="D43" s="467"/>
      <c r="E43" s="593"/>
      <c r="F43" s="593"/>
      <c r="G43" s="593"/>
      <c r="H43" s="593"/>
      <c r="I43" s="593"/>
      <c r="J43" s="593"/>
      <c r="K43" s="593"/>
      <c r="L43" s="469"/>
    </row>
    <row r="44" spans="2:12" x14ac:dyDescent="0.2">
      <c r="B44" s="466"/>
      <c r="C44" s="135"/>
      <c r="D44" s="136"/>
      <c r="E44" s="607"/>
      <c r="F44" s="602"/>
      <c r="G44" s="602"/>
      <c r="H44" s="602"/>
      <c r="I44" s="602"/>
      <c r="J44" s="602"/>
      <c r="K44" s="599"/>
      <c r="L44" s="469"/>
    </row>
    <row r="45" spans="2:12" x14ac:dyDescent="0.2">
      <c r="B45" s="466"/>
      <c r="C45" s="135"/>
      <c r="D45" s="1025" t="s">
        <v>317</v>
      </c>
      <c r="E45" s="607"/>
      <c r="F45" s="1168">
        <f>(bal!G46)-(bal!F46)</f>
        <v>0</v>
      </c>
      <c r="G45" s="1168">
        <f>(bal!H46)-(bal!G46)</f>
        <v>0</v>
      </c>
      <c r="H45" s="1168">
        <f>(bal!I46)-(bal!H46)</f>
        <v>0</v>
      </c>
      <c r="I45" s="1168">
        <f>(bal!J46)-(bal!I46)</f>
        <v>0</v>
      </c>
      <c r="J45" s="1168">
        <f>(bal!K46)-(bal!J46)</f>
        <v>0</v>
      </c>
      <c r="K45" s="599"/>
      <c r="L45" s="469"/>
    </row>
    <row r="46" spans="2:12" x14ac:dyDescent="0.2">
      <c r="B46" s="466"/>
      <c r="C46" s="135"/>
      <c r="D46" s="534"/>
      <c r="E46" s="607"/>
      <c r="F46" s="602"/>
      <c r="G46" s="602"/>
      <c r="H46" s="602"/>
      <c r="I46" s="602"/>
      <c r="J46" s="602"/>
      <c r="K46" s="599"/>
      <c r="L46" s="469"/>
    </row>
    <row r="47" spans="2:12" x14ac:dyDescent="0.2">
      <c r="B47" s="466"/>
      <c r="C47" s="467"/>
      <c r="D47" s="467"/>
      <c r="E47" s="593"/>
      <c r="F47" s="593"/>
      <c r="G47" s="593"/>
      <c r="H47" s="593"/>
      <c r="I47" s="593"/>
      <c r="J47" s="593"/>
      <c r="K47" s="593"/>
      <c r="L47" s="469"/>
    </row>
    <row r="48" spans="2:12" x14ac:dyDescent="0.2">
      <c r="B48" s="466"/>
      <c r="C48" s="135"/>
      <c r="D48" s="136"/>
      <c r="E48" s="607"/>
      <c r="F48" s="602"/>
      <c r="G48" s="602"/>
      <c r="H48" s="602"/>
      <c r="I48" s="602"/>
      <c r="J48" s="602"/>
      <c r="K48" s="599"/>
      <c r="L48" s="469"/>
    </row>
    <row r="49" spans="2:12" x14ac:dyDescent="0.2">
      <c r="B49" s="466"/>
      <c r="C49" s="135"/>
      <c r="D49" s="1035" t="s">
        <v>309</v>
      </c>
      <c r="E49" s="607"/>
      <c r="F49" s="1168">
        <f>ROUND((F31-F41+F45),2)</f>
        <v>0</v>
      </c>
      <c r="G49" s="1168">
        <f>ROUND((G31-G41+G45),2)</f>
        <v>1309130.76</v>
      </c>
      <c r="H49" s="1168">
        <f>ROUND((H31-H41+H45),2)</f>
        <v>1320744.54</v>
      </c>
      <c r="I49" s="1168">
        <f>ROUND((I31-I41+I45),2)</f>
        <v>1328675.3600000001</v>
      </c>
      <c r="J49" s="1168">
        <f>ROUND((J31-J41+J45),2)</f>
        <v>1336547.51</v>
      </c>
      <c r="K49" s="599"/>
      <c r="L49" s="469"/>
    </row>
    <row r="50" spans="2:12" x14ac:dyDescent="0.2">
      <c r="B50" s="466"/>
      <c r="C50" s="135"/>
      <c r="D50" s="1030" t="s">
        <v>42</v>
      </c>
      <c r="E50" s="627"/>
      <c r="F50" s="1062">
        <f>ROUND((bal!G22-bal!F22),2)</f>
        <v>0</v>
      </c>
      <c r="G50" s="1062">
        <f>ROUND((bal!H22-bal!G22),2)</f>
        <v>1309130.76</v>
      </c>
      <c r="H50" s="1062">
        <f>ROUND((bal!I22-bal!H22),2)</f>
        <v>1320744.54</v>
      </c>
      <c r="I50" s="1062">
        <f>ROUND((bal!J22-bal!I22),2)</f>
        <v>1328675.3600000001</v>
      </c>
      <c r="J50" s="1062">
        <f>ROUND((bal!K22-bal!J22),2)</f>
        <v>1336547.51</v>
      </c>
      <c r="K50" s="599"/>
      <c r="L50" s="469"/>
    </row>
    <row r="51" spans="2:12" x14ac:dyDescent="0.2">
      <c r="B51" s="466"/>
      <c r="C51" s="135"/>
      <c r="D51" s="1026"/>
      <c r="E51" s="607"/>
      <c r="F51" s="1172"/>
      <c r="G51" s="1172"/>
      <c r="H51" s="1172"/>
      <c r="I51" s="1172"/>
      <c r="J51" s="1172"/>
      <c r="K51" s="599"/>
      <c r="L51" s="469"/>
    </row>
    <row r="52" spans="2:12" x14ac:dyDescent="0.2">
      <c r="B52" s="532"/>
      <c r="C52" s="533"/>
      <c r="D52" s="1025" t="s">
        <v>43</v>
      </c>
      <c r="E52" s="622"/>
      <c r="F52" s="1166">
        <f>F12+F49</f>
        <v>0</v>
      </c>
      <c r="G52" s="1166">
        <f>G12+G49</f>
        <v>1309130.76</v>
      </c>
      <c r="H52" s="1168">
        <f>H12+H49</f>
        <v>2629875.2999999998</v>
      </c>
      <c r="I52" s="1168">
        <f>I12+I49</f>
        <v>3958550.66</v>
      </c>
      <c r="J52" s="1168">
        <f>J12+J49</f>
        <v>5295098.17</v>
      </c>
      <c r="K52" s="623"/>
      <c r="L52" s="536"/>
    </row>
    <row r="53" spans="2:12" x14ac:dyDescent="0.2">
      <c r="B53" s="532"/>
      <c r="C53" s="533"/>
      <c r="D53" s="1027" t="s">
        <v>41</v>
      </c>
      <c r="E53" s="628"/>
      <c r="F53" s="1173" t="e">
        <f>bal!G23/bal!G55</f>
        <v>#DIV/0!</v>
      </c>
      <c r="G53" s="1173" t="e">
        <f>bal!H23/bal!H55</f>
        <v>#DIV/0!</v>
      </c>
      <c r="H53" s="1173" t="e">
        <f>bal!I23/bal!I55</f>
        <v>#DIV/0!</v>
      </c>
      <c r="I53" s="1173" t="e">
        <f>bal!J23/bal!J55</f>
        <v>#DIV/0!</v>
      </c>
      <c r="J53" s="1173" t="e">
        <f>bal!K23/bal!K55</f>
        <v>#DIV/0!</v>
      </c>
      <c r="K53" s="623"/>
      <c r="L53" s="536"/>
    </row>
    <row r="54" spans="2:12" x14ac:dyDescent="0.2">
      <c r="B54" s="466"/>
      <c r="C54" s="491"/>
      <c r="D54" s="492"/>
      <c r="E54" s="603"/>
      <c r="F54" s="629"/>
      <c r="G54" s="629"/>
      <c r="H54" s="629"/>
      <c r="I54" s="629"/>
      <c r="J54" s="629"/>
      <c r="K54" s="604"/>
      <c r="L54" s="469"/>
    </row>
    <row r="55" spans="2:12" x14ac:dyDescent="0.2">
      <c r="B55" s="466"/>
      <c r="C55" s="467"/>
      <c r="D55" s="467"/>
      <c r="E55" s="593"/>
      <c r="F55" s="630"/>
      <c r="G55" s="630"/>
      <c r="H55" s="630"/>
      <c r="I55" s="630"/>
      <c r="J55" s="630"/>
      <c r="K55" s="593"/>
      <c r="L55" s="469"/>
    </row>
    <row r="56" spans="2:12" ht="15" x14ac:dyDescent="0.25">
      <c r="B56" s="496"/>
      <c r="C56" s="497"/>
      <c r="D56" s="497"/>
      <c r="E56" s="631"/>
      <c r="F56" s="632"/>
      <c r="G56" s="632"/>
      <c r="H56" s="632"/>
      <c r="I56" s="632"/>
      <c r="J56" s="632"/>
      <c r="K56" s="89"/>
      <c r="L56" s="498"/>
    </row>
  </sheetData>
  <sheetProtection algorithmName="SHA-512" hashValue="QhXB2nASmrAW9CGQC59CXYfDKk3VrfotIqTBZWbsKEDJ0t5L4i/C7mWhZPjRC6Ar+5DRHybddu+Ew73rJrZwPg==" saltValue="sE2KxZ9cLi06xB8d7a4rPQ==" spinCount="100000" sheet="1" objects="1" scenarios="1"/>
  <phoneticPr fontId="0" type="noConversion"/>
  <pageMargins left="0.78740157480314965" right="0.78740157480314965" top="0.98425196850393704" bottom="0.98425196850393704" header="0.51181102362204722" footer="0.51181102362204722"/>
  <pageSetup paperSize="9" scale="65" orientation="portrait" r:id="rId1"/>
  <headerFooter alignWithMargins="0">
    <oddHeader>&amp;L&amp;"Arial,Vet"&amp;F&amp;R&amp;"Arial,Vet"&amp;A</oddHeader>
    <oddFooter>&amp;L&amp;"Arial,Vet"PO-Raad&amp;C&amp;"Arial,Vet"&amp;D&amp;R&amp;"Arial,Vet"pagina &amp;P</oddFooter>
  </headerFooter>
  <colBreaks count="1" manualBreakCount="1">
    <brk id="21" min="3" max="6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B1:K80"/>
  <sheetViews>
    <sheetView showGridLines="0" zoomScale="85" zoomScaleNormal="85" zoomScaleSheetLayoutView="8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14" customWidth="1"/>
    <col min="2" max="3" width="2.7109375" style="14" customWidth="1"/>
    <col min="4" max="4" width="45.7109375" style="309" customWidth="1"/>
    <col min="5" max="5" width="2.7109375" style="14" customWidth="1"/>
    <col min="6" max="6" width="16.7109375" style="22" customWidth="1"/>
    <col min="7" max="9" width="16.7109375" style="175" customWidth="1"/>
    <col min="10" max="11" width="2.7109375" style="14" customWidth="1"/>
    <col min="12" max="13" width="14.7109375" style="14" customWidth="1"/>
    <col min="14" max="16384" width="9.140625" style="14"/>
  </cols>
  <sheetData>
    <row r="1" spans="2:11" ht="12.75" customHeight="1" x14ac:dyDescent="0.2"/>
    <row r="2" spans="2:11" x14ac:dyDescent="0.2">
      <c r="B2" s="62"/>
      <c r="C2" s="63"/>
      <c r="D2" s="338"/>
      <c r="E2" s="63"/>
      <c r="F2" s="92"/>
      <c r="G2" s="542"/>
      <c r="H2" s="542"/>
      <c r="I2" s="542"/>
      <c r="J2" s="63"/>
      <c r="K2" s="66"/>
    </row>
    <row r="3" spans="2:11" x14ac:dyDescent="0.2">
      <c r="B3" s="67"/>
      <c r="C3" s="68"/>
      <c r="D3" s="344"/>
      <c r="E3" s="68"/>
      <c r="F3" s="85"/>
      <c r="G3" s="223"/>
      <c r="H3" s="223"/>
      <c r="I3" s="223"/>
      <c r="J3" s="68"/>
      <c r="K3" s="71"/>
    </row>
    <row r="4" spans="2:11" s="458" customFormat="1" ht="18.75" x14ac:dyDescent="0.3">
      <c r="B4" s="470"/>
      <c r="C4" s="971" t="s">
        <v>191</v>
      </c>
      <c r="D4" s="543"/>
      <c r="E4" s="471"/>
      <c r="F4" s="93"/>
      <c r="G4" s="544"/>
      <c r="H4" s="544"/>
      <c r="I4" s="544"/>
      <c r="J4" s="471"/>
      <c r="K4" s="94"/>
    </row>
    <row r="5" spans="2:11" s="16" customFormat="1" ht="18.75" x14ac:dyDescent="0.3">
      <c r="B5" s="206"/>
      <c r="C5" s="74" t="str">
        <f>geg!F11</f>
        <v>Voorbeeld SBO</v>
      </c>
      <c r="D5" s="545"/>
      <c r="E5" s="74"/>
      <c r="F5" s="546"/>
      <c r="G5" s="547"/>
      <c r="H5" s="547"/>
      <c r="I5" s="547"/>
      <c r="J5" s="74"/>
      <c r="K5" s="472"/>
    </row>
    <row r="6" spans="2:11" x14ac:dyDescent="0.2">
      <c r="B6" s="67"/>
      <c r="C6" s="68"/>
      <c r="D6" s="344"/>
      <c r="E6" s="68"/>
      <c r="F6" s="85"/>
      <c r="G6" s="223"/>
      <c r="H6" s="223"/>
      <c r="I6" s="223"/>
      <c r="J6" s="68"/>
      <c r="K6" s="71"/>
    </row>
    <row r="7" spans="2:11" x14ac:dyDescent="0.2">
      <c r="B7" s="67"/>
      <c r="C7" s="68"/>
      <c r="D7" s="344"/>
      <c r="E7" s="68"/>
      <c r="F7" s="85"/>
      <c r="G7" s="223"/>
      <c r="H7" s="223"/>
      <c r="I7" s="223"/>
      <c r="J7" s="68"/>
      <c r="K7" s="71"/>
    </row>
    <row r="8" spans="2:11" x14ac:dyDescent="0.2">
      <c r="B8" s="67"/>
      <c r="C8" s="68"/>
      <c r="D8" s="344"/>
      <c r="E8" s="68"/>
      <c r="F8" s="1024">
        <f>bal!H8</f>
        <v>2016</v>
      </c>
      <c r="G8" s="1024">
        <f>bal!I8</f>
        <v>2017</v>
      </c>
      <c r="H8" s="1024">
        <f>bal!J8</f>
        <v>2018</v>
      </c>
      <c r="I8" s="1024">
        <f>bal!K8</f>
        <v>2019</v>
      </c>
      <c r="J8" s="68"/>
      <c r="K8" s="71"/>
    </row>
    <row r="9" spans="2:11" x14ac:dyDescent="0.2">
      <c r="B9" s="67"/>
      <c r="C9" s="68"/>
      <c r="D9" s="344"/>
      <c r="E9" s="68"/>
      <c r="F9" s="70"/>
      <c r="G9" s="70"/>
      <c r="H9" s="70"/>
      <c r="I9" s="70"/>
      <c r="J9" s="68"/>
      <c r="K9" s="71"/>
    </row>
    <row r="10" spans="2:11" x14ac:dyDescent="0.2">
      <c r="B10" s="67"/>
      <c r="C10" s="479"/>
      <c r="D10" s="1333"/>
      <c r="E10" s="480"/>
      <c r="F10" s="620"/>
      <c r="G10" s="1334"/>
      <c r="H10" s="1334"/>
      <c r="I10" s="1334"/>
      <c r="J10" s="1328"/>
      <c r="K10" s="71"/>
    </row>
    <row r="11" spans="2:11" x14ac:dyDescent="0.2">
      <c r="B11" s="67"/>
      <c r="C11" s="135"/>
      <c r="D11" s="1179" t="s">
        <v>231</v>
      </c>
      <c r="E11" s="136"/>
      <c r="F11" s="1307">
        <f>F8</f>
        <v>2016</v>
      </c>
      <c r="G11" s="1307">
        <f>G8</f>
        <v>2017</v>
      </c>
      <c r="H11" s="1307">
        <f>H8</f>
        <v>2018</v>
      </c>
      <c r="I11" s="1307">
        <f>I8</f>
        <v>2019</v>
      </c>
      <c r="J11" s="1311"/>
      <c r="K11" s="71"/>
    </row>
    <row r="12" spans="2:11" x14ac:dyDescent="0.2">
      <c r="B12" s="67"/>
      <c r="C12" s="135"/>
      <c r="D12" s="1312" t="s">
        <v>596</v>
      </c>
      <c r="E12" s="1335"/>
      <c r="F12" s="1319">
        <f>bal!H25/ken!F32</f>
        <v>0.88409289914784861</v>
      </c>
      <c r="G12" s="1319">
        <f>bal!I25/ken!G32</f>
        <v>1.7561658390510726</v>
      </c>
      <c r="H12" s="1319">
        <f>bal!J25/ken!H32</f>
        <v>2.6203777244068371</v>
      </c>
      <c r="I12" s="1319">
        <f>bal!K25/ken!I32</f>
        <v>3.474817798910828</v>
      </c>
      <c r="J12" s="1311"/>
      <c r="K12" s="71"/>
    </row>
    <row r="13" spans="2:11" x14ac:dyDescent="0.2">
      <c r="B13" s="67"/>
      <c r="C13" s="135"/>
      <c r="D13" s="1309" t="s">
        <v>252</v>
      </c>
      <c r="E13" s="522"/>
      <c r="F13" s="1319">
        <f>bal!H36/bal!H57</f>
        <v>1</v>
      </c>
      <c r="G13" s="1319">
        <f>bal!I36/bal!I57</f>
        <v>1</v>
      </c>
      <c r="H13" s="1319">
        <f>bal!J36/bal!J57</f>
        <v>1</v>
      </c>
      <c r="I13" s="1319">
        <f>bal!K36/bal!K57</f>
        <v>1</v>
      </c>
      <c r="J13" s="1311"/>
      <c r="K13" s="71"/>
    </row>
    <row r="14" spans="2:11" x14ac:dyDescent="0.2">
      <c r="B14" s="67"/>
      <c r="C14" s="135"/>
      <c r="D14" s="1309" t="s">
        <v>597</v>
      </c>
      <c r="E14" s="522"/>
      <c r="F14" s="1319">
        <f>(bal!H36+bal!H42)/bal!H57</f>
        <v>1</v>
      </c>
      <c r="G14" s="1319">
        <f>(bal!I36+bal!I42)/bal!I57</f>
        <v>1</v>
      </c>
      <c r="H14" s="1319">
        <f>(bal!J36+bal!J42)/bal!J57</f>
        <v>1</v>
      </c>
      <c r="I14" s="1319">
        <f>(bal!K36+bal!K42)/bal!K57</f>
        <v>1</v>
      </c>
      <c r="J14" s="1311"/>
      <c r="K14" s="71"/>
    </row>
    <row r="15" spans="2:11" x14ac:dyDescent="0.2">
      <c r="B15" s="67"/>
      <c r="C15" s="135"/>
      <c r="D15" s="1309" t="s">
        <v>196</v>
      </c>
      <c r="E15" s="1188"/>
      <c r="F15" s="1320" t="e">
        <f>bal!H23/bal!H55</f>
        <v>#DIV/0!</v>
      </c>
      <c r="G15" s="1320" t="e">
        <f>bal!I23/bal!I55</f>
        <v>#DIV/0!</v>
      </c>
      <c r="H15" s="1320" t="e">
        <f>bal!J23/bal!J55</f>
        <v>#DIV/0!</v>
      </c>
      <c r="I15" s="1320" t="e">
        <f>bal!K23/bal!K55</f>
        <v>#DIV/0!</v>
      </c>
      <c r="J15" s="1311"/>
      <c r="K15" s="71"/>
    </row>
    <row r="16" spans="2:11" x14ac:dyDescent="0.2">
      <c r="B16" s="67"/>
      <c r="C16" s="135"/>
      <c r="D16" s="1336" t="s">
        <v>245</v>
      </c>
      <c r="E16" s="563"/>
      <c r="F16" s="1310">
        <f>(bal!H36-bal!H15)/begr!G14</f>
        <v>0.88409289914784861</v>
      </c>
      <c r="G16" s="1310">
        <f>(bal!I36-bal!I15)/begr!H14</f>
        <v>1.7561658390510726</v>
      </c>
      <c r="H16" s="1310">
        <f>(bal!J36-bal!J15)/begr!I14</f>
        <v>2.6203777244068371</v>
      </c>
      <c r="I16" s="1310">
        <f>(bal!K36-bal!K15)/begr!J14</f>
        <v>3.474817798910828</v>
      </c>
      <c r="J16" s="1311"/>
      <c r="K16" s="71"/>
    </row>
    <row r="17" spans="2:11" x14ac:dyDescent="0.2">
      <c r="B17" s="67"/>
      <c r="C17" s="135"/>
      <c r="D17" s="1309" t="s">
        <v>239</v>
      </c>
      <c r="E17" s="1188"/>
      <c r="F17" s="1337">
        <f>begr!G42/ken!F32</f>
        <v>0.88409289914784861</v>
      </c>
      <c r="G17" s="1337">
        <f>begr!H42/ken!G32</f>
        <v>0.88196061541031223</v>
      </c>
      <c r="H17" s="1337">
        <f>begr!I42/ken!H32</f>
        <v>0.87952172870805734</v>
      </c>
      <c r="I17" s="1337">
        <f>begr!J42/ken!I32</f>
        <v>0.87708648894987129</v>
      </c>
      <c r="J17" s="1311"/>
      <c r="K17" s="71"/>
    </row>
    <row r="18" spans="2:11" x14ac:dyDescent="0.2">
      <c r="B18" s="67"/>
      <c r="C18" s="135"/>
      <c r="D18" s="963"/>
      <c r="E18" s="136"/>
      <c r="F18" s="607"/>
      <c r="G18" s="602"/>
      <c r="H18" s="602"/>
      <c r="I18" s="602"/>
      <c r="J18" s="1311"/>
      <c r="K18" s="71"/>
    </row>
    <row r="19" spans="2:11" x14ac:dyDescent="0.2">
      <c r="B19" s="67"/>
      <c r="C19" s="1315"/>
      <c r="D19" s="1316"/>
      <c r="E19" s="467"/>
      <c r="F19" s="593"/>
      <c r="G19" s="593"/>
      <c r="H19" s="593"/>
      <c r="I19" s="593"/>
      <c r="J19" s="467"/>
      <c r="K19" s="71"/>
    </row>
    <row r="20" spans="2:11" x14ac:dyDescent="0.2">
      <c r="B20" s="67"/>
      <c r="C20" s="293"/>
      <c r="D20" s="1305"/>
      <c r="E20" s="480"/>
      <c r="F20" s="620"/>
      <c r="G20" s="620"/>
      <c r="H20" s="620"/>
      <c r="I20" s="620"/>
      <c r="J20" s="482"/>
      <c r="K20" s="71"/>
    </row>
    <row r="21" spans="2:11" x14ac:dyDescent="0.2">
      <c r="B21" s="67"/>
      <c r="C21" s="135"/>
      <c r="D21" s="1179" t="s">
        <v>357</v>
      </c>
      <c r="E21" s="1306"/>
      <c r="F21" s="1307">
        <f>F8</f>
        <v>2016</v>
      </c>
      <c r="G21" s="1307">
        <f>G8</f>
        <v>2017</v>
      </c>
      <c r="H21" s="1307">
        <f>H8</f>
        <v>2018</v>
      </c>
      <c r="I21" s="1307">
        <f>I8</f>
        <v>2019</v>
      </c>
      <c r="J21" s="1308"/>
      <c r="K21" s="71"/>
    </row>
    <row r="22" spans="2:11" x14ac:dyDescent="0.2">
      <c r="B22" s="67"/>
      <c r="C22" s="135"/>
      <c r="D22" s="1309" t="s">
        <v>578</v>
      </c>
      <c r="E22" s="136"/>
      <c r="F22" s="1310">
        <f>begr!G14/ken!F32</f>
        <v>1</v>
      </c>
      <c r="G22" s="1310">
        <f>begr!H14/ken!G32</f>
        <v>1</v>
      </c>
      <c r="H22" s="1310">
        <f>begr!I14/ken!H32</f>
        <v>1</v>
      </c>
      <c r="I22" s="1310">
        <f>begr!J14/ken!I32</f>
        <v>1</v>
      </c>
      <c r="J22" s="1311"/>
      <c r="K22" s="71"/>
    </row>
    <row r="23" spans="2:11" x14ac:dyDescent="0.2">
      <c r="B23" s="67"/>
      <c r="C23" s="135"/>
      <c r="D23" s="1309" t="s">
        <v>579</v>
      </c>
      <c r="E23" s="136"/>
      <c r="F23" s="1310">
        <f>begr!G15/ken!F32</f>
        <v>0</v>
      </c>
      <c r="G23" s="1310">
        <f>begr!H15/ken!G32</f>
        <v>0</v>
      </c>
      <c r="H23" s="1310">
        <f>begr!I15/ken!H32</f>
        <v>0</v>
      </c>
      <c r="I23" s="1310">
        <f>begr!J15/ken!I32</f>
        <v>0</v>
      </c>
      <c r="J23" s="1311"/>
      <c r="K23" s="71"/>
    </row>
    <row r="24" spans="2:11" x14ac:dyDescent="0.2">
      <c r="B24" s="67"/>
      <c r="C24" s="135"/>
      <c r="D24" s="1309" t="s">
        <v>580</v>
      </c>
      <c r="E24" s="136"/>
      <c r="F24" s="1310">
        <f>begr!G18/ken!F32</f>
        <v>0</v>
      </c>
      <c r="G24" s="1310">
        <f>begr!H18/ken!G32</f>
        <v>0</v>
      </c>
      <c r="H24" s="1310">
        <f>begr!I18/ken!H32</f>
        <v>0</v>
      </c>
      <c r="I24" s="1310">
        <f>begr!J18/ken!I32</f>
        <v>0</v>
      </c>
      <c r="J24" s="1311"/>
      <c r="K24" s="71"/>
    </row>
    <row r="25" spans="2:11" x14ac:dyDescent="0.2">
      <c r="B25" s="67"/>
      <c r="C25" s="135"/>
      <c r="D25" s="1312" t="s">
        <v>581</v>
      </c>
      <c r="E25" s="136"/>
      <c r="F25" s="1310">
        <f>begr!G23/ken!F32</f>
        <v>0.11590710085215138</v>
      </c>
      <c r="G25" s="1310">
        <f>begr!H23/ken!G32</f>
        <v>0.11803938458968774</v>
      </c>
      <c r="H25" s="1310">
        <f>begr!I23/ken!H32</f>
        <v>0.12047827129194277</v>
      </c>
      <c r="I25" s="1310">
        <f>begr!J23/ken!I32</f>
        <v>0.12291351105012858</v>
      </c>
      <c r="J25" s="1311"/>
      <c r="K25" s="71"/>
    </row>
    <row r="26" spans="2:11" x14ac:dyDescent="0.2">
      <c r="B26" s="67"/>
      <c r="C26" s="135"/>
      <c r="D26" s="1341" t="s">
        <v>582</v>
      </c>
      <c r="E26" s="136"/>
      <c r="F26" s="1310">
        <f>F32/begr!G14</f>
        <v>1</v>
      </c>
      <c r="G26" s="1310">
        <f>G32/begr!H14</f>
        <v>1</v>
      </c>
      <c r="H26" s="1310">
        <f>H32/begr!I14</f>
        <v>1</v>
      </c>
      <c r="I26" s="1310">
        <f>I32/begr!J14</f>
        <v>1</v>
      </c>
      <c r="J26" s="1311"/>
      <c r="K26" s="71"/>
    </row>
    <row r="27" spans="2:11" x14ac:dyDescent="0.2">
      <c r="B27" s="67"/>
      <c r="C27" s="135"/>
      <c r="D27" s="1312" t="s">
        <v>583</v>
      </c>
      <c r="E27" s="136"/>
      <c r="F27" s="1310">
        <f>(begr!G27+begr!G35)/begr!G14</f>
        <v>0.11590710085215138</v>
      </c>
      <c r="G27" s="1310">
        <f>(begr!H27+begr!H35)/begr!H14</f>
        <v>0.11803938458968774</v>
      </c>
      <c r="H27" s="1310">
        <f>(begr!I27+begr!I35)/begr!I14</f>
        <v>0.12047827129194277</v>
      </c>
      <c r="I27" s="1310">
        <f>(begr!J27+begr!J35)/begr!J14</f>
        <v>0.12291351105012858</v>
      </c>
      <c r="J27" s="1311"/>
      <c r="K27" s="71"/>
    </row>
    <row r="28" spans="2:11" x14ac:dyDescent="0.2">
      <c r="B28" s="67"/>
      <c r="C28" s="135"/>
      <c r="D28" s="1341" t="s">
        <v>584</v>
      </c>
      <c r="E28" s="136"/>
      <c r="F28" s="1310">
        <f>begr!G23/begr!G14</f>
        <v>0.11590710085215138</v>
      </c>
      <c r="G28" s="1310">
        <f>begr!H23/begr!H14</f>
        <v>0.11803938458968774</v>
      </c>
      <c r="H28" s="1310">
        <f>begr!I23/begr!I14</f>
        <v>0.12047827129194277</v>
      </c>
      <c r="I28" s="1310">
        <f>begr!J23/begr!J14</f>
        <v>0.12291351105012858</v>
      </c>
      <c r="J28" s="1311"/>
      <c r="K28" s="71"/>
    </row>
    <row r="29" spans="2:11" x14ac:dyDescent="0.2">
      <c r="B29" s="67"/>
      <c r="C29" s="135"/>
      <c r="D29" s="1312" t="s">
        <v>585</v>
      </c>
      <c r="E29" s="136"/>
      <c r="F29" s="1310">
        <f>SUM(begr!G24:G26)/begr!G14</f>
        <v>0</v>
      </c>
      <c r="G29" s="1310">
        <f>SUM(begr!H24:H26)/begr!H14</f>
        <v>0</v>
      </c>
      <c r="H29" s="1310">
        <f>SUM(begr!I24:I26)/begr!I14</f>
        <v>0</v>
      </c>
      <c r="I29" s="1310">
        <f>SUM(begr!J24:J26)/begr!J14</f>
        <v>0</v>
      </c>
      <c r="J29" s="1311"/>
      <c r="K29" s="71"/>
    </row>
    <row r="30" spans="2:11" x14ac:dyDescent="0.2">
      <c r="B30" s="67"/>
      <c r="C30" s="135"/>
      <c r="D30" s="1309" t="s">
        <v>586</v>
      </c>
      <c r="E30" s="563"/>
      <c r="F30" s="1310">
        <f>act!G29/ken!F32</f>
        <v>0</v>
      </c>
      <c r="G30" s="1310">
        <f>act!H29/ken!G32</f>
        <v>0</v>
      </c>
      <c r="H30" s="1310">
        <f>act!I29/ken!H32</f>
        <v>0</v>
      </c>
      <c r="I30" s="1310">
        <f>act!J29/ken!I32</f>
        <v>0</v>
      </c>
      <c r="J30" s="1311"/>
      <c r="K30" s="71"/>
    </row>
    <row r="31" spans="2:11" x14ac:dyDescent="0.2">
      <c r="B31" s="67"/>
      <c r="C31" s="135"/>
      <c r="D31" s="1309"/>
      <c r="E31" s="136"/>
      <c r="F31" s="1309"/>
      <c r="G31" s="1309"/>
      <c r="H31" s="1309"/>
      <c r="I31" s="1309"/>
      <c r="J31" s="1311"/>
      <c r="K31" s="71"/>
    </row>
    <row r="32" spans="2:11" x14ac:dyDescent="0.2">
      <c r="B32" s="67"/>
      <c r="C32" s="135"/>
      <c r="D32" s="136" t="s">
        <v>587</v>
      </c>
      <c r="E32" s="136"/>
      <c r="F32" s="994">
        <f>begr!G19+begr!G35</f>
        <v>1480761.5408333335</v>
      </c>
      <c r="G32" s="994">
        <f>begr!H19+begr!H35</f>
        <v>1497509.6558333335</v>
      </c>
      <c r="H32" s="994">
        <f>begr!I19+begr!I35</f>
        <v>1510679.4058333335</v>
      </c>
      <c r="I32" s="994">
        <f>begr!J19+begr!J35</f>
        <v>1523849.1558333335</v>
      </c>
      <c r="J32" s="1311"/>
      <c r="K32" s="71"/>
    </row>
    <row r="33" spans="2:11" x14ac:dyDescent="0.2">
      <c r="B33" s="67"/>
      <c r="C33" s="135"/>
      <c r="D33" s="104" t="s">
        <v>588</v>
      </c>
      <c r="E33" s="136"/>
      <c r="F33" s="986">
        <f>(pers!I169+mat!I38)/geg!$G$25</f>
        <v>1095.1846129032258</v>
      </c>
      <c r="G33" s="986">
        <f>(pers!J169+mat!J38)/geg!$G$25</f>
        <v>1101.8557419354838</v>
      </c>
      <c r="H33" s="986">
        <f>(pers!K169+mat!K38)/geg!$G$25</f>
        <v>1101.8557419354838</v>
      </c>
      <c r="I33" s="986">
        <f>(pers!L169+mat!L38)/geg!$G$25</f>
        <v>1101.8557419354838</v>
      </c>
      <c r="J33" s="1311"/>
      <c r="K33" s="71"/>
    </row>
    <row r="34" spans="2:11" x14ac:dyDescent="0.2">
      <c r="B34" s="67"/>
      <c r="C34" s="135"/>
      <c r="D34" s="1309" t="s">
        <v>53</v>
      </c>
      <c r="E34" s="136"/>
      <c r="F34" s="994">
        <f>pers!I163/ken!F59</f>
        <v>57210.259083785415</v>
      </c>
      <c r="G34" s="994">
        <f>pers!J163/ken!G59</f>
        <v>58921.706063893922</v>
      </c>
      <c r="H34" s="994">
        <f>pers!K163/ken!H59</f>
        <v>60668.014430379757</v>
      </c>
      <c r="I34" s="994">
        <f>pers!L163/ken!I59</f>
        <v>62433.883351416524</v>
      </c>
      <c r="J34" s="1311"/>
      <c r="K34" s="71"/>
    </row>
    <row r="35" spans="2:11" x14ac:dyDescent="0.2">
      <c r="B35" s="67"/>
      <c r="C35" s="135"/>
      <c r="D35" s="104" t="s">
        <v>547</v>
      </c>
      <c r="E35" s="136"/>
      <c r="F35" s="1181">
        <f>7/12*(dir!S26+op!S71+obp!S46)+5/12*(dir!S48+op!S139+obp!S89)</f>
        <v>11995.007594936711</v>
      </c>
      <c r="G35" s="1181">
        <f>7/12*(dir!S48+op!S139+obp!S89)+5/12*(dir!S71+op!S207+obp!S132)</f>
        <v>12374.281374321883</v>
      </c>
      <c r="H35" s="1181">
        <f>7/12*(dir!S71+op!S207+obp!S132)+5/12*(dir!S93+op!S274+obp!S174)</f>
        <v>12754.029656419531</v>
      </c>
      <c r="I35" s="1181">
        <f>7/12*(dir!S93+op!S274+obp!S174)+5/12*(dir!S115+op!S341+obp!S216)</f>
        <v>13134.373960217001</v>
      </c>
      <c r="J35" s="1311"/>
      <c r="K35" s="71"/>
    </row>
    <row r="36" spans="2:11" x14ac:dyDescent="0.2">
      <c r="B36" s="67"/>
      <c r="C36" s="135"/>
      <c r="D36" s="136" t="s">
        <v>553</v>
      </c>
      <c r="E36" s="136"/>
      <c r="F36" s="991">
        <f>7/12*(dir!P26+op!P71+obp!P46)+5/12*(dir!P48+op!P139+obp!P89)</f>
        <v>420</v>
      </c>
      <c r="G36" s="991">
        <f>7/12*(dir!P48+op!P139+obp!P89)+5/12*(dir!P71+op!P207+obp!P132)</f>
        <v>420</v>
      </c>
      <c r="H36" s="991">
        <f>7/12*(dir!P71+op!P207+obp!P132)+5/12*(dir!P93+op!P274+obp!P174)</f>
        <v>420</v>
      </c>
      <c r="I36" s="991">
        <f>7/12*(dir!P93+op!P274+obp!P174)+5/12*(dir!P115+op!P341+obp!P216)</f>
        <v>420</v>
      </c>
      <c r="J36" s="1311"/>
      <c r="K36" s="71"/>
    </row>
    <row r="37" spans="2:11" x14ac:dyDescent="0.2">
      <c r="B37" s="67"/>
      <c r="C37" s="1313"/>
      <c r="D37" s="1309"/>
      <c r="E37" s="136"/>
      <c r="F37" s="602"/>
      <c r="G37" s="602"/>
      <c r="H37" s="602"/>
      <c r="I37" s="602"/>
      <c r="J37" s="1314"/>
      <c r="K37" s="71"/>
    </row>
    <row r="38" spans="2:11" x14ac:dyDescent="0.2">
      <c r="B38" s="67"/>
      <c r="C38" s="1315"/>
      <c r="D38" s="1316"/>
      <c r="E38" s="467"/>
      <c r="F38" s="593"/>
      <c r="G38" s="593"/>
      <c r="H38" s="593"/>
      <c r="I38" s="593"/>
      <c r="J38" s="467"/>
      <c r="K38" s="71"/>
    </row>
    <row r="39" spans="2:11" x14ac:dyDescent="0.2">
      <c r="B39" s="67"/>
      <c r="C39" s="293"/>
      <c r="D39" s="1305"/>
      <c r="E39" s="480"/>
      <c r="F39" s="620"/>
      <c r="G39" s="620"/>
      <c r="H39" s="620"/>
      <c r="I39" s="620"/>
      <c r="J39" s="482"/>
      <c r="K39" s="71"/>
    </row>
    <row r="40" spans="2:11" x14ac:dyDescent="0.2">
      <c r="B40" s="67"/>
      <c r="C40" s="135"/>
      <c r="D40" s="1317" t="s">
        <v>598</v>
      </c>
      <c r="E40" s="1306"/>
      <c r="F40" s="1307">
        <f>F8</f>
        <v>2016</v>
      </c>
      <c r="G40" s="1307">
        <f>G8</f>
        <v>2017</v>
      </c>
      <c r="H40" s="1307">
        <f>H8</f>
        <v>2018</v>
      </c>
      <c r="I40" s="1307">
        <f>I8</f>
        <v>2019</v>
      </c>
      <c r="J40" s="1308"/>
      <c r="K40" s="71"/>
    </row>
    <row r="41" spans="2:11" x14ac:dyDescent="0.2">
      <c r="B41" s="67"/>
      <c r="C41" s="1313"/>
      <c r="D41" s="1312" t="s">
        <v>589</v>
      </c>
      <c r="E41" s="136"/>
      <c r="F41" s="1079">
        <f>geg!F25/F59</f>
        <v>50</v>
      </c>
      <c r="G41" s="1079">
        <f>geg!G25/G59</f>
        <v>51.666666666666664</v>
      </c>
      <c r="H41" s="1079">
        <f>geg!H25/H59</f>
        <v>51.666666666666664</v>
      </c>
      <c r="I41" s="1079">
        <f>geg!I25/I59</f>
        <v>51.666666666666664</v>
      </c>
      <c r="J41" s="1311"/>
      <c r="K41" s="71"/>
    </row>
    <row r="42" spans="2:11" x14ac:dyDescent="0.2">
      <c r="B42" s="67"/>
      <c r="C42" s="1313"/>
      <c r="D42" s="1312" t="s">
        <v>590</v>
      </c>
      <c r="E42" s="136"/>
      <c r="F42" s="1320">
        <f>geg!F25/F56</f>
        <v>150</v>
      </c>
      <c r="G42" s="1320">
        <f>geg!G25/G56</f>
        <v>155</v>
      </c>
      <c r="H42" s="1320">
        <f>geg!H25/H56</f>
        <v>155</v>
      </c>
      <c r="I42" s="1320">
        <f>geg!I25/I56</f>
        <v>155</v>
      </c>
      <c r="J42" s="1311"/>
      <c r="K42" s="71"/>
    </row>
    <row r="43" spans="2:11" x14ac:dyDescent="0.2">
      <c r="B43" s="67"/>
      <c r="C43" s="1313"/>
      <c r="D43" s="1312" t="s">
        <v>591</v>
      </c>
      <c r="E43" s="136"/>
      <c r="F43" s="1320">
        <f>geg!F25/F57</f>
        <v>150</v>
      </c>
      <c r="G43" s="1320">
        <f>geg!G25/G57</f>
        <v>155</v>
      </c>
      <c r="H43" s="1320">
        <f>geg!H25/H57</f>
        <v>155</v>
      </c>
      <c r="I43" s="1320">
        <f>geg!I25/I57</f>
        <v>155</v>
      </c>
      <c r="J43" s="1311"/>
      <c r="K43" s="71"/>
    </row>
    <row r="44" spans="2:11" x14ac:dyDescent="0.2">
      <c r="B44" s="67"/>
      <c r="C44" s="1313"/>
      <c r="D44" s="1341" t="s">
        <v>592</v>
      </c>
      <c r="E44" s="136"/>
      <c r="F44" s="1320">
        <f>geg!F25/F58</f>
        <v>150</v>
      </c>
      <c r="G44" s="1320">
        <f>geg!G25/G58</f>
        <v>155</v>
      </c>
      <c r="H44" s="1320">
        <f>geg!H25/H58</f>
        <v>155</v>
      </c>
      <c r="I44" s="1320">
        <f>geg!I25/I58</f>
        <v>155</v>
      </c>
      <c r="J44" s="1311"/>
      <c r="K44" s="71"/>
    </row>
    <row r="45" spans="2:11" x14ac:dyDescent="0.2">
      <c r="B45" s="67"/>
      <c r="C45" s="1313"/>
      <c r="D45" s="1312" t="s">
        <v>593</v>
      </c>
      <c r="E45" s="136"/>
      <c r="F45" s="1318">
        <f>begr!F19/geg!G25</f>
        <v>0</v>
      </c>
      <c r="G45" s="1318">
        <f>begr!G19/geg!H25</f>
        <v>9553.3002634408622</v>
      </c>
      <c r="H45" s="1318">
        <f>begr!H19/geg!I25</f>
        <v>9661.3526182795704</v>
      </c>
      <c r="I45" s="1318">
        <f>begr!I19/geg!J25</f>
        <v>9746.3187473118287</v>
      </c>
      <c r="J45" s="1311"/>
      <c r="K45" s="71"/>
    </row>
    <row r="46" spans="2:11" x14ac:dyDescent="0.2">
      <c r="B46" s="67"/>
      <c r="C46" s="1313"/>
      <c r="D46" s="1312" t="s">
        <v>594</v>
      </c>
      <c r="E46" s="136"/>
      <c r="F46" s="1318">
        <f>begr!F27/geg!G25</f>
        <v>0</v>
      </c>
      <c r="G46" s="1318">
        <f>begr!G27/geg!H25</f>
        <v>1107.2953371055241</v>
      </c>
      <c r="H46" s="1318">
        <f>begr!H27/geg!I25</f>
        <v>1140.4201173656888</v>
      </c>
      <c r="I46" s="1318">
        <f>begr!I27/geg!J25</f>
        <v>1174.2196341363824</v>
      </c>
      <c r="J46" s="1311"/>
      <c r="K46" s="71"/>
    </row>
    <row r="47" spans="2:11" x14ac:dyDescent="0.2">
      <c r="B47" s="67"/>
      <c r="C47" s="135"/>
      <c r="D47" s="1309"/>
      <c r="E47" s="136"/>
      <c r="F47" s="607"/>
      <c r="G47" s="602"/>
      <c r="H47" s="602"/>
      <c r="I47" s="602"/>
      <c r="J47" s="1311"/>
      <c r="K47" s="71"/>
    </row>
    <row r="48" spans="2:11" x14ac:dyDescent="0.2">
      <c r="B48" s="67"/>
      <c r="C48" s="135"/>
      <c r="D48" s="1309" t="s">
        <v>227</v>
      </c>
      <c r="E48" s="136"/>
      <c r="F48" s="1182">
        <f>pers!I160/pers!I163</f>
        <v>0.34204493035291167</v>
      </c>
      <c r="G48" s="1182">
        <f>pers!J160/pers!J163</f>
        <v>0.34290904682875462</v>
      </c>
      <c r="H48" s="1182">
        <f>pers!K160/pers!K163</f>
        <v>0.34344282775712598</v>
      </c>
      <c r="I48" s="1182">
        <f>pers!L160/pers!L163</f>
        <v>0.34380631476336815</v>
      </c>
      <c r="J48" s="1311"/>
      <c r="K48" s="71"/>
    </row>
    <row r="49" spans="2:11" x14ac:dyDescent="0.2">
      <c r="B49" s="67"/>
      <c r="C49" s="135"/>
      <c r="D49" s="1309" t="s">
        <v>228</v>
      </c>
      <c r="E49" s="136"/>
      <c r="F49" s="1182">
        <f>pers!I161/pers!I163</f>
        <v>0.35497689269783089</v>
      </c>
      <c r="G49" s="1182">
        <f>pers!J161/pers!J163</f>
        <v>0.35668111811308123</v>
      </c>
      <c r="H49" s="1182">
        <f>pers!K161/pers!K163</f>
        <v>0.35853719961383351</v>
      </c>
      <c r="I49" s="1182">
        <f>pers!L161/pers!L163</f>
        <v>0.36071278592810846</v>
      </c>
      <c r="J49" s="1311"/>
      <c r="K49" s="71"/>
    </row>
    <row r="50" spans="2:11" x14ac:dyDescent="0.2">
      <c r="B50" s="67"/>
      <c r="C50" s="135"/>
      <c r="D50" s="1309" t="s">
        <v>498</v>
      </c>
      <c r="E50" s="136"/>
      <c r="F50" s="1182">
        <f>pers!I162/pers!I163</f>
        <v>0.30297817694925744</v>
      </c>
      <c r="G50" s="1182">
        <f>pers!J162/pers!J163</f>
        <v>0.30040983505816415</v>
      </c>
      <c r="H50" s="1182">
        <f>pers!K162/pers!K163</f>
        <v>0.29801997262904034</v>
      </c>
      <c r="I50" s="1182">
        <f>pers!L162/pers!L163</f>
        <v>0.29548089930852339</v>
      </c>
      <c r="J50" s="1311"/>
      <c r="K50" s="71"/>
    </row>
    <row r="51" spans="2:11" x14ac:dyDescent="0.2">
      <c r="B51" s="67"/>
      <c r="C51" s="135"/>
      <c r="D51" s="1309" t="s">
        <v>293</v>
      </c>
      <c r="E51" s="136"/>
      <c r="F51" s="1077">
        <f>pers!I160/geg!G25</f>
        <v>378.74475646036291</v>
      </c>
      <c r="G51" s="1077">
        <f>pers!J160/geg!H25</f>
        <v>391.06037543020483</v>
      </c>
      <c r="H51" s="1077">
        <f>pers!K160/geg!I25</f>
        <v>403.27731155573707</v>
      </c>
      <c r="I51" s="1077">
        <f>pers!L160/geg!J25</f>
        <v>415.45477454354557</v>
      </c>
      <c r="J51" s="1311"/>
      <c r="K51" s="71"/>
    </row>
    <row r="52" spans="2:11" x14ac:dyDescent="0.2">
      <c r="B52" s="67"/>
      <c r="C52" s="135"/>
      <c r="D52" s="1309" t="s">
        <v>294</v>
      </c>
      <c r="E52" s="136"/>
      <c r="F52" s="1077">
        <f>pers!I161/geg!G25</f>
        <v>393.0642580645162</v>
      </c>
      <c r="G52" s="1077">
        <f>pers!J161/geg!H25</f>
        <v>406.76632258064518</v>
      </c>
      <c r="H52" s="1077">
        <f>pers!K161/geg!I25</f>
        <v>421.00141935483873</v>
      </c>
      <c r="I52" s="1077">
        <f>pers!L161/geg!J25</f>
        <v>435.88451612903231</v>
      </c>
      <c r="J52" s="1311"/>
      <c r="K52" s="71"/>
    </row>
    <row r="53" spans="2:11" x14ac:dyDescent="0.2">
      <c r="B53" s="67"/>
      <c r="C53" s="135"/>
      <c r="D53" s="1309" t="s">
        <v>499</v>
      </c>
      <c r="E53" s="136"/>
      <c r="F53" s="1077">
        <f>pers!I162/geg!G25</f>
        <v>335.48632258064521</v>
      </c>
      <c r="G53" s="1077">
        <f>pers!J162/geg!H25</f>
        <v>342.59341935483877</v>
      </c>
      <c r="H53" s="1077">
        <f>pers!K162/geg!I25</f>
        <v>349.94090322580649</v>
      </c>
      <c r="I53" s="1077">
        <f>pers!L162/geg!J25</f>
        <v>357.05845161290324</v>
      </c>
      <c r="J53" s="1311"/>
      <c r="K53" s="71"/>
    </row>
    <row r="54" spans="2:11" x14ac:dyDescent="0.2">
      <c r="B54" s="67"/>
      <c r="C54" s="135"/>
      <c r="D54" s="963"/>
      <c r="E54" s="136"/>
      <c r="F54" s="607"/>
      <c r="G54" s="602"/>
      <c r="H54" s="602"/>
      <c r="I54" s="602"/>
      <c r="J54" s="1311"/>
      <c r="K54" s="71"/>
    </row>
    <row r="55" spans="2:11" x14ac:dyDescent="0.2">
      <c r="B55" s="67"/>
      <c r="C55" s="135"/>
      <c r="D55" s="1025" t="s">
        <v>558</v>
      </c>
      <c r="E55" s="1026"/>
      <c r="F55" s="1180" t="str">
        <f>tab!D2</f>
        <v>2015/16</v>
      </c>
      <c r="G55" s="1180" t="str">
        <f>tab!E2</f>
        <v>2016/17</v>
      </c>
      <c r="H55" s="1180" t="str">
        <f>tab!F2</f>
        <v>2017/18</v>
      </c>
      <c r="I55" s="1180" t="str">
        <f>tab!G2</f>
        <v>2018/19</v>
      </c>
      <c r="J55" s="1311"/>
      <c r="K55" s="71"/>
    </row>
    <row r="56" spans="2:11" x14ac:dyDescent="0.2">
      <c r="B56" s="67"/>
      <c r="C56" s="135"/>
      <c r="D56" s="531" t="s">
        <v>190</v>
      </c>
      <c r="E56" s="531"/>
      <c r="F56" s="1079">
        <f>dir!J26</f>
        <v>1</v>
      </c>
      <c r="G56" s="1079">
        <f>dir!J48</f>
        <v>1</v>
      </c>
      <c r="H56" s="1079">
        <f>dir!J71</f>
        <v>1</v>
      </c>
      <c r="I56" s="1079">
        <f>dir!J93</f>
        <v>1</v>
      </c>
      <c r="J56" s="1321">
        <f>dir!J115</f>
        <v>1</v>
      </c>
      <c r="K56" s="71"/>
    </row>
    <row r="57" spans="2:11" x14ac:dyDescent="0.2">
      <c r="B57" s="67"/>
      <c r="C57" s="135"/>
      <c r="D57" s="531" t="s">
        <v>202</v>
      </c>
      <c r="E57" s="531"/>
      <c r="F57" s="1079">
        <f>op!J71</f>
        <v>1</v>
      </c>
      <c r="G57" s="1079">
        <f>op!J139</f>
        <v>1</v>
      </c>
      <c r="H57" s="1079">
        <f>op!J207</f>
        <v>1</v>
      </c>
      <c r="I57" s="1079">
        <f>op!J274</f>
        <v>1</v>
      </c>
      <c r="J57" s="1321">
        <f>op!J341</f>
        <v>1</v>
      </c>
      <c r="K57" s="71"/>
    </row>
    <row r="58" spans="2:11" x14ac:dyDescent="0.2">
      <c r="B58" s="67"/>
      <c r="C58" s="135"/>
      <c r="D58" s="531" t="s">
        <v>487</v>
      </c>
      <c r="E58" s="531"/>
      <c r="F58" s="1079">
        <f>obp!J46</f>
        <v>1</v>
      </c>
      <c r="G58" s="1079">
        <f>obp!J89</f>
        <v>1</v>
      </c>
      <c r="H58" s="1079">
        <f>obp!J132</f>
        <v>1</v>
      </c>
      <c r="I58" s="1079">
        <f>obp!J174</f>
        <v>1</v>
      </c>
      <c r="J58" s="1321">
        <f>obp!J216</f>
        <v>1</v>
      </c>
      <c r="K58" s="71"/>
    </row>
    <row r="59" spans="2:11" x14ac:dyDescent="0.2">
      <c r="B59" s="67"/>
      <c r="C59" s="135"/>
      <c r="D59" s="1322" t="s">
        <v>199</v>
      </c>
      <c r="E59" s="1323"/>
      <c r="F59" s="1338">
        <f>SUM(F56:F58)</f>
        <v>3</v>
      </c>
      <c r="G59" s="1338">
        <f>SUM(G56:G58)</f>
        <v>3</v>
      </c>
      <c r="H59" s="1338">
        <f>SUM(H56:H58)</f>
        <v>3</v>
      </c>
      <c r="I59" s="1338">
        <f>SUM(I56:I58)</f>
        <v>3</v>
      </c>
      <c r="J59" s="1342">
        <f>SUM(J56:J58)</f>
        <v>3</v>
      </c>
      <c r="K59" s="71"/>
    </row>
    <row r="60" spans="2:11" x14ac:dyDescent="0.2">
      <c r="B60" s="67"/>
      <c r="C60" s="135"/>
      <c r="D60" s="1309"/>
      <c r="E60" s="136"/>
      <c r="F60" s="655"/>
      <c r="G60" s="655"/>
      <c r="H60" s="655"/>
      <c r="I60" s="655"/>
      <c r="J60" s="1311"/>
      <c r="K60" s="71"/>
    </row>
    <row r="61" spans="2:11" x14ac:dyDescent="0.2">
      <c r="B61" s="67"/>
      <c r="C61" s="798"/>
      <c r="D61" s="1324"/>
      <c r="E61" s="798"/>
      <c r="F61" s="630"/>
      <c r="G61" s="630"/>
      <c r="H61" s="630"/>
      <c r="I61" s="630"/>
      <c r="J61" s="798"/>
      <c r="K61" s="71"/>
    </row>
    <row r="62" spans="2:11" x14ac:dyDescent="0.2">
      <c r="B62" s="67"/>
      <c r="C62" s="1325"/>
      <c r="D62" s="1326"/>
      <c r="E62" s="1097"/>
      <c r="F62" s="1327"/>
      <c r="G62" s="1327"/>
      <c r="H62" s="1327"/>
      <c r="I62" s="1327"/>
      <c r="J62" s="1328"/>
      <c r="K62" s="71"/>
    </row>
    <row r="63" spans="2:11" x14ac:dyDescent="0.2">
      <c r="B63" s="67"/>
      <c r="C63" s="232"/>
      <c r="D63" s="1179" t="s">
        <v>232</v>
      </c>
      <c r="E63" s="1329"/>
      <c r="F63" s="1307">
        <f>F8</f>
        <v>2016</v>
      </c>
      <c r="G63" s="1307">
        <f>G8</f>
        <v>2017</v>
      </c>
      <c r="H63" s="1307">
        <f>H8</f>
        <v>2018</v>
      </c>
      <c r="I63" s="1307">
        <f>I8</f>
        <v>2019</v>
      </c>
      <c r="J63" s="1311"/>
      <c r="K63" s="71"/>
    </row>
    <row r="64" spans="2:11" x14ac:dyDescent="0.2">
      <c r="B64" s="67"/>
      <c r="C64" s="135"/>
      <c r="D64" s="963" t="s">
        <v>595</v>
      </c>
      <c r="E64" s="124"/>
      <c r="F64" s="1079">
        <f>IF(geg!$G25=0,0,geg!G25/geg!$G$25)</f>
        <v>1</v>
      </c>
      <c r="G64" s="1079">
        <f>IF(geg!$G25=0,0,geg!H25/geg!$G$25)</f>
        <v>1</v>
      </c>
      <c r="H64" s="1079">
        <f>IF(geg!$G25=0,0,geg!I25/geg!$G$25)</f>
        <v>1</v>
      </c>
      <c r="I64" s="1079">
        <f>IF(geg!$G25=0,0,geg!J25/geg!$G$25)</f>
        <v>1</v>
      </c>
      <c r="J64" s="1311"/>
      <c r="K64" s="71"/>
    </row>
    <row r="65" spans="2:11" x14ac:dyDescent="0.2">
      <c r="B65" s="67"/>
      <c r="C65" s="135"/>
      <c r="D65" s="654" t="s">
        <v>28</v>
      </c>
      <c r="E65" s="124"/>
      <c r="F65" s="1079">
        <f>IF(geg!$G30=0,0,geg!G30/geg!$G$30)</f>
        <v>1</v>
      </c>
      <c r="G65" s="1079">
        <f>IF(geg!$G30=0,0,geg!H30/geg!$G$30)</f>
        <v>1</v>
      </c>
      <c r="H65" s="1079">
        <f>IF(geg!$G30=0,0,geg!I30/geg!$G$30)</f>
        <v>1</v>
      </c>
      <c r="I65" s="1079">
        <f>IF(geg!$G30=0,0,geg!J30/geg!$G$30)</f>
        <v>1</v>
      </c>
      <c r="J65" s="1311"/>
      <c r="K65" s="71"/>
    </row>
    <row r="66" spans="2:11" x14ac:dyDescent="0.2">
      <c r="B66" s="67"/>
      <c r="C66" s="135"/>
      <c r="D66" s="654" t="s">
        <v>329</v>
      </c>
      <c r="E66" s="124"/>
      <c r="F66" s="1079">
        <f>IF(ken!$G59=0,0,ken!G59/ken!$G$59)</f>
        <v>1</v>
      </c>
      <c r="G66" s="1079">
        <f>IF(ken!$G59=0,0,ken!H59/ken!$G$59)</f>
        <v>1</v>
      </c>
      <c r="H66" s="1079">
        <f>IF(ken!$G59=0,0,ken!I59/ken!$G$59)</f>
        <v>1</v>
      </c>
      <c r="I66" s="1079">
        <f>H66</f>
        <v>1</v>
      </c>
      <c r="J66" s="1311"/>
      <c r="K66" s="71"/>
    </row>
    <row r="67" spans="2:11" x14ac:dyDescent="0.2">
      <c r="B67" s="67"/>
      <c r="C67" s="135"/>
      <c r="D67" s="654" t="s">
        <v>276</v>
      </c>
      <c r="E67" s="124"/>
      <c r="F67" s="1079">
        <f>IF(begr!$G19=0,0,begr!G19/begr!$G$19)</f>
        <v>1</v>
      </c>
      <c r="G67" s="1079">
        <f>IF(begr!$G19=0,0,begr!H19/begr!$G$19)</f>
        <v>1.0113104740622685</v>
      </c>
      <c r="H67" s="1079">
        <f>IF(begr!$G19=0,0,begr!I19/begr!$G$19)</f>
        <v>1.0202043773929752</v>
      </c>
      <c r="I67" s="1079">
        <f>IF(begr!$G19=0,0,begr!J19/begr!$G$19)</f>
        <v>1.0290982807236819</v>
      </c>
      <c r="J67" s="1311"/>
      <c r="K67" s="71"/>
    </row>
    <row r="68" spans="2:11" x14ac:dyDescent="0.2">
      <c r="B68" s="67"/>
      <c r="C68" s="135"/>
      <c r="D68" s="654" t="s">
        <v>281</v>
      </c>
      <c r="E68" s="124"/>
      <c r="F68" s="1079">
        <f>IF(begr!$G14=0,0,begr!G14/begr!$G$14)</f>
        <v>1</v>
      </c>
      <c r="G68" s="1079">
        <f>IF(begr!$G14=0,0,begr!H14/begr!$G$14)</f>
        <v>1.0113104740622685</v>
      </c>
      <c r="H68" s="1079">
        <f>IF(begr!$G14=0,0,begr!I14/begr!$G$14)</f>
        <v>1.0202043773929752</v>
      </c>
      <c r="I68" s="1079">
        <f>IF(begr!$G14=0,0,begr!J14/begr!$G$14)</f>
        <v>1.0290982807236819</v>
      </c>
      <c r="J68" s="1311"/>
      <c r="K68" s="71"/>
    </row>
    <row r="69" spans="2:11" x14ac:dyDescent="0.2">
      <c r="B69" s="67"/>
      <c r="C69" s="135"/>
      <c r="D69" s="654" t="s">
        <v>282</v>
      </c>
      <c r="E69" s="124"/>
      <c r="F69" s="1079">
        <f>IF(begr!$G15=0,0,begr!G15/begr!$G$15)</f>
        <v>0</v>
      </c>
      <c r="G69" s="1079">
        <f>IF(begr!$G15=0,0,begr!H15/begr!$G$15)</f>
        <v>0</v>
      </c>
      <c r="H69" s="1079">
        <f>IF(begr!$G15=0,0,begr!I15/begr!$G$15)</f>
        <v>0</v>
      </c>
      <c r="I69" s="1079">
        <f>IF(begr!$G15=0,0,begr!J15/begr!$G$15)</f>
        <v>0</v>
      </c>
      <c r="J69" s="1311"/>
      <c r="K69" s="71"/>
    </row>
    <row r="70" spans="2:11" x14ac:dyDescent="0.2">
      <c r="B70" s="67"/>
      <c r="C70" s="135"/>
      <c r="D70" s="654" t="s">
        <v>238</v>
      </c>
      <c r="E70" s="124"/>
      <c r="F70" s="1079">
        <f>IF(begr!$G17=0,0,begr!G17/begr!$G$17)</f>
        <v>0</v>
      </c>
      <c r="G70" s="1079">
        <f>IF(begr!$G17=0,0,begr!H17/begr!$G$17)</f>
        <v>0</v>
      </c>
      <c r="H70" s="1079">
        <f>IF(begr!$G17=0,0,begr!I17/begr!$G$17)</f>
        <v>0</v>
      </c>
      <c r="I70" s="1079">
        <f>IF(begr!$G17=0,0,begr!J17/begr!$G$17)</f>
        <v>0</v>
      </c>
      <c r="J70" s="1311"/>
      <c r="K70" s="71"/>
    </row>
    <row r="71" spans="2:11" x14ac:dyDescent="0.2">
      <c r="B71" s="67"/>
      <c r="C71" s="135"/>
      <c r="D71" s="654" t="s">
        <v>283</v>
      </c>
      <c r="E71" s="124"/>
      <c r="F71" s="1079">
        <f>IF(begr!$G18=0,0,begr!G18/begr!$G$18)</f>
        <v>0</v>
      </c>
      <c r="G71" s="1079">
        <f>IF(begr!$G18=0,0,begr!H18/begr!$G$18)</f>
        <v>0</v>
      </c>
      <c r="H71" s="1079">
        <f>IF(begr!$G18=0,0,begr!I18/begr!$G$18)</f>
        <v>0</v>
      </c>
      <c r="I71" s="1079">
        <f>IF(begr!$G18=0,0,begr!J18/begr!$G$18)</f>
        <v>0</v>
      </c>
      <c r="J71" s="1311"/>
      <c r="K71" s="71"/>
    </row>
    <row r="72" spans="2:11" x14ac:dyDescent="0.2">
      <c r="B72" s="67"/>
      <c r="C72" s="135"/>
      <c r="D72" s="654" t="s">
        <v>277</v>
      </c>
      <c r="E72" s="124"/>
      <c r="F72" s="1079">
        <f>IF(begr!$G27=0,0,begr!G27/begr!$G$27)</f>
        <v>1</v>
      </c>
      <c r="G72" s="1079">
        <f>IF(begr!$G27=0,0,begr!H27/begr!$G$27)</f>
        <v>1.0299150363504221</v>
      </c>
      <c r="H72" s="1079">
        <f>IF(begr!$G27=0,0,begr!I27/begr!$G$27)</f>
        <v>1.0604394282069305</v>
      </c>
      <c r="I72" s="1079">
        <f>IF(begr!$G27=0,0,begr!J27/begr!$G$27)</f>
        <v>1.091305726477851</v>
      </c>
      <c r="J72" s="1311"/>
      <c r="K72" s="71"/>
    </row>
    <row r="73" spans="2:11" x14ac:dyDescent="0.2">
      <c r="B73" s="67"/>
      <c r="C73" s="135"/>
      <c r="D73" s="654" t="s">
        <v>328</v>
      </c>
      <c r="E73" s="124"/>
      <c r="F73" s="1079">
        <f>IF(begr!$G21=0,0,begr!G21/begr!$G$21)</f>
        <v>1</v>
      </c>
      <c r="G73" s="1079">
        <f>IF(begr!$G21=0,0,begr!H21/begr!$G$21)</f>
        <v>1.0299150363504221</v>
      </c>
      <c r="H73" s="1079">
        <f>IF(begr!$G21=0,0,begr!I21/begr!$G$21)</f>
        <v>1.0604394282069305</v>
      </c>
      <c r="I73" s="1079">
        <f>IF(begr!$G21=0,0,begr!J21/begr!$G$21)</f>
        <v>1.091305726477851</v>
      </c>
      <c r="J73" s="1311"/>
      <c r="K73" s="71"/>
    </row>
    <row r="74" spans="2:11" x14ac:dyDescent="0.2">
      <c r="B74" s="67"/>
      <c r="C74" s="135"/>
      <c r="D74" s="654" t="s">
        <v>327</v>
      </c>
      <c r="E74" s="124"/>
      <c r="F74" s="1079">
        <f>IF(begr!$G22=0,0,begr!G22/begr!$G$22)</f>
        <v>0</v>
      </c>
      <c r="G74" s="1079">
        <f>IF(begr!$G22=0,0,begr!H22/begr!$G$22)</f>
        <v>0</v>
      </c>
      <c r="H74" s="1079">
        <f>IF(begr!$G22=0,0,begr!I22/begr!$G$22)</f>
        <v>0</v>
      </c>
      <c r="I74" s="1079">
        <f>IF(begr!$G22=0,0,begr!J22/begr!$G$22)</f>
        <v>0</v>
      </c>
      <c r="J74" s="1311"/>
      <c r="K74" s="71"/>
    </row>
    <row r="75" spans="2:11" x14ac:dyDescent="0.2">
      <c r="B75" s="67"/>
      <c r="C75" s="135"/>
      <c r="D75" s="654" t="s">
        <v>280</v>
      </c>
      <c r="E75" s="124"/>
      <c r="F75" s="1079">
        <f>IF(begr!$G24=0,0,begr!G24/begr!$G$24)</f>
        <v>0</v>
      </c>
      <c r="G75" s="1079">
        <f>IF(begr!$G24=0,0,begr!H24/begr!$G$24)</f>
        <v>0</v>
      </c>
      <c r="H75" s="1079">
        <f>IF(begr!$G24=0,0,begr!I24/begr!$G$24)</f>
        <v>0</v>
      </c>
      <c r="I75" s="1079">
        <f>IF(begr!$G24=0,0,begr!J24/begr!$G$24)</f>
        <v>0</v>
      </c>
      <c r="J75" s="1311"/>
      <c r="K75" s="71"/>
    </row>
    <row r="76" spans="2:11" x14ac:dyDescent="0.2">
      <c r="B76" s="67"/>
      <c r="C76" s="135"/>
      <c r="D76" s="654" t="s">
        <v>425</v>
      </c>
      <c r="E76" s="124"/>
      <c r="F76" s="1079">
        <f>IF(begr!$G25=0,0,begr!G25/begr!$G$25)</f>
        <v>0</v>
      </c>
      <c r="G76" s="1079">
        <f>IF(begr!$G25=0,0,begr!H25/begr!$G$25)</f>
        <v>0</v>
      </c>
      <c r="H76" s="1079">
        <f>IF(begr!$G25=0,0,begr!I25/begr!$G$25)</f>
        <v>0</v>
      </c>
      <c r="I76" s="1079">
        <f>IF(begr!$G25=0,0,begr!J25/begr!$G$25)</f>
        <v>0</v>
      </c>
      <c r="J76" s="1311"/>
      <c r="K76" s="71"/>
    </row>
    <row r="77" spans="2:11" x14ac:dyDescent="0.2">
      <c r="B77" s="67"/>
      <c r="C77" s="135"/>
      <c r="D77" s="127" t="s">
        <v>326</v>
      </c>
      <c r="E77" s="124"/>
      <c r="F77" s="1079">
        <f>IF(begr!$G26=0,0,begr!G26/begr!$G$26)</f>
        <v>0</v>
      </c>
      <c r="G77" s="1079">
        <f>IF(begr!$G26=0,0,begr!H26/begr!$G$26)</f>
        <v>0</v>
      </c>
      <c r="H77" s="1079">
        <f>IF(begr!$G26=0,0,begr!I26/begr!$G$26)</f>
        <v>0</v>
      </c>
      <c r="I77" s="1079">
        <f>IF(begr!$G26=0,0,begr!J26/begr!$G$26)</f>
        <v>0</v>
      </c>
      <c r="J77" s="1311"/>
      <c r="K77" s="71"/>
    </row>
    <row r="78" spans="2:11" x14ac:dyDescent="0.2">
      <c r="B78" s="67"/>
      <c r="C78" s="491"/>
      <c r="D78" s="1330"/>
      <c r="E78" s="492"/>
      <c r="F78" s="1331"/>
      <c r="G78" s="1331"/>
      <c r="H78" s="1331"/>
      <c r="I78" s="1331"/>
      <c r="J78" s="1332"/>
      <c r="K78" s="71"/>
    </row>
    <row r="79" spans="2:11" x14ac:dyDescent="0.2">
      <c r="B79" s="67"/>
      <c r="C79" s="467"/>
      <c r="D79" s="1339"/>
      <c r="E79" s="467"/>
      <c r="F79" s="1340"/>
      <c r="G79" s="1340"/>
      <c r="H79" s="1340"/>
      <c r="I79" s="1340"/>
      <c r="J79" s="798"/>
      <c r="K79" s="71"/>
    </row>
    <row r="80" spans="2:11" x14ac:dyDescent="0.2">
      <c r="B80" s="86"/>
      <c r="C80" s="87"/>
      <c r="D80" s="389"/>
      <c r="E80" s="87"/>
      <c r="F80" s="548"/>
      <c r="G80" s="548"/>
      <c r="H80" s="548"/>
      <c r="I80" s="548"/>
      <c r="J80" s="87"/>
      <c r="K80" s="90"/>
    </row>
  </sheetData>
  <sheetProtection algorithmName="SHA-512" hashValue="dLYS7aaT/kzjGhXiofteTO+9AS2yaMCO9H/XE+clt2T3Dk+MYjyqMnSXxiemKTBdjKqgOwvl44A5R1lxSnL2vw==" saltValue="G+vKKqlxC5mv61IRUcbgwA=="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B2:S267"/>
  <sheetViews>
    <sheetView zoomScale="85" zoomScaleNormal="85" zoomScaleSheetLayoutView="85" workbookViewId="0">
      <selection activeCell="B2" sqref="B2"/>
    </sheetView>
  </sheetViews>
  <sheetFormatPr defaultColWidth="9.140625" defaultRowHeight="12.75" x14ac:dyDescent="0.2"/>
  <cols>
    <col min="1" max="1" width="3.7109375" style="455" customWidth="1"/>
    <col min="2" max="2" width="2.7109375" style="455" customWidth="1"/>
    <col min="3" max="9" width="9.7109375" style="455" customWidth="1"/>
    <col min="10" max="10" width="5.7109375" style="455" customWidth="1"/>
    <col min="11" max="17" width="9.7109375" style="455" customWidth="1"/>
    <col min="18" max="19" width="2.7109375" style="455" customWidth="1"/>
    <col min="20" max="16384" width="9.140625" style="455"/>
  </cols>
  <sheetData>
    <row r="2" spans="2:19" x14ac:dyDescent="0.2">
      <c r="B2" s="633"/>
      <c r="C2" s="634"/>
      <c r="D2" s="634"/>
      <c r="E2" s="634"/>
      <c r="F2" s="634"/>
      <c r="G2" s="634"/>
      <c r="H2" s="634"/>
      <c r="I2" s="634"/>
      <c r="J2" s="634"/>
      <c r="K2" s="634"/>
      <c r="L2" s="634"/>
      <c r="M2" s="634"/>
      <c r="N2" s="634"/>
      <c r="O2" s="634"/>
      <c r="P2" s="634"/>
      <c r="Q2" s="634"/>
      <c r="R2" s="634"/>
      <c r="S2" s="635"/>
    </row>
    <row r="3" spans="2:19" x14ac:dyDescent="0.2">
      <c r="B3" s="637"/>
      <c r="C3" s="636"/>
      <c r="D3" s="636"/>
      <c r="E3" s="636"/>
      <c r="F3" s="636"/>
      <c r="G3" s="636"/>
      <c r="H3" s="636"/>
      <c r="I3" s="636"/>
      <c r="J3" s="636"/>
      <c r="K3" s="636"/>
      <c r="L3" s="636"/>
      <c r="M3" s="636"/>
      <c r="N3" s="636"/>
      <c r="O3" s="636"/>
      <c r="P3" s="636"/>
      <c r="Q3" s="636"/>
      <c r="R3" s="636"/>
      <c r="S3" s="638"/>
    </row>
    <row r="4" spans="2:19" s="456" customFormat="1" ht="18.75" x14ac:dyDescent="0.3">
      <c r="B4" s="639"/>
      <c r="C4" s="972" t="s">
        <v>240</v>
      </c>
      <c r="D4" s="640"/>
      <c r="E4" s="640"/>
      <c r="F4" s="640"/>
      <c r="G4" s="640"/>
      <c r="H4" s="640"/>
      <c r="I4" s="640"/>
      <c r="J4" s="640"/>
      <c r="K4" s="640"/>
      <c r="L4" s="640"/>
      <c r="M4" s="640"/>
      <c r="N4" s="640"/>
      <c r="O4" s="640"/>
      <c r="P4" s="640"/>
      <c r="Q4" s="640"/>
      <c r="R4" s="640"/>
      <c r="S4" s="641"/>
    </row>
    <row r="5" spans="2:19" ht="18.75" x14ac:dyDescent="0.3">
      <c r="B5" s="642"/>
      <c r="C5" s="643" t="str">
        <f>geg!F11</f>
        <v>Voorbeeld SBO</v>
      </c>
      <c r="D5" s="636"/>
      <c r="E5" s="636"/>
      <c r="F5" s="636"/>
      <c r="G5" s="636"/>
      <c r="H5" s="636"/>
      <c r="I5" s="636"/>
      <c r="J5" s="636"/>
      <c r="K5" s="636"/>
      <c r="L5" s="636"/>
      <c r="M5" s="636"/>
      <c r="N5" s="636"/>
      <c r="O5" s="636"/>
      <c r="P5" s="636"/>
      <c r="Q5" s="636"/>
      <c r="R5" s="636"/>
      <c r="S5" s="638"/>
    </row>
    <row r="6" spans="2:19" x14ac:dyDescent="0.2">
      <c r="B6" s="637"/>
      <c r="C6" s="636"/>
      <c r="D6" s="636"/>
      <c r="E6" s="636"/>
      <c r="F6" s="636"/>
      <c r="G6" s="636"/>
      <c r="H6" s="636"/>
      <c r="I6" s="636"/>
      <c r="J6" s="636"/>
      <c r="K6" s="636"/>
      <c r="L6" s="636"/>
      <c r="M6" s="636"/>
      <c r="N6" s="636"/>
      <c r="O6" s="636"/>
      <c r="P6" s="636"/>
      <c r="Q6" s="636"/>
      <c r="R6" s="636"/>
      <c r="S6" s="638"/>
    </row>
    <row r="7" spans="2:19" x14ac:dyDescent="0.2">
      <c r="B7" s="637"/>
      <c r="C7" s="636"/>
      <c r="D7" s="636"/>
      <c r="E7" s="636"/>
      <c r="F7" s="636"/>
      <c r="G7" s="636"/>
      <c r="H7" s="636"/>
      <c r="I7" s="636"/>
      <c r="J7" s="636"/>
      <c r="K7" s="636"/>
      <c r="L7" s="636"/>
      <c r="M7" s="636"/>
      <c r="N7" s="636"/>
      <c r="O7" s="636"/>
      <c r="P7" s="636"/>
      <c r="Q7" s="636"/>
      <c r="R7" s="636"/>
      <c r="S7" s="638"/>
    </row>
    <row r="8" spans="2:19" x14ac:dyDescent="0.2">
      <c r="B8" s="637"/>
      <c r="C8" s="636"/>
      <c r="D8" s="636"/>
      <c r="E8" s="636"/>
      <c r="F8" s="636"/>
      <c r="G8" s="636"/>
      <c r="H8" s="636"/>
      <c r="I8" s="636"/>
      <c r="J8" s="636"/>
      <c r="K8" s="636"/>
      <c r="L8" s="636"/>
      <c r="M8" s="636"/>
      <c r="N8" s="636"/>
      <c r="O8" s="636"/>
      <c r="P8" s="636"/>
      <c r="Q8" s="636"/>
      <c r="R8" s="636"/>
      <c r="S8" s="638"/>
    </row>
    <row r="9" spans="2:19" x14ac:dyDescent="0.2">
      <c r="B9" s="637"/>
      <c r="C9" s="636"/>
      <c r="D9" s="636"/>
      <c r="E9" s="636"/>
      <c r="F9" s="636"/>
      <c r="G9" s="636"/>
      <c r="H9" s="636"/>
      <c r="I9" s="636"/>
      <c r="J9" s="636"/>
      <c r="K9" s="636"/>
      <c r="L9" s="636"/>
      <c r="M9" s="636"/>
      <c r="N9" s="636"/>
      <c r="O9" s="636"/>
      <c r="P9" s="636"/>
      <c r="Q9" s="636"/>
      <c r="R9" s="636"/>
      <c r="S9" s="638"/>
    </row>
    <row r="10" spans="2:19" x14ac:dyDescent="0.2">
      <c r="B10" s="637"/>
      <c r="C10" s="636"/>
      <c r="D10" s="636"/>
      <c r="E10" s="636"/>
      <c r="F10" s="636"/>
      <c r="G10" s="636"/>
      <c r="H10" s="636"/>
      <c r="I10" s="636"/>
      <c r="J10" s="636"/>
      <c r="K10" s="636"/>
      <c r="L10" s="636"/>
      <c r="M10" s="636"/>
      <c r="N10" s="636"/>
      <c r="O10" s="636"/>
      <c r="P10" s="636"/>
      <c r="Q10" s="636"/>
      <c r="R10" s="636"/>
      <c r="S10" s="638"/>
    </row>
    <row r="11" spans="2:19" x14ac:dyDescent="0.2">
      <c r="B11" s="637"/>
      <c r="C11" s="636"/>
      <c r="D11" s="636"/>
      <c r="E11" s="636"/>
      <c r="F11" s="636"/>
      <c r="G11" s="636"/>
      <c r="H11" s="636"/>
      <c r="I11" s="636"/>
      <c r="J11" s="636"/>
      <c r="K11" s="636"/>
      <c r="L11" s="636"/>
      <c r="M11" s="636"/>
      <c r="N11" s="636"/>
      <c r="O11" s="636"/>
      <c r="P11" s="636"/>
      <c r="Q11" s="636"/>
      <c r="R11" s="636"/>
      <c r="S11" s="638"/>
    </row>
    <row r="12" spans="2:19" x14ac:dyDescent="0.2">
      <c r="B12" s="637"/>
      <c r="C12" s="636"/>
      <c r="D12" s="636"/>
      <c r="E12" s="636"/>
      <c r="F12" s="636"/>
      <c r="G12" s="636"/>
      <c r="H12" s="636"/>
      <c r="I12" s="636"/>
      <c r="J12" s="636"/>
      <c r="K12" s="636"/>
      <c r="L12" s="636"/>
      <c r="M12" s="636"/>
      <c r="N12" s="636"/>
      <c r="O12" s="636"/>
      <c r="P12" s="636"/>
      <c r="Q12" s="636"/>
      <c r="R12" s="636"/>
      <c r="S12" s="638"/>
    </row>
    <row r="13" spans="2:19" x14ac:dyDescent="0.2">
      <c r="B13" s="637"/>
      <c r="C13" s="636"/>
      <c r="D13" s="636"/>
      <c r="E13" s="636"/>
      <c r="F13" s="636"/>
      <c r="G13" s="636"/>
      <c r="H13" s="636"/>
      <c r="I13" s="636"/>
      <c r="J13" s="636"/>
      <c r="K13" s="636"/>
      <c r="L13" s="636"/>
      <c r="M13" s="636"/>
      <c r="N13" s="636"/>
      <c r="O13" s="636"/>
      <c r="P13" s="636"/>
      <c r="Q13" s="636"/>
      <c r="R13" s="636"/>
      <c r="S13" s="638"/>
    </row>
    <row r="14" spans="2:19" x14ac:dyDescent="0.2">
      <c r="B14" s="637"/>
      <c r="C14" s="636"/>
      <c r="D14" s="636"/>
      <c r="E14" s="636"/>
      <c r="F14" s="636"/>
      <c r="G14" s="636"/>
      <c r="H14" s="636"/>
      <c r="I14" s="636"/>
      <c r="J14" s="636"/>
      <c r="K14" s="636"/>
      <c r="L14" s="636"/>
      <c r="M14" s="636"/>
      <c r="N14" s="636"/>
      <c r="O14" s="636"/>
      <c r="P14" s="636"/>
      <c r="Q14" s="636"/>
      <c r="R14" s="636"/>
      <c r="S14" s="638"/>
    </row>
    <row r="15" spans="2:19" x14ac:dyDescent="0.2">
      <c r="B15" s="637"/>
      <c r="C15" s="636"/>
      <c r="D15" s="636"/>
      <c r="E15" s="636"/>
      <c r="F15" s="636"/>
      <c r="G15" s="636"/>
      <c r="H15" s="636"/>
      <c r="I15" s="636"/>
      <c r="J15" s="636"/>
      <c r="K15" s="636"/>
      <c r="L15" s="636"/>
      <c r="M15" s="636"/>
      <c r="N15" s="636"/>
      <c r="O15" s="636"/>
      <c r="P15" s="636"/>
      <c r="Q15" s="636"/>
      <c r="R15" s="636"/>
      <c r="S15" s="638"/>
    </row>
    <row r="16" spans="2:19" x14ac:dyDescent="0.2">
      <c r="B16" s="637"/>
      <c r="C16" s="636"/>
      <c r="D16" s="636"/>
      <c r="E16" s="636"/>
      <c r="F16" s="636"/>
      <c r="G16" s="636"/>
      <c r="H16" s="636"/>
      <c r="I16" s="636"/>
      <c r="J16" s="636"/>
      <c r="K16" s="636"/>
      <c r="L16" s="636"/>
      <c r="M16" s="636"/>
      <c r="N16" s="636"/>
      <c r="O16" s="636"/>
      <c r="P16" s="636"/>
      <c r="Q16" s="636"/>
      <c r="R16" s="636"/>
      <c r="S16" s="638"/>
    </row>
    <row r="17" spans="2:19" x14ac:dyDescent="0.2">
      <c r="B17" s="637"/>
      <c r="C17" s="636"/>
      <c r="D17" s="636"/>
      <c r="E17" s="636"/>
      <c r="F17" s="636"/>
      <c r="G17" s="636"/>
      <c r="H17" s="636"/>
      <c r="I17" s="636"/>
      <c r="J17" s="636"/>
      <c r="K17" s="636"/>
      <c r="L17" s="636"/>
      <c r="M17" s="636"/>
      <c r="N17" s="636"/>
      <c r="O17" s="636"/>
      <c r="P17" s="636"/>
      <c r="Q17" s="636"/>
      <c r="R17" s="636"/>
      <c r="S17" s="638"/>
    </row>
    <row r="18" spans="2:19" x14ac:dyDescent="0.2">
      <c r="B18" s="637"/>
      <c r="C18" s="636"/>
      <c r="D18" s="636"/>
      <c r="E18" s="636"/>
      <c r="F18" s="636"/>
      <c r="G18" s="636"/>
      <c r="H18" s="636"/>
      <c r="I18" s="636"/>
      <c r="J18" s="636"/>
      <c r="K18" s="636"/>
      <c r="L18" s="636"/>
      <c r="M18" s="636"/>
      <c r="N18" s="636"/>
      <c r="O18" s="636"/>
      <c r="P18" s="636"/>
      <c r="Q18" s="636"/>
      <c r="R18" s="636"/>
      <c r="S18" s="638"/>
    </row>
    <row r="19" spans="2:19" x14ac:dyDescent="0.2">
      <c r="B19" s="637"/>
      <c r="C19" s="636"/>
      <c r="D19" s="636"/>
      <c r="E19" s="636"/>
      <c r="F19" s="636"/>
      <c r="G19" s="636"/>
      <c r="H19" s="636"/>
      <c r="I19" s="636"/>
      <c r="J19" s="636"/>
      <c r="K19" s="636"/>
      <c r="L19" s="636"/>
      <c r="M19" s="636"/>
      <c r="N19" s="636"/>
      <c r="O19" s="636"/>
      <c r="P19" s="636"/>
      <c r="Q19" s="636"/>
      <c r="R19" s="636"/>
      <c r="S19" s="638"/>
    </row>
    <row r="20" spans="2:19" x14ac:dyDescent="0.2">
      <c r="B20" s="637"/>
      <c r="C20" s="636"/>
      <c r="D20" s="636"/>
      <c r="E20" s="636"/>
      <c r="F20" s="636"/>
      <c r="G20" s="636"/>
      <c r="H20" s="636"/>
      <c r="I20" s="636"/>
      <c r="J20" s="636"/>
      <c r="K20" s="636"/>
      <c r="L20" s="636"/>
      <c r="M20" s="636"/>
      <c r="N20" s="636"/>
      <c r="O20" s="636"/>
      <c r="P20" s="636"/>
      <c r="Q20" s="636"/>
      <c r="R20" s="636"/>
      <c r="S20" s="638"/>
    </row>
    <row r="21" spans="2:19" x14ac:dyDescent="0.2">
      <c r="B21" s="637"/>
      <c r="C21" s="636"/>
      <c r="D21" s="636"/>
      <c r="E21" s="636"/>
      <c r="F21" s="636"/>
      <c r="G21" s="636"/>
      <c r="H21" s="636"/>
      <c r="I21" s="636"/>
      <c r="J21" s="636"/>
      <c r="K21" s="636"/>
      <c r="L21" s="636"/>
      <c r="M21" s="636"/>
      <c r="N21" s="636"/>
      <c r="O21" s="636"/>
      <c r="P21" s="636"/>
      <c r="Q21" s="636"/>
      <c r="R21" s="636"/>
      <c r="S21" s="638"/>
    </row>
    <row r="22" spans="2:19" x14ac:dyDescent="0.2">
      <c r="B22" s="637"/>
      <c r="C22" s="636"/>
      <c r="D22" s="636"/>
      <c r="E22" s="636"/>
      <c r="F22" s="636"/>
      <c r="G22" s="636"/>
      <c r="H22" s="636"/>
      <c r="I22" s="636"/>
      <c r="J22" s="636"/>
      <c r="K22" s="636"/>
      <c r="L22" s="636"/>
      <c r="M22" s="636"/>
      <c r="N22" s="636"/>
      <c r="O22" s="636"/>
      <c r="P22" s="636"/>
      <c r="Q22" s="636"/>
      <c r="R22" s="636"/>
      <c r="S22" s="638"/>
    </row>
    <row r="23" spans="2:19" x14ac:dyDescent="0.2">
      <c r="B23" s="637"/>
      <c r="C23" s="636"/>
      <c r="D23" s="636"/>
      <c r="E23" s="636"/>
      <c r="F23" s="636"/>
      <c r="G23" s="636"/>
      <c r="H23" s="636"/>
      <c r="I23" s="636"/>
      <c r="J23" s="636"/>
      <c r="K23" s="636"/>
      <c r="L23" s="636"/>
      <c r="M23" s="636"/>
      <c r="N23" s="636"/>
      <c r="O23" s="636"/>
      <c r="P23" s="636"/>
      <c r="Q23" s="636"/>
      <c r="R23" s="636"/>
      <c r="S23" s="638"/>
    </row>
    <row r="24" spans="2:19" x14ac:dyDescent="0.2">
      <c r="B24" s="637"/>
      <c r="C24" s="636"/>
      <c r="D24" s="636"/>
      <c r="E24" s="636"/>
      <c r="F24" s="636"/>
      <c r="G24" s="636"/>
      <c r="H24" s="636"/>
      <c r="I24" s="636"/>
      <c r="J24" s="636"/>
      <c r="K24" s="636"/>
      <c r="L24" s="636"/>
      <c r="M24" s="636"/>
      <c r="N24" s="636"/>
      <c r="O24" s="636"/>
      <c r="P24" s="636"/>
      <c r="Q24" s="636"/>
      <c r="R24" s="636"/>
      <c r="S24" s="638"/>
    </row>
    <row r="25" spans="2:19" x14ac:dyDescent="0.2">
      <c r="B25" s="637"/>
      <c r="C25" s="636"/>
      <c r="D25" s="636"/>
      <c r="E25" s="636"/>
      <c r="F25" s="636"/>
      <c r="G25" s="636"/>
      <c r="H25" s="636"/>
      <c r="I25" s="636"/>
      <c r="J25" s="636"/>
      <c r="K25" s="636"/>
      <c r="L25" s="636"/>
      <c r="M25" s="636"/>
      <c r="N25" s="636"/>
      <c r="O25" s="636"/>
      <c r="P25" s="636"/>
      <c r="Q25" s="636"/>
      <c r="R25" s="636"/>
      <c r="S25" s="638"/>
    </row>
    <row r="26" spans="2:19" x14ac:dyDescent="0.2">
      <c r="B26" s="637"/>
      <c r="C26" s="636"/>
      <c r="D26" s="636"/>
      <c r="E26" s="636"/>
      <c r="F26" s="636"/>
      <c r="G26" s="636"/>
      <c r="H26" s="636"/>
      <c r="I26" s="636"/>
      <c r="J26" s="636"/>
      <c r="K26" s="636"/>
      <c r="L26" s="636"/>
      <c r="M26" s="636"/>
      <c r="N26" s="636"/>
      <c r="O26" s="636"/>
      <c r="P26" s="636"/>
      <c r="Q26" s="636"/>
      <c r="R26" s="636"/>
      <c r="S26" s="638"/>
    </row>
    <row r="27" spans="2:19" x14ac:dyDescent="0.2">
      <c r="B27" s="637"/>
      <c r="C27" s="636"/>
      <c r="D27" s="636"/>
      <c r="E27" s="636"/>
      <c r="F27" s="636"/>
      <c r="G27" s="636"/>
      <c r="H27" s="636"/>
      <c r="I27" s="636"/>
      <c r="J27" s="636"/>
      <c r="K27" s="636"/>
      <c r="L27" s="636"/>
      <c r="M27" s="636"/>
      <c r="N27" s="636"/>
      <c r="O27" s="636"/>
      <c r="P27" s="636"/>
      <c r="Q27" s="636"/>
      <c r="R27" s="636"/>
      <c r="S27" s="638"/>
    </row>
    <row r="28" spans="2:19" x14ac:dyDescent="0.2">
      <c r="B28" s="637"/>
      <c r="C28" s="636"/>
      <c r="D28" s="636"/>
      <c r="E28" s="636"/>
      <c r="F28" s="636"/>
      <c r="G28" s="636"/>
      <c r="H28" s="636"/>
      <c r="I28" s="636"/>
      <c r="J28" s="636"/>
      <c r="K28" s="636"/>
      <c r="L28" s="636"/>
      <c r="M28" s="636"/>
      <c r="N28" s="636"/>
      <c r="O28" s="636"/>
      <c r="P28" s="636"/>
      <c r="Q28" s="636"/>
      <c r="R28" s="636"/>
      <c r="S28" s="638"/>
    </row>
    <row r="29" spans="2:19" x14ac:dyDescent="0.2">
      <c r="B29" s="637"/>
      <c r="C29" s="636"/>
      <c r="D29" s="636"/>
      <c r="E29" s="636"/>
      <c r="F29" s="636"/>
      <c r="G29" s="636"/>
      <c r="H29" s="636"/>
      <c r="I29" s="636"/>
      <c r="J29" s="636"/>
      <c r="K29" s="636"/>
      <c r="L29" s="636"/>
      <c r="M29" s="636"/>
      <c r="N29" s="636"/>
      <c r="O29" s="636"/>
      <c r="P29" s="636"/>
      <c r="Q29" s="636"/>
      <c r="R29" s="636"/>
      <c r="S29" s="638"/>
    </row>
    <row r="30" spans="2:19" x14ac:dyDescent="0.2">
      <c r="B30" s="637"/>
      <c r="C30" s="636"/>
      <c r="D30" s="636"/>
      <c r="E30" s="636"/>
      <c r="F30" s="636"/>
      <c r="G30" s="636"/>
      <c r="H30" s="636"/>
      <c r="I30" s="636"/>
      <c r="J30" s="636"/>
      <c r="K30" s="636"/>
      <c r="L30" s="636"/>
      <c r="M30" s="636"/>
      <c r="N30" s="636"/>
      <c r="O30" s="636"/>
      <c r="P30" s="636"/>
      <c r="Q30" s="636"/>
      <c r="R30" s="636"/>
      <c r="S30" s="638"/>
    </row>
    <row r="31" spans="2:19" x14ac:dyDescent="0.2">
      <c r="B31" s="637"/>
      <c r="C31" s="636"/>
      <c r="D31" s="636"/>
      <c r="E31" s="636"/>
      <c r="F31" s="636"/>
      <c r="G31" s="636"/>
      <c r="H31" s="636"/>
      <c r="I31" s="636"/>
      <c r="J31" s="636"/>
      <c r="K31" s="636"/>
      <c r="L31" s="636"/>
      <c r="M31" s="636"/>
      <c r="N31" s="636"/>
      <c r="O31" s="636"/>
      <c r="P31" s="636"/>
      <c r="Q31" s="636"/>
      <c r="R31" s="636"/>
      <c r="S31" s="638"/>
    </row>
    <row r="32" spans="2:19" x14ac:dyDescent="0.2">
      <c r="B32" s="637"/>
      <c r="C32" s="636"/>
      <c r="D32" s="636"/>
      <c r="E32" s="636"/>
      <c r="F32" s="636"/>
      <c r="G32" s="636"/>
      <c r="H32" s="636"/>
      <c r="I32" s="636"/>
      <c r="J32" s="636"/>
      <c r="K32" s="636"/>
      <c r="L32" s="636"/>
      <c r="M32" s="636"/>
      <c r="N32" s="636"/>
      <c r="O32" s="636"/>
      <c r="P32" s="636"/>
      <c r="Q32" s="636"/>
      <c r="R32" s="636"/>
      <c r="S32" s="638"/>
    </row>
    <row r="33" spans="2:19" x14ac:dyDescent="0.2">
      <c r="B33" s="637"/>
      <c r="C33" s="636"/>
      <c r="D33" s="636"/>
      <c r="E33" s="636"/>
      <c r="F33" s="636"/>
      <c r="G33" s="636"/>
      <c r="H33" s="636"/>
      <c r="I33" s="636"/>
      <c r="J33" s="636"/>
      <c r="K33" s="636"/>
      <c r="L33" s="636"/>
      <c r="M33" s="636"/>
      <c r="N33" s="636"/>
      <c r="O33" s="636"/>
      <c r="P33" s="636"/>
      <c r="Q33" s="636"/>
      <c r="R33" s="636"/>
      <c r="S33" s="638"/>
    </row>
    <row r="34" spans="2:19" x14ac:dyDescent="0.2">
      <c r="B34" s="637"/>
      <c r="C34" s="636"/>
      <c r="D34" s="636"/>
      <c r="E34" s="636"/>
      <c r="F34" s="636"/>
      <c r="G34" s="636"/>
      <c r="H34" s="636"/>
      <c r="I34" s="636"/>
      <c r="J34" s="636"/>
      <c r="K34" s="636"/>
      <c r="L34" s="636"/>
      <c r="M34" s="636"/>
      <c r="N34" s="636"/>
      <c r="O34" s="636"/>
      <c r="P34" s="636"/>
      <c r="Q34" s="636"/>
      <c r="R34" s="636"/>
      <c r="S34" s="638"/>
    </row>
    <row r="35" spans="2:19" x14ac:dyDescent="0.2">
      <c r="B35" s="637"/>
      <c r="C35" s="636"/>
      <c r="D35" s="636"/>
      <c r="E35" s="636"/>
      <c r="F35" s="636"/>
      <c r="G35" s="636"/>
      <c r="H35" s="636"/>
      <c r="I35" s="636"/>
      <c r="J35" s="636"/>
      <c r="K35" s="636"/>
      <c r="L35" s="636"/>
      <c r="M35" s="636"/>
      <c r="N35" s="636"/>
      <c r="O35" s="636"/>
      <c r="P35" s="636"/>
      <c r="Q35" s="636"/>
      <c r="R35" s="636"/>
      <c r="S35" s="638"/>
    </row>
    <row r="36" spans="2:19" x14ac:dyDescent="0.2">
      <c r="B36" s="637"/>
      <c r="C36" s="636"/>
      <c r="D36" s="636"/>
      <c r="E36" s="636"/>
      <c r="F36" s="636"/>
      <c r="G36" s="636"/>
      <c r="H36" s="636"/>
      <c r="I36" s="636"/>
      <c r="J36" s="636"/>
      <c r="K36" s="636"/>
      <c r="L36" s="636"/>
      <c r="M36" s="636"/>
      <c r="N36" s="636"/>
      <c r="O36" s="636"/>
      <c r="P36" s="636"/>
      <c r="Q36" s="636"/>
      <c r="R36" s="636"/>
      <c r="S36" s="638"/>
    </row>
    <row r="37" spans="2:19" x14ac:dyDescent="0.2">
      <c r="B37" s="637"/>
      <c r="C37" s="636"/>
      <c r="D37" s="636"/>
      <c r="E37" s="636"/>
      <c r="F37" s="636"/>
      <c r="G37" s="636"/>
      <c r="H37" s="636"/>
      <c r="I37" s="636"/>
      <c r="J37" s="636"/>
      <c r="K37" s="636"/>
      <c r="L37" s="636"/>
      <c r="M37" s="636"/>
      <c r="N37" s="636"/>
      <c r="O37" s="636"/>
      <c r="P37" s="636"/>
      <c r="Q37" s="636"/>
      <c r="R37" s="636"/>
      <c r="S37" s="638"/>
    </row>
    <row r="38" spans="2:19" x14ac:dyDescent="0.2">
      <c r="B38" s="637"/>
      <c r="C38" s="636"/>
      <c r="D38" s="636"/>
      <c r="E38" s="636"/>
      <c r="F38" s="636"/>
      <c r="G38" s="636"/>
      <c r="H38" s="636"/>
      <c r="I38" s="636"/>
      <c r="J38" s="636"/>
      <c r="K38" s="636"/>
      <c r="L38" s="636"/>
      <c r="M38" s="636"/>
      <c r="N38" s="636"/>
      <c r="O38" s="636"/>
      <c r="P38" s="636"/>
      <c r="Q38" s="636"/>
      <c r="R38" s="636"/>
      <c r="S38" s="638"/>
    </row>
    <row r="39" spans="2:19" x14ac:dyDescent="0.2">
      <c r="B39" s="637"/>
      <c r="C39" s="636"/>
      <c r="D39" s="636"/>
      <c r="E39" s="636"/>
      <c r="F39" s="636"/>
      <c r="G39" s="636"/>
      <c r="H39" s="636"/>
      <c r="I39" s="636"/>
      <c r="J39" s="636"/>
      <c r="K39" s="636"/>
      <c r="L39" s="636"/>
      <c r="M39" s="636"/>
      <c r="N39" s="636"/>
      <c r="O39" s="636"/>
      <c r="P39" s="636"/>
      <c r="Q39" s="636"/>
      <c r="R39" s="636"/>
      <c r="S39" s="638"/>
    </row>
    <row r="40" spans="2:19" x14ac:dyDescent="0.2">
      <c r="B40" s="637"/>
      <c r="C40" s="636"/>
      <c r="D40" s="636"/>
      <c r="E40" s="636"/>
      <c r="F40" s="636"/>
      <c r="G40" s="636"/>
      <c r="H40" s="636"/>
      <c r="I40" s="636"/>
      <c r="J40" s="636"/>
      <c r="K40" s="636"/>
      <c r="L40" s="636"/>
      <c r="M40" s="636"/>
      <c r="N40" s="636"/>
      <c r="O40" s="636"/>
      <c r="P40" s="636"/>
      <c r="Q40" s="636"/>
      <c r="R40" s="636"/>
      <c r="S40" s="638"/>
    </row>
    <row r="41" spans="2:19" x14ac:dyDescent="0.2">
      <c r="B41" s="637"/>
      <c r="C41" s="636"/>
      <c r="D41" s="636"/>
      <c r="E41" s="636"/>
      <c r="F41" s="636"/>
      <c r="G41" s="636"/>
      <c r="H41" s="636"/>
      <c r="I41" s="636"/>
      <c r="J41" s="636"/>
      <c r="K41" s="636"/>
      <c r="L41" s="636"/>
      <c r="M41" s="636"/>
      <c r="N41" s="636"/>
      <c r="O41" s="636"/>
      <c r="P41" s="636"/>
      <c r="Q41" s="636"/>
      <c r="R41" s="636"/>
      <c r="S41" s="638"/>
    </row>
    <row r="42" spans="2:19" x14ac:dyDescent="0.2">
      <c r="B42" s="637"/>
      <c r="C42" s="636"/>
      <c r="D42" s="636"/>
      <c r="E42" s="636"/>
      <c r="F42" s="636"/>
      <c r="G42" s="636"/>
      <c r="H42" s="636"/>
      <c r="I42" s="636"/>
      <c r="J42" s="636"/>
      <c r="K42" s="636"/>
      <c r="L42" s="636"/>
      <c r="M42" s="636"/>
      <c r="N42" s="636"/>
      <c r="O42" s="636"/>
      <c r="P42" s="636"/>
      <c r="Q42" s="636"/>
      <c r="R42" s="636"/>
      <c r="S42" s="638"/>
    </row>
    <row r="43" spans="2:19" x14ac:dyDescent="0.2">
      <c r="B43" s="637"/>
      <c r="C43" s="636"/>
      <c r="D43" s="636"/>
      <c r="E43" s="636"/>
      <c r="F43" s="636"/>
      <c r="G43" s="636"/>
      <c r="H43" s="636"/>
      <c r="I43" s="636"/>
      <c r="J43" s="636"/>
      <c r="K43" s="636"/>
      <c r="L43" s="636"/>
      <c r="M43" s="636"/>
      <c r="N43" s="636"/>
      <c r="O43" s="636"/>
      <c r="P43" s="636"/>
      <c r="Q43" s="636"/>
      <c r="R43" s="636"/>
      <c r="S43" s="638"/>
    </row>
    <row r="44" spans="2:19" x14ac:dyDescent="0.2">
      <c r="B44" s="637"/>
      <c r="C44" s="636"/>
      <c r="D44" s="636"/>
      <c r="E44" s="636"/>
      <c r="F44" s="636"/>
      <c r="G44" s="636"/>
      <c r="H44" s="636"/>
      <c r="I44" s="636"/>
      <c r="J44" s="636"/>
      <c r="K44" s="636"/>
      <c r="L44" s="636"/>
      <c r="M44" s="636"/>
      <c r="N44" s="636"/>
      <c r="O44" s="636"/>
      <c r="P44" s="636"/>
      <c r="Q44" s="636"/>
      <c r="R44" s="636"/>
      <c r="S44" s="638"/>
    </row>
    <row r="45" spans="2:19" x14ac:dyDescent="0.2">
      <c r="B45" s="637"/>
      <c r="C45" s="636"/>
      <c r="D45" s="636"/>
      <c r="E45" s="636"/>
      <c r="F45" s="636"/>
      <c r="G45" s="636"/>
      <c r="H45" s="636"/>
      <c r="I45" s="636"/>
      <c r="J45" s="636"/>
      <c r="K45" s="636"/>
      <c r="L45" s="636"/>
      <c r="M45" s="636"/>
      <c r="N45" s="636"/>
      <c r="O45" s="636"/>
      <c r="P45" s="636"/>
      <c r="Q45" s="636"/>
      <c r="R45" s="636"/>
      <c r="S45" s="638"/>
    </row>
    <row r="46" spans="2:19" x14ac:dyDescent="0.2">
      <c r="B46" s="637"/>
      <c r="C46" s="636"/>
      <c r="D46" s="636"/>
      <c r="E46" s="636"/>
      <c r="F46" s="636"/>
      <c r="G46" s="636"/>
      <c r="H46" s="636"/>
      <c r="I46" s="636"/>
      <c r="J46" s="636"/>
      <c r="K46" s="636"/>
      <c r="L46" s="636"/>
      <c r="M46" s="636"/>
      <c r="N46" s="636"/>
      <c r="O46" s="636"/>
      <c r="P46" s="636"/>
      <c r="Q46" s="636"/>
      <c r="R46" s="636"/>
      <c r="S46" s="638"/>
    </row>
    <row r="47" spans="2:19" x14ac:dyDescent="0.2">
      <c r="B47" s="637"/>
      <c r="C47" s="636"/>
      <c r="D47" s="636"/>
      <c r="E47" s="636"/>
      <c r="F47" s="636"/>
      <c r="G47" s="636"/>
      <c r="H47" s="636"/>
      <c r="I47" s="636"/>
      <c r="J47" s="636"/>
      <c r="K47" s="636"/>
      <c r="L47" s="636"/>
      <c r="M47" s="636"/>
      <c r="N47" s="636"/>
      <c r="O47" s="636"/>
      <c r="P47" s="636"/>
      <c r="Q47" s="636"/>
      <c r="R47" s="636"/>
      <c r="S47" s="638"/>
    </row>
    <row r="48" spans="2:19" x14ac:dyDescent="0.2">
      <c r="B48" s="637"/>
      <c r="C48" s="636"/>
      <c r="D48" s="636"/>
      <c r="E48" s="636"/>
      <c r="F48" s="636"/>
      <c r="G48" s="636"/>
      <c r="H48" s="636"/>
      <c r="I48" s="636"/>
      <c r="J48" s="636"/>
      <c r="K48" s="636"/>
      <c r="L48" s="636"/>
      <c r="M48" s="636"/>
      <c r="N48" s="636"/>
      <c r="O48" s="636"/>
      <c r="P48" s="636"/>
      <c r="Q48" s="636"/>
      <c r="R48" s="636"/>
      <c r="S48" s="638"/>
    </row>
    <row r="49" spans="2:19" x14ac:dyDescent="0.2">
      <c r="B49" s="637"/>
      <c r="C49" s="636"/>
      <c r="D49" s="636"/>
      <c r="E49" s="636"/>
      <c r="F49" s="636"/>
      <c r="G49" s="636"/>
      <c r="H49" s="636"/>
      <c r="I49" s="636"/>
      <c r="J49" s="636"/>
      <c r="K49" s="636"/>
      <c r="L49" s="636"/>
      <c r="M49" s="636"/>
      <c r="N49" s="636"/>
      <c r="O49" s="636"/>
      <c r="P49" s="636"/>
      <c r="Q49" s="636"/>
      <c r="R49" s="636"/>
      <c r="S49" s="638"/>
    </row>
    <row r="50" spans="2:19" x14ac:dyDescent="0.2">
      <c r="B50" s="637"/>
      <c r="C50" s="636"/>
      <c r="D50" s="636"/>
      <c r="E50" s="636"/>
      <c r="F50" s="636"/>
      <c r="G50" s="636"/>
      <c r="H50" s="636"/>
      <c r="I50" s="636"/>
      <c r="J50" s="636"/>
      <c r="K50" s="636"/>
      <c r="L50" s="636"/>
      <c r="M50" s="636"/>
      <c r="N50" s="636"/>
      <c r="O50" s="636"/>
      <c r="P50" s="636"/>
      <c r="Q50" s="636"/>
      <c r="R50" s="636"/>
      <c r="S50" s="638"/>
    </row>
    <row r="51" spans="2:19" x14ac:dyDescent="0.2">
      <c r="B51" s="637"/>
      <c r="C51" s="636"/>
      <c r="D51" s="636"/>
      <c r="E51" s="636"/>
      <c r="F51" s="636"/>
      <c r="G51" s="636"/>
      <c r="H51" s="636"/>
      <c r="I51" s="636"/>
      <c r="J51" s="636"/>
      <c r="K51" s="636"/>
      <c r="L51" s="636"/>
      <c r="M51" s="636"/>
      <c r="N51" s="636"/>
      <c r="O51" s="636"/>
      <c r="P51" s="636"/>
      <c r="Q51" s="636"/>
      <c r="R51" s="636"/>
      <c r="S51" s="638"/>
    </row>
    <row r="52" spans="2:19" x14ac:dyDescent="0.2">
      <c r="B52" s="637"/>
      <c r="C52" s="636"/>
      <c r="D52" s="636"/>
      <c r="E52" s="636"/>
      <c r="F52" s="636"/>
      <c r="G52" s="636"/>
      <c r="H52" s="636"/>
      <c r="I52" s="636"/>
      <c r="J52" s="636"/>
      <c r="K52" s="636"/>
      <c r="L52" s="636"/>
      <c r="M52" s="636"/>
      <c r="N52" s="636"/>
      <c r="O52" s="636"/>
      <c r="P52" s="636"/>
      <c r="Q52" s="636"/>
      <c r="R52" s="636"/>
      <c r="S52" s="638"/>
    </row>
    <row r="53" spans="2:19" x14ac:dyDescent="0.2">
      <c r="B53" s="637"/>
      <c r="C53" s="636"/>
      <c r="D53" s="636"/>
      <c r="E53" s="636"/>
      <c r="F53" s="636"/>
      <c r="G53" s="636"/>
      <c r="H53" s="636"/>
      <c r="I53" s="636"/>
      <c r="J53" s="636"/>
      <c r="K53" s="636"/>
      <c r="L53" s="636"/>
      <c r="M53" s="636"/>
      <c r="N53" s="636"/>
      <c r="O53" s="636"/>
      <c r="P53" s="636"/>
      <c r="Q53" s="636"/>
      <c r="R53" s="636"/>
      <c r="S53" s="638"/>
    </row>
    <row r="54" spans="2:19" x14ac:dyDescent="0.2">
      <c r="B54" s="637"/>
      <c r="C54" s="636"/>
      <c r="D54" s="636"/>
      <c r="E54" s="636"/>
      <c r="F54" s="636"/>
      <c r="G54" s="636"/>
      <c r="H54" s="636"/>
      <c r="I54" s="636"/>
      <c r="J54" s="636"/>
      <c r="K54" s="636"/>
      <c r="L54" s="636"/>
      <c r="M54" s="636"/>
      <c r="N54" s="636"/>
      <c r="O54" s="636"/>
      <c r="P54" s="636"/>
      <c r="Q54" s="636"/>
      <c r="R54" s="636"/>
      <c r="S54" s="638"/>
    </row>
    <row r="55" spans="2:19" x14ac:dyDescent="0.2">
      <c r="B55" s="637"/>
      <c r="C55" s="636"/>
      <c r="D55" s="636"/>
      <c r="E55" s="636"/>
      <c r="F55" s="636"/>
      <c r="G55" s="636"/>
      <c r="H55" s="636"/>
      <c r="I55" s="636"/>
      <c r="J55" s="636"/>
      <c r="K55" s="636"/>
      <c r="L55" s="636"/>
      <c r="M55" s="636"/>
      <c r="N55" s="636"/>
      <c r="O55" s="636"/>
      <c r="P55" s="636"/>
      <c r="Q55" s="636"/>
      <c r="R55" s="636"/>
      <c r="S55" s="638"/>
    </row>
    <row r="56" spans="2:19" x14ac:dyDescent="0.2">
      <c r="B56" s="637"/>
      <c r="C56" s="636"/>
      <c r="D56" s="636"/>
      <c r="E56" s="636"/>
      <c r="F56" s="636"/>
      <c r="G56" s="636"/>
      <c r="H56" s="636"/>
      <c r="I56" s="636"/>
      <c r="J56" s="636"/>
      <c r="K56" s="636"/>
      <c r="L56" s="636"/>
      <c r="M56" s="636"/>
      <c r="N56" s="636"/>
      <c r="O56" s="636"/>
      <c r="P56" s="636"/>
      <c r="Q56" s="636"/>
      <c r="R56" s="636"/>
      <c r="S56" s="638"/>
    </row>
    <row r="57" spans="2:19" x14ac:dyDescent="0.2">
      <c r="B57" s="637"/>
      <c r="C57" s="636"/>
      <c r="D57" s="636"/>
      <c r="E57" s="636"/>
      <c r="F57" s="636"/>
      <c r="G57" s="636"/>
      <c r="H57" s="636"/>
      <c r="I57" s="636"/>
      <c r="J57" s="636"/>
      <c r="K57" s="636"/>
      <c r="L57" s="636"/>
      <c r="M57" s="636"/>
      <c r="N57" s="636"/>
      <c r="O57" s="636"/>
      <c r="P57" s="636"/>
      <c r="Q57" s="636"/>
      <c r="R57" s="636"/>
      <c r="S57" s="638"/>
    </row>
    <row r="58" spans="2:19" x14ac:dyDescent="0.2">
      <c r="B58" s="637"/>
      <c r="C58" s="636"/>
      <c r="D58" s="636"/>
      <c r="E58" s="636"/>
      <c r="F58" s="636"/>
      <c r="G58" s="636"/>
      <c r="H58" s="636"/>
      <c r="I58" s="636"/>
      <c r="J58" s="636"/>
      <c r="K58" s="636"/>
      <c r="L58" s="636"/>
      <c r="M58" s="636"/>
      <c r="N58" s="636"/>
      <c r="O58" s="636"/>
      <c r="P58" s="636"/>
      <c r="Q58" s="636"/>
      <c r="R58" s="636"/>
      <c r="S58" s="638"/>
    </row>
    <row r="59" spans="2:19" x14ac:dyDescent="0.2">
      <c r="B59" s="637"/>
      <c r="C59" s="636"/>
      <c r="D59" s="636"/>
      <c r="E59" s="636"/>
      <c r="F59" s="636"/>
      <c r="G59" s="636"/>
      <c r="H59" s="636"/>
      <c r="I59" s="636"/>
      <c r="J59" s="636"/>
      <c r="K59" s="636"/>
      <c r="L59" s="636"/>
      <c r="M59" s="636"/>
      <c r="N59" s="636"/>
      <c r="O59" s="636"/>
      <c r="P59" s="636"/>
      <c r="Q59" s="636"/>
      <c r="R59" s="636"/>
      <c r="S59" s="638"/>
    </row>
    <row r="60" spans="2:19" x14ac:dyDescent="0.2">
      <c r="B60" s="637"/>
      <c r="C60" s="636"/>
      <c r="D60" s="636"/>
      <c r="E60" s="636"/>
      <c r="F60" s="636"/>
      <c r="G60" s="636"/>
      <c r="H60" s="636"/>
      <c r="I60" s="636"/>
      <c r="J60" s="636"/>
      <c r="K60" s="636"/>
      <c r="L60" s="636"/>
      <c r="M60" s="636"/>
      <c r="N60" s="636"/>
      <c r="O60" s="636"/>
      <c r="P60" s="636"/>
      <c r="Q60" s="636"/>
      <c r="R60" s="636"/>
      <c r="S60" s="638"/>
    </row>
    <row r="61" spans="2:19" x14ac:dyDescent="0.2">
      <c r="B61" s="637"/>
      <c r="C61" s="636"/>
      <c r="D61" s="636"/>
      <c r="E61" s="636"/>
      <c r="F61" s="636"/>
      <c r="G61" s="636"/>
      <c r="H61" s="636"/>
      <c r="I61" s="636"/>
      <c r="J61" s="636"/>
      <c r="K61" s="636"/>
      <c r="L61" s="636"/>
      <c r="M61" s="636"/>
      <c r="N61" s="636"/>
      <c r="O61" s="636"/>
      <c r="P61" s="636"/>
      <c r="Q61" s="636"/>
      <c r="R61" s="636"/>
      <c r="S61" s="638"/>
    </row>
    <row r="62" spans="2:19" x14ac:dyDescent="0.2">
      <c r="B62" s="637"/>
      <c r="C62" s="636"/>
      <c r="D62" s="636"/>
      <c r="E62" s="636"/>
      <c r="F62" s="636"/>
      <c r="G62" s="636"/>
      <c r="H62" s="636"/>
      <c r="I62" s="636"/>
      <c r="J62" s="636"/>
      <c r="K62" s="636"/>
      <c r="L62" s="636"/>
      <c r="M62" s="636"/>
      <c r="N62" s="636"/>
      <c r="O62" s="636"/>
      <c r="P62" s="636"/>
      <c r="Q62" s="636"/>
      <c r="R62" s="636"/>
      <c r="S62" s="638"/>
    </row>
    <row r="63" spans="2:19" x14ac:dyDescent="0.2">
      <c r="B63" s="637"/>
      <c r="C63" s="636"/>
      <c r="D63" s="636"/>
      <c r="E63" s="636"/>
      <c r="F63" s="636"/>
      <c r="G63" s="636"/>
      <c r="H63" s="636"/>
      <c r="I63" s="636"/>
      <c r="J63" s="636"/>
      <c r="K63" s="636"/>
      <c r="L63" s="636"/>
      <c r="M63" s="636"/>
      <c r="N63" s="636"/>
      <c r="O63" s="636"/>
      <c r="P63" s="636"/>
      <c r="Q63" s="636"/>
      <c r="R63" s="636"/>
      <c r="S63" s="638"/>
    </row>
    <row r="64" spans="2:19" x14ac:dyDescent="0.2">
      <c r="B64" s="637"/>
      <c r="C64" s="636"/>
      <c r="D64" s="636"/>
      <c r="E64" s="636"/>
      <c r="F64" s="636"/>
      <c r="G64" s="636"/>
      <c r="H64" s="636"/>
      <c r="I64" s="636"/>
      <c r="J64" s="636"/>
      <c r="K64" s="636"/>
      <c r="L64" s="636"/>
      <c r="M64" s="636"/>
      <c r="N64" s="636"/>
      <c r="O64" s="636"/>
      <c r="P64" s="636"/>
      <c r="Q64" s="636"/>
      <c r="R64" s="636"/>
      <c r="S64" s="638"/>
    </row>
    <row r="65" spans="2:19" x14ac:dyDescent="0.2">
      <c r="B65" s="637"/>
      <c r="C65" s="636"/>
      <c r="D65" s="636"/>
      <c r="E65" s="636"/>
      <c r="F65" s="636"/>
      <c r="G65" s="636"/>
      <c r="H65" s="636"/>
      <c r="I65" s="636"/>
      <c r="J65" s="636"/>
      <c r="K65" s="636"/>
      <c r="L65" s="636"/>
      <c r="M65" s="636"/>
      <c r="N65" s="636"/>
      <c r="O65" s="636"/>
      <c r="P65" s="636"/>
      <c r="Q65" s="636"/>
      <c r="R65" s="636"/>
      <c r="S65" s="638"/>
    </row>
    <row r="66" spans="2:19" x14ac:dyDescent="0.2">
      <c r="B66" s="637"/>
      <c r="C66" s="636"/>
      <c r="D66" s="636"/>
      <c r="E66" s="636"/>
      <c r="F66" s="636"/>
      <c r="G66" s="636"/>
      <c r="H66" s="636"/>
      <c r="I66" s="636"/>
      <c r="J66" s="636"/>
      <c r="K66" s="636"/>
      <c r="L66" s="636"/>
      <c r="M66" s="636"/>
      <c r="N66" s="636"/>
      <c r="O66" s="636"/>
      <c r="P66" s="636"/>
      <c r="Q66" s="636"/>
      <c r="R66" s="636"/>
      <c r="S66" s="638"/>
    </row>
    <row r="67" spans="2:19" x14ac:dyDescent="0.2">
      <c r="B67" s="637"/>
      <c r="C67" s="636"/>
      <c r="D67" s="636"/>
      <c r="E67" s="636"/>
      <c r="F67" s="636"/>
      <c r="G67" s="636"/>
      <c r="H67" s="636"/>
      <c r="I67" s="636"/>
      <c r="J67" s="636"/>
      <c r="K67" s="636"/>
      <c r="L67" s="636"/>
      <c r="M67" s="636"/>
      <c r="N67" s="636"/>
      <c r="O67" s="636"/>
      <c r="P67" s="636"/>
      <c r="Q67" s="636"/>
      <c r="R67" s="636"/>
      <c r="S67" s="638"/>
    </row>
    <row r="68" spans="2:19" x14ac:dyDescent="0.2">
      <c r="B68" s="637"/>
      <c r="C68" s="636"/>
      <c r="D68" s="636"/>
      <c r="E68" s="636"/>
      <c r="F68" s="636"/>
      <c r="G68" s="636"/>
      <c r="H68" s="636"/>
      <c r="I68" s="636"/>
      <c r="J68" s="636"/>
      <c r="K68" s="636"/>
      <c r="L68" s="636"/>
      <c r="M68" s="636"/>
      <c r="N68" s="636"/>
      <c r="O68" s="636"/>
      <c r="P68" s="636"/>
      <c r="Q68" s="636"/>
      <c r="R68" s="636"/>
      <c r="S68" s="638"/>
    </row>
    <row r="69" spans="2:19" x14ac:dyDescent="0.2">
      <c r="B69" s="637"/>
      <c r="C69" s="636"/>
      <c r="D69" s="636"/>
      <c r="E69" s="636"/>
      <c r="F69" s="636"/>
      <c r="G69" s="636"/>
      <c r="H69" s="636"/>
      <c r="I69" s="636"/>
      <c r="J69" s="636"/>
      <c r="K69" s="636"/>
      <c r="L69" s="636"/>
      <c r="M69" s="636"/>
      <c r="N69" s="636"/>
      <c r="O69" s="636"/>
      <c r="P69" s="636"/>
      <c r="Q69" s="636"/>
      <c r="R69" s="636"/>
      <c r="S69" s="638"/>
    </row>
    <row r="70" spans="2:19" x14ac:dyDescent="0.2">
      <c r="B70" s="637"/>
      <c r="C70" s="636"/>
      <c r="D70" s="636"/>
      <c r="E70" s="636"/>
      <c r="F70" s="636"/>
      <c r="G70" s="636"/>
      <c r="H70" s="636"/>
      <c r="I70" s="636"/>
      <c r="J70" s="636"/>
      <c r="K70" s="636"/>
      <c r="L70" s="636"/>
      <c r="M70" s="636"/>
      <c r="N70" s="636"/>
      <c r="O70" s="636"/>
      <c r="P70" s="636"/>
      <c r="Q70" s="636"/>
      <c r="R70" s="636"/>
      <c r="S70" s="638"/>
    </row>
    <row r="71" spans="2:19" x14ac:dyDescent="0.2">
      <c r="B71" s="637"/>
      <c r="C71" s="636"/>
      <c r="D71" s="636"/>
      <c r="E71" s="636"/>
      <c r="F71" s="636"/>
      <c r="G71" s="636"/>
      <c r="H71" s="636"/>
      <c r="I71" s="636"/>
      <c r="J71" s="636"/>
      <c r="K71" s="636"/>
      <c r="L71" s="636"/>
      <c r="M71" s="636"/>
      <c r="N71" s="636"/>
      <c r="O71" s="636"/>
      <c r="P71" s="636"/>
      <c r="Q71" s="636"/>
      <c r="R71" s="636"/>
      <c r="S71" s="638"/>
    </row>
    <row r="72" spans="2:19" x14ac:dyDescent="0.2">
      <c r="B72" s="637"/>
      <c r="C72" s="636"/>
      <c r="D72" s="636"/>
      <c r="E72" s="636"/>
      <c r="F72" s="636"/>
      <c r="G72" s="636"/>
      <c r="H72" s="636"/>
      <c r="I72" s="636"/>
      <c r="J72" s="636"/>
      <c r="K72" s="636"/>
      <c r="L72" s="636"/>
      <c r="M72" s="636"/>
      <c r="N72" s="636"/>
      <c r="O72" s="636"/>
      <c r="P72" s="636"/>
      <c r="Q72" s="636"/>
      <c r="R72" s="636"/>
      <c r="S72" s="638"/>
    </row>
    <row r="73" spans="2:19" x14ac:dyDescent="0.2">
      <c r="B73" s="637"/>
      <c r="C73" s="636"/>
      <c r="D73" s="636"/>
      <c r="E73" s="636"/>
      <c r="F73" s="636"/>
      <c r="G73" s="636"/>
      <c r="H73" s="636"/>
      <c r="I73" s="636"/>
      <c r="J73" s="636"/>
      <c r="K73" s="636"/>
      <c r="L73" s="636"/>
      <c r="M73" s="636"/>
      <c r="N73" s="636"/>
      <c r="O73" s="636"/>
      <c r="P73" s="636"/>
      <c r="Q73" s="636"/>
      <c r="R73" s="636"/>
      <c r="S73" s="638"/>
    </row>
    <row r="74" spans="2:19" x14ac:dyDescent="0.2">
      <c r="B74" s="637"/>
      <c r="C74" s="636"/>
      <c r="D74" s="636"/>
      <c r="E74" s="636"/>
      <c r="F74" s="636"/>
      <c r="G74" s="636"/>
      <c r="H74" s="636"/>
      <c r="I74" s="636"/>
      <c r="J74" s="636"/>
      <c r="K74" s="636"/>
      <c r="L74" s="636"/>
      <c r="M74" s="636"/>
      <c r="N74" s="636"/>
      <c r="O74" s="636"/>
      <c r="P74" s="636"/>
      <c r="Q74" s="636"/>
      <c r="R74" s="636"/>
      <c r="S74" s="638"/>
    </row>
    <row r="75" spans="2:19" x14ac:dyDescent="0.2">
      <c r="B75" s="637"/>
      <c r="C75" s="636"/>
      <c r="D75" s="636"/>
      <c r="E75" s="636"/>
      <c r="F75" s="636"/>
      <c r="G75" s="636"/>
      <c r="H75" s="636"/>
      <c r="I75" s="636"/>
      <c r="J75" s="636"/>
      <c r="K75" s="636"/>
      <c r="L75" s="636"/>
      <c r="M75" s="636"/>
      <c r="N75" s="636"/>
      <c r="O75" s="636"/>
      <c r="P75" s="636"/>
      <c r="Q75" s="636"/>
      <c r="R75" s="636"/>
      <c r="S75" s="638"/>
    </row>
    <row r="76" spans="2:19" x14ac:dyDescent="0.2">
      <c r="B76" s="637"/>
      <c r="C76" s="636"/>
      <c r="D76" s="636"/>
      <c r="E76" s="636"/>
      <c r="F76" s="636"/>
      <c r="G76" s="636"/>
      <c r="H76" s="636"/>
      <c r="I76" s="636"/>
      <c r="J76" s="636"/>
      <c r="K76" s="636"/>
      <c r="L76" s="636"/>
      <c r="M76" s="636"/>
      <c r="N76" s="636"/>
      <c r="O76" s="636"/>
      <c r="P76" s="636"/>
      <c r="Q76" s="636"/>
      <c r="R76" s="636"/>
      <c r="S76" s="638"/>
    </row>
    <row r="77" spans="2:19" x14ac:dyDescent="0.2">
      <c r="B77" s="637"/>
      <c r="C77" s="636"/>
      <c r="D77" s="636"/>
      <c r="E77" s="636"/>
      <c r="F77" s="636"/>
      <c r="G77" s="636"/>
      <c r="H77" s="636"/>
      <c r="I77" s="636"/>
      <c r="J77" s="636"/>
      <c r="K77" s="636"/>
      <c r="L77" s="636"/>
      <c r="M77" s="636"/>
      <c r="N77" s="636"/>
      <c r="O77" s="636"/>
      <c r="P77" s="636"/>
      <c r="Q77" s="636"/>
      <c r="R77" s="636"/>
      <c r="S77" s="638"/>
    </row>
    <row r="78" spans="2:19" x14ac:dyDescent="0.2">
      <c r="B78" s="637"/>
      <c r="C78" s="636"/>
      <c r="D78" s="636"/>
      <c r="E78" s="636"/>
      <c r="F78" s="636"/>
      <c r="G78" s="636"/>
      <c r="H78" s="636"/>
      <c r="I78" s="636"/>
      <c r="J78" s="636"/>
      <c r="K78" s="636"/>
      <c r="L78" s="636"/>
      <c r="M78" s="636"/>
      <c r="N78" s="636"/>
      <c r="O78" s="636"/>
      <c r="P78" s="636"/>
      <c r="Q78" s="636"/>
      <c r="R78" s="636"/>
      <c r="S78" s="638"/>
    </row>
    <row r="79" spans="2:19" x14ac:dyDescent="0.2">
      <c r="B79" s="637"/>
      <c r="C79" s="636"/>
      <c r="D79" s="636"/>
      <c r="E79" s="636"/>
      <c r="F79" s="636"/>
      <c r="G79" s="636"/>
      <c r="H79" s="636"/>
      <c r="I79" s="636"/>
      <c r="J79" s="636"/>
      <c r="K79" s="636"/>
      <c r="L79" s="636"/>
      <c r="M79" s="636"/>
      <c r="N79" s="636"/>
      <c r="O79" s="636"/>
      <c r="P79" s="636"/>
      <c r="Q79" s="636"/>
      <c r="R79" s="636"/>
      <c r="S79" s="638"/>
    </row>
    <row r="80" spans="2:19" x14ac:dyDescent="0.2">
      <c r="B80" s="637"/>
      <c r="C80" s="636"/>
      <c r="D80" s="636"/>
      <c r="E80" s="636"/>
      <c r="F80" s="636"/>
      <c r="G80" s="636"/>
      <c r="H80" s="636"/>
      <c r="I80" s="636"/>
      <c r="J80" s="636"/>
      <c r="K80" s="636"/>
      <c r="L80" s="636"/>
      <c r="M80" s="636"/>
      <c r="N80" s="636"/>
      <c r="O80" s="636"/>
      <c r="P80" s="636"/>
      <c r="Q80" s="636"/>
      <c r="R80" s="636"/>
      <c r="S80" s="638"/>
    </row>
    <row r="81" spans="2:19" x14ac:dyDescent="0.2">
      <c r="B81" s="637"/>
      <c r="C81" s="636"/>
      <c r="D81" s="636"/>
      <c r="E81" s="636"/>
      <c r="F81" s="636"/>
      <c r="G81" s="636"/>
      <c r="H81" s="636"/>
      <c r="I81" s="636"/>
      <c r="J81" s="636"/>
      <c r="K81" s="636"/>
      <c r="L81" s="636"/>
      <c r="M81" s="636"/>
      <c r="N81" s="636"/>
      <c r="O81" s="636"/>
      <c r="P81" s="636"/>
      <c r="Q81" s="636"/>
      <c r="R81" s="636"/>
      <c r="S81" s="638"/>
    </row>
    <row r="82" spans="2:19" x14ac:dyDescent="0.2">
      <c r="B82" s="637"/>
      <c r="C82" s="636"/>
      <c r="D82" s="636"/>
      <c r="E82" s="636"/>
      <c r="F82" s="636"/>
      <c r="G82" s="636"/>
      <c r="H82" s="636"/>
      <c r="I82" s="636"/>
      <c r="J82" s="636"/>
      <c r="K82" s="636"/>
      <c r="L82" s="636"/>
      <c r="M82" s="636"/>
      <c r="N82" s="636"/>
      <c r="O82" s="636"/>
      <c r="P82" s="636"/>
      <c r="Q82" s="636"/>
      <c r="R82" s="636"/>
      <c r="S82" s="638"/>
    </row>
    <row r="83" spans="2:19" x14ac:dyDescent="0.2">
      <c r="B83" s="637"/>
      <c r="C83" s="636"/>
      <c r="D83" s="636"/>
      <c r="E83" s="636"/>
      <c r="F83" s="636"/>
      <c r="G83" s="636"/>
      <c r="H83" s="636"/>
      <c r="I83" s="636"/>
      <c r="J83" s="636"/>
      <c r="K83" s="636"/>
      <c r="L83" s="636"/>
      <c r="M83" s="636"/>
      <c r="N83" s="636"/>
      <c r="O83" s="636"/>
      <c r="P83" s="636"/>
      <c r="Q83" s="636"/>
      <c r="R83" s="636"/>
      <c r="S83" s="638"/>
    </row>
    <row r="84" spans="2:19" x14ac:dyDescent="0.2">
      <c r="B84" s="637"/>
      <c r="C84" s="636"/>
      <c r="D84" s="636"/>
      <c r="E84" s="636"/>
      <c r="F84" s="636"/>
      <c r="G84" s="636"/>
      <c r="H84" s="636"/>
      <c r="I84" s="636"/>
      <c r="J84" s="636"/>
      <c r="K84" s="636"/>
      <c r="L84" s="636"/>
      <c r="M84" s="636"/>
      <c r="N84" s="636"/>
      <c r="O84" s="636"/>
      <c r="P84" s="636"/>
      <c r="Q84" s="636"/>
      <c r="R84" s="636"/>
      <c r="S84" s="638"/>
    </row>
    <row r="85" spans="2:19" x14ac:dyDescent="0.2">
      <c r="B85" s="637"/>
      <c r="C85" s="636"/>
      <c r="D85" s="636"/>
      <c r="E85" s="636"/>
      <c r="F85" s="636"/>
      <c r="G85" s="636"/>
      <c r="H85" s="636"/>
      <c r="I85" s="636"/>
      <c r="J85" s="636"/>
      <c r="K85" s="636"/>
      <c r="L85" s="636"/>
      <c r="M85" s="636"/>
      <c r="N85" s="636"/>
      <c r="O85" s="636"/>
      <c r="P85" s="636"/>
      <c r="Q85" s="636"/>
      <c r="R85" s="636"/>
      <c r="S85" s="638"/>
    </row>
    <row r="86" spans="2:19" x14ac:dyDescent="0.2">
      <c r="B86" s="637"/>
      <c r="C86" s="636"/>
      <c r="D86" s="636"/>
      <c r="E86" s="636"/>
      <c r="F86" s="636"/>
      <c r="G86" s="636"/>
      <c r="H86" s="636"/>
      <c r="I86" s="636"/>
      <c r="J86" s="636"/>
      <c r="K86" s="636"/>
      <c r="L86" s="636"/>
      <c r="M86" s="636"/>
      <c r="N86" s="636"/>
      <c r="O86" s="636"/>
      <c r="P86" s="636"/>
      <c r="Q86" s="636"/>
      <c r="R86" s="636"/>
      <c r="S86" s="638"/>
    </row>
    <row r="87" spans="2:19" x14ac:dyDescent="0.2">
      <c r="B87" s="637"/>
      <c r="C87" s="636"/>
      <c r="D87" s="636"/>
      <c r="E87" s="636"/>
      <c r="F87" s="636"/>
      <c r="G87" s="636"/>
      <c r="H87" s="636"/>
      <c r="I87" s="636"/>
      <c r="J87" s="636"/>
      <c r="K87" s="636"/>
      <c r="L87" s="636"/>
      <c r="M87" s="636"/>
      <c r="N87" s="636"/>
      <c r="O87" s="636"/>
      <c r="P87" s="636"/>
      <c r="Q87" s="636"/>
      <c r="R87" s="636"/>
      <c r="S87" s="638"/>
    </row>
    <row r="88" spans="2:19" x14ac:dyDescent="0.2">
      <c r="B88" s="637"/>
      <c r="C88" s="636"/>
      <c r="D88" s="636"/>
      <c r="E88" s="636"/>
      <c r="F88" s="636"/>
      <c r="G88" s="636"/>
      <c r="H88" s="636"/>
      <c r="I88" s="636"/>
      <c r="J88" s="636"/>
      <c r="K88" s="636"/>
      <c r="L88" s="636"/>
      <c r="M88" s="636"/>
      <c r="N88" s="636"/>
      <c r="O88" s="636"/>
      <c r="P88" s="636"/>
      <c r="Q88" s="636"/>
      <c r="R88" s="636"/>
      <c r="S88" s="638"/>
    </row>
    <row r="89" spans="2:19" x14ac:dyDescent="0.2">
      <c r="B89" s="637"/>
      <c r="C89" s="636"/>
      <c r="D89" s="636"/>
      <c r="E89" s="636"/>
      <c r="F89" s="636"/>
      <c r="G89" s="636"/>
      <c r="H89" s="636"/>
      <c r="I89" s="636"/>
      <c r="J89" s="636"/>
      <c r="K89" s="636"/>
      <c r="L89" s="636"/>
      <c r="M89" s="636"/>
      <c r="N89" s="636"/>
      <c r="O89" s="636"/>
      <c r="P89" s="636"/>
      <c r="Q89" s="636"/>
      <c r="R89" s="636"/>
      <c r="S89" s="638"/>
    </row>
    <row r="90" spans="2:19" x14ac:dyDescent="0.2">
      <c r="B90" s="637"/>
      <c r="C90" s="636"/>
      <c r="D90" s="636"/>
      <c r="E90" s="636"/>
      <c r="F90" s="636"/>
      <c r="G90" s="636"/>
      <c r="H90" s="636"/>
      <c r="I90" s="636"/>
      <c r="J90" s="636"/>
      <c r="K90" s="636"/>
      <c r="L90" s="636"/>
      <c r="M90" s="636"/>
      <c r="N90" s="636"/>
      <c r="O90" s="636"/>
      <c r="P90" s="636"/>
      <c r="Q90" s="636"/>
      <c r="R90" s="636"/>
      <c r="S90" s="638"/>
    </row>
    <row r="91" spans="2:19" x14ac:dyDescent="0.2">
      <c r="B91" s="637"/>
      <c r="C91" s="636"/>
      <c r="D91" s="636"/>
      <c r="E91" s="636"/>
      <c r="F91" s="636"/>
      <c r="G91" s="636"/>
      <c r="H91" s="636"/>
      <c r="I91" s="636"/>
      <c r="J91" s="636"/>
      <c r="K91" s="636"/>
      <c r="L91" s="636"/>
      <c r="M91" s="636"/>
      <c r="N91" s="636"/>
      <c r="O91" s="636"/>
      <c r="P91" s="636"/>
      <c r="Q91" s="636"/>
      <c r="R91" s="636"/>
      <c r="S91" s="638"/>
    </row>
    <row r="92" spans="2:19" x14ac:dyDescent="0.2">
      <c r="B92" s="637"/>
      <c r="C92" s="636"/>
      <c r="D92" s="636"/>
      <c r="E92" s="636"/>
      <c r="F92" s="636"/>
      <c r="G92" s="636"/>
      <c r="H92" s="636"/>
      <c r="I92" s="636"/>
      <c r="J92" s="636"/>
      <c r="K92" s="636"/>
      <c r="L92" s="636"/>
      <c r="M92" s="636"/>
      <c r="N92" s="636"/>
      <c r="O92" s="636"/>
      <c r="P92" s="636"/>
      <c r="Q92" s="636"/>
      <c r="R92" s="636"/>
      <c r="S92" s="638"/>
    </row>
    <row r="93" spans="2:19" x14ac:dyDescent="0.2">
      <c r="B93" s="637"/>
      <c r="C93" s="636"/>
      <c r="D93" s="636"/>
      <c r="E93" s="636"/>
      <c r="F93" s="636"/>
      <c r="G93" s="636"/>
      <c r="H93" s="636"/>
      <c r="I93" s="636"/>
      <c r="J93" s="636"/>
      <c r="K93" s="636"/>
      <c r="L93" s="636"/>
      <c r="M93" s="636"/>
      <c r="N93" s="636"/>
      <c r="O93" s="636"/>
      <c r="P93" s="636"/>
      <c r="Q93" s="636"/>
      <c r="R93" s="636"/>
      <c r="S93" s="638"/>
    </row>
    <row r="94" spans="2:19" x14ac:dyDescent="0.2">
      <c r="B94" s="637"/>
      <c r="C94" s="636"/>
      <c r="D94" s="636"/>
      <c r="E94" s="636"/>
      <c r="F94" s="636"/>
      <c r="G94" s="636"/>
      <c r="H94" s="636"/>
      <c r="I94" s="636"/>
      <c r="J94" s="636"/>
      <c r="K94" s="636"/>
      <c r="L94" s="636"/>
      <c r="M94" s="636"/>
      <c r="N94" s="636"/>
      <c r="O94" s="636"/>
      <c r="P94" s="636"/>
      <c r="Q94" s="636"/>
      <c r="R94" s="636"/>
      <c r="S94" s="638"/>
    </row>
    <row r="95" spans="2:19" x14ac:dyDescent="0.2">
      <c r="B95" s="637"/>
      <c r="C95" s="636"/>
      <c r="D95" s="636"/>
      <c r="E95" s="636"/>
      <c r="F95" s="636"/>
      <c r="G95" s="636"/>
      <c r="H95" s="636"/>
      <c r="I95" s="636"/>
      <c r="J95" s="636"/>
      <c r="K95" s="636"/>
      <c r="L95" s="636"/>
      <c r="M95" s="636"/>
      <c r="N95" s="636"/>
      <c r="O95" s="636"/>
      <c r="P95" s="636"/>
      <c r="Q95" s="636"/>
      <c r="R95" s="636"/>
      <c r="S95" s="638"/>
    </row>
    <row r="96" spans="2:19" x14ac:dyDescent="0.2">
      <c r="B96" s="637"/>
      <c r="C96" s="636"/>
      <c r="D96" s="636"/>
      <c r="E96" s="636"/>
      <c r="F96" s="636"/>
      <c r="G96" s="636"/>
      <c r="H96" s="636"/>
      <c r="I96" s="636"/>
      <c r="J96" s="636"/>
      <c r="K96" s="636"/>
      <c r="L96" s="636"/>
      <c r="M96" s="636"/>
      <c r="N96" s="636"/>
      <c r="O96" s="636"/>
      <c r="P96" s="636"/>
      <c r="Q96" s="636"/>
      <c r="R96" s="636"/>
      <c r="S96" s="638"/>
    </row>
    <row r="97" spans="2:19" s="14" customFormat="1" ht="15" x14ac:dyDescent="0.25">
      <c r="B97" s="86"/>
      <c r="C97" s="87"/>
      <c r="D97" s="389"/>
      <c r="E97" s="87"/>
      <c r="F97" s="391"/>
      <c r="G97" s="391"/>
      <c r="H97" s="391"/>
      <c r="I97" s="391"/>
      <c r="J97" s="391"/>
      <c r="K97" s="391"/>
      <c r="L97" s="391"/>
      <c r="M97" s="391"/>
      <c r="N97" s="391"/>
      <c r="O97" s="391"/>
      <c r="P97" s="391"/>
      <c r="Q97" s="391"/>
      <c r="R97" s="89" t="s">
        <v>410</v>
      </c>
      <c r="S97" s="90"/>
    </row>
    <row r="98" spans="2:19" x14ac:dyDescent="0.2">
      <c r="B98" s="633"/>
      <c r="C98" s="634"/>
      <c r="D98" s="634"/>
      <c r="E98" s="634"/>
      <c r="F98" s="634"/>
      <c r="G98" s="634"/>
      <c r="H98" s="634"/>
      <c r="I98" s="634"/>
      <c r="J98" s="634"/>
      <c r="K98" s="634"/>
      <c r="L98" s="634"/>
      <c r="M98" s="634"/>
      <c r="N98" s="634"/>
      <c r="O98" s="634"/>
      <c r="P98" s="634"/>
      <c r="Q98" s="634"/>
      <c r="R98" s="634"/>
      <c r="S98" s="635"/>
    </row>
    <row r="99" spans="2:19" x14ac:dyDescent="0.2">
      <c r="B99" s="637"/>
      <c r="C99" s="636"/>
      <c r="D99" s="636"/>
      <c r="E99" s="636"/>
      <c r="F99" s="636"/>
      <c r="G99" s="636"/>
      <c r="H99" s="636"/>
      <c r="I99" s="636"/>
      <c r="J99" s="636"/>
      <c r="K99" s="636"/>
      <c r="L99" s="636"/>
      <c r="M99" s="636"/>
      <c r="N99" s="636"/>
      <c r="O99" s="636"/>
      <c r="P99" s="636"/>
      <c r="Q99" s="636"/>
      <c r="R99" s="636"/>
      <c r="S99" s="638"/>
    </row>
    <row r="100" spans="2:19" x14ac:dyDescent="0.2">
      <c r="B100" s="637"/>
      <c r="C100" s="636"/>
      <c r="D100" s="636"/>
      <c r="E100" s="636"/>
      <c r="F100" s="636"/>
      <c r="G100" s="636"/>
      <c r="H100" s="636"/>
      <c r="I100" s="636"/>
      <c r="J100" s="636"/>
      <c r="K100" s="636"/>
      <c r="L100" s="636"/>
      <c r="M100" s="636"/>
      <c r="N100" s="636"/>
      <c r="O100" s="636"/>
      <c r="P100" s="636"/>
      <c r="Q100" s="636"/>
      <c r="R100" s="636"/>
      <c r="S100" s="638"/>
    </row>
    <row r="101" spans="2:19" x14ac:dyDescent="0.2">
      <c r="B101" s="637"/>
      <c r="C101" s="636"/>
      <c r="D101" s="636"/>
      <c r="E101" s="636"/>
      <c r="F101" s="636"/>
      <c r="G101" s="636"/>
      <c r="H101" s="636"/>
      <c r="I101" s="636"/>
      <c r="J101" s="636"/>
      <c r="K101" s="636"/>
      <c r="L101" s="636"/>
      <c r="M101" s="636"/>
      <c r="N101" s="636"/>
      <c r="O101" s="636"/>
      <c r="P101" s="636"/>
      <c r="Q101" s="636"/>
      <c r="R101" s="636"/>
      <c r="S101" s="638"/>
    </row>
    <row r="102" spans="2:19" x14ac:dyDescent="0.2">
      <c r="B102" s="637"/>
      <c r="C102" s="636"/>
      <c r="D102" s="636"/>
      <c r="E102" s="636"/>
      <c r="F102" s="636"/>
      <c r="G102" s="636"/>
      <c r="H102" s="636"/>
      <c r="I102" s="636"/>
      <c r="J102" s="636"/>
      <c r="K102" s="636"/>
      <c r="L102" s="636"/>
      <c r="M102" s="636"/>
      <c r="N102" s="636"/>
      <c r="O102" s="636"/>
      <c r="P102" s="636"/>
      <c r="Q102" s="636"/>
      <c r="R102" s="636"/>
      <c r="S102" s="638"/>
    </row>
    <row r="103" spans="2:19" x14ac:dyDescent="0.2">
      <c r="B103" s="637"/>
      <c r="C103" s="636"/>
      <c r="D103" s="636"/>
      <c r="E103" s="636"/>
      <c r="F103" s="636"/>
      <c r="G103" s="636"/>
      <c r="H103" s="636"/>
      <c r="I103" s="636"/>
      <c r="J103" s="636"/>
      <c r="K103" s="636"/>
      <c r="L103" s="636"/>
      <c r="M103" s="636"/>
      <c r="N103" s="636"/>
      <c r="O103" s="636"/>
      <c r="P103" s="636"/>
      <c r="Q103" s="636"/>
      <c r="R103" s="636"/>
      <c r="S103" s="638"/>
    </row>
    <row r="104" spans="2:19" x14ac:dyDescent="0.2">
      <c r="B104" s="637"/>
      <c r="C104" s="636"/>
      <c r="D104" s="636"/>
      <c r="E104" s="636"/>
      <c r="F104" s="636"/>
      <c r="G104" s="636"/>
      <c r="H104" s="636"/>
      <c r="I104" s="636"/>
      <c r="J104" s="636"/>
      <c r="K104" s="636"/>
      <c r="L104" s="636"/>
      <c r="M104" s="636"/>
      <c r="N104" s="636"/>
      <c r="O104" s="636"/>
      <c r="P104" s="636"/>
      <c r="Q104" s="636"/>
      <c r="R104" s="636"/>
      <c r="S104" s="638"/>
    </row>
    <row r="105" spans="2:19" x14ac:dyDescent="0.2">
      <c r="B105" s="637"/>
      <c r="C105" s="636"/>
      <c r="D105" s="636"/>
      <c r="E105" s="636"/>
      <c r="F105" s="636"/>
      <c r="G105" s="636"/>
      <c r="H105" s="636"/>
      <c r="I105" s="636"/>
      <c r="J105" s="636"/>
      <c r="K105" s="636"/>
      <c r="L105" s="636"/>
      <c r="M105" s="636"/>
      <c r="N105" s="636"/>
      <c r="O105" s="636"/>
      <c r="P105" s="636"/>
      <c r="Q105" s="636"/>
      <c r="R105" s="636"/>
      <c r="S105" s="638"/>
    </row>
    <row r="106" spans="2:19" x14ac:dyDescent="0.2">
      <c r="B106" s="637"/>
      <c r="C106" s="636"/>
      <c r="D106" s="636"/>
      <c r="E106" s="636"/>
      <c r="F106" s="636"/>
      <c r="G106" s="636"/>
      <c r="H106" s="636"/>
      <c r="I106" s="636"/>
      <c r="J106" s="636"/>
      <c r="K106" s="636"/>
      <c r="L106" s="636"/>
      <c r="M106" s="636"/>
      <c r="N106" s="636"/>
      <c r="O106" s="636"/>
      <c r="P106" s="636"/>
      <c r="Q106" s="636"/>
      <c r="R106" s="636"/>
      <c r="S106" s="638"/>
    </row>
    <row r="107" spans="2:19" x14ac:dyDescent="0.2">
      <c r="B107" s="637"/>
      <c r="C107" s="636"/>
      <c r="D107" s="636"/>
      <c r="E107" s="636"/>
      <c r="F107" s="636"/>
      <c r="G107" s="636"/>
      <c r="H107" s="636"/>
      <c r="I107" s="636"/>
      <c r="J107" s="636"/>
      <c r="K107" s="636"/>
      <c r="L107" s="636"/>
      <c r="M107" s="636"/>
      <c r="N107" s="636"/>
      <c r="O107" s="636"/>
      <c r="P107" s="636"/>
      <c r="Q107" s="636"/>
      <c r="R107" s="636"/>
      <c r="S107" s="638"/>
    </row>
    <row r="108" spans="2:19" x14ac:dyDescent="0.2">
      <c r="B108" s="637"/>
      <c r="C108" s="636"/>
      <c r="D108" s="636"/>
      <c r="E108" s="636"/>
      <c r="F108" s="636"/>
      <c r="G108" s="636"/>
      <c r="H108" s="636"/>
      <c r="I108" s="636"/>
      <c r="J108" s="636"/>
      <c r="K108" s="636"/>
      <c r="L108" s="636"/>
      <c r="M108" s="636"/>
      <c r="N108" s="636"/>
      <c r="O108" s="636"/>
      <c r="P108" s="636"/>
      <c r="Q108" s="636"/>
      <c r="R108" s="636"/>
      <c r="S108" s="638"/>
    </row>
    <row r="109" spans="2:19" x14ac:dyDescent="0.2">
      <c r="B109" s="637"/>
      <c r="C109" s="636"/>
      <c r="D109" s="636"/>
      <c r="E109" s="636"/>
      <c r="F109" s="636"/>
      <c r="G109" s="636"/>
      <c r="H109" s="636"/>
      <c r="I109" s="636"/>
      <c r="J109" s="636"/>
      <c r="K109" s="636"/>
      <c r="L109" s="636"/>
      <c r="M109" s="636"/>
      <c r="N109" s="636"/>
      <c r="O109" s="636"/>
      <c r="P109" s="636"/>
      <c r="Q109" s="636"/>
      <c r="R109" s="636"/>
      <c r="S109" s="638"/>
    </row>
    <row r="110" spans="2:19" x14ac:dyDescent="0.2">
      <c r="B110" s="637"/>
      <c r="C110" s="636"/>
      <c r="D110" s="636"/>
      <c r="E110" s="636"/>
      <c r="F110" s="636"/>
      <c r="G110" s="636"/>
      <c r="H110" s="636"/>
      <c r="I110" s="636"/>
      <c r="J110" s="636"/>
      <c r="K110" s="636"/>
      <c r="L110" s="636"/>
      <c r="M110" s="636"/>
      <c r="N110" s="636"/>
      <c r="O110" s="636"/>
      <c r="P110" s="636"/>
      <c r="Q110" s="636"/>
      <c r="R110" s="636"/>
      <c r="S110" s="638"/>
    </row>
    <row r="111" spans="2:19" x14ac:dyDescent="0.2">
      <c r="B111" s="637"/>
      <c r="C111" s="636"/>
      <c r="D111" s="636"/>
      <c r="E111" s="636"/>
      <c r="F111" s="636"/>
      <c r="G111" s="636"/>
      <c r="H111" s="636"/>
      <c r="I111" s="636"/>
      <c r="J111" s="636"/>
      <c r="K111" s="636"/>
      <c r="L111" s="636"/>
      <c r="M111" s="636"/>
      <c r="N111" s="636"/>
      <c r="O111" s="636"/>
      <c r="P111" s="636"/>
      <c r="Q111" s="636"/>
      <c r="R111" s="636"/>
      <c r="S111" s="638"/>
    </row>
    <row r="112" spans="2:19" x14ac:dyDescent="0.2">
      <c r="B112" s="637"/>
      <c r="C112" s="636"/>
      <c r="D112" s="636"/>
      <c r="E112" s="636"/>
      <c r="F112" s="636"/>
      <c r="G112" s="636"/>
      <c r="H112" s="636"/>
      <c r="I112" s="636"/>
      <c r="J112" s="636"/>
      <c r="K112" s="636"/>
      <c r="L112" s="636"/>
      <c r="M112" s="636"/>
      <c r="N112" s="636"/>
      <c r="O112" s="636"/>
      <c r="P112" s="636"/>
      <c r="Q112" s="636"/>
      <c r="R112" s="636"/>
      <c r="S112" s="638"/>
    </row>
    <row r="113" spans="2:19" x14ac:dyDescent="0.2">
      <c r="B113" s="637"/>
      <c r="C113" s="636"/>
      <c r="D113" s="636"/>
      <c r="E113" s="636"/>
      <c r="F113" s="636"/>
      <c r="G113" s="636"/>
      <c r="H113" s="636"/>
      <c r="I113" s="636"/>
      <c r="J113" s="636"/>
      <c r="K113" s="636"/>
      <c r="L113" s="636"/>
      <c r="M113" s="636"/>
      <c r="N113" s="636"/>
      <c r="O113" s="636"/>
      <c r="P113" s="636"/>
      <c r="Q113" s="636"/>
      <c r="R113" s="636"/>
      <c r="S113" s="638"/>
    </row>
    <row r="114" spans="2:19" x14ac:dyDescent="0.2">
      <c r="B114" s="637"/>
      <c r="C114" s="636"/>
      <c r="D114" s="636"/>
      <c r="E114" s="636"/>
      <c r="F114" s="636"/>
      <c r="G114" s="636"/>
      <c r="H114" s="636"/>
      <c r="I114" s="636"/>
      <c r="J114" s="636"/>
      <c r="K114" s="636"/>
      <c r="L114" s="636"/>
      <c r="M114" s="636"/>
      <c r="N114" s="636"/>
      <c r="O114" s="636"/>
      <c r="P114" s="636"/>
      <c r="Q114" s="636"/>
      <c r="R114" s="636"/>
      <c r="S114" s="638"/>
    </row>
    <row r="115" spans="2:19" x14ac:dyDescent="0.2">
      <c r="B115" s="637"/>
      <c r="C115" s="636"/>
      <c r="D115" s="636"/>
      <c r="E115" s="636"/>
      <c r="F115" s="636"/>
      <c r="G115" s="636"/>
      <c r="H115" s="636"/>
      <c r="I115" s="636"/>
      <c r="J115" s="636"/>
      <c r="K115" s="636"/>
      <c r="L115" s="636"/>
      <c r="M115" s="636"/>
      <c r="N115" s="636"/>
      <c r="O115" s="636"/>
      <c r="P115" s="636"/>
      <c r="Q115" s="636"/>
      <c r="R115" s="636"/>
      <c r="S115" s="638"/>
    </row>
    <row r="116" spans="2:19" x14ac:dyDescent="0.2">
      <c r="B116" s="637"/>
      <c r="C116" s="636"/>
      <c r="D116" s="636"/>
      <c r="E116" s="636"/>
      <c r="F116" s="636"/>
      <c r="G116" s="636"/>
      <c r="H116" s="636"/>
      <c r="I116" s="636"/>
      <c r="J116" s="636"/>
      <c r="K116" s="636"/>
      <c r="L116" s="636"/>
      <c r="M116" s="636"/>
      <c r="N116" s="636"/>
      <c r="O116" s="636"/>
      <c r="P116" s="636"/>
      <c r="Q116" s="636"/>
      <c r="R116" s="636"/>
      <c r="S116" s="638"/>
    </row>
    <row r="117" spans="2:19" x14ac:dyDescent="0.2">
      <c r="B117" s="637"/>
      <c r="C117" s="636"/>
      <c r="D117" s="636"/>
      <c r="E117" s="636"/>
      <c r="F117" s="636"/>
      <c r="G117" s="636"/>
      <c r="H117" s="636"/>
      <c r="I117" s="636"/>
      <c r="J117" s="636"/>
      <c r="K117" s="636"/>
      <c r="L117" s="636"/>
      <c r="M117" s="636"/>
      <c r="N117" s="636"/>
      <c r="O117" s="636"/>
      <c r="P117" s="636"/>
      <c r="Q117" s="636"/>
      <c r="R117" s="636"/>
      <c r="S117" s="638"/>
    </row>
    <row r="118" spans="2:19" x14ac:dyDescent="0.2">
      <c r="B118" s="637"/>
      <c r="C118" s="636"/>
      <c r="D118" s="636"/>
      <c r="E118" s="636"/>
      <c r="F118" s="636"/>
      <c r="G118" s="636"/>
      <c r="H118" s="636"/>
      <c r="I118" s="636"/>
      <c r="J118" s="636"/>
      <c r="K118" s="636"/>
      <c r="L118" s="636"/>
      <c r="M118" s="636"/>
      <c r="N118" s="636"/>
      <c r="O118" s="636"/>
      <c r="P118" s="636"/>
      <c r="Q118" s="636"/>
      <c r="R118" s="636"/>
      <c r="S118" s="638"/>
    </row>
    <row r="119" spans="2:19" x14ac:dyDescent="0.2">
      <c r="B119" s="637"/>
      <c r="C119" s="636"/>
      <c r="D119" s="636"/>
      <c r="E119" s="636"/>
      <c r="F119" s="636"/>
      <c r="G119" s="636"/>
      <c r="H119" s="636"/>
      <c r="I119" s="636"/>
      <c r="J119" s="636"/>
      <c r="K119" s="636"/>
      <c r="L119" s="636"/>
      <c r="M119" s="636"/>
      <c r="N119" s="636"/>
      <c r="O119" s="636"/>
      <c r="P119" s="636"/>
      <c r="Q119" s="636"/>
      <c r="R119" s="636"/>
      <c r="S119" s="638"/>
    </row>
    <row r="120" spans="2:19" x14ac:dyDescent="0.2">
      <c r="B120" s="637"/>
      <c r="C120" s="636"/>
      <c r="D120" s="636"/>
      <c r="E120" s="636"/>
      <c r="F120" s="636"/>
      <c r="G120" s="636"/>
      <c r="H120" s="636"/>
      <c r="I120" s="636"/>
      <c r="J120" s="636"/>
      <c r="K120" s="636"/>
      <c r="L120" s="636"/>
      <c r="M120" s="636"/>
      <c r="N120" s="636"/>
      <c r="O120" s="636"/>
      <c r="P120" s="636"/>
      <c r="Q120" s="636"/>
      <c r="R120" s="636"/>
      <c r="S120" s="638"/>
    </row>
    <row r="121" spans="2:19" x14ac:dyDescent="0.2">
      <c r="B121" s="637"/>
      <c r="C121" s="636"/>
      <c r="D121" s="636"/>
      <c r="E121" s="636"/>
      <c r="F121" s="636"/>
      <c r="G121" s="636"/>
      <c r="H121" s="636"/>
      <c r="I121" s="636"/>
      <c r="J121" s="636"/>
      <c r="K121" s="636"/>
      <c r="L121" s="636"/>
      <c r="M121" s="636"/>
      <c r="N121" s="636"/>
      <c r="O121" s="636"/>
      <c r="P121" s="636"/>
      <c r="Q121" s="636"/>
      <c r="R121" s="636"/>
      <c r="S121" s="638"/>
    </row>
    <row r="122" spans="2:19" x14ac:dyDescent="0.2">
      <c r="B122" s="637"/>
      <c r="C122" s="636"/>
      <c r="D122" s="636"/>
      <c r="E122" s="636"/>
      <c r="F122" s="636"/>
      <c r="G122" s="636"/>
      <c r="H122" s="636"/>
      <c r="I122" s="636"/>
      <c r="J122" s="636"/>
      <c r="K122" s="636"/>
      <c r="L122" s="636"/>
      <c r="M122" s="636"/>
      <c r="N122" s="636"/>
      <c r="O122" s="636"/>
      <c r="P122" s="636"/>
      <c r="Q122" s="636"/>
      <c r="R122" s="636"/>
      <c r="S122" s="638"/>
    </row>
    <row r="123" spans="2:19" x14ac:dyDescent="0.2">
      <c r="B123" s="637"/>
      <c r="C123" s="636"/>
      <c r="D123" s="636"/>
      <c r="E123" s="636"/>
      <c r="F123" s="636"/>
      <c r="G123" s="636"/>
      <c r="H123" s="636"/>
      <c r="I123" s="636"/>
      <c r="J123" s="636"/>
      <c r="K123" s="636"/>
      <c r="L123" s="636"/>
      <c r="M123" s="636"/>
      <c r="N123" s="636"/>
      <c r="O123" s="636"/>
      <c r="P123" s="636"/>
      <c r="Q123" s="636"/>
      <c r="R123" s="636"/>
      <c r="S123" s="638"/>
    </row>
    <row r="124" spans="2:19" x14ac:dyDescent="0.2">
      <c r="B124" s="637"/>
      <c r="C124" s="636"/>
      <c r="D124" s="636"/>
      <c r="E124" s="636"/>
      <c r="F124" s="636"/>
      <c r="G124" s="636"/>
      <c r="H124" s="636"/>
      <c r="I124" s="636"/>
      <c r="J124" s="636"/>
      <c r="K124" s="636"/>
      <c r="L124" s="636"/>
      <c r="M124" s="636"/>
      <c r="N124" s="636"/>
      <c r="O124" s="636"/>
      <c r="P124" s="636"/>
      <c r="Q124" s="636"/>
      <c r="R124" s="636"/>
      <c r="S124" s="638"/>
    </row>
    <row r="125" spans="2:19" x14ac:dyDescent="0.2">
      <c r="B125" s="637"/>
      <c r="C125" s="636"/>
      <c r="D125" s="636"/>
      <c r="E125" s="636"/>
      <c r="F125" s="636"/>
      <c r="G125" s="636"/>
      <c r="H125" s="636"/>
      <c r="I125" s="636"/>
      <c r="J125" s="636"/>
      <c r="K125" s="636"/>
      <c r="L125" s="636"/>
      <c r="M125" s="636"/>
      <c r="N125" s="636"/>
      <c r="O125" s="636"/>
      <c r="P125" s="636"/>
      <c r="Q125" s="636"/>
      <c r="R125" s="636"/>
      <c r="S125" s="638"/>
    </row>
    <row r="126" spans="2:19" x14ac:dyDescent="0.2">
      <c r="B126" s="637"/>
      <c r="C126" s="636"/>
      <c r="D126" s="636"/>
      <c r="E126" s="636"/>
      <c r="F126" s="636"/>
      <c r="G126" s="636"/>
      <c r="H126" s="636"/>
      <c r="I126" s="636"/>
      <c r="J126" s="636"/>
      <c r="K126" s="636"/>
      <c r="L126" s="636"/>
      <c r="M126" s="636"/>
      <c r="N126" s="636"/>
      <c r="O126" s="636"/>
      <c r="P126" s="636"/>
      <c r="Q126" s="636"/>
      <c r="R126" s="636"/>
      <c r="S126" s="638"/>
    </row>
    <row r="127" spans="2:19" x14ac:dyDescent="0.2">
      <c r="B127" s="637"/>
      <c r="C127" s="636"/>
      <c r="D127" s="636"/>
      <c r="E127" s="636"/>
      <c r="F127" s="636"/>
      <c r="G127" s="636"/>
      <c r="H127" s="636"/>
      <c r="I127" s="636"/>
      <c r="J127" s="636"/>
      <c r="K127" s="636"/>
      <c r="L127" s="636"/>
      <c r="M127" s="636"/>
      <c r="N127" s="636"/>
      <c r="O127" s="636"/>
      <c r="P127" s="636"/>
      <c r="Q127" s="636"/>
      <c r="R127" s="636"/>
      <c r="S127" s="638"/>
    </row>
    <row r="128" spans="2:19" x14ac:dyDescent="0.2">
      <c r="B128" s="637"/>
      <c r="C128" s="636"/>
      <c r="D128" s="636"/>
      <c r="E128" s="636"/>
      <c r="F128" s="636"/>
      <c r="G128" s="636"/>
      <c r="H128" s="636"/>
      <c r="I128" s="636"/>
      <c r="J128" s="636"/>
      <c r="K128" s="636"/>
      <c r="L128" s="636"/>
      <c r="M128" s="636"/>
      <c r="N128" s="636"/>
      <c r="O128" s="636"/>
      <c r="P128" s="636"/>
      <c r="Q128" s="636"/>
      <c r="R128" s="636"/>
      <c r="S128" s="638"/>
    </row>
    <row r="129" spans="2:19" x14ac:dyDescent="0.2">
      <c r="B129" s="637"/>
      <c r="C129" s="636"/>
      <c r="D129" s="636"/>
      <c r="E129" s="636"/>
      <c r="F129" s="636"/>
      <c r="G129" s="636"/>
      <c r="H129" s="636"/>
      <c r="I129" s="636"/>
      <c r="J129" s="636"/>
      <c r="K129" s="636"/>
      <c r="L129" s="636"/>
      <c r="M129" s="636"/>
      <c r="N129" s="636"/>
      <c r="O129" s="636"/>
      <c r="P129" s="636"/>
      <c r="Q129" s="636"/>
      <c r="R129" s="636"/>
      <c r="S129" s="638"/>
    </row>
    <row r="130" spans="2:19" x14ac:dyDescent="0.2">
      <c r="B130" s="637"/>
      <c r="C130" s="636"/>
      <c r="D130" s="636"/>
      <c r="E130" s="636"/>
      <c r="F130" s="636"/>
      <c r="G130" s="636"/>
      <c r="H130" s="636"/>
      <c r="I130" s="636"/>
      <c r="J130" s="636"/>
      <c r="K130" s="636"/>
      <c r="L130" s="636"/>
      <c r="M130" s="636"/>
      <c r="N130" s="636"/>
      <c r="O130" s="636"/>
      <c r="P130" s="636"/>
      <c r="Q130" s="636"/>
      <c r="R130" s="636"/>
      <c r="S130" s="638"/>
    </row>
    <row r="131" spans="2:19" x14ac:dyDescent="0.2">
      <c r="B131" s="637"/>
      <c r="C131" s="636"/>
      <c r="D131" s="636"/>
      <c r="E131" s="636"/>
      <c r="F131" s="636"/>
      <c r="G131" s="636"/>
      <c r="H131" s="636"/>
      <c r="I131" s="636"/>
      <c r="J131" s="636"/>
      <c r="K131" s="636"/>
      <c r="L131" s="636"/>
      <c r="M131" s="636"/>
      <c r="N131" s="636"/>
      <c r="O131" s="636"/>
      <c r="P131" s="636"/>
      <c r="Q131" s="636"/>
      <c r="R131" s="636"/>
      <c r="S131" s="638"/>
    </row>
    <row r="132" spans="2:19" x14ac:dyDescent="0.2">
      <c r="B132" s="637"/>
      <c r="C132" s="636"/>
      <c r="D132" s="636"/>
      <c r="E132" s="636"/>
      <c r="F132" s="636"/>
      <c r="G132" s="636"/>
      <c r="H132" s="636"/>
      <c r="I132" s="636"/>
      <c r="J132" s="636"/>
      <c r="K132" s="636"/>
      <c r="L132" s="636"/>
      <c r="M132" s="636"/>
      <c r="N132" s="636"/>
      <c r="O132" s="636"/>
      <c r="P132" s="636"/>
      <c r="Q132" s="636"/>
      <c r="R132" s="636"/>
      <c r="S132" s="638"/>
    </row>
    <row r="133" spans="2:19" x14ac:dyDescent="0.2">
      <c r="B133" s="637"/>
      <c r="C133" s="636"/>
      <c r="D133" s="636"/>
      <c r="E133" s="636"/>
      <c r="F133" s="636"/>
      <c r="G133" s="636"/>
      <c r="H133" s="636"/>
      <c r="I133" s="636"/>
      <c r="J133" s="636"/>
      <c r="K133" s="636"/>
      <c r="L133" s="636"/>
      <c r="M133" s="636"/>
      <c r="N133" s="636"/>
      <c r="O133" s="636"/>
      <c r="P133" s="636"/>
      <c r="Q133" s="636"/>
      <c r="R133" s="636"/>
      <c r="S133" s="638"/>
    </row>
    <row r="134" spans="2:19" x14ac:dyDescent="0.2">
      <c r="B134" s="637"/>
      <c r="C134" s="636"/>
      <c r="D134" s="636"/>
      <c r="E134" s="636"/>
      <c r="F134" s="636"/>
      <c r="G134" s="636"/>
      <c r="H134" s="636"/>
      <c r="I134" s="636"/>
      <c r="J134" s="636"/>
      <c r="K134" s="636"/>
      <c r="L134" s="636"/>
      <c r="M134" s="636"/>
      <c r="N134" s="636"/>
      <c r="O134" s="636"/>
      <c r="P134" s="636"/>
      <c r="Q134" s="636"/>
      <c r="R134" s="636"/>
      <c r="S134" s="638"/>
    </row>
    <row r="135" spans="2:19" x14ac:dyDescent="0.2">
      <c r="B135" s="637"/>
      <c r="C135" s="636"/>
      <c r="D135" s="636"/>
      <c r="E135" s="636"/>
      <c r="F135" s="636"/>
      <c r="G135" s="636"/>
      <c r="H135" s="636"/>
      <c r="I135" s="636"/>
      <c r="J135" s="636"/>
      <c r="K135" s="636"/>
      <c r="L135" s="636"/>
      <c r="M135" s="636"/>
      <c r="N135" s="636"/>
      <c r="O135" s="636"/>
      <c r="P135" s="636"/>
      <c r="Q135" s="636"/>
      <c r="R135" s="636"/>
      <c r="S135" s="638"/>
    </row>
    <row r="136" spans="2:19" x14ac:dyDescent="0.2">
      <c r="B136" s="637"/>
      <c r="C136" s="636"/>
      <c r="D136" s="636"/>
      <c r="E136" s="636"/>
      <c r="F136" s="636"/>
      <c r="G136" s="636"/>
      <c r="H136" s="636"/>
      <c r="I136" s="636"/>
      <c r="J136" s="636"/>
      <c r="K136" s="636"/>
      <c r="L136" s="636"/>
      <c r="M136" s="636"/>
      <c r="N136" s="636"/>
      <c r="O136" s="636"/>
      <c r="P136" s="636"/>
      <c r="Q136" s="636"/>
      <c r="R136" s="636"/>
      <c r="S136" s="638"/>
    </row>
    <row r="137" spans="2:19" x14ac:dyDescent="0.2">
      <c r="B137" s="637"/>
      <c r="C137" s="636"/>
      <c r="D137" s="636"/>
      <c r="E137" s="636"/>
      <c r="F137" s="636"/>
      <c r="G137" s="636"/>
      <c r="H137" s="636"/>
      <c r="I137" s="636"/>
      <c r="J137" s="636"/>
      <c r="K137" s="636"/>
      <c r="L137" s="636"/>
      <c r="M137" s="636"/>
      <c r="N137" s="636"/>
      <c r="O137" s="636"/>
      <c r="P137" s="636"/>
      <c r="Q137" s="636"/>
      <c r="R137" s="636"/>
      <c r="S137" s="638"/>
    </row>
    <row r="138" spans="2:19" x14ac:dyDescent="0.2">
      <c r="B138" s="637"/>
      <c r="C138" s="636"/>
      <c r="D138" s="636"/>
      <c r="E138" s="636"/>
      <c r="F138" s="636"/>
      <c r="G138" s="636"/>
      <c r="H138" s="636"/>
      <c r="I138" s="636"/>
      <c r="J138" s="636"/>
      <c r="K138" s="636"/>
      <c r="L138" s="636"/>
      <c r="M138" s="636"/>
      <c r="N138" s="636"/>
      <c r="O138" s="636"/>
      <c r="P138" s="636"/>
      <c r="Q138" s="636"/>
      <c r="R138" s="636"/>
      <c r="S138" s="638"/>
    </row>
    <row r="139" spans="2:19" x14ac:dyDescent="0.2">
      <c r="B139" s="637"/>
      <c r="C139" s="636"/>
      <c r="D139" s="636"/>
      <c r="E139" s="636"/>
      <c r="F139" s="636"/>
      <c r="G139" s="636"/>
      <c r="H139" s="636"/>
      <c r="I139" s="636"/>
      <c r="J139" s="636"/>
      <c r="K139" s="636"/>
      <c r="L139" s="636"/>
      <c r="M139" s="636"/>
      <c r="N139" s="636"/>
      <c r="O139" s="636"/>
      <c r="P139" s="636"/>
      <c r="Q139" s="636"/>
      <c r="R139" s="636"/>
      <c r="S139" s="638"/>
    </row>
    <row r="140" spans="2:19" x14ac:dyDescent="0.2">
      <c r="B140" s="637"/>
      <c r="C140" s="636"/>
      <c r="D140" s="636"/>
      <c r="E140" s="636"/>
      <c r="F140" s="636"/>
      <c r="G140" s="636"/>
      <c r="H140" s="636"/>
      <c r="I140" s="636"/>
      <c r="J140" s="636"/>
      <c r="K140" s="636"/>
      <c r="L140" s="636"/>
      <c r="M140" s="636"/>
      <c r="N140" s="636"/>
      <c r="O140" s="636"/>
      <c r="P140" s="636"/>
      <c r="Q140" s="636"/>
      <c r="R140" s="636"/>
      <c r="S140" s="638"/>
    </row>
    <row r="141" spans="2:19" x14ac:dyDescent="0.2">
      <c r="B141" s="637"/>
      <c r="C141" s="636"/>
      <c r="D141" s="636"/>
      <c r="E141" s="636"/>
      <c r="F141" s="636"/>
      <c r="G141" s="636"/>
      <c r="H141" s="636"/>
      <c r="I141" s="636"/>
      <c r="J141" s="636"/>
      <c r="K141" s="636"/>
      <c r="L141" s="636"/>
      <c r="M141" s="636"/>
      <c r="N141" s="636"/>
      <c r="O141" s="636"/>
      <c r="P141" s="636"/>
      <c r="Q141" s="636"/>
      <c r="R141" s="636"/>
      <c r="S141" s="638"/>
    </row>
    <row r="142" spans="2:19" x14ac:dyDescent="0.2">
      <c r="B142" s="637"/>
      <c r="C142" s="636"/>
      <c r="D142" s="636"/>
      <c r="E142" s="636"/>
      <c r="F142" s="636"/>
      <c r="G142" s="636"/>
      <c r="H142" s="636"/>
      <c r="I142" s="636"/>
      <c r="J142" s="636"/>
      <c r="K142" s="636"/>
      <c r="L142" s="636"/>
      <c r="M142" s="636"/>
      <c r="N142" s="636"/>
      <c r="O142" s="636"/>
      <c r="P142" s="636"/>
      <c r="Q142" s="636"/>
      <c r="R142" s="636"/>
      <c r="S142" s="638"/>
    </row>
    <row r="143" spans="2:19" x14ac:dyDescent="0.2">
      <c r="B143" s="637"/>
      <c r="C143" s="636"/>
      <c r="D143" s="636"/>
      <c r="E143" s="636"/>
      <c r="F143" s="636"/>
      <c r="G143" s="636"/>
      <c r="H143" s="636"/>
      <c r="I143" s="636"/>
      <c r="J143" s="636"/>
      <c r="K143" s="636"/>
      <c r="L143" s="636"/>
      <c r="M143" s="636"/>
      <c r="N143" s="636"/>
      <c r="O143" s="636"/>
      <c r="P143" s="636"/>
      <c r="Q143" s="636"/>
      <c r="R143" s="636"/>
      <c r="S143" s="638"/>
    </row>
    <row r="144" spans="2:19" x14ac:dyDescent="0.2">
      <c r="B144" s="637"/>
      <c r="C144" s="636"/>
      <c r="D144" s="636"/>
      <c r="E144" s="636"/>
      <c r="F144" s="636"/>
      <c r="G144" s="636"/>
      <c r="H144" s="636"/>
      <c r="I144" s="636"/>
      <c r="J144" s="636"/>
      <c r="K144" s="636"/>
      <c r="L144" s="636"/>
      <c r="M144" s="636"/>
      <c r="N144" s="636"/>
      <c r="O144" s="636"/>
      <c r="P144" s="636"/>
      <c r="Q144" s="636"/>
      <c r="R144" s="636"/>
      <c r="S144" s="638"/>
    </row>
    <row r="145" spans="2:19" x14ac:dyDescent="0.2">
      <c r="B145" s="637"/>
      <c r="C145" s="636"/>
      <c r="D145" s="636"/>
      <c r="E145" s="636"/>
      <c r="F145" s="636"/>
      <c r="G145" s="636"/>
      <c r="H145" s="636"/>
      <c r="I145" s="636"/>
      <c r="J145" s="636"/>
      <c r="K145" s="636"/>
      <c r="L145" s="636"/>
      <c r="M145" s="636"/>
      <c r="N145" s="636"/>
      <c r="O145" s="636"/>
      <c r="P145" s="636"/>
      <c r="Q145" s="636"/>
      <c r="R145" s="636"/>
      <c r="S145" s="638"/>
    </row>
    <row r="146" spans="2:19" x14ac:dyDescent="0.2">
      <c r="B146" s="637"/>
      <c r="C146" s="636"/>
      <c r="D146" s="636"/>
      <c r="E146" s="636"/>
      <c r="F146" s="636"/>
      <c r="G146" s="636"/>
      <c r="H146" s="636"/>
      <c r="I146" s="636"/>
      <c r="J146" s="636"/>
      <c r="K146" s="636"/>
      <c r="L146" s="636"/>
      <c r="M146" s="636"/>
      <c r="N146" s="636"/>
      <c r="O146" s="636"/>
      <c r="P146" s="636"/>
      <c r="Q146" s="636"/>
      <c r="R146" s="636"/>
      <c r="S146" s="638"/>
    </row>
    <row r="147" spans="2:19" x14ac:dyDescent="0.2">
      <c r="B147" s="637"/>
      <c r="C147" s="636"/>
      <c r="D147" s="636"/>
      <c r="E147" s="636"/>
      <c r="F147" s="636"/>
      <c r="G147" s="636"/>
      <c r="H147" s="636"/>
      <c r="I147" s="636"/>
      <c r="J147" s="636"/>
      <c r="K147" s="636"/>
      <c r="L147" s="636"/>
      <c r="M147" s="636"/>
      <c r="N147" s="636"/>
      <c r="O147" s="636"/>
      <c r="P147" s="636"/>
      <c r="Q147" s="636"/>
      <c r="R147" s="636"/>
      <c r="S147" s="638"/>
    </row>
    <row r="148" spans="2:19" x14ac:dyDescent="0.2">
      <c r="B148" s="637"/>
      <c r="C148" s="636"/>
      <c r="D148" s="636"/>
      <c r="E148" s="636"/>
      <c r="F148" s="636"/>
      <c r="G148" s="636"/>
      <c r="H148" s="636"/>
      <c r="I148" s="636"/>
      <c r="J148" s="636"/>
      <c r="K148" s="636"/>
      <c r="L148" s="636"/>
      <c r="M148" s="636"/>
      <c r="N148" s="636"/>
      <c r="O148" s="636"/>
      <c r="P148" s="636"/>
      <c r="Q148" s="636"/>
      <c r="R148" s="636"/>
      <c r="S148" s="638"/>
    </row>
    <row r="149" spans="2:19" x14ac:dyDescent="0.2">
      <c r="B149" s="637"/>
      <c r="C149" s="636"/>
      <c r="D149" s="636"/>
      <c r="E149" s="636"/>
      <c r="F149" s="636"/>
      <c r="G149" s="636"/>
      <c r="H149" s="636"/>
      <c r="I149" s="636"/>
      <c r="J149" s="636"/>
      <c r="K149" s="636"/>
      <c r="L149" s="636"/>
      <c r="M149" s="636"/>
      <c r="N149" s="636"/>
      <c r="O149" s="636"/>
      <c r="P149" s="636"/>
      <c r="Q149" s="636"/>
      <c r="R149" s="636"/>
      <c r="S149" s="638"/>
    </row>
    <row r="150" spans="2:19" x14ac:dyDescent="0.2">
      <c r="B150" s="637"/>
      <c r="C150" s="636"/>
      <c r="D150" s="636"/>
      <c r="E150" s="636"/>
      <c r="F150" s="636"/>
      <c r="G150" s="636"/>
      <c r="H150" s="636"/>
      <c r="I150" s="636"/>
      <c r="J150" s="636"/>
      <c r="K150" s="636"/>
      <c r="L150" s="636"/>
      <c r="M150" s="636"/>
      <c r="N150" s="636"/>
      <c r="O150" s="636"/>
      <c r="P150" s="636"/>
      <c r="Q150" s="636"/>
      <c r="R150" s="636"/>
      <c r="S150" s="638"/>
    </row>
    <row r="151" spans="2:19" x14ac:dyDescent="0.2">
      <c r="B151" s="637"/>
      <c r="C151" s="636"/>
      <c r="D151" s="636"/>
      <c r="E151" s="636"/>
      <c r="F151" s="636"/>
      <c r="G151" s="636"/>
      <c r="H151" s="636"/>
      <c r="I151" s="636"/>
      <c r="J151" s="636"/>
      <c r="K151" s="636"/>
      <c r="L151" s="636"/>
      <c r="M151" s="636"/>
      <c r="N151" s="636"/>
      <c r="O151" s="636"/>
      <c r="P151" s="636"/>
      <c r="Q151" s="636"/>
      <c r="R151" s="636"/>
      <c r="S151" s="638"/>
    </row>
    <row r="152" spans="2:19" x14ac:dyDescent="0.2">
      <c r="B152" s="637"/>
      <c r="C152" s="636"/>
      <c r="D152" s="636"/>
      <c r="E152" s="636"/>
      <c r="F152" s="636"/>
      <c r="G152" s="636"/>
      <c r="H152" s="636"/>
      <c r="I152" s="636"/>
      <c r="J152" s="636"/>
      <c r="K152" s="636"/>
      <c r="L152" s="636"/>
      <c r="M152" s="636"/>
      <c r="N152" s="636"/>
      <c r="O152" s="636"/>
      <c r="P152" s="636"/>
      <c r="Q152" s="636"/>
      <c r="R152" s="636"/>
      <c r="S152" s="638"/>
    </row>
    <row r="153" spans="2:19" x14ac:dyDescent="0.2">
      <c r="B153" s="637"/>
      <c r="C153" s="636"/>
      <c r="D153" s="636"/>
      <c r="E153" s="636"/>
      <c r="F153" s="636"/>
      <c r="G153" s="636"/>
      <c r="H153" s="636"/>
      <c r="I153" s="636"/>
      <c r="J153" s="636"/>
      <c r="K153" s="636"/>
      <c r="L153" s="636"/>
      <c r="M153" s="636"/>
      <c r="N153" s="636"/>
      <c r="O153" s="636"/>
      <c r="P153" s="636"/>
      <c r="Q153" s="636"/>
      <c r="R153" s="636"/>
      <c r="S153" s="638"/>
    </row>
    <row r="154" spans="2:19" x14ac:dyDescent="0.2">
      <c r="B154" s="637"/>
      <c r="C154" s="636"/>
      <c r="D154" s="636"/>
      <c r="E154" s="636"/>
      <c r="F154" s="636"/>
      <c r="G154" s="636"/>
      <c r="H154" s="636"/>
      <c r="I154" s="636"/>
      <c r="J154" s="636"/>
      <c r="K154" s="636"/>
      <c r="L154" s="636"/>
      <c r="M154" s="636"/>
      <c r="N154" s="636"/>
      <c r="O154" s="636"/>
      <c r="P154" s="636"/>
      <c r="Q154" s="636"/>
      <c r="R154" s="636"/>
      <c r="S154" s="638"/>
    </row>
    <row r="155" spans="2:19" x14ac:dyDescent="0.2">
      <c r="B155" s="637"/>
      <c r="C155" s="636"/>
      <c r="D155" s="636"/>
      <c r="E155" s="636"/>
      <c r="F155" s="636"/>
      <c r="G155" s="636"/>
      <c r="H155" s="636"/>
      <c r="I155" s="636"/>
      <c r="J155" s="636"/>
      <c r="K155" s="636"/>
      <c r="L155" s="636"/>
      <c r="M155" s="636"/>
      <c r="N155" s="636"/>
      <c r="O155" s="636"/>
      <c r="P155" s="636"/>
      <c r="Q155" s="636"/>
      <c r="R155" s="636"/>
      <c r="S155" s="638"/>
    </row>
    <row r="156" spans="2:19" x14ac:dyDescent="0.2">
      <c r="B156" s="637"/>
      <c r="C156" s="636"/>
      <c r="D156" s="636"/>
      <c r="E156" s="636"/>
      <c r="F156" s="636"/>
      <c r="G156" s="636"/>
      <c r="H156" s="636"/>
      <c r="I156" s="636"/>
      <c r="J156" s="636"/>
      <c r="K156" s="636"/>
      <c r="L156" s="636"/>
      <c r="M156" s="636"/>
      <c r="N156" s="636"/>
      <c r="O156" s="636"/>
      <c r="P156" s="636"/>
      <c r="Q156" s="636"/>
      <c r="R156" s="636"/>
      <c r="S156" s="638"/>
    </row>
    <row r="157" spans="2:19" x14ac:dyDescent="0.2">
      <c r="B157" s="637"/>
      <c r="C157" s="636"/>
      <c r="D157" s="636"/>
      <c r="E157" s="636"/>
      <c r="F157" s="636"/>
      <c r="G157" s="636"/>
      <c r="H157" s="636"/>
      <c r="I157" s="636"/>
      <c r="J157" s="636"/>
      <c r="K157" s="636"/>
      <c r="L157" s="636"/>
      <c r="M157" s="636"/>
      <c r="N157" s="636"/>
      <c r="O157" s="636"/>
      <c r="P157" s="636"/>
      <c r="Q157" s="636"/>
      <c r="R157" s="636"/>
      <c r="S157" s="638"/>
    </row>
    <row r="158" spans="2:19" x14ac:dyDescent="0.2">
      <c r="B158" s="637"/>
      <c r="C158" s="636"/>
      <c r="D158" s="636"/>
      <c r="E158" s="636"/>
      <c r="F158" s="636"/>
      <c r="G158" s="636"/>
      <c r="H158" s="636"/>
      <c r="I158" s="636"/>
      <c r="J158" s="636"/>
      <c r="K158" s="636"/>
      <c r="L158" s="636"/>
      <c r="M158" s="636"/>
      <c r="N158" s="636"/>
      <c r="O158" s="636"/>
      <c r="P158" s="636"/>
      <c r="Q158" s="636"/>
      <c r="R158" s="636"/>
      <c r="S158" s="638"/>
    </row>
    <row r="159" spans="2:19" x14ac:dyDescent="0.2">
      <c r="B159" s="637"/>
      <c r="C159" s="636"/>
      <c r="D159" s="636"/>
      <c r="E159" s="636"/>
      <c r="F159" s="636"/>
      <c r="G159" s="636"/>
      <c r="H159" s="636"/>
      <c r="I159" s="636"/>
      <c r="J159" s="636"/>
      <c r="K159" s="636"/>
      <c r="L159" s="636"/>
      <c r="M159" s="636"/>
      <c r="N159" s="636"/>
      <c r="O159" s="636"/>
      <c r="P159" s="636"/>
      <c r="Q159" s="636"/>
      <c r="R159" s="636"/>
      <c r="S159" s="638"/>
    </row>
    <row r="160" spans="2:19" x14ac:dyDescent="0.2">
      <c r="B160" s="637"/>
      <c r="C160" s="636"/>
      <c r="D160" s="636"/>
      <c r="E160" s="636"/>
      <c r="F160" s="636"/>
      <c r="G160" s="636"/>
      <c r="H160" s="636"/>
      <c r="I160" s="636"/>
      <c r="J160" s="636"/>
      <c r="K160" s="636"/>
      <c r="L160" s="636"/>
      <c r="M160" s="636"/>
      <c r="N160" s="636"/>
      <c r="O160" s="636"/>
      <c r="P160" s="636"/>
      <c r="Q160" s="636"/>
      <c r="R160" s="636"/>
      <c r="S160" s="638"/>
    </row>
    <row r="161" spans="2:19" x14ac:dyDescent="0.2">
      <c r="B161" s="637"/>
      <c r="C161" s="636"/>
      <c r="D161" s="636"/>
      <c r="E161" s="636"/>
      <c r="F161" s="636"/>
      <c r="G161" s="636"/>
      <c r="H161" s="636"/>
      <c r="I161" s="636"/>
      <c r="J161" s="636"/>
      <c r="K161" s="636"/>
      <c r="L161" s="636"/>
      <c r="M161" s="636"/>
      <c r="N161" s="636"/>
      <c r="O161" s="636"/>
      <c r="P161" s="636"/>
      <c r="Q161" s="636"/>
      <c r="R161" s="636"/>
      <c r="S161" s="638"/>
    </row>
    <row r="162" spans="2:19" x14ac:dyDescent="0.2">
      <c r="B162" s="637"/>
      <c r="C162" s="636"/>
      <c r="D162" s="636"/>
      <c r="E162" s="636"/>
      <c r="F162" s="636"/>
      <c r="G162" s="636"/>
      <c r="H162" s="636"/>
      <c r="I162" s="636"/>
      <c r="J162" s="636"/>
      <c r="K162" s="636"/>
      <c r="L162" s="636"/>
      <c r="M162" s="636"/>
      <c r="N162" s="636"/>
      <c r="O162" s="636"/>
      <c r="P162" s="636"/>
      <c r="Q162" s="636"/>
      <c r="R162" s="636"/>
      <c r="S162" s="638"/>
    </row>
    <row r="163" spans="2:19" x14ac:dyDescent="0.2">
      <c r="B163" s="637"/>
      <c r="C163" s="636"/>
      <c r="D163" s="636"/>
      <c r="E163" s="636"/>
      <c r="F163" s="636"/>
      <c r="G163" s="636"/>
      <c r="H163" s="636"/>
      <c r="I163" s="636"/>
      <c r="J163" s="636"/>
      <c r="K163" s="636"/>
      <c r="L163" s="636"/>
      <c r="M163" s="636"/>
      <c r="N163" s="636"/>
      <c r="O163" s="636"/>
      <c r="P163" s="636"/>
      <c r="Q163" s="636"/>
      <c r="R163" s="636"/>
      <c r="S163" s="638"/>
    </row>
    <row r="164" spans="2:19" x14ac:dyDescent="0.2">
      <c r="B164" s="637"/>
      <c r="C164" s="636"/>
      <c r="D164" s="636"/>
      <c r="E164" s="636"/>
      <c r="F164" s="636"/>
      <c r="G164" s="636"/>
      <c r="H164" s="636"/>
      <c r="I164" s="636"/>
      <c r="J164" s="636"/>
      <c r="K164" s="636"/>
      <c r="L164" s="636"/>
      <c r="M164" s="636"/>
      <c r="N164" s="636"/>
      <c r="O164" s="636"/>
      <c r="P164" s="636"/>
      <c r="Q164" s="636"/>
      <c r="R164" s="636"/>
      <c r="S164" s="638"/>
    </row>
    <row r="165" spans="2:19" x14ac:dyDescent="0.2">
      <c r="B165" s="637"/>
      <c r="C165" s="636"/>
      <c r="D165" s="636"/>
      <c r="E165" s="636"/>
      <c r="F165" s="636"/>
      <c r="G165" s="636"/>
      <c r="H165" s="636"/>
      <c r="I165" s="636"/>
      <c r="J165" s="636"/>
      <c r="K165" s="636"/>
      <c r="L165" s="636"/>
      <c r="M165" s="636"/>
      <c r="N165" s="636"/>
      <c r="O165" s="636"/>
      <c r="P165" s="636"/>
      <c r="Q165" s="636"/>
      <c r="R165" s="636"/>
      <c r="S165" s="638"/>
    </row>
    <row r="166" spans="2:19" x14ac:dyDescent="0.2">
      <c r="B166" s="637"/>
      <c r="C166" s="636"/>
      <c r="D166" s="636"/>
      <c r="E166" s="636"/>
      <c r="F166" s="636"/>
      <c r="G166" s="636"/>
      <c r="H166" s="636"/>
      <c r="I166" s="636"/>
      <c r="J166" s="636"/>
      <c r="K166" s="636"/>
      <c r="L166" s="636"/>
      <c r="M166" s="636"/>
      <c r="N166" s="636"/>
      <c r="O166" s="636"/>
      <c r="P166" s="636"/>
      <c r="Q166" s="636"/>
      <c r="R166" s="636"/>
      <c r="S166" s="638"/>
    </row>
    <row r="167" spans="2:19" x14ac:dyDescent="0.2">
      <c r="B167" s="637"/>
      <c r="C167" s="636"/>
      <c r="D167" s="636"/>
      <c r="E167" s="636"/>
      <c r="F167" s="636"/>
      <c r="G167" s="636"/>
      <c r="H167" s="636"/>
      <c r="I167" s="636"/>
      <c r="J167" s="636"/>
      <c r="K167" s="636"/>
      <c r="L167" s="636"/>
      <c r="M167" s="636"/>
      <c r="N167" s="636"/>
      <c r="O167" s="636"/>
      <c r="P167" s="636"/>
      <c r="Q167" s="636"/>
      <c r="R167" s="636"/>
      <c r="S167" s="638"/>
    </row>
    <row r="168" spans="2:19" x14ac:dyDescent="0.2">
      <c r="B168" s="637"/>
      <c r="C168" s="636"/>
      <c r="D168" s="636"/>
      <c r="E168" s="636"/>
      <c r="F168" s="636"/>
      <c r="G168" s="636"/>
      <c r="H168" s="636"/>
      <c r="I168" s="636"/>
      <c r="J168" s="636"/>
      <c r="K168" s="636"/>
      <c r="L168" s="636"/>
      <c r="M168" s="636"/>
      <c r="N168" s="636"/>
      <c r="O168" s="636"/>
      <c r="P168" s="636"/>
      <c r="Q168" s="636"/>
      <c r="R168" s="636"/>
      <c r="S168" s="638"/>
    </row>
    <row r="169" spans="2:19" x14ac:dyDescent="0.2">
      <c r="B169" s="637"/>
      <c r="C169" s="636"/>
      <c r="D169" s="636"/>
      <c r="E169" s="636"/>
      <c r="F169" s="636"/>
      <c r="G169" s="636"/>
      <c r="H169" s="636"/>
      <c r="I169" s="636"/>
      <c r="J169" s="636"/>
      <c r="K169" s="636"/>
      <c r="L169" s="636"/>
      <c r="M169" s="636"/>
      <c r="N169" s="636"/>
      <c r="O169" s="636"/>
      <c r="P169" s="636"/>
      <c r="Q169" s="636"/>
      <c r="R169" s="636"/>
      <c r="S169" s="638"/>
    </row>
    <row r="170" spans="2:19" x14ac:dyDescent="0.2">
      <c r="B170" s="637"/>
      <c r="C170" s="636"/>
      <c r="D170" s="636"/>
      <c r="E170" s="636"/>
      <c r="F170" s="636"/>
      <c r="G170" s="636"/>
      <c r="H170" s="636"/>
      <c r="I170" s="636"/>
      <c r="J170" s="636"/>
      <c r="K170" s="636"/>
      <c r="L170" s="636"/>
      <c r="M170" s="636"/>
      <c r="N170" s="636"/>
      <c r="O170" s="636"/>
      <c r="P170" s="636"/>
      <c r="Q170" s="636"/>
      <c r="R170" s="636"/>
      <c r="S170" s="638"/>
    </row>
    <row r="171" spans="2:19" x14ac:dyDescent="0.2">
      <c r="B171" s="637"/>
      <c r="C171" s="636"/>
      <c r="D171" s="636"/>
      <c r="E171" s="636"/>
      <c r="F171" s="636"/>
      <c r="G171" s="636"/>
      <c r="H171" s="636"/>
      <c r="I171" s="636"/>
      <c r="J171" s="636"/>
      <c r="K171" s="636"/>
      <c r="L171" s="636"/>
      <c r="M171" s="636"/>
      <c r="N171" s="636"/>
      <c r="O171" s="636"/>
      <c r="P171" s="636"/>
      <c r="Q171" s="636"/>
      <c r="R171" s="636"/>
      <c r="S171" s="638"/>
    </row>
    <row r="172" spans="2:19" x14ac:dyDescent="0.2">
      <c r="B172" s="637"/>
      <c r="C172" s="636"/>
      <c r="D172" s="636"/>
      <c r="E172" s="636"/>
      <c r="F172" s="636"/>
      <c r="G172" s="636"/>
      <c r="H172" s="636"/>
      <c r="I172" s="636"/>
      <c r="J172" s="636"/>
      <c r="K172" s="636"/>
      <c r="L172" s="636"/>
      <c r="M172" s="636"/>
      <c r="N172" s="636"/>
      <c r="O172" s="636"/>
      <c r="P172" s="636"/>
      <c r="Q172" s="636"/>
      <c r="R172" s="636"/>
      <c r="S172" s="638"/>
    </row>
    <row r="173" spans="2:19" x14ac:dyDescent="0.2">
      <c r="B173" s="637"/>
      <c r="C173" s="636"/>
      <c r="D173" s="636"/>
      <c r="E173" s="636"/>
      <c r="F173" s="636"/>
      <c r="G173" s="636"/>
      <c r="H173" s="636"/>
      <c r="I173" s="636"/>
      <c r="J173" s="636"/>
      <c r="K173" s="636"/>
      <c r="L173" s="636"/>
      <c r="M173" s="636"/>
      <c r="N173" s="636"/>
      <c r="O173" s="636"/>
      <c r="P173" s="636"/>
      <c r="Q173" s="636"/>
      <c r="R173" s="636"/>
      <c r="S173" s="638"/>
    </row>
    <row r="174" spans="2:19" x14ac:dyDescent="0.2">
      <c r="B174" s="637"/>
      <c r="C174" s="636"/>
      <c r="D174" s="636"/>
      <c r="E174" s="636"/>
      <c r="F174" s="636"/>
      <c r="G174" s="636"/>
      <c r="H174" s="636"/>
      <c r="I174" s="636"/>
      <c r="J174" s="636"/>
      <c r="K174" s="636"/>
      <c r="L174" s="636"/>
      <c r="M174" s="636"/>
      <c r="N174" s="636"/>
      <c r="O174" s="636"/>
      <c r="P174" s="636"/>
      <c r="Q174" s="636"/>
      <c r="R174" s="636"/>
      <c r="S174" s="638"/>
    </row>
    <row r="175" spans="2:19" x14ac:dyDescent="0.2">
      <c r="B175" s="637"/>
      <c r="C175" s="636"/>
      <c r="D175" s="636"/>
      <c r="E175" s="636"/>
      <c r="F175" s="636"/>
      <c r="G175" s="636"/>
      <c r="H175" s="636"/>
      <c r="I175" s="636"/>
      <c r="J175" s="636"/>
      <c r="K175" s="636"/>
      <c r="L175" s="636"/>
      <c r="M175" s="636"/>
      <c r="N175" s="636"/>
      <c r="O175" s="636"/>
      <c r="P175" s="636"/>
      <c r="Q175" s="636"/>
      <c r="R175" s="636"/>
      <c r="S175" s="638"/>
    </row>
    <row r="176" spans="2:19" x14ac:dyDescent="0.2">
      <c r="B176" s="637"/>
      <c r="C176" s="636"/>
      <c r="D176" s="636"/>
      <c r="E176" s="636"/>
      <c r="F176" s="636"/>
      <c r="G176" s="636"/>
      <c r="H176" s="636"/>
      <c r="I176" s="636"/>
      <c r="J176" s="636"/>
      <c r="K176" s="636"/>
      <c r="L176" s="636"/>
      <c r="M176" s="636"/>
      <c r="N176" s="636"/>
      <c r="O176" s="636"/>
      <c r="P176" s="636"/>
      <c r="Q176" s="636"/>
      <c r="R176" s="636"/>
      <c r="S176" s="638"/>
    </row>
    <row r="177" spans="2:19" x14ac:dyDescent="0.2">
      <c r="B177" s="637"/>
      <c r="C177" s="636"/>
      <c r="D177" s="636"/>
      <c r="E177" s="636"/>
      <c r="F177" s="636"/>
      <c r="G177" s="636"/>
      <c r="H177" s="636"/>
      <c r="I177" s="636"/>
      <c r="J177" s="636"/>
      <c r="K177" s="636"/>
      <c r="L177" s="636"/>
      <c r="M177" s="636"/>
      <c r="N177" s="636"/>
      <c r="O177" s="636"/>
      <c r="P177" s="636"/>
      <c r="Q177" s="636"/>
      <c r="R177" s="636"/>
      <c r="S177" s="638"/>
    </row>
    <row r="178" spans="2:19" x14ac:dyDescent="0.2">
      <c r="B178" s="637"/>
      <c r="C178" s="636"/>
      <c r="D178" s="636"/>
      <c r="E178" s="636"/>
      <c r="F178" s="636"/>
      <c r="G178" s="636"/>
      <c r="H178" s="636"/>
      <c r="I178" s="636"/>
      <c r="J178" s="636"/>
      <c r="K178" s="636"/>
      <c r="L178" s="636"/>
      <c r="M178" s="636"/>
      <c r="N178" s="636"/>
      <c r="O178" s="636"/>
      <c r="P178" s="636"/>
      <c r="Q178" s="636"/>
      <c r="R178" s="636"/>
      <c r="S178" s="638"/>
    </row>
    <row r="179" spans="2:19" x14ac:dyDescent="0.2">
      <c r="B179" s="637"/>
      <c r="C179" s="636"/>
      <c r="D179" s="636"/>
      <c r="E179" s="636"/>
      <c r="F179" s="636"/>
      <c r="G179" s="636"/>
      <c r="H179" s="636"/>
      <c r="I179" s="636"/>
      <c r="J179" s="636"/>
      <c r="K179" s="636"/>
      <c r="L179" s="636"/>
      <c r="M179" s="636"/>
      <c r="N179" s="636"/>
      <c r="O179" s="636"/>
      <c r="P179" s="636"/>
      <c r="Q179" s="636"/>
      <c r="R179" s="636"/>
      <c r="S179" s="638"/>
    </row>
    <row r="180" spans="2:19" x14ac:dyDescent="0.2">
      <c r="B180" s="637"/>
      <c r="C180" s="636"/>
      <c r="D180" s="636"/>
      <c r="E180" s="636"/>
      <c r="F180" s="636"/>
      <c r="G180" s="636"/>
      <c r="H180" s="636"/>
      <c r="I180" s="636"/>
      <c r="J180" s="636"/>
      <c r="K180" s="636"/>
      <c r="L180" s="636"/>
      <c r="M180" s="636"/>
      <c r="N180" s="636"/>
      <c r="O180" s="636"/>
      <c r="P180" s="636"/>
      <c r="Q180" s="636"/>
      <c r="R180" s="636"/>
      <c r="S180" s="638"/>
    </row>
    <row r="181" spans="2:19" x14ac:dyDescent="0.2">
      <c r="B181" s="637"/>
      <c r="C181" s="636"/>
      <c r="D181" s="636"/>
      <c r="E181" s="636"/>
      <c r="F181" s="636"/>
      <c r="G181" s="636"/>
      <c r="H181" s="636"/>
      <c r="I181" s="636"/>
      <c r="J181" s="636"/>
      <c r="K181" s="636"/>
      <c r="L181" s="636"/>
      <c r="M181" s="636"/>
      <c r="N181" s="636"/>
      <c r="O181" s="636"/>
      <c r="P181" s="636"/>
      <c r="Q181" s="636"/>
      <c r="R181" s="636"/>
      <c r="S181" s="638"/>
    </row>
    <row r="182" spans="2:19" x14ac:dyDescent="0.2">
      <c r="B182" s="637"/>
      <c r="C182" s="636"/>
      <c r="D182" s="636"/>
      <c r="E182" s="636"/>
      <c r="F182" s="636"/>
      <c r="G182" s="636"/>
      <c r="H182" s="636"/>
      <c r="I182" s="636"/>
      <c r="J182" s="636"/>
      <c r="K182" s="636"/>
      <c r="L182" s="636"/>
      <c r="M182" s="636"/>
      <c r="N182" s="636"/>
      <c r="O182" s="636"/>
      <c r="P182" s="636"/>
      <c r="Q182" s="636"/>
      <c r="R182" s="636"/>
      <c r="S182" s="638"/>
    </row>
    <row r="183" spans="2:19" x14ac:dyDescent="0.2">
      <c r="B183" s="637"/>
      <c r="C183" s="636"/>
      <c r="D183" s="636"/>
      <c r="E183" s="636"/>
      <c r="F183" s="636"/>
      <c r="G183" s="636"/>
      <c r="H183" s="636"/>
      <c r="I183" s="636"/>
      <c r="J183" s="636"/>
      <c r="K183" s="636"/>
      <c r="L183" s="636"/>
      <c r="M183" s="636"/>
      <c r="N183" s="636"/>
      <c r="O183" s="636"/>
      <c r="P183" s="636"/>
      <c r="Q183" s="636"/>
      <c r="R183" s="636"/>
      <c r="S183" s="638"/>
    </row>
    <row r="184" spans="2:19" x14ac:dyDescent="0.2">
      <c r="B184" s="637"/>
      <c r="C184" s="636"/>
      <c r="D184" s="636"/>
      <c r="E184" s="636"/>
      <c r="F184" s="636"/>
      <c r="G184" s="636"/>
      <c r="H184" s="636"/>
      <c r="I184" s="636"/>
      <c r="J184" s="636"/>
      <c r="K184" s="636"/>
      <c r="L184" s="636"/>
      <c r="M184" s="636"/>
      <c r="N184" s="636"/>
      <c r="O184" s="636"/>
      <c r="P184" s="636"/>
      <c r="Q184" s="636"/>
      <c r="R184" s="636"/>
      <c r="S184" s="638"/>
    </row>
    <row r="185" spans="2:19" x14ac:dyDescent="0.2">
      <c r="B185" s="637"/>
      <c r="C185" s="636"/>
      <c r="D185" s="636"/>
      <c r="E185" s="636"/>
      <c r="F185" s="636"/>
      <c r="G185" s="636"/>
      <c r="H185" s="636"/>
      <c r="I185" s="636"/>
      <c r="J185" s="636"/>
      <c r="K185" s="636"/>
      <c r="L185" s="636"/>
      <c r="M185" s="636"/>
      <c r="N185" s="636"/>
      <c r="O185" s="636"/>
      <c r="P185" s="636"/>
      <c r="Q185" s="636"/>
      <c r="R185" s="636"/>
      <c r="S185" s="638"/>
    </row>
    <row r="186" spans="2:19" x14ac:dyDescent="0.2">
      <c r="B186" s="637"/>
      <c r="C186" s="636"/>
      <c r="D186" s="636"/>
      <c r="E186" s="636"/>
      <c r="F186" s="636"/>
      <c r="G186" s="636"/>
      <c r="H186" s="636"/>
      <c r="I186" s="636"/>
      <c r="J186" s="636"/>
      <c r="K186" s="636"/>
      <c r="L186" s="636"/>
      <c r="M186" s="636"/>
      <c r="N186" s="636"/>
      <c r="O186" s="636"/>
      <c r="P186" s="636"/>
      <c r="Q186" s="636"/>
      <c r="R186" s="636"/>
      <c r="S186" s="638"/>
    </row>
    <row r="187" spans="2:19" x14ac:dyDescent="0.2">
      <c r="B187" s="637"/>
      <c r="C187" s="636"/>
      <c r="D187" s="636"/>
      <c r="E187" s="636"/>
      <c r="F187" s="636"/>
      <c r="G187" s="636"/>
      <c r="H187" s="636"/>
      <c r="I187" s="636"/>
      <c r="J187" s="636"/>
      <c r="K187" s="636"/>
      <c r="L187" s="636"/>
      <c r="M187" s="636"/>
      <c r="N187" s="636"/>
      <c r="O187" s="636"/>
      <c r="P187" s="636"/>
      <c r="Q187" s="636"/>
      <c r="R187" s="636"/>
      <c r="S187" s="638"/>
    </row>
    <row r="188" spans="2:19" x14ac:dyDescent="0.2">
      <c r="B188" s="637"/>
      <c r="C188" s="636"/>
      <c r="D188" s="636"/>
      <c r="E188" s="636"/>
      <c r="F188" s="636"/>
      <c r="G188" s="636"/>
      <c r="H188" s="636"/>
      <c r="I188" s="636"/>
      <c r="J188" s="636"/>
      <c r="K188" s="636"/>
      <c r="L188" s="636"/>
      <c r="M188" s="636"/>
      <c r="N188" s="636"/>
      <c r="O188" s="636"/>
      <c r="P188" s="636"/>
      <c r="Q188" s="636"/>
      <c r="R188" s="636"/>
      <c r="S188" s="638"/>
    </row>
    <row r="189" spans="2:19" s="14" customFormat="1" ht="15" x14ac:dyDescent="0.25">
      <c r="B189" s="86"/>
      <c r="C189" s="87"/>
      <c r="D189" s="389"/>
      <c r="E189" s="87"/>
      <c r="F189" s="391"/>
      <c r="G189" s="391"/>
      <c r="H189" s="391"/>
      <c r="I189" s="391"/>
      <c r="J189" s="391"/>
      <c r="K189" s="391"/>
      <c r="L189" s="391"/>
      <c r="M189" s="391"/>
      <c r="N189" s="391"/>
      <c r="O189" s="391"/>
      <c r="P189" s="391"/>
      <c r="Q189" s="391"/>
      <c r="R189" s="89" t="s">
        <v>410</v>
      </c>
      <c r="S189" s="90"/>
    </row>
    <row r="267" spans="2:3" ht="13.5" customHeight="1" x14ac:dyDescent="0.3">
      <c r="B267" s="457"/>
      <c r="C267" s="457"/>
    </row>
  </sheetData>
  <phoneticPr fontId="0" type="noConversion"/>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rowBreaks count="1" manualBreakCount="1">
    <brk id="97" min="1" max="18" man="1"/>
  </rowBreak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10"/>
  <sheetViews>
    <sheetView zoomScale="85" zoomScaleNormal="85" workbookViewId="0">
      <selection activeCell="B2" sqref="B2"/>
    </sheetView>
  </sheetViews>
  <sheetFormatPr defaultColWidth="9.140625" defaultRowHeight="12.75" x14ac:dyDescent="0.2"/>
  <cols>
    <col min="1" max="1" width="3.7109375" style="14" customWidth="1"/>
    <col min="2" max="2" width="2.7109375" style="14" customWidth="1"/>
    <col min="3" max="3" width="2.85546875" style="14" customWidth="1"/>
    <col min="4" max="4" width="45.7109375" style="14" customWidth="1"/>
    <col min="5" max="5" width="2.7109375" style="14" customWidth="1"/>
    <col min="6" max="9" width="16.85546875" style="14" customWidth="1"/>
    <col min="10" max="11" width="2.7109375" style="14" customWidth="1"/>
    <col min="12" max="16384" width="9.140625" style="14"/>
  </cols>
  <sheetData>
    <row r="2" spans="2:11" x14ac:dyDescent="0.2">
      <c r="B2" s="62"/>
      <c r="C2" s="63"/>
      <c r="D2" s="63"/>
      <c r="E2" s="63"/>
      <c r="F2" s="63"/>
      <c r="G2" s="63"/>
      <c r="H2" s="63"/>
      <c r="I2" s="63"/>
      <c r="J2" s="63"/>
      <c r="K2" s="66"/>
    </row>
    <row r="3" spans="2:11" x14ac:dyDescent="0.2">
      <c r="B3" s="67"/>
      <c r="C3" s="68"/>
      <c r="D3" s="68"/>
      <c r="E3" s="68"/>
      <c r="F3" s="68"/>
      <c r="G3" s="68"/>
      <c r="H3" s="68"/>
      <c r="I3" s="68"/>
      <c r="J3" s="68"/>
      <c r="K3" s="71"/>
    </row>
    <row r="4" spans="2:11" s="18" customFormat="1" ht="18.75" x14ac:dyDescent="0.3">
      <c r="B4" s="470"/>
      <c r="C4" s="971" t="s">
        <v>40</v>
      </c>
      <c r="D4" s="73"/>
      <c r="E4" s="79"/>
      <c r="F4" s="508"/>
      <c r="G4" s="79"/>
      <c r="H4" s="79"/>
      <c r="I4" s="79"/>
      <c r="J4" s="79"/>
      <c r="K4" s="82"/>
    </row>
    <row r="5" spans="2:11" ht="18.75" x14ac:dyDescent="0.3">
      <c r="B5" s="72"/>
      <c r="C5" s="74" t="str">
        <f>geg!F11</f>
        <v>Voorbeeld SBO</v>
      </c>
      <c r="D5" s="474"/>
      <c r="E5" s="68"/>
      <c r="F5" s="644"/>
      <c r="G5" s="68"/>
      <c r="H5" s="68"/>
      <c r="I5" s="68"/>
      <c r="J5" s="68"/>
      <c r="K5" s="71"/>
    </row>
    <row r="6" spans="2:11" x14ac:dyDescent="0.2">
      <c r="B6" s="67"/>
      <c r="C6" s="68"/>
      <c r="D6" s="68"/>
      <c r="E6" s="68"/>
      <c r="F6" s="68"/>
      <c r="G6" s="68"/>
      <c r="H6" s="68"/>
      <c r="I6" s="68"/>
      <c r="J6" s="68"/>
      <c r="K6" s="71"/>
    </row>
    <row r="7" spans="2:11" x14ac:dyDescent="0.2">
      <c r="B7" s="67"/>
      <c r="C7" s="68"/>
      <c r="D7" s="68"/>
      <c r="E7" s="68"/>
      <c r="F7" s="68"/>
      <c r="G7" s="68"/>
      <c r="H7" s="68"/>
      <c r="I7" s="68"/>
      <c r="J7" s="68"/>
      <c r="K7" s="71"/>
    </row>
    <row r="8" spans="2:11" x14ac:dyDescent="0.2">
      <c r="B8" s="67"/>
      <c r="C8" s="68"/>
      <c r="D8" s="1175" t="s">
        <v>362</v>
      </c>
      <c r="E8" s="1029"/>
      <c r="F8" s="1029"/>
      <c r="G8" s="1029"/>
      <c r="H8" s="1029"/>
      <c r="I8" s="1029"/>
      <c r="J8" s="68"/>
      <c r="K8" s="71"/>
    </row>
    <row r="9" spans="2:11" x14ac:dyDescent="0.2">
      <c r="B9" s="67"/>
      <c r="C9" s="68"/>
      <c r="D9" s="1176" t="s">
        <v>414</v>
      </c>
      <c r="E9" s="1029"/>
      <c r="F9" s="1029"/>
      <c r="G9" s="1029"/>
      <c r="H9" s="1029"/>
      <c r="I9" s="1029"/>
      <c r="J9" s="68"/>
      <c r="K9" s="71"/>
    </row>
    <row r="10" spans="2:11" x14ac:dyDescent="0.2">
      <c r="B10" s="67"/>
      <c r="C10" s="68"/>
      <c r="D10" s="1176" t="s">
        <v>415</v>
      </c>
      <c r="E10" s="1029"/>
      <c r="F10" s="1351"/>
      <c r="G10" s="1351"/>
      <c r="H10" s="1351"/>
      <c r="I10" s="1177"/>
      <c r="J10" s="68"/>
      <c r="K10" s="71"/>
    </row>
    <row r="11" spans="2:11" x14ac:dyDescent="0.2">
      <c r="B11" s="67"/>
      <c r="C11" s="68"/>
      <c r="D11" s="1178" t="s">
        <v>416</v>
      </c>
      <c r="E11" s="1029"/>
      <c r="F11" s="1185"/>
      <c r="G11" s="1185"/>
      <c r="H11" s="1185"/>
      <c r="I11" s="1177"/>
      <c r="J11" s="68"/>
      <c r="K11" s="71"/>
    </row>
    <row r="12" spans="2:11" x14ac:dyDescent="0.2">
      <c r="B12" s="67"/>
      <c r="C12" s="68"/>
      <c r="D12" s="1178" t="s">
        <v>363</v>
      </c>
      <c r="E12" s="1029"/>
      <c r="F12" s="1185"/>
      <c r="G12" s="1185"/>
      <c r="H12" s="1185"/>
      <c r="I12" s="1177"/>
      <c r="J12" s="68"/>
      <c r="K12" s="71"/>
    </row>
    <row r="13" spans="2:11" x14ac:dyDescent="0.2">
      <c r="B13" s="67"/>
      <c r="C13" s="68"/>
      <c r="D13" s="1178" t="s">
        <v>435</v>
      </c>
      <c r="E13" s="1029"/>
      <c r="F13" s="1185"/>
      <c r="G13" s="1185"/>
      <c r="H13" s="1185"/>
      <c r="I13" s="1177"/>
      <c r="J13" s="68"/>
      <c r="K13" s="71"/>
    </row>
    <row r="14" spans="2:11" x14ac:dyDescent="0.2">
      <c r="B14" s="67"/>
      <c r="C14" s="68"/>
      <c r="D14" s="1178"/>
      <c r="E14" s="1149"/>
      <c r="F14" s="1024"/>
      <c r="G14" s="1024"/>
      <c r="H14" s="1024"/>
      <c r="I14" s="1024"/>
      <c r="J14" s="645"/>
      <c r="K14" s="646"/>
    </row>
    <row r="15" spans="2:11" x14ac:dyDescent="0.2">
      <c r="B15" s="67"/>
      <c r="C15" s="68"/>
      <c r="D15" s="1029"/>
      <c r="E15" s="1149"/>
      <c r="F15" s="1024"/>
      <c r="G15" s="1024"/>
      <c r="H15" s="1024"/>
      <c r="I15" s="1024"/>
      <c r="J15" s="645"/>
      <c r="K15" s="646"/>
    </row>
    <row r="16" spans="2:11" s="18" customFormat="1" x14ac:dyDescent="0.2">
      <c r="B16" s="78"/>
      <c r="C16" s="79"/>
      <c r="D16" s="1154" t="s">
        <v>263</v>
      </c>
      <c r="E16" s="1149"/>
      <c r="F16" s="1024">
        <f>tab!E4</f>
        <v>2016</v>
      </c>
      <c r="G16" s="1024">
        <f>F16+1</f>
        <v>2017</v>
      </c>
      <c r="H16" s="1024">
        <f>G16+1</f>
        <v>2018</v>
      </c>
      <c r="I16" s="1024">
        <f>H16+1</f>
        <v>2019</v>
      </c>
      <c r="J16" s="647"/>
      <c r="K16" s="648"/>
    </row>
    <row r="17" spans="1:13" x14ac:dyDescent="0.2">
      <c r="B17" s="67"/>
      <c r="C17" s="467"/>
      <c r="D17" s="1029"/>
      <c r="E17" s="1149"/>
      <c r="F17" s="1029"/>
      <c r="G17" s="1029"/>
      <c r="H17" s="1029"/>
      <c r="I17" s="1029"/>
      <c r="J17" s="555"/>
      <c r="K17" s="646"/>
    </row>
    <row r="18" spans="1:13" x14ac:dyDescent="0.2">
      <c r="B18" s="67"/>
      <c r="C18" s="479"/>
      <c r="D18" s="1189"/>
      <c r="E18" s="1096"/>
      <c r="F18" s="1190"/>
      <c r="G18" s="1097"/>
      <c r="H18" s="1097"/>
      <c r="I18" s="1096"/>
      <c r="J18" s="482"/>
      <c r="K18" s="71"/>
    </row>
    <row r="19" spans="1:13" x14ac:dyDescent="0.2">
      <c r="B19" s="67"/>
      <c r="C19" s="135"/>
      <c r="D19" s="518" t="s">
        <v>390</v>
      </c>
      <c r="E19" s="136"/>
      <c r="F19" s="985" t="str">
        <f>geg!F11</f>
        <v>Voorbeeld SBO</v>
      </c>
      <c r="G19" s="986"/>
      <c r="H19" s="986"/>
      <c r="I19" s="987"/>
      <c r="J19" s="487"/>
      <c r="K19" s="71"/>
      <c r="L19" s="518"/>
      <c r="M19" s="518"/>
    </row>
    <row r="20" spans="1:13" x14ac:dyDescent="0.2">
      <c r="B20" s="67"/>
      <c r="C20" s="135"/>
      <c r="D20" s="518" t="s">
        <v>391</v>
      </c>
      <c r="E20" s="136"/>
      <c r="F20" s="985" t="str">
        <f>geg!F12</f>
        <v>12AB</v>
      </c>
      <c r="G20" s="986"/>
      <c r="H20" s="986"/>
      <c r="I20" s="987"/>
      <c r="J20" s="487"/>
      <c r="K20" s="71"/>
      <c r="L20" s="518"/>
      <c r="M20" s="518"/>
    </row>
    <row r="21" spans="1:13" x14ac:dyDescent="0.2">
      <c r="B21" s="67"/>
      <c r="C21" s="135"/>
      <c r="D21" s="518" t="s">
        <v>392</v>
      </c>
      <c r="E21" s="136"/>
      <c r="F21" s="988">
        <f ca="1">TODAY()</f>
        <v>42283</v>
      </c>
      <c r="G21" s="986"/>
      <c r="H21" s="986"/>
      <c r="I21" s="987"/>
      <c r="J21" s="487"/>
      <c r="K21" s="71"/>
      <c r="L21" s="518"/>
      <c r="M21" s="518"/>
    </row>
    <row r="22" spans="1:13" x14ac:dyDescent="0.2">
      <c r="A22" s="196"/>
      <c r="B22" s="207"/>
      <c r="C22" s="232"/>
      <c r="D22" s="518" t="s">
        <v>138</v>
      </c>
      <c r="E22" s="136"/>
      <c r="F22" s="989">
        <f>begr!G14</f>
        <v>1480761.5408333335</v>
      </c>
      <c r="G22" s="989">
        <f>begr!H14</f>
        <v>1497509.6558333335</v>
      </c>
      <c r="H22" s="989">
        <f>begr!I14</f>
        <v>1510679.4058333335</v>
      </c>
      <c r="I22" s="989">
        <f>begr!J14</f>
        <v>1523849.1558333335</v>
      </c>
      <c r="J22" s="651"/>
      <c r="K22" s="208"/>
      <c r="L22" s="518"/>
      <c r="M22" s="518"/>
    </row>
    <row r="23" spans="1:13" x14ac:dyDescent="0.2">
      <c r="A23" s="196"/>
      <c r="B23" s="207"/>
      <c r="C23" s="232"/>
      <c r="D23" s="518" t="s">
        <v>93</v>
      </c>
      <c r="E23" s="165"/>
      <c r="F23" s="989">
        <f>begr!G15</f>
        <v>0</v>
      </c>
      <c r="G23" s="989">
        <f>begr!H15</f>
        <v>0</v>
      </c>
      <c r="H23" s="989">
        <f>begr!I15</f>
        <v>0</v>
      </c>
      <c r="I23" s="989">
        <f>begr!J15</f>
        <v>0</v>
      </c>
      <c r="J23" s="651"/>
      <c r="K23" s="208"/>
      <c r="L23" s="518"/>
      <c r="M23" s="518"/>
    </row>
    <row r="24" spans="1:13" x14ac:dyDescent="0.2">
      <c r="A24" s="196"/>
      <c r="B24" s="207"/>
      <c r="C24" s="232"/>
      <c r="D24" s="518" t="s">
        <v>139</v>
      </c>
      <c r="E24" s="165"/>
      <c r="F24" s="989">
        <f>begr!G16</f>
        <v>0</v>
      </c>
      <c r="G24" s="989">
        <f>begr!H16</f>
        <v>0</v>
      </c>
      <c r="H24" s="989">
        <f>begr!I16</f>
        <v>0</v>
      </c>
      <c r="I24" s="989">
        <f>begr!J16</f>
        <v>0</v>
      </c>
      <c r="J24" s="651"/>
      <c r="K24" s="208"/>
      <c r="L24" s="518"/>
      <c r="M24" s="518"/>
    </row>
    <row r="25" spans="1:13" x14ac:dyDescent="0.2">
      <c r="A25" s="196"/>
      <c r="B25" s="207"/>
      <c r="C25" s="232"/>
      <c r="D25" s="518" t="s">
        <v>100</v>
      </c>
      <c r="E25" s="165"/>
      <c r="F25" s="989">
        <f>begr!G17</f>
        <v>0</v>
      </c>
      <c r="G25" s="989">
        <f>begr!H17</f>
        <v>0</v>
      </c>
      <c r="H25" s="989">
        <f>begr!I17</f>
        <v>0</v>
      </c>
      <c r="I25" s="989">
        <f>begr!J17</f>
        <v>0</v>
      </c>
      <c r="J25" s="651"/>
      <c r="K25" s="208"/>
      <c r="L25" s="518"/>
      <c r="M25" s="518"/>
    </row>
    <row r="26" spans="1:13" x14ac:dyDescent="0.2">
      <c r="B26" s="67"/>
      <c r="C26" s="135"/>
      <c r="D26" s="136" t="s">
        <v>264</v>
      </c>
      <c r="E26" s="136"/>
      <c r="F26" s="989">
        <f>begr!G18</f>
        <v>0</v>
      </c>
      <c r="G26" s="989">
        <f>begr!H18</f>
        <v>0</v>
      </c>
      <c r="H26" s="989">
        <f>begr!I18</f>
        <v>0</v>
      </c>
      <c r="I26" s="989">
        <f>begr!J18</f>
        <v>0</v>
      </c>
      <c r="J26" s="487"/>
      <c r="K26" s="71"/>
      <c r="L26" s="136"/>
      <c r="M26" s="136"/>
    </row>
    <row r="27" spans="1:13" x14ac:dyDescent="0.2">
      <c r="B27" s="67"/>
      <c r="C27" s="135"/>
      <c r="D27" s="531" t="s">
        <v>14</v>
      </c>
      <c r="E27" s="136"/>
      <c r="F27" s="989">
        <f>begr!G21</f>
        <v>171630.77725135625</v>
      </c>
      <c r="G27" s="989">
        <f>begr!H21</f>
        <v>176765.11819168177</v>
      </c>
      <c r="H27" s="989">
        <f>begr!I21</f>
        <v>182004.04329113927</v>
      </c>
      <c r="I27" s="989">
        <f>begr!J21</f>
        <v>187301.65005424956</v>
      </c>
      <c r="J27" s="487"/>
      <c r="K27" s="71"/>
      <c r="L27" s="531"/>
      <c r="M27" s="531"/>
    </row>
    <row r="28" spans="1:13" x14ac:dyDescent="0.2">
      <c r="B28" s="67"/>
      <c r="C28" s="135"/>
      <c r="D28" s="531" t="s">
        <v>103</v>
      </c>
      <c r="E28" s="136"/>
      <c r="F28" s="989">
        <f>begr!G22</f>
        <v>0</v>
      </c>
      <c r="G28" s="989">
        <f>begr!H22</f>
        <v>0</v>
      </c>
      <c r="H28" s="989">
        <f>begr!I22</f>
        <v>0</v>
      </c>
      <c r="I28" s="989">
        <f>begr!J22</f>
        <v>0</v>
      </c>
      <c r="J28" s="487"/>
      <c r="K28" s="71"/>
      <c r="L28" s="531"/>
      <c r="M28" s="531"/>
    </row>
    <row r="29" spans="1:13" x14ac:dyDescent="0.2">
      <c r="B29" s="67"/>
      <c r="C29" s="135"/>
      <c r="D29" s="136" t="s">
        <v>266</v>
      </c>
      <c r="E29" s="136"/>
      <c r="F29" s="989">
        <f>begr!G24</f>
        <v>0</v>
      </c>
      <c r="G29" s="989">
        <f>begr!H24</f>
        <v>0</v>
      </c>
      <c r="H29" s="989">
        <f>begr!I24</f>
        <v>0</v>
      </c>
      <c r="I29" s="989">
        <f>begr!J24</f>
        <v>0</v>
      </c>
      <c r="J29" s="487"/>
      <c r="K29" s="71"/>
      <c r="L29" s="136"/>
      <c r="M29" s="136"/>
    </row>
    <row r="30" spans="1:13" x14ac:dyDescent="0.2">
      <c r="B30" s="67"/>
      <c r="C30" s="135"/>
      <c r="D30" s="136" t="s">
        <v>267</v>
      </c>
      <c r="E30" s="136"/>
      <c r="F30" s="989">
        <f>begr!G25</f>
        <v>0</v>
      </c>
      <c r="G30" s="989">
        <f>begr!H25</f>
        <v>0</v>
      </c>
      <c r="H30" s="989">
        <f>begr!I25</f>
        <v>0</v>
      </c>
      <c r="I30" s="989">
        <f>begr!J25</f>
        <v>0</v>
      </c>
      <c r="J30" s="487"/>
      <c r="K30" s="71"/>
      <c r="L30" s="136"/>
      <c r="M30" s="136"/>
    </row>
    <row r="31" spans="1:13" x14ac:dyDescent="0.2">
      <c r="B31" s="67"/>
      <c r="C31" s="135"/>
      <c r="D31" s="136" t="s">
        <v>567</v>
      </c>
      <c r="E31" s="136"/>
      <c r="F31" s="989">
        <f>begr!G26</f>
        <v>0</v>
      </c>
      <c r="G31" s="989">
        <f>begr!H26</f>
        <v>0</v>
      </c>
      <c r="H31" s="989">
        <f>begr!I26</f>
        <v>0</v>
      </c>
      <c r="I31" s="989">
        <f>begr!J26</f>
        <v>0</v>
      </c>
      <c r="J31" s="487"/>
      <c r="K31" s="71"/>
      <c r="L31" s="136"/>
      <c r="M31" s="136"/>
    </row>
    <row r="32" spans="1:13" x14ac:dyDescent="0.2">
      <c r="B32" s="67"/>
      <c r="C32" s="135"/>
      <c r="D32" s="518" t="s">
        <v>250</v>
      </c>
      <c r="E32" s="528"/>
      <c r="F32" s="989">
        <f>begr!G35</f>
        <v>0</v>
      </c>
      <c r="G32" s="989">
        <f>begr!H35</f>
        <v>0</v>
      </c>
      <c r="H32" s="989">
        <f>begr!I35</f>
        <v>0</v>
      </c>
      <c r="I32" s="989">
        <f>begr!J35</f>
        <v>0</v>
      </c>
      <c r="J32" s="487"/>
      <c r="K32" s="71"/>
      <c r="L32" s="518"/>
      <c r="M32" s="518"/>
    </row>
    <row r="33" spans="2:13" x14ac:dyDescent="0.2">
      <c r="B33" s="67"/>
      <c r="C33" s="135"/>
      <c r="D33" s="518" t="s">
        <v>251</v>
      </c>
      <c r="E33" s="528"/>
      <c r="F33" s="989">
        <f>begr!G36</f>
        <v>0</v>
      </c>
      <c r="G33" s="989">
        <f>begr!H36</f>
        <v>0</v>
      </c>
      <c r="H33" s="989">
        <f>begr!I36</f>
        <v>0</v>
      </c>
      <c r="I33" s="989">
        <f>begr!J36</f>
        <v>0</v>
      </c>
      <c r="J33" s="487"/>
      <c r="K33" s="71"/>
      <c r="L33" s="518"/>
      <c r="M33" s="518"/>
    </row>
    <row r="34" spans="2:13" x14ac:dyDescent="0.2">
      <c r="B34" s="67"/>
      <c r="C34" s="135"/>
      <c r="D34" s="518" t="s">
        <v>148</v>
      </c>
      <c r="E34" s="528"/>
      <c r="F34" s="989">
        <f>begr!G42</f>
        <v>1309130.7635819772</v>
      </c>
      <c r="G34" s="989">
        <f>begr!H42</f>
        <v>1320744.5376416517</v>
      </c>
      <c r="H34" s="989">
        <f>begr!I42</f>
        <v>1328675.3625421943</v>
      </c>
      <c r="I34" s="989">
        <f>begr!J42</f>
        <v>1336547.5057790838</v>
      </c>
      <c r="J34" s="487"/>
      <c r="K34" s="71"/>
      <c r="L34" s="518"/>
      <c r="M34" s="518"/>
    </row>
    <row r="35" spans="2:13" x14ac:dyDescent="0.2">
      <c r="B35" s="67"/>
      <c r="C35" s="135"/>
      <c r="D35" s="136" t="s">
        <v>413</v>
      </c>
      <c r="E35" s="136"/>
      <c r="F35" s="989">
        <f>bal!H17</f>
        <v>0</v>
      </c>
      <c r="G35" s="989">
        <f>bal!I17</f>
        <v>0</v>
      </c>
      <c r="H35" s="989">
        <f>bal!J17</f>
        <v>0</v>
      </c>
      <c r="I35" s="989">
        <f>bal!K17</f>
        <v>0</v>
      </c>
      <c r="J35" s="487"/>
      <c r="K35" s="71"/>
      <c r="L35" s="136"/>
      <c r="M35" s="136"/>
    </row>
    <row r="36" spans="2:13" x14ac:dyDescent="0.2">
      <c r="B36" s="67"/>
      <c r="C36" s="135"/>
      <c r="D36" s="136" t="s">
        <v>192</v>
      </c>
      <c r="E36" s="136"/>
      <c r="F36" s="989">
        <f>bal!H23</f>
        <v>1309130.7635819772</v>
      </c>
      <c r="G36" s="989">
        <f>bal!I23</f>
        <v>2629875.3012236292</v>
      </c>
      <c r="H36" s="989">
        <f>bal!J23</f>
        <v>3958550.6637658235</v>
      </c>
      <c r="I36" s="989">
        <f>bal!K23</f>
        <v>5295098.1695449073</v>
      </c>
      <c r="J36" s="487"/>
      <c r="K36" s="71"/>
      <c r="L36" s="136"/>
      <c r="M36" s="136"/>
    </row>
    <row r="37" spans="2:13" x14ac:dyDescent="0.2">
      <c r="B37" s="67"/>
      <c r="C37" s="135"/>
      <c r="D37" s="136" t="s">
        <v>364</v>
      </c>
      <c r="E37" s="136"/>
      <c r="F37" s="989">
        <f>bal!H36</f>
        <v>1309130.7635819772</v>
      </c>
      <c r="G37" s="989">
        <f>bal!I36</f>
        <v>2629875.3012236292</v>
      </c>
      <c r="H37" s="989">
        <f>bal!J36</f>
        <v>3958550.6637658235</v>
      </c>
      <c r="I37" s="989">
        <f>bal!K36</f>
        <v>5295098.1695449073</v>
      </c>
      <c r="J37" s="487"/>
      <c r="K37" s="71"/>
      <c r="L37" s="136"/>
      <c r="M37" s="136"/>
    </row>
    <row r="38" spans="2:13" x14ac:dyDescent="0.2">
      <c r="B38" s="67"/>
      <c r="C38" s="135"/>
      <c r="D38" s="136" t="s">
        <v>225</v>
      </c>
      <c r="E38" s="136"/>
      <c r="F38" s="989">
        <f>bal!H42</f>
        <v>0</v>
      </c>
      <c r="G38" s="989">
        <f>bal!I42</f>
        <v>0</v>
      </c>
      <c r="H38" s="989">
        <f>bal!J42</f>
        <v>0</v>
      </c>
      <c r="I38" s="989">
        <f>bal!K42</f>
        <v>0</v>
      </c>
      <c r="J38" s="487"/>
      <c r="K38" s="71"/>
      <c r="L38" s="136"/>
      <c r="M38" s="136"/>
    </row>
    <row r="39" spans="2:13" x14ac:dyDescent="0.2">
      <c r="B39" s="67"/>
      <c r="C39" s="135"/>
      <c r="D39" s="136" t="s">
        <v>194</v>
      </c>
      <c r="E39" s="136"/>
      <c r="F39" s="989">
        <f>bal!H46</f>
        <v>0</v>
      </c>
      <c r="G39" s="989">
        <f>bal!I46</f>
        <v>0</v>
      </c>
      <c r="H39" s="989">
        <f>bal!J46</f>
        <v>0</v>
      </c>
      <c r="I39" s="989">
        <f>bal!K46</f>
        <v>0</v>
      </c>
      <c r="J39" s="487"/>
      <c r="K39" s="71"/>
      <c r="L39" s="136"/>
      <c r="M39" s="136"/>
    </row>
    <row r="40" spans="2:13" x14ac:dyDescent="0.2">
      <c r="B40" s="67"/>
      <c r="C40" s="135"/>
      <c r="D40" s="136" t="s">
        <v>195</v>
      </c>
      <c r="E40" s="136"/>
      <c r="F40" s="989">
        <f>bal!H55</f>
        <v>0</v>
      </c>
      <c r="G40" s="989">
        <f>bal!I55</f>
        <v>0</v>
      </c>
      <c r="H40" s="989">
        <f>bal!J55</f>
        <v>0</v>
      </c>
      <c r="I40" s="989">
        <f>bal!K55</f>
        <v>0</v>
      </c>
      <c r="J40" s="487"/>
      <c r="K40" s="71"/>
      <c r="L40" s="136"/>
      <c r="M40" s="136"/>
    </row>
    <row r="41" spans="2:13" x14ac:dyDescent="0.2">
      <c r="B41" s="67"/>
      <c r="C41" s="135"/>
      <c r="D41" s="136" t="s">
        <v>396</v>
      </c>
      <c r="E41" s="136"/>
      <c r="F41" s="991"/>
      <c r="G41" s="991"/>
      <c r="H41" s="991"/>
      <c r="I41" s="991"/>
      <c r="J41" s="487"/>
      <c r="K41" s="71"/>
      <c r="L41" s="136"/>
      <c r="M41" s="136"/>
    </row>
    <row r="42" spans="2:13" x14ac:dyDescent="0.2">
      <c r="B42" s="67"/>
      <c r="C42" s="135"/>
      <c r="D42" s="136" t="s">
        <v>397</v>
      </c>
      <c r="E42" s="136"/>
      <c r="F42" s="991"/>
      <c r="G42" s="991"/>
      <c r="H42" s="991"/>
      <c r="I42" s="991"/>
      <c r="J42" s="487"/>
      <c r="K42" s="71"/>
      <c r="L42" s="136"/>
      <c r="M42" s="136"/>
    </row>
    <row r="43" spans="2:13" x14ac:dyDescent="0.2">
      <c r="B43" s="67"/>
      <c r="C43" s="135"/>
      <c r="D43" s="518" t="s">
        <v>398</v>
      </c>
      <c r="E43" s="136"/>
      <c r="F43" s="991"/>
      <c r="G43" s="991"/>
      <c r="H43" s="991"/>
      <c r="I43" s="991"/>
      <c r="J43" s="487"/>
      <c r="K43" s="71"/>
      <c r="L43" s="518"/>
      <c r="M43" s="518"/>
    </row>
    <row r="44" spans="2:13" x14ac:dyDescent="0.2">
      <c r="B44" s="67"/>
      <c r="C44" s="135"/>
      <c r="D44" s="518" t="s">
        <v>399</v>
      </c>
      <c r="E44" s="136"/>
      <c r="F44" s="991"/>
      <c r="G44" s="991"/>
      <c r="H44" s="991"/>
      <c r="I44" s="991"/>
      <c r="J44" s="487"/>
      <c r="K44" s="71"/>
      <c r="L44" s="518"/>
      <c r="M44" s="518"/>
    </row>
    <row r="45" spans="2:13" x14ac:dyDescent="0.2">
      <c r="B45" s="67"/>
      <c r="C45" s="135"/>
      <c r="D45" s="518" t="s">
        <v>37</v>
      </c>
      <c r="E45" s="136"/>
      <c r="F45" s="991">
        <f>geg!G25</f>
        <v>155</v>
      </c>
      <c r="G45" s="991">
        <f>geg!H25</f>
        <v>155</v>
      </c>
      <c r="H45" s="991">
        <f>geg!I25</f>
        <v>155</v>
      </c>
      <c r="I45" s="991">
        <f>geg!J25</f>
        <v>155</v>
      </c>
      <c r="J45" s="487"/>
      <c r="K45" s="71"/>
      <c r="L45" s="518"/>
      <c r="M45" s="518"/>
    </row>
    <row r="46" spans="2:13" x14ac:dyDescent="0.2">
      <c r="B46" s="67"/>
      <c r="C46" s="135"/>
      <c r="D46" s="518" t="s">
        <v>568</v>
      </c>
      <c r="E46" s="136"/>
      <c r="F46" s="991">
        <f>+geg!G26</f>
        <v>7</v>
      </c>
      <c r="G46" s="991">
        <f>+geg!H26</f>
        <v>7</v>
      </c>
      <c r="H46" s="991">
        <f>+geg!I26</f>
        <v>7</v>
      </c>
      <c r="I46" s="991">
        <f>+geg!J26</f>
        <v>7</v>
      </c>
      <c r="J46" s="487"/>
      <c r="K46" s="71"/>
      <c r="L46" s="518"/>
      <c r="M46" s="518"/>
    </row>
    <row r="47" spans="2:13" x14ac:dyDescent="0.2">
      <c r="B47" s="67"/>
      <c r="C47" s="135"/>
      <c r="D47" s="518" t="s">
        <v>569</v>
      </c>
      <c r="E47" s="136"/>
      <c r="F47" s="991"/>
      <c r="G47" s="991"/>
      <c r="H47" s="991"/>
      <c r="I47" s="991"/>
      <c r="J47" s="487"/>
      <c r="K47" s="71"/>
      <c r="L47" s="518"/>
      <c r="M47" s="518"/>
    </row>
    <row r="48" spans="2:13" x14ac:dyDescent="0.2">
      <c r="B48" s="67"/>
      <c r="C48" s="135"/>
      <c r="D48" s="518" t="s">
        <v>570</v>
      </c>
      <c r="E48" s="136"/>
      <c r="F48" s="991"/>
      <c r="G48" s="991"/>
      <c r="H48" s="991"/>
      <c r="I48" s="991"/>
      <c r="J48" s="487"/>
      <c r="K48" s="71"/>
      <c r="L48" s="518"/>
      <c r="M48" s="518"/>
    </row>
    <row r="49" spans="2:13" x14ac:dyDescent="0.2">
      <c r="B49" s="67"/>
      <c r="C49" s="135"/>
      <c r="D49" s="518" t="s">
        <v>571</v>
      </c>
      <c r="E49" s="136"/>
      <c r="F49" s="991"/>
      <c r="G49" s="991"/>
      <c r="H49" s="991"/>
      <c r="I49" s="991"/>
      <c r="J49" s="487"/>
      <c r="K49" s="71"/>
      <c r="L49" s="518"/>
      <c r="M49" s="518"/>
    </row>
    <row r="50" spans="2:13" x14ac:dyDescent="0.2">
      <c r="B50" s="67"/>
      <c r="C50" s="135"/>
      <c r="D50" s="518" t="s">
        <v>25</v>
      </c>
      <c r="E50" s="136"/>
      <c r="F50" s="991"/>
      <c r="G50" s="991"/>
      <c r="H50" s="991"/>
      <c r="I50" s="991"/>
      <c r="J50" s="487"/>
      <c r="K50" s="71"/>
      <c r="L50" s="518"/>
      <c r="M50" s="518"/>
    </row>
    <row r="51" spans="2:13" x14ac:dyDescent="0.2">
      <c r="B51" s="67"/>
      <c r="C51" s="135"/>
      <c r="D51" s="652" t="s">
        <v>26</v>
      </c>
      <c r="E51" s="136"/>
      <c r="F51" s="991"/>
      <c r="G51" s="991"/>
      <c r="H51" s="991"/>
      <c r="I51" s="991"/>
      <c r="J51" s="487"/>
      <c r="K51" s="71"/>
      <c r="L51" s="652"/>
      <c r="M51" s="652"/>
    </row>
    <row r="52" spans="2:13" x14ac:dyDescent="0.2">
      <c r="B52" s="67"/>
      <c r="C52" s="135"/>
      <c r="D52" s="652" t="s">
        <v>27</v>
      </c>
      <c r="E52" s="136"/>
      <c r="F52" s="991"/>
      <c r="G52" s="991"/>
      <c r="H52" s="991"/>
      <c r="I52" s="991"/>
      <c r="J52" s="487"/>
      <c r="K52" s="71"/>
      <c r="L52" s="652"/>
      <c r="M52" s="652"/>
    </row>
    <row r="53" spans="2:13" x14ac:dyDescent="0.2">
      <c r="B53" s="67"/>
      <c r="C53" s="135"/>
      <c r="D53" s="652" t="s">
        <v>572</v>
      </c>
      <c r="E53" s="136"/>
      <c r="F53" s="991"/>
      <c r="G53" s="991"/>
      <c r="H53" s="991"/>
      <c r="I53" s="991"/>
      <c r="J53" s="487"/>
      <c r="K53" s="71"/>
      <c r="L53" s="652"/>
      <c r="M53" s="652"/>
    </row>
    <row r="54" spans="2:13" x14ac:dyDescent="0.2">
      <c r="B54" s="67"/>
      <c r="C54" s="135"/>
      <c r="D54" s="1304" t="s">
        <v>573</v>
      </c>
      <c r="E54" s="136"/>
      <c r="F54" s="991"/>
      <c r="G54" s="991"/>
      <c r="H54" s="991"/>
      <c r="I54" s="991"/>
      <c r="J54" s="487"/>
      <c r="K54" s="71"/>
      <c r="L54" s="652"/>
      <c r="M54" s="1304"/>
    </row>
    <row r="55" spans="2:13" x14ac:dyDescent="0.2">
      <c r="B55" s="67"/>
      <c r="C55" s="135"/>
      <c r="D55" s="1304" t="s">
        <v>574</v>
      </c>
      <c r="E55" s="136"/>
      <c r="F55" s="991"/>
      <c r="G55" s="991"/>
      <c r="H55" s="991"/>
      <c r="I55" s="991"/>
      <c r="J55" s="487"/>
      <c r="K55" s="71"/>
      <c r="L55" s="652"/>
      <c r="M55" s="1304"/>
    </row>
    <row r="56" spans="2:13" x14ac:dyDescent="0.2">
      <c r="B56" s="67"/>
      <c r="C56" s="135"/>
      <c r="D56" s="518" t="s">
        <v>575</v>
      </c>
      <c r="E56" s="136"/>
      <c r="F56" s="992">
        <f>ken!F35</f>
        <v>11995.007594936711</v>
      </c>
      <c r="G56" s="992">
        <f>ken!G35</f>
        <v>12374.281374321883</v>
      </c>
      <c r="H56" s="992">
        <f>ken!H35</f>
        <v>12754.029656419531</v>
      </c>
      <c r="I56" s="992">
        <f>ken!I35</f>
        <v>13134.373960217001</v>
      </c>
      <c r="J56" s="487"/>
      <c r="K56" s="71"/>
      <c r="L56" s="518"/>
      <c r="M56" s="518"/>
    </row>
    <row r="57" spans="2:13" x14ac:dyDescent="0.2">
      <c r="B57" s="67"/>
      <c r="C57" s="135"/>
      <c r="D57" s="518" t="s">
        <v>116</v>
      </c>
      <c r="E57" s="136"/>
      <c r="F57" s="992">
        <f>+pers!I165</f>
        <v>0</v>
      </c>
      <c r="G57" s="992">
        <f>+pers!J165</f>
        <v>0</v>
      </c>
      <c r="H57" s="992">
        <f>+pers!K165</f>
        <v>0</v>
      </c>
      <c r="I57" s="992">
        <f>+pers!L165</f>
        <v>0</v>
      </c>
      <c r="J57" s="487"/>
      <c r="K57" s="71"/>
      <c r="L57" s="518"/>
      <c r="M57" s="518"/>
    </row>
    <row r="58" spans="2:13" x14ac:dyDescent="0.2">
      <c r="B58" s="67"/>
      <c r="C58" s="135"/>
      <c r="D58" s="136" t="s">
        <v>115</v>
      </c>
      <c r="E58" s="136"/>
      <c r="F58" s="992">
        <f>+pers!I166</f>
        <v>0</v>
      </c>
      <c r="G58" s="992">
        <f>+pers!J166</f>
        <v>0</v>
      </c>
      <c r="H58" s="992">
        <f>+pers!K166</f>
        <v>0</v>
      </c>
      <c r="I58" s="992">
        <f>+pers!L166</f>
        <v>0</v>
      </c>
      <c r="J58" s="487"/>
      <c r="K58" s="71"/>
      <c r="L58" s="136"/>
      <c r="M58" s="136"/>
    </row>
    <row r="59" spans="2:13" x14ac:dyDescent="0.2">
      <c r="B59" s="67"/>
      <c r="C59" s="135"/>
      <c r="D59" s="531" t="s">
        <v>400</v>
      </c>
      <c r="E59" s="136"/>
      <c r="F59" s="993">
        <f>7/12*ken!F56+5/12*ken!G56</f>
        <v>1</v>
      </c>
      <c r="G59" s="993">
        <f>7/12*ken!G56+5/12*ken!H56</f>
        <v>1</v>
      </c>
      <c r="H59" s="993">
        <f>7/12*ken!H56+5/12*ken!I56</f>
        <v>1</v>
      </c>
      <c r="I59" s="993">
        <f>7/12*ken!I56+5/12*ken!J56</f>
        <v>1</v>
      </c>
      <c r="J59" s="487"/>
      <c r="K59" s="71"/>
      <c r="L59" s="531"/>
      <c r="M59" s="531"/>
    </row>
    <row r="60" spans="2:13" x14ac:dyDescent="0.2">
      <c r="B60" s="67"/>
      <c r="C60" s="135"/>
      <c r="D60" s="531" t="s">
        <v>0</v>
      </c>
      <c r="E60" s="136"/>
      <c r="F60" s="993">
        <f>7/12*ken!F57+5/12*ken!G57</f>
        <v>1</v>
      </c>
      <c r="G60" s="993">
        <f>7/12*ken!G57+5/12*ken!H57</f>
        <v>1</v>
      </c>
      <c r="H60" s="993">
        <f>7/12*ken!H57+5/12*ken!I57</f>
        <v>1</v>
      </c>
      <c r="I60" s="993">
        <f>7/12*ken!I57+5/12*ken!J57</f>
        <v>1</v>
      </c>
      <c r="J60" s="487"/>
      <c r="K60" s="71"/>
      <c r="L60" s="531"/>
      <c r="M60" s="531"/>
    </row>
    <row r="61" spans="2:13" x14ac:dyDescent="0.2">
      <c r="B61" s="67"/>
      <c r="C61" s="135"/>
      <c r="D61" s="531" t="s">
        <v>576</v>
      </c>
      <c r="E61" s="136"/>
      <c r="F61" s="993">
        <f>7/12*ken!F58+5/12*ken!G58</f>
        <v>1</v>
      </c>
      <c r="G61" s="993">
        <f>7/12*ken!G58+5/12*ken!H58</f>
        <v>1</v>
      </c>
      <c r="H61" s="993">
        <f>7/12*ken!H58+5/12*ken!I58</f>
        <v>1</v>
      </c>
      <c r="I61" s="993">
        <f>7/12*ken!I58+5/12*ken!J58</f>
        <v>1</v>
      </c>
      <c r="J61" s="487"/>
      <c r="K61" s="71"/>
      <c r="L61" s="531"/>
      <c r="M61" s="531"/>
    </row>
    <row r="62" spans="2:13" x14ac:dyDescent="0.2">
      <c r="B62" s="67"/>
      <c r="C62" s="135"/>
      <c r="D62" s="136" t="s">
        <v>388</v>
      </c>
      <c r="E62" s="136"/>
      <c r="F62" s="992">
        <f>begr!G49</f>
        <v>0</v>
      </c>
      <c r="G62" s="992">
        <f>begr!H49</f>
        <v>0</v>
      </c>
      <c r="H62" s="992">
        <f>begr!I49</f>
        <v>0</v>
      </c>
      <c r="I62" s="992">
        <f>begr!J49</f>
        <v>0</v>
      </c>
      <c r="J62" s="487"/>
      <c r="K62" s="71"/>
      <c r="L62" s="136"/>
      <c r="M62" s="136"/>
    </row>
    <row r="63" spans="2:13" x14ac:dyDescent="0.2">
      <c r="B63" s="67"/>
      <c r="C63" s="135"/>
      <c r="D63" s="136" t="s">
        <v>389</v>
      </c>
      <c r="E63" s="136"/>
      <c r="F63" s="992">
        <f>begr!G50</f>
        <v>0</v>
      </c>
      <c r="G63" s="992">
        <f>begr!H50</f>
        <v>0</v>
      </c>
      <c r="H63" s="992">
        <f>begr!I50</f>
        <v>0</v>
      </c>
      <c r="I63" s="992">
        <f>begr!J50</f>
        <v>0</v>
      </c>
      <c r="J63" s="487"/>
      <c r="K63" s="71"/>
      <c r="L63" s="136"/>
      <c r="M63" s="136"/>
    </row>
    <row r="64" spans="2:13" x14ac:dyDescent="0.2">
      <c r="B64" s="67"/>
      <c r="C64" s="135"/>
      <c r="D64" s="518" t="s">
        <v>278</v>
      </c>
      <c r="E64" s="136"/>
      <c r="F64" s="992">
        <f>act!G29</f>
        <v>0</v>
      </c>
      <c r="G64" s="992">
        <f>act!H29</f>
        <v>0</v>
      </c>
      <c r="H64" s="992">
        <f>act!I29</f>
        <v>0</v>
      </c>
      <c r="I64" s="992">
        <f>act!J29</f>
        <v>0</v>
      </c>
      <c r="J64" s="487"/>
      <c r="K64" s="71"/>
      <c r="L64" s="518"/>
      <c r="M64" s="518"/>
    </row>
    <row r="65" spans="2:13" x14ac:dyDescent="0.2">
      <c r="B65" s="67"/>
      <c r="C65" s="135"/>
      <c r="D65" s="518" t="s">
        <v>279</v>
      </c>
      <c r="E65" s="136"/>
      <c r="F65" s="992">
        <f>mop!G18</f>
        <v>0</v>
      </c>
      <c r="G65" s="992">
        <f>mop!H18</f>
        <v>0</v>
      </c>
      <c r="H65" s="992">
        <f>mop!I18</f>
        <v>0</v>
      </c>
      <c r="I65" s="992">
        <f>mop!J18</f>
        <v>0</v>
      </c>
      <c r="J65" s="487"/>
      <c r="K65" s="71"/>
      <c r="L65" s="518"/>
      <c r="M65" s="518"/>
    </row>
    <row r="66" spans="2:13" x14ac:dyDescent="0.2">
      <c r="B66" s="67"/>
      <c r="C66" s="135"/>
      <c r="D66" s="518" t="s">
        <v>303</v>
      </c>
      <c r="E66" s="136"/>
      <c r="F66" s="992">
        <f>ken!F32</f>
        <v>1480761.5408333335</v>
      </c>
      <c r="G66" s="992">
        <f>ken!G32</f>
        <v>1497509.6558333335</v>
      </c>
      <c r="H66" s="992">
        <f>ken!H32</f>
        <v>1510679.4058333335</v>
      </c>
      <c r="I66" s="992">
        <f>ken!I32</f>
        <v>1523849.1558333335</v>
      </c>
      <c r="J66" s="487"/>
      <c r="K66" s="71"/>
      <c r="L66" s="518"/>
      <c r="M66" s="518"/>
    </row>
    <row r="67" spans="2:13" x14ac:dyDescent="0.2">
      <c r="B67" s="67"/>
      <c r="C67" s="135"/>
      <c r="D67" s="518" t="s">
        <v>521</v>
      </c>
      <c r="E67" s="136"/>
      <c r="F67" s="992">
        <f>pers!I169+mat!I38</f>
        <v>169753.61499999999</v>
      </c>
      <c r="G67" s="992">
        <f>pers!J169+mat!J38</f>
        <v>170787.63999999998</v>
      </c>
      <c r="H67" s="992">
        <f>pers!K169+mat!K38</f>
        <v>170787.63999999998</v>
      </c>
      <c r="I67" s="992">
        <f>pers!L169+mat!L38</f>
        <v>170787.63999999998</v>
      </c>
      <c r="J67" s="487"/>
      <c r="K67" s="71"/>
      <c r="L67" s="518"/>
      <c r="M67" s="518"/>
    </row>
    <row r="68" spans="2:13" x14ac:dyDescent="0.2">
      <c r="B68" s="67"/>
      <c r="C68" s="491"/>
      <c r="D68" s="524"/>
      <c r="E68" s="492"/>
      <c r="F68" s="492"/>
      <c r="G68" s="492"/>
      <c r="H68" s="653"/>
      <c r="I68" s="492"/>
      <c r="J68" s="494"/>
      <c r="K68" s="71"/>
    </row>
    <row r="69" spans="2:13" x14ac:dyDescent="0.2">
      <c r="B69" s="67"/>
      <c r="C69" s="68"/>
      <c r="D69" s="68"/>
      <c r="E69" s="68"/>
      <c r="F69" s="68"/>
      <c r="G69" s="68"/>
      <c r="H69" s="649"/>
      <c r="I69" s="68"/>
      <c r="J69" s="68"/>
      <c r="K69" s="71"/>
    </row>
    <row r="70" spans="2:13" ht="15" x14ac:dyDescent="0.25">
      <c r="B70" s="86"/>
      <c r="C70" s="87"/>
      <c r="D70" s="87"/>
      <c r="E70" s="87"/>
      <c r="F70" s="87"/>
      <c r="G70" s="87"/>
      <c r="H70" s="650"/>
      <c r="I70" s="87"/>
      <c r="J70" s="89" t="s">
        <v>410</v>
      </c>
      <c r="K70" s="90"/>
    </row>
    <row r="71" spans="2:13" x14ac:dyDescent="0.2">
      <c r="H71" s="313"/>
    </row>
    <row r="72" spans="2:13" x14ac:dyDescent="0.2">
      <c r="H72" s="313"/>
    </row>
    <row r="73" spans="2:13" x14ac:dyDescent="0.2">
      <c r="H73" s="313"/>
    </row>
    <row r="74" spans="2:13" x14ac:dyDescent="0.2">
      <c r="H74" s="313"/>
    </row>
    <row r="75" spans="2:13" x14ac:dyDescent="0.2">
      <c r="H75" s="313"/>
    </row>
    <row r="76" spans="2:13" x14ac:dyDescent="0.2">
      <c r="H76" s="313"/>
    </row>
    <row r="77" spans="2:13" x14ac:dyDescent="0.2">
      <c r="H77" s="313"/>
    </row>
    <row r="78" spans="2:13" x14ac:dyDescent="0.2">
      <c r="H78" s="313"/>
    </row>
    <row r="79" spans="2:13" x14ac:dyDescent="0.2">
      <c r="H79" s="313"/>
    </row>
    <row r="80" spans="2:13" x14ac:dyDescent="0.2">
      <c r="H80" s="313"/>
    </row>
    <row r="81" spans="8:8" x14ac:dyDescent="0.2">
      <c r="H81" s="313"/>
    </row>
    <row r="82" spans="8:8" x14ac:dyDescent="0.2">
      <c r="H82" s="313"/>
    </row>
    <row r="83" spans="8:8" x14ac:dyDescent="0.2">
      <c r="H83" s="313"/>
    </row>
    <row r="84" spans="8:8" x14ac:dyDescent="0.2">
      <c r="H84" s="313"/>
    </row>
    <row r="85" spans="8:8" x14ac:dyDescent="0.2">
      <c r="H85" s="313"/>
    </row>
    <row r="86" spans="8:8" x14ac:dyDescent="0.2">
      <c r="H86" s="313"/>
    </row>
    <row r="87" spans="8:8" x14ac:dyDescent="0.2">
      <c r="H87" s="313"/>
    </row>
    <row r="88" spans="8:8" x14ac:dyDescent="0.2">
      <c r="H88" s="313"/>
    </row>
    <row r="89" spans="8:8" x14ac:dyDescent="0.2">
      <c r="H89" s="313"/>
    </row>
    <row r="90" spans="8:8" x14ac:dyDescent="0.2">
      <c r="H90" s="313"/>
    </row>
    <row r="91" spans="8:8" x14ac:dyDescent="0.2">
      <c r="H91" s="313"/>
    </row>
    <row r="92" spans="8:8" x14ac:dyDescent="0.2">
      <c r="H92" s="313"/>
    </row>
    <row r="93" spans="8:8" x14ac:dyDescent="0.2">
      <c r="H93" s="313"/>
    </row>
    <row r="94" spans="8:8" x14ac:dyDescent="0.2">
      <c r="H94" s="313"/>
    </row>
    <row r="95" spans="8:8" x14ac:dyDescent="0.2">
      <c r="H95" s="313"/>
    </row>
    <row r="96" spans="8:8" x14ac:dyDescent="0.2">
      <c r="H96" s="313"/>
    </row>
    <row r="97" spans="8:8" x14ac:dyDescent="0.2">
      <c r="H97" s="313"/>
    </row>
    <row r="98" spans="8:8" x14ac:dyDescent="0.2">
      <c r="H98" s="313"/>
    </row>
    <row r="99" spans="8:8" x14ac:dyDescent="0.2">
      <c r="H99" s="313"/>
    </row>
    <row r="100" spans="8:8" x14ac:dyDescent="0.2">
      <c r="H100" s="313"/>
    </row>
    <row r="101" spans="8:8" x14ac:dyDescent="0.2">
      <c r="H101" s="313"/>
    </row>
    <row r="102" spans="8:8" x14ac:dyDescent="0.2">
      <c r="H102" s="313"/>
    </row>
    <row r="103" spans="8:8" x14ac:dyDescent="0.2">
      <c r="H103" s="313"/>
    </row>
    <row r="104" spans="8:8" x14ac:dyDescent="0.2">
      <c r="H104" s="313"/>
    </row>
    <row r="105" spans="8:8" x14ac:dyDescent="0.2">
      <c r="H105" s="313"/>
    </row>
    <row r="106" spans="8:8" x14ac:dyDescent="0.2">
      <c r="H106" s="313"/>
    </row>
    <row r="107" spans="8:8" x14ac:dyDescent="0.2">
      <c r="H107" s="313"/>
    </row>
    <row r="108" spans="8:8" x14ac:dyDescent="0.2">
      <c r="H108" s="313"/>
    </row>
    <row r="109" spans="8:8" x14ac:dyDescent="0.2">
      <c r="H109" s="313"/>
    </row>
    <row r="110" spans="8:8" x14ac:dyDescent="0.2">
      <c r="H110" s="313"/>
    </row>
  </sheetData>
  <sheetProtection algorithmName="SHA-512" hashValue="Vxq6L4LYYfJUEERP0iESI/oBGJ/b8DIQfeL42U0gxNhlmPMkuTkhAfWK2RU8ZbReI+yZ+rsXUE3f7BMvB5V5bQ==" saltValue="v39hwv/XYd3oOxBFoaFW/g==" spinCount="100000" sheet="1" objects="1" scenarios="1"/>
  <mergeCells count="1">
    <mergeCell ref="F10:H10"/>
  </mergeCells>
  <phoneticPr fontId="0" type="noConversion"/>
  <pageMargins left="0.78740157480314965" right="0.78740157480314965"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dimension ref="A2:AA278"/>
  <sheetViews>
    <sheetView zoomScale="85" zoomScaleNormal="85" zoomScaleSheetLayoutView="50" workbookViewId="0">
      <pane ySplit="6" topLeftCell="A7" activePane="bottomLeft" state="frozen"/>
      <selection activeCell="B2" sqref="B2"/>
      <selection pane="bottomLeft"/>
    </sheetView>
  </sheetViews>
  <sheetFormatPr defaultColWidth="9.140625" defaultRowHeight="12.75" customHeight="1" x14ac:dyDescent="0.2"/>
  <cols>
    <col min="1" max="1" width="40.7109375" style="29" customWidth="1"/>
    <col min="2" max="2" width="14.7109375" style="953" customWidth="1"/>
    <col min="3" max="8" width="14.7109375" style="29" customWidth="1"/>
    <col min="9" max="27" width="14.7109375" style="26" customWidth="1"/>
    <col min="28" max="16384" width="9.140625" style="26"/>
  </cols>
  <sheetData>
    <row r="2" spans="1:9" s="2" customFormat="1" x14ac:dyDescent="0.2">
      <c r="A2" s="3" t="s">
        <v>200</v>
      </c>
      <c r="B2" s="951"/>
      <c r="C2" s="900" t="s">
        <v>114</v>
      </c>
      <c r="D2" s="900" t="s">
        <v>423</v>
      </c>
      <c r="E2" s="900" t="s">
        <v>428</v>
      </c>
      <c r="F2" s="900" t="s">
        <v>482</v>
      </c>
      <c r="G2" s="900" t="s">
        <v>514</v>
      </c>
      <c r="H2" s="900" t="s">
        <v>515</v>
      </c>
      <c r="I2" s="900" t="s">
        <v>577</v>
      </c>
    </row>
    <row r="3" spans="1:9" s="2" customFormat="1" x14ac:dyDescent="0.2">
      <c r="A3" s="3" t="s">
        <v>249</v>
      </c>
      <c r="B3" s="951"/>
      <c r="C3" s="901">
        <v>41548</v>
      </c>
      <c r="D3" s="901">
        <v>41913</v>
      </c>
      <c r="E3" s="901">
        <v>42278</v>
      </c>
      <c r="F3" s="901">
        <v>42644</v>
      </c>
      <c r="G3" s="901">
        <v>43009</v>
      </c>
      <c r="H3" s="901">
        <v>43374</v>
      </c>
      <c r="I3" s="901">
        <v>43739</v>
      </c>
    </row>
    <row r="4" spans="1:9" s="2" customFormat="1" x14ac:dyDescent="0.2">
      <c r="A4" s="3" t="s">
        <v>263</v>
      </c>
      <c r="B4" s="951"/>
      <c r="C4" s="900">
        <v>2014</v>
      </c>
      <c r="D4" s="900">
        <f t="shared" ref="D4" si="0">C4+1</f>
        <v>2015</v>
      </c>
      <c r="E4" s="900">
        <f t="shared" ref="E4" si="1">D4+1</f>
        <v>2016</v>
      </c>
      <c r="F4" s="900">
        <f t="shared" ref="F4" si="2">E4+1</f>
        <v>2017</v>
      </c>
      <c r="G4" s="900">
        <f t="shared" ref="G4" si="3">F4+1</f>
        <v>2018</v>
      </c>
      <c r="H4" s="900">
        <f t="shared" ref="H4" si="4">G4+1</f>
        <v>2019</v>
      </c>
      <c r="I4" s="900">
        <f t="shared" ref="I4" si="5">H4+1</f>
        <v>2020</v>
      </c>
    </row>
    <row r="5" spans="1:9" s="27" customFormat="1" x14ac:dyDescent="0.2">
      <c r="B5" s="952"/>
    </row>
    <row r="8" spans="1:9" s="2" customFormat="1" x14ac:dyDescent="0.2">
      <c r="A8" s="1183" t="s">
        <v>371</v>
      </c>
      <c r="B8" s="951"/>
      <c r="C8" s="11"/>
      <c r="D8" s="11"/>
      <c r="E8" s="11"/>
      <c r="F8" s="11"/>
      <c r="G8" s="11"/>
      <c r="H8" s="11"/>
    </row>
    <row r="9" spans="1:9" s="2" customFormat="1" x14ac:dyDescent="0.2">
      <c r="A9" s="3" t="s">
        <v>340</v>
      </c>
      <c r="B9" s="951"/>
      <c r="C9" s="973">
        <v>4.5199999999999997E-2</v>
      </c>
      <c r="D9" s="3">
        <v>4.5199999999999997E-2</v>
      </c>
      <c r="E9" s="3">
        <v>4.5199999999999997E-2</v>
      </c>
      <c r="F9" s="7"/>
      <c r="G9" s="7"/>
      <c r="H9" s="7"/>
      <c r="I9" s="3"/>
    </row>
    <row r="10" spans="1:9" s="2" customFormat="1" x14ac:dyDescent="0.2">
      <c r="A10" s="3" t="s">
        <v>341</v>
      </c>
      <c r="B10" s="951"/>
      <c r="C10" s="973">
        <v>6.4600000000000005E-2</v>
      </c>
      <c r="D10" s="3">
        <v>6.4600000000000005E-2</v>
      </c>
      <c r="E10" s="3">
        <v>6.4600000000000005E-2</v>
      </c>
      <c r="F10" s="7"/>
      <c r="G10" s="7"/>
      <c r="H10" s="7"/>
      <c r="I10" s="3"/>
    </row>
    <row r="11" spans="1:9" s="2" customFormat="1" x14ac:dyDescent="0.2">
      <c r="A11" s="3" t="s">
        <v>342</v>
      </c>
      <c r="B11" s="951"/>
      <c r="C11" s="973">
        <v>4.0099999999999997E-2</v>
      </c>
      <c r="D11" s="3">
        <v>4.0099999999999997E-2</v>
      </c>
      <c r="E11" s="3">
        <v>4.0099999999999997E-2</v>
      </c>
      <c r="F11" s="7"/>
      <c r="G11" s="7"/>
      <c r="H11" s="7"/>
      <c r="I11" s="3"/>
    </row>
    <row r="12" spans="1:9" x14ac:dyDescent="0.2">
      <c r="A12" s="28"/>
      <c r="B12" s="951"/>
      <c r="C12" s="974"/>
      <c r="D12" s="30"/>
      <c r="E12" s="30"/>
      <c r="F12" s="30"/>
      <c r="G12" s="30"/>
      <c r="H12" s="30"/>
      <c r="I12" s="897"/>
    </row>
    <row r="13" spans="1:9" s="2" customFormat="1" x14ac:dyDescent="0.2">
      <c r="A13" s="1"/>
      <c r="B13" s="1017" t="s">
        <v>526</v>
      </c>
      <c r="C13" s="974"/>
      <c r="D13" s="7"/>
      <c r="E13" s="7"/>
      <c r="F13" s="7"/>
      <c r="G13" s="7"/>
      <c r="H13" s="7"/>
      <c r="I13" s="3"/>
    </row>
    <row r="14" spans="1:9" s="2" customFormat="1" x14ac:dyDescent="0.2">
      <c r="A14" s="3" t="s">
        <v>218</v>
      </c>
      <c r="B14" s="1017"/>
      <c r="C14" s="974"/>
      <c r="D14" s="950">
        <v>41.69</v>
      </c>
      <c r="E14" s="950">
        <f t="shared" ref="E14:E16" si="6">D14</f>
        <v>41.69</v>
      </c>
      <c r="F14" s="3"/>
      <c r="G14" s="3"/>
      <c r="H14" s="7"/>
      <c r="I14" s="3"/>
    </row>
    <row r="15" spans="1:9" s="2" customFormat="1" x14ac:dyDescent="0.2">
      <c r="A15" s="3" t="s">
        <v>219</v>
      </c>
      <c r="B15" s="1017"/>
      <c r="C15" s="975"/>
      <c r="D15" s="948">
        <v>63960.56</v>
      </c>
      <c r="E15" s="948">
        <v>63960.56</v>
      </c>
      <c r="F15" s="3"/>
      <c r="G15" s="7"/>
      <c r="H15" s="7"/>
      <c r="I15" s="3"/>
    </row>
    <row r="16" spans="1:9" s="2" customFormat="1" x14ac:dyDescent="0.2">
      <c r="A16" s="3" t="s">
        <v>331</v>
      </c>
      <c r="B16" s="1017"/>
      <c r="C16" s="975"/>
      <c r="D16" s="948">
        <v>80920.39</v>
      </c>
      <c r="E16" s="948">
        <f t="shared" si="6"/>
        <v>80920.39</v>
      </c>
      <c r="F16" s="3"/>
      <c r="G16" s="7"/>
      <c r="H16" s="7"/>
      <c r="I16" s="3"/>
    </row>
    <row r="17" spans="1:9" s="2" customFormat="1" ht="12.75" customHeight="1" x14ac:dyDescent="0.2">
      <c r="A17" s="3" t="s">
        <v>220</v>
      </c>
      <c r="B17" s="1017"/>
      <c r="C17" s="975"/>
      <c r="D17" s="948">
        <v>27218.37</v>
      </c>
      <c r="E17" s="948">
        <v>27218.37</v>
      </c>
      <c r="F17" s="11"/>
      <c r="G17" s="7"/>
      <c r="H17" s="7"/>
    </row>
    <row r="18" spans="1:9" s="2" customFormat="1" ht="12.75" customHeight="1" x14ac:dyDescent="0.2">
      <c r="A18" s="3" t="s">
        <v>221</v>
      </c>
      <c r="B18" s="1017"/>
      <c r="C18" s="975"/>
      <c r="D18" s="948">
        <v>881.32</v>
      </c>
      <c r="E18" s="948">
        <v>881.32</v>
      </c>
      <c r="F18" s="11"/>
      <c r="G18" s="3"/>
      <c r="H18" s="11"/>
    </row>
    <row r="19" spans="1:9" s="2" customFormat="1" x14ac:dyDescent="0.2">
      <c r="A19" s="864" t="s">
        <v>401</v>
      </c>
      <c r="B19" s="1017"/>
      <c r="C19" s="975"/>
      <c r="D19" s="948">
        <v>19344.830000000002</v>
      </c>
      <c r="E19" s="948">
        <v>19344.830000000002</v>
      </c>
      <c r="F19" s="3"/>
      <c r="G19" s="3"/>
      <c r="H19" s="7"/>
      <c r="I19" s="3"/>
    </row>
    <row r="20" spans="1:9" s="2" customFormat="1" x14ac:dyDescent="0.2">
      <c r="A20" s="864" t="s">
        <v>402</v>
      </c>
      <c r="B20" s="1018"/>
      <c r="C20" s="976"/>
      <c r="D20" s="948">
        <v>36304.660000000003</v>
      </c>
      <c r="E20" s="948">
        <v>36304.660000000003</v>
      </c>
      <c r="F20" s="3"/>
      <c r="G20" s="3"/>
      <c r="H20" s="7"/>
      <c r="I20" s="3"/>
    </row>
    <row r="21" spans="1:9" x14ac:dyDescent="0.2">
      <c r="A21" s="26"/>
      <c r="B21" s="1019"/>
      <c r="C21" s="977"/>
      <c r="D21" s="26"/>
      <c r="E21" s="26"/>
      <c r="F21" s="897"/>
      <c r="G21" s="30"/>
      <c r="H21" s="30"/>
      <c r="I21" s="897"/>
    </row>
    <row r="22" spans="1:9" s="2" customFormat="1" x14ac:dyDescent="0.2">
      <c r="A22" s="3" t="s">
        <v>343</v>
      </c>
      <c r="B22" s="1017"/>
      <c r="C22" s="975"/>
      <c r="D22" s="44">
        <f>ROUND(tab!D17*tab!D9,2)</f>
        <v>1230.27</v>
      </c>
      <c r="E22" s="44">
        <f>ROUND(tab!E17*tab!E9,2)</f>
        <v>1230.27</v>
      </c>
      <c r="F22" s="44"/>
      <c r="G22" s="44"/>
      <c r="H22" s="44"/>
      <c r="I22" s="44"/>
    </row>
    <row r="23" spans="1:9" s="2" customFormat="1" x14ac:dyDescent="0.2">
      <c r="A23" s="3" t="s">
        <v>177</v>
      </c>
      <c r="B23" s="1017"/>
      <c r="C23" s="975"/>
      <c r="D23" s="44">
        <f>ROUND(tab!D9*tab!D18,2)</f>
        <v>39.840000000000003</v>
      </c>
      <c r="E23" s="44">
        <f>ROUND(tab!E9*tab!E18,2)</f>
        <v>39.840000000000003</v>
      </c>
      <c r="F23" s="44"/>
      <c r="G23" s="44"/>
      <c r="H23" s="44"/>
      <c r="I23" s="44"/>
    </row>
    <row r="24" spans="1:9" s="2" customFormat="1" x14ac:dyDescent="0.2">
      <c r="A24" s="3" t="s">
        <v>178</v>
      </c>
      <c r="B24" s="1017"/>
      <c r="C24" s="975"/>
      <c r="D24" s="44">
        <f>ROUND(tab!D17*tab!D10,2)</f>
        <v>1758.31</v>
      </c>
      <c r="E24" s="44">
        <f>ROUND(tab!E17*tab!E10,2)</f>
        <v>1758.31</v>
      </c>
      <c r="F24" s="44"/>
      <c r="G24" s="44"/>
      <c r="H24" s="44"/>
      <c r="I24" s="44"/>
    </row>
    <row r="25" spans="1:9" s="2" customFormat="1" x14ac:dyDescent="0.2">
      <c r="A25" s="3" t="s">
        <v>179</v>
      </c>
      <c r="B25" s="1017"/>
      <c r="C25" s="975"/>
      <c r="D25" s="44">
        <f>ROUND(tab!D10*tab!D18,2)</f>
        <v>56.93</v>
      </c>
      <c r="E25" s="44">
        <f>ROUND(tab!E10*tab!E18,2)</f>
        <v>56.93</v>
      </c>
      <c r="F25" s="44"/>
      <c r="G25" s="44"/>
      <c r="H25" s="44"/>
      <c r="I25" s="44"/>
    </row>
    <row r="26" spans="1:9" s="2" customFormat="1" x14ac:dyDescent="0.2">
      <c r="A26" s="3" t="s">
        <v>344</v>
      </c>
      <c r="B26" s="1017"/>
      <c r="C26" s="975"/>
      <c r="D26" s="44">
        <f>ROUND(tab!D17*tab!D11,2)</f>
        <v>1091.46</v>
      </c>
      <c r="E26" s="44">
        <f>ROUND(tab!E17*tab!E11,2)</f>
        <v>1091.46</v>
      </c>
      <c r="F26" s="44"/>
      <c r="G26" s="44"/>
      <c r="H26" s="44"/>
      <c r="I26" s="44"/>
    </row>
    <row r="27" spans="1:9" s="2" customFormat="1" x14ac:dyDescent="0.2">
      <c r="A27" s="3" t="s">
        <v>180</v>
      </c>
      <c r="B27" s="1017"/>
      <c r="C27" s="975"/>
      <c r="D27" s="44">
        <f>ROUND(tab!D11*tab!D18,2)</f>
        <v>35.340000000000003</v>
      </c>
      <c r="E27" s="44">
        <f>ROUND(tab!E11*tab!E18,2)</f>
        <v>35.340000000000003</v>
      </c>
      <c r="F27" s="44"/>
      <c r="G27" s="44"/>
      <c r="H27" s="44"/>
      <c r="I27" s="44"/>
    </row>
    <row r="28" spans="1:9" s="2" customFormat="1" x14ac:dyDescent="0.2">
      <c r="A28" s="3" t="s">
        <v>241</v>
      </c>
      <c r="B28" s="1017"/>
      <c r="C28" s="978"/>
      <c r="D28" s="45">
        <v>99</v>
      </c>
      <c r="E28" s="45">
        <f>D28</f>
        <v>99</v>
      </c>
      <c r="F28" s="46"/>
      <c r="G28" s="46"/>
      <c r="H28" s="46"/>
      <c r="I28" s="46"/>
    </row>
    <row r="29" spans="1:9" x14ac:dyDescent="0.2">
      <c r="A29" s="897"/>
      <c r="B29" s="1020"/>
      <c r="C29" s="979"/>
      <c r="D29" s="897"/>
      <c r="E29" s="897"/>
      <c r="F29" s="897"/>
    </row>
    <row r="30" spans="1:9" x14ac:dyDescent="0.2">
      <c r="A30" s="1" t="s">
        <v>516</v>
      </c>
      <c r="B30" s="1021"/>
      <c r="C30" s="980"/>
      <c r="D30" s="1"/>
      <c r="E30" s="966"/>
      <c r="F30" s="966"/>
    </row>
    <row r="31" spans="1:9" x14ac:dyDescent="0.2">
      <c r="A31" s="3" t="s">
        <v>490</v>
      </c>
      <c r="B31" s="1021"/>
      <c r="C31" s="977"/>
      <c r="D31" s="44">
        <f>ROUND(D9*D15,2)</f>
        <v>2891.02</v>
      </c>
      <c r="E31" s="44">
        <f>ROUND(E9*E15,2)</f>
        <v>2891.02</v>
      </c>
      <c r="F31" s="966"/>
    </row>
    <row r="32" spans="1:9" x14ac:dyDescent="0.2">
      <c r="A32" s="3" t="s">
        <v>491</v>
      </c>
      <c r="B32" s="1021"/>
      <c r="C32" s="977"/>
      <c r="D32" s="44">
        <f>ROUND(D10*D15,2)</f>
        <v>4131.8500000000004</v>
      </c>
      <c r="E32" s="44">
        <f>ROUND(E10*E15,2)</f>
        <v>4131.8500000000004</v>
      </c>
      <c r="F32" s="966"/>
    </row>
    <row r="33" spans="1:8" x14ac:dyDescent="0.2">
      <c r="A33" s="3" t="s">
        <v>517</v>
      </c>
      <c r="B33" s="1021"/>
      <c r="C33" s="977"/>
      <c r="D33" s="44">
        <f>ROUND(D11*D15,2)</f>
        <v>2564.8200000000002</v>
      </c>
      <c r="E33" s="44">
        <f>ROUND(E11*E15,2)</f>
        <v>2564.8200000000002</v>
      </c>
      <c r="F33" s="966"/>
    </row>
    <row r="34" spans="1:8" x14ac:dyDescent="0.2">
      <c r="A34" s="3" t="s">
        <v>518</v>
      </c>
      <c r="B34" s="1021"/>
      <c r="C34" s="977"/>
      <c r="D34" s="44">
        <f>D31+D32</f>
        <v>7022.8700000000008</v>
      </c>
      <c r="E34" s="44">
        <f>E31+E32</f>
        <v>7022.8700000000008</v>
      </c>
      <c r="F34" s="966"/>
    </row>
    <row r="35" spans="1:8" x14ac:dyDescent="0.2">
      <c r="A35" s="966"/>
      <c r="B35" s="1020"/>
      <c r="C35" s="976"/>
      <c r="D35" s="966"/>
      <c r="E35" s="966"/>
      <c r="F35" s="966"/>
    </row>
    <row r="36" spans="1:8" x14ac:dyDescent="0.2">
      <c r="A36" s="1302"/>
      <c r="B36" s="1020"/>
      <c r="C36" s="976"/>
      <c r="D36" s="1302"/>
      <c r="E36" s="1302"/>
      <c r="F36" s="1302"/>
    </row>
    <row r="37" spans="1:8" x14ac:dyDescent="0.2">
      <c r="A37" s="1184" t="s">
        <v>203</v>
      </c>
      <c r="B37" s="1020" t="s">
        <v>527</v>
      </c>
      <c r="C37" s="11"/>
      <c r="D37" s="11"/>
      <c r="E37" s="11"/>
      <c r="F37" s="1302"/>
    </row>
    <row r="38" spans="1:8" x14ac:dyDescent="0.2">
      <c r="A38" s="7" t="s">
        <v>205</v>
      </c>
      <c r="B38" s="956"/>
      <c r="C38" s="976"/>
      <c r="D38" s="902">
        <v>11727.52</v>
      </c>
      <c r="E38" s="902">
        <v>11727.52</v>
      </c>
      <c r="F38" s="1302"/>
    </row>
    <row r="39" spans="1:8" x14ac:dyDescent="0.2">
      <c r="A39" s="3" t="s">
        <v>204</v>
      </c>
      <c r="B39" s="951"/>
      <c r="C39" s="976"/>
      <c r="D39" s="902">
        <v>648.65</v>
      </c>
      <c r="E39" s="902">
        <v>648.65</v>
      </c>
      <c r="F39" s="1302"/>
    </row>
    <row r="40" spans="1:8" x14ac:dyDescent="0.2">
      <c r="A40" s="3" t="s">
        <v>181</v>
      </c>
      <c r="B40" s="951"/>
      <c r="C40" s="976"/>
      <c r="D40" s="902">
        <v>164.33</v>
      </c>
      <c r="E40" s="902">
        <v>164.33</v>
      </c>
      <c r="F40" s="1302"/>
    </row>
    <row r="41" spans="1:8" x14ac:dyDescent="0.2">
      <c r="A41" s="1302"/>
      <c r="B41" s="1020"/>
      <c r="C41" s="976"/>
      <c r="D41" s="1302"/>
      <c r="E41" s="1302"/>
      <c r="F41" s="1302"/>
    </row>
    <row r="42" spans="1:8" x14ac:dyDescent="0.2">
      <c r="A42" s="1302"/>
      <c r="B42" s="1020"/>
      <c r="C42" s="976"/>
      <c r="D42" s="1302"/>
      <c r="E42" s="1302"/>
      <c r="F42" s="1302"/>
    </row>
    <row r="43" spans="1:8" x14ac:dyDescent="0.2">
      <c r="A43" s="1184" t="s">
        <v>465</v>
      </c>
      <c r="B43" s="1017" t="s">
        <v>622</v>
      </c>
      <c r="C43" s="982"/>
      <c r="D43" s="898"/>
      <c r="E43" s="898"/>
      <c r="F43" s="897"/>
    </row>
    <row r="44" spans="1:8" x14ac:dyDescent="0.2">
      <c r="A44" s="899" t="s">
        <v>466</v>
      </c>
      <c r="C44" s="982"/>
      <c r="D44" s="912">
        <v>78.44</v>
      </c>
      <c r="E44" s="948">
        <v>78.44</v>
      </c>
      <c r="F44" s="897"/>
      <c r="G44" s="984"/>
    </row>
    <row r="45" spans="1:8" x14ac:dyDescent="0.2">
      <c r="A45" s="3" t="s">
        <v>467</v>
      </c>
      <c r="B45" s="951"/>
      <c r="C45" s="975"/>
      <c r="D45" s="912">
        <v>0</v>
      </c>
      <c r="E45" s="948">
        <v>0</v>
      </c>
      <c r="F45" s="897"/>
      <c r="G45" s="984"/>
    </row>
    <row r="46" spans="1:8" ht="12" customHeight="1" x14ac:dyDescent="0.2">
      <c r="C46" s="979"/>
    </row>
    <row r="47" spans="1:8" ht="12" customHeight="1" x14ac:dyDescent="0.2">
      <c r="C47" s="979"/>
    </row>
    <row r="48" spans="1:8" s="2" customFormat="1" ht="12" customHeight="1" x14ac:dyDescent="0.2">
      <c r="A48" s="3" t="s">
        <v>308</v>
      </c>
      <c r="B48" s="951"/>
      <c r="C48" s="983">
        <v>0.61</v>
      </c>
      <c r="D48" s="903">
        <v>0.62</v>
      </c>
      <c r="E48" s="903">
        <v>0.62</v>
      </c>
      <c r="F48" s="11"/>
      <c r="G48" s="11" t="s">
        <v>523</v>
      </c>
      <c r="H48" s="1022" t="s">
        <v>524</v>
      </c>
    </row>
    <row r="49" spans="1:27" s="2" customFormat="1" ht="12" customHeight="1" x14ac:dyDescent="0.2">
      <c r="A49" s="3" t="s">
        <v>536</v>
      </c>
      <c r="B49" s="951"/>
      <c r="C49" s="983">
        <v>0.35</v>
      </c>
      <c r="D49" s="903">
        <v>0.5</v>
      </c>
      <c r="E49" s="903">
        <v>0.5</v>
      </c>
      <c r="F49" s="11"/>
      <c r="G49" s="11"/>
      <c r="H49" s="11"/>
    </row>
    <row r="50" spans="1:27" s="2" customFormat="1" ht="12" customHeight="1" x14ac:dyDescent="0.2">
      <c r="A50" s="3" t="s">
        <v>538</v>
      </c>
      <c r="B50" s="951"/>
      <c r="C50" s="983">
        <v>0.26</v>
      </c>
      <c r="D50" s="47">
        <f>D48-D49</f>
        <v>0.12</v>
      </c>
      <c r="E50" s="47">
        <f>E48-E49</f>
        <v>0.12</v>
      </c>
      <c r="F50" s="12">
        <f>(1+$D$48-D49)/(1+$D$48)</f>
        <v>0.6913580246913581</v>
      </c>
      <c r="G50" s="11"/>
      <c r="H50" s="11"/>
    </row>
    <row r="51" spans="1:27" s="2" customFormat="1" ht="12" customHeight="1" x14ac:dyDescent="0.2">
      <c r="A51" s="3" t="s">
        <v>308</v>
      </c>
      <c r="B51" s="951"/>
      <c r="C51" s="983">
        <v>0.61</v>
      </c>
      <c r="D51" s="48">
        <f>D48</f>
        <v>0.62</v>
      </c>
      <c r="E51" s="48">
        <f>E48</f>
        <v>0.62</v>
      </c>
      <c r="G51" s="11"/>
      <c r="H51" s="11"/>
    </row>
    <row r="52" spans="1:27" s="2" customFormat="1" ht="12" customHeight="1" x14ac:dyDescent="0.2">
      <c r="A52" s="3" t="s">
        <v>537</v>
      </c>
      <c r="B52" s="951"/>
      <c r="C52" s="983">
        <v>0.25</v>
      </c>
      <c r="D52" s="903">
        <v>0.4</v>
      </c>
      <c r="E52" s="903">
        <v>0.4</v>
      </c>
      <c r="F52" s="12">
        <f>(1+$D$48-D52)/(1+$D$48)</f>
        <v>0.75308641975308654</v>
      </c>
      <c r="G52" s="11"/>
      <c r="H52" s="11"/>
    </row>
    <row r="53" spans="1:27" s="2" customFormat="1" ht="12" customHeight="1" x14ac:dyDescent="0.2">
      <c r="A53" s="3" t="s">
        <v>538</v>
      </c>
      <c r="B53" s="951"/>
      <c r="C53" s="983">
        <v>0.36</v>
      </c>
      <c r="D53" s="47">
        <f>D51-D52</f>
        <v>0.21999999999999997</v>
      </c>
      <c r="E53" s="47">
        <f>E51-E52</f>
        <v>0.21999999999999997</v>
      </c>
      <c r="F53" s="11"/>
      <c r="G53" s="11"/>
      <c r="H53" s="11"/>
    </row>
    <row r="54" spans="1:27" ht="12" customHeight="1" x14ac:dyDescent="0.2"/>
    <row r="55" spans="1:27" ht="12" customHeight="1" x14ac:dyDescent="0.2"/>
    <row r="56" spans="1:27" ht="12" customHeight="1" x14ac:dyDescent="0.2">
      <c r="I56" s="29"/>
      <c r="J56" s="29"/>
      <c r="K56" s="29"/>
      <c r="L56" s="29"/>
      <c r="M56" s="29"/>
      <c r="N56" s="29"/>
      <c r="O56" s="29"/>
      <c r="P56" s="29"/>
      <c r="Q56" s="29"/>
      <c r="R56" s="29"/>
      <c r="S56" s="29"/>
      <c r="T56" s="29"/>
      <c r="U56" s="29"/>
      <c r="V56" s="29"/>
      <c r="W56" s="29"/>
      <c r="X56" s="29"/>
      <c r="Y56" s="29"/>
      <c r="Z56" s="29"/>
      <c r="AA56" s="29"/>
    </row>
    <row r="57" spans="1:27" s="2" customFormat="1" x14ac:dyDescent="0.2">
      <c r="A57" s="1183" t="s">
        <v>144</v>
      </c>
      <c r="B57" s="954"/>
      <c r="C57" s="1353">
        <v>41883</v>
      </c>
      <c r="E57" s="1"/>
      <c r="F57" s="3"/>
      <c r="G57" s="3"/>
      <c r="H57" s="3"/>
      <c r="I57" s="3"/>
      <c r="J57" s="3"/>
      <c r="K57" s="3"/>
      <c r="L57" s="3"/>
      <c r="M57" s="3"/>
      <c r="N57" s="3"/>
      <c r="O57" s="3"/>
      <c r="P57" s="3"/>
      <c r="Q57" s="3"/>
      <c r="R57" s="3"/>
      <c r="S57" s="3"/>
      <c r="T57" s="3"/>
      <c r="U57" s="3"/>
      <c r="V57" s="3"/>
      <c r="W57" s="3"/>
      <c r="X57" s="3"/>
    </row>
    <row r="58" spans="1:27" s="2" customFormat="1" x14ac:dyDescent="0.2">
      <c r="A58" s="3"/>
      <c r="B58" s="951"/>
      <c r="C58" s="3"/>
      <c r="D58" s="3"/>
      <c r="E58" s="3"/>
      <c r="F58" s="3"/>
      <c r="G58" s="3"/>
      <c r="H58" s="3"/>
      <c r="I58" s="3"/>
      <c r="J58" s="3"/>
      <c r="K58" s="3"/>
      <c r="L58" s="3"/>
      <c r="M58" s="3"/>
      <c r="N58" s="3"/>
      <c r="O58" s="3"/>
      <c r="P58" s="3"/>
      <c r="Q58" s="3"/>
      <c r="R58" s="3"/>
      <c r="S58" s="3"/>
      <c r="T58" s="3"/>
      <c r="U58" s="3"/>
      <c r="V58" s="3"/>
      <c r="W58" s="3"/>
      <c r="X58" s="3"/>
    </row>
    <row r="59" spans="1:27" s="2" customFormat="1" x14ac:dyDescent="0.2">
      <c r="A59" s="3" t="s">
        <v>406</v>
      </c>
      <c r="B59" s="954"/>
      <c r="C59" s="4"/>
      <c r="D59" s="5"/>
      <c r="E59" s="1"/>
      <c r="F59" s="1"/>
      <c r="G59" s="3"/>
      <c r="H59" s="3"/>
      <c r="I59" s="1"/>
      <c r="J59" s="3"/>
      <c r="K59" s="6"/>
      <c r="L59" s="3"/>
      <c r="M59" s="3"/>
      <c r="N59" s="3"/>
      <c r="O59" s="3"/>
      <c r="P59" s="3"/>
      <c r="Q59" s="7"/>
      <c r="R59" s="7"/>
      <c r="S59" s="7"/>
      <c r="T59" s="7"/>
      <c r="U59" s="7"/>
      <c r="V59" s="7"/>
      <c r="W59" s="7"/>
      <c r="X59" s="3"/>
    </row>
    <row r="60" spans="1:27" s="2" customFormat="1" x14ac:dyDescent="0.2">
      <c r="A60" s="1" t="s">
        <v>182</v>
      </c>
      <c r="B60" s="954"/>
      <c r="C60" s="8">
        <v>1</v>
      </c>
      <c r="D60" s="8">
        <v>2</v>
      </c>
      <c r="E60" s="8">
        <v>3</v>
      </c>
      <c r="F60" s="8">
        <v>4</v>
      </c>
      <c r="G60" s="8">
        <v>5</v>
      </c>
      <c r="H60" s="8">
        <v>6</v>
      </c>
      <c r="I60" s="8">
        <v>7</v>
      </c>
      <c r="J60" s="8">
        <v>8</v>
      </c>
      <c r="K60" s="8">
        <v>9</v>
      </c>
      <c r="L60" s="8">
        <v>10</v>
      </c>
      <c r="M60" s="8">
        <v>11</v>
      </c>
      <c r="N60" s="8">
        <v>12</v>
      </c>
      <c r="O60" s="8">
        <v>13</v>
      </c>
      <c r="P60" s="8">
        <v>14</v>
      </c>
      <c r="Q60" s="8">
        <v>15</v>
      </c>
      <c r="R60" s="8">
        <v>16</v>
      </c>
      <c r="S60" s="8">
        <v>17</v>
      </c>
      <c r="T60" s="8">
        <v>18</v>
      </c>
      <c r="U60" s="8">
        <v>19</v>
      </c>
      <c r="V60" s="8">
        <v>20</v>
      </c>
      <c r="W60" s="8" t="s">
        <v>183</v>
      </c>
    </row>
    <row r="61" spans="1:27" s="2" customFormat="1" x14ac:dyDescent="0.2">
      <c r="A61" s="9" t="s">
        <v>161</v>
      </c>
      <c r="B61" s="955"/>
      <c r="C61" s="981">
        <v>2360</v>
      </c>
      <c r="D61" s="981">
        <v>2468</v>
      </c>
      <c r="E61" s="981">
        <v>2580</v>
      </c>
      <c r="F61" s="981">
        <v>2698</v>
      </c>
      <c r="G61" s="981">
        <v>2831</v>
      </c>
      <c r="H61" s="981">
        <v>2943</v>
      </c>
      <c r="I61" s="981">
        <v>3058</v>
      </c>
      <c r="J61" s="981">
        <v>3167</v>
      </c>
      <c r="K61" s="981">
        <v>3274</v>
      </c>
      <c r="L61" s="981">
        <v>3393</v>
      </c>
      <c r="M61" s="981">
        <v>3497</v>
      </c>
      <c r="N61" s="981"/>
      <c r="O61" s="981"/>
      <c r="P61" s="981"/>
      <c r="Q61" s="981"/>
      <c r="R61" s="981"/>
      <c r="S61" s="981"/>
      <c r="T61" s="981"/>
      <c r="U61" s="981"/>
      <c r="V61" s="981"/>
      <c r="W61" s="10">
        <f t="shared" ref="W61:W103" si="7">COUNTA(C61:V61)</f>
        <v>11</v>
      </c>
    </row>
    <row r="62" spans="1:27" s="2" customFormat="1" x14ac:dyDescent="0.2">
      <c r="A62" s="9" t="s">
        <v>162</v>
      </c>
      <c r="B62" s="955"/>
      <c r="C62" s="981">
        <v>2414</v>
      </c>
      <c r="D62" s="981">
        <v>2523</v>
      </c>
      <c r="E62" s="981">
        <v>2642</v>
      </c>
      <c r="F62" s="981">
        <v>2774</v>
      </c>
      <c r="G62" s="981">
        <v>2886</v>
      </c>
      <c r="H62" s="981">
        <v>3002</v>
      </c>
      <c r="I62" s="981">
        <v>3109</v>
      </c>
      <c r="J62" s="981">
        <v>3217</v>
      </c>
      <c r="K62" s="981">
        <v>3334</v>
      </c>
      <c r="L62" s="981">
        <v>3441</v>
      </c>
      <c r="M62" s="981">
        <v>3545</v>
      </c>
      <c r="N62" s="981">
        <v>3651</v>
      </c>
      <c r="O62" s="981">
        <v>3831</v>
      </c>
      <c r="P62" s="981"/>
      <c r="Q62" s="981"/>
      <c r="R62" s="981"/>
      <c r="S62" s="981"/>
      <c r="T62" s="981"/>
      <c r="U62" s="981"/>
      <c r="V62" s="981"/>
      <c r="W62" s="10">
        <f t="shared" si="7"/>
        <v>13</v>
      </c>
    </row>
    <row r="63" spans="1:27" s="2" customFormat="1" x14ac:dyDescent="0.2">
      <c r="A63" s="9" t="s">
        <v>163</v>
      </c>
      <c r="B63" s="955"/>
      <c r="C63" s="981">
        <v>2465</v>
      </c>
      <c r="D63" s="981">
        <v>2587</v>
      </c>
      <c r="E63" s="981">
        <v>2715</v>
      </c>
      <c r="F63" s="981">
        <v>2831</v>
      </c>
      <c r="G63" s="981">
        <v>2944</v>
      </c>
      <c r="H63" s="981">
        <v>3054</v>
      </c>
      <c r="I63" s="981">
        <v>3160</v>
      </c>
      <c r="J63" s="981">
        <v>3279</v>
      </c>
      <c r="K63" s="981">
        <v>3384</v>
      </c>
      <c r="L63" s="981">
        <v>3490</v>
      </c>
      <c r="M63" s="981">
        <v>3597</v>
      </c>
      <c r="N63" s="981">
        <v>3713</v>
      </c>
      <c r="O63" s="981">
        <v>3831</v>
      </c>
      <c r="P63" s="981">
        <v>3944</v>
      </c>
      <c r="Q63" s="981">
        <v>4054</v>
      </c>
      <c r="R63" s="981">
        <v>4163</v>
      </c>
      <c r="S63" s="981">
        <v>4271</v>
      </c>
      <c r="T63" s="981">
        <v>4326</v>
      </c>
      <c r="U63" s="981"/>
      <c r="V63" s="981"/>
      <c r="W63" s="10">
        <f t="shared" si="7"/>
        <v>18</v>
      </c>
    </row>
    <row r="64" spans="1:27" s="2" customFormat="1" x14ac:dyDescent="0.2">
      <c r="A64" s="9" t="s">
        <v>164</v>
      </c>
      <c r="B64" s="955"/>
      <c r="C64" s="981">
        <v>2587</v>
      </c>
      <c r="D64" s="981">
        <v>2715</v>
      </c>
      <c r="E64" s="981">
        <v>2944</v>
      </c>
      <c r="F64" s="981">
        <v>3160</v>
      </c>
      <c r="G64" s="981">
        <v>3279</v>
      </c>
      <c r="H64" s="981">
        <v>3384</v>
      </c>
      <c r="I64" s="981">
        <v>3490</v>
      </c>
      <c r="J64" s="981">
        <v>3597</v>
      </c>
      <c r="K64" s="981">
        <v>3713</v>
      </c>
      <c r="L64" s="981">
        <v>3831</v>
      </c>
      <c r="M64" s="981">
        <v>3944</v>
      </c>
      <c r="N64" s="981">
        <v>4054</v>
      </c>
      <c r="O64" s="981">
        <v>4163</v>
      </c>
      <c r="P64" s="981">
        <v>4271</v>
      </c>
      <c r="Q64" s="981">
        <v>4383</v>
      </c>
      <c r="R64" s="981">
        <v>4494</v>
      </c>
      <c r="S64" s="981">
        <v>4600</v>
      </c>
      <c r="T64" s="981">
        <v>4711</v>
      </c>
      <c r="U64" s="981">
        <v>4850</v>
      </c>
      <c r="V64" s="981">
        <v>4917</v>
      </c>
      <c r="W64" s="10">
        <f t="shared" si="7"/>
        <v>20</v>
      </c>
    </row>
    <row r="65" spans="1:23" s="2" customFormat="1" x14ac:dyDescent="0.2">
      <c r="A65" s="9" t="s">
        <v>167</v>
      </c>
      <c r="B65" s="955"/>
      <c r="C65" s="981">
        <v>2715</v>
      </c>
      <c r="D65" s="981">
        <v>2944</v>
      </c>
      <c r="E65" s="981">
        <v>3160</v>
      </c>
      <c r="F65" s="981">
        <v>3384</v>
      </c>
      <c r="G65" s="981">
        <v>3597</v>
      </c>
      <c r="H65" s="981">
        <v>2647</v>
      </c>
      <c r="I65" s="981">
        <v>3944</v>
      </c>
      <c r="J65" s="981">
        <v>4054</v>
      </c>
      <c r="K65" s="981">
        <v>4163</v>
      </c>
      <c r="L65" s="981">
        <v>4271</v>
      </c>
      <c r="M65" s="981">
        <v>4383</v>
      </c>
      <c r="N65" s="981">
        <v>4494</v>
      </c>
      <c r="O65" s="981">
        <v>4600</v>
      </c>
      <c r="P65" s="981">
        <v>4711</v>
      </c>
      <c r="Q65" s="981">
        <v>4850</v>
      </c>
      <c r="R65" s="981">
        <v>4986</v>
      </c>
      <c r="S65" s="981">
        <v>5125</v>
      </c>
      <c r="T65" s="981">
        <v>5263</v>
      </c>
      <c r="U65" s="981">
        <v>5329</v>
      </c>
      <c r="V65" s="981"/>
      <c r="W65" s="10">
        <f t="shared" si="7"/>
        <v>19</v>
      </c>
    </row>
    <row r="66" spans="1:23" s="2" customFormat="1" x14ac:dyDescent="0.2">
      <c r="A66" s="9" t="s">
        <v>155</v>
      </c>
      <c r="B66" s="955"/>
      <c r="C66" s="981">
        <v>2636</v>
      </c>
      <c r="D66" s="981">
        <v>2739</v>
      </c>
      <c r="E66" s="981">
        <v>2845</v>
      </c>
      <c r="F66" s="981">
        <v>2947</v>
      </c>
      <c r="G66" s="981">
        <v>3050</v>
      </c>
      <c r="H66" s="981">
        <v>3155</v>
      </c>
      <c r="I66" s="981">
        <v>3259</v>
      </c>
      <c r="J66" s="981">
        <v>3363</v>
      </c>
      <c r="K66" s="981">
        <v>3465</v>
      </c>
      <c r="L66" s="981">
        <v>3569</v>
      </c>
      <c r="M66" s="981">
        <v>3675</v>
      </c>
      <c r="N66" s="981">
        <v>3778</v>
      </c>
      <c r="O66" s="981">
        <v>3883</v>
      </c>
      <c r="P66" s="981"/>
      <c r="Q66" s="981"/>
      <c r="R66" s="981"/>
      <c r="S66" s="981"/>
      <c r="T66" s="981"/>
      <c r="U66" s="981"/>
      <c r="V66" s="981"/>
      <c r="W66" s="10">
        <f t="shared" si="7"/>
        <v>13</v>
      </c>
    </row>
    <row r="67" spans="1:23" s="2" customFormat="1" x14ac:dyDescent="0.2">
      <c r="A67" s="9" t="s">
        <v>156</v>
      </c>
      <c r="B67" s="955"/>
      <c r="C67" s="981">
        <v>2739</v>
      </c>
      <c r="D67" s="981">
        <v>2947</v>
      </c>
      <c r="E67" s="981">
        <v>3155</v>
      </c>
      <c r="F67" s="981">
        <v>3259</v>
      </c>
      <c r="G67" s="981">
        <v>3363</v>
      </c>
      <c r="H67" s="981">
        <v>3465</v>
      </c>
      <c r="I67" s="981">
        <v>3569</v>
      </c>
      <c r="J67" s="981">
        <v>3675</v>
      </c>
      <c r="K67" s="981">
        <v>3778</v>
      </c>
      <c r="L67" s="981">
        <v>3883</v>
      </c>
      <c r="M67" s="981">
        <v>3987</v>
      </c>
      <c r="N67" s="981">
        <v>4089</v>
      </c>
      <c r="O67" s="981">
        <v>4194</v>
      </c>
      <c r="P67" s="981">
        <v>4296</v>
      </c>
      <c r="Q67" s="981">
        <v>4402</v>
      </c>
      <c r="R67" s="981"/>
      <c r="S67" s="981"/>
      <c r="T67" s="981"/>
      <c r="U67" s="981"/>
      <c r="V67" s="981"/>
      <c r="W67" s="10">
        <f t="shared" si="7"/>
        <v>15</v>
      </c>
    </row>
    <row r="68" spans="1:23" s="2" customFormat="1" x14ac:dyDescent="0.2">
      <c r="A68" s="9" t="s">
        <v>184</v>
      </c>
      <c r="B68" s="955"/>
      <c r="C68" s="981">
        <v>2739</v>
      </c>
      <c r="D68" s="981">
        <v>2947</v>
      </c>
      <c r="E68" s="981">
        <v>3155</v>
      </c>
      <c r="F68" s="981">
        <v>3259</v>
      </c>
      <c r="G68" s="981">
        <v>3363</v>
      </c>
      <c r="H68" s="981">
        <v>3465</v>
      </c>
      <c r="I68" s="981">
        <v>3569</v>
      </c>
      <c r="J68" s="981">
        <v>3675</v>
      </c>
      <c r="K68" s="981">
        <v>3778</v>
      </c>
      <c r="L68" s="981">
        <v>3883</v>
      </c>
      <c r="M68" s="981">
        <v>3987</v>
      </c>
      <c r="N68" s="981">
        <v>4089</v>
      </c>
      <c r="O68" s="981">
        <v>4194</v>
      </c>
      <c r="P68" s="981">
        <v>4296</v>
      </c>
      <c r="Q68" s="981">
        <v>4402</v>
      </c>
      <c r="R68" s="981">
        <v>4505</v>
      </c>
      <c r="S68" s="981">
        <v>4610</v>
      </c>
      <c r="T68" s="981"/>
      <c r="U68" s="981"/>
      <c r="V68" s="981"/>
      <c r="W68" s="10">
        <f t="shared" si="7"/>
        <v>17</v>
      </c>
    </row>
    <row r="69" spans="1:23" s="2" customFormat="1" x14ac:dyDescent="0.2">
      <c r="A69" s="9" t="s">
        <v>157</v>
      </c>
      <c r="B69" s="955"/>
      <c r="C69" s="981">
        <v>2845</v>
      </c>
      <c r="D69" s="981">
        <v>3155</v>
      </c>
      <c r="E69" s="981">
        <v>3363</v>
      </c>
      <c r="F69" s="981">
        <v>3569</v>
      </c>
      <c r="G69" s="981">
        <v>3778</v>
      </c>
      <c r="H69" s="981">
        <v>3883</v>
      </c>
      <c r="I69" s="981">
        <v>3987</v>
      </c>
      <c r="J69" s="981">
        <v>4089</v>
      </c>
      <c r="K69" s="981">
        <v>4194</v>
      </c>
      <c r="L69" s="981">
        <v>4296</v>
      </c>
      <c r="M69" s="981">
        <v>4402</v>
      </c>
      <c r="N69" s="981">
        <v>4505</v>
      </c>
      <c r="O69" s="981">
        <v>4610</v>
      </c>
      <c r="P69" s="981">
        <v>4712</v>
      </c>
      <c r="Q69" s="981">
        <v>4816</v>
      </c>
      <c r="R69" s="981">
        <v>4921</v>
      </c>
      <c r="S69" s="981">
        <v>0</v>
      </c>
      <c r="T69" s="981"/>
      <c r="U69" s="981"/>
      <c r="V69" s="981"/>
      <c r="W69" s="10">
        <f t="shared" si="7"/>
        <v>17</v>
      </c>
    </row>
    <row r="70" spans="1:23" s="2" customFormat="1" x14ac:dyDescent="0.2">
      <c r="A70" s="9" t="s">
        <v>185</v>
      </c>
      <c r="B70" s="955"/>
      <c r="C70" s="981">
        <v>2845</v>
      </c>
      <c r="D70" s="981">
        <v>3155</v>
      </c>
      <c r="E70" s="981">
        <v>3363</v>
      </c>
      <c r="F70" s="981">
        <v>3569</v>
      </c>
      <c r="G70" s="981">
        <v>3778</v>
      </c>
      <c r="H70" s="981">
        <v>3883</v>
      </c>
      <c r="I70" s="981">
        <v>3987</v>
      </c>
      <c r="J70" s="981">
        <v>4089</v>
      </c>
      <c r="K70" s="981">
        <v>4194</v>
      </c>
      <c r="L70" s="981">
        <v>4296</v>
      </c>
      <c r="M70" s="981">
        <v>4402</v>
      </c>
      <c r="N70" s="981">
        <v>4505</v>
      </c>
      <c r="O70" s="981">
        <v>4610</v>
      </c>
      <c r="P70" s="981">
        <v>4712</v>
      </c>
      <c r="Q70" s="981">
        <v>4816</v>
      </c>
      <c r="R70" s="981">
        <v>4921</v>
      </c>
      <c r="S70" s="981">
        <v>5025</v>
      </c>
      <c r="T70" s="981">
        <v>5128</v>
      </c>
      <c r="U70" s="981"/>
      <c r="V70" s="981"/>
      <c r="W70" s="10">
        <f t="shared" si="7"/>
        <v>18</v>
      </c>
    </row>
    <row r="71" spans="1:23" s="2" customFormat="1" x14ac:dyDescent="0.2">
      <c r="A71" s="9" t="s">
        <v>165</v>
      </c>
      <c r="B71" s="955"/>
      <c r="C71" s="981">
        <v>2888</v>
      </c>
      <c r="D71" s="981">
        <v>3104</v>
      </c>
      <c r="E71" s="981">
        <v>3324</v>
      </c>
      <c r="F71" s="981">
        <v>3536</v>
      </c>
      <c r="G71" s="981">
        <v>3770</v>
      </c>
      <c r="H71" s="981">
        <v>3883</v>
      </c>
      <c r="I71" s="981">
        <v>3991</v>
      </c>
      <c r="J71" s="981">
        <v>4102</v>
      </c>
      <c r="K71" s="981">
        <v>4207</v>
      </c>
      <c r="L71" s="981">
        <v>4320</v>
      </c>
      <c r="M71" s="981">
        <v>4430</v>
      </c>
      <c r="N71" s="981">
        <v>4536</v>
      </c>
      <c r="O71" s="981">
        <v>4645</v>
      </c>
      <c r="P71" s="981">
        <v>4783</v>
      </c>
      <c r="Q71" s="981">
        <v>4920</v>
      </c>
      <c r="R71" s="981">
        <v>5057</v>
      </c>
      <c r="S71" s="981">
        <v>5195</v>
      </c>
      <c r="T71" s="981">
        <v>5260</v>
      </c>
      <c r="U71" s="981"/>
      <c r="V71" s="981"/>
      <c r="W71" s="10">
        <f t="shared" si="7"/>
        <v>18</v>
      </c>
    </row>
    <row r="72" spans="1:23" s="2" customFormat="1" x14ac:dyDescent="0.2">
      <c r="A72" s="9" t="s">
        <v>166</v>
      </c>
      <c r="B72" s="955"/>
      <c r="C72" s="981">
        <v>2997</v>
      </c>
      <c r="D72" s="981">
        <v>3220</v>
      </c>
      <c r="E72" s="981">
        <v>3431</v>
      </c>
      <c r="F72" s="981">
        <v>3652</v>
      </c>
      <c r="G72" s="981">
        <v>3883</v>
      </c>
      <c r="H72" s="981">
        <v>4102</v>
      </c>
      <c r="I72" s="981">
        <v>4320</v>
      </c>
      <c r="J72" s="981">
        <v>4430</v>
      </c>
      <c r="K72" s="981">
        <v>4536</v>
      </c>
      <c r="L72" s="981">
        <v>4645</v>
      </c>
      <c r="M72" s="981">
        <v>4783</v>
      </c>
      <c r="N72" s="981">
        <v>4920</v>
      </c>
      <c r="O72" s="981">
        <v>5057</v>
      </c>
      <c r="P72" s="981">
        <v>5195</v>
      </c>
      <c r="Q72" s="981">
        <v>5333</v>
      </c>
      <c r="R72" s="981">
        <v>5479</v>
      </c>
      <c r="S72" s="981">
        <v>5628</v>
      </c>
      <c r="T72" s="981">
        <v>5782</v>
      </c>
      <c r="U72" s="981"/>
      <c r="V72" s="981"/>
      <c r="W72" s="10">
        <f t="shared" si="7"/>
        <v>18</v>
      </c>
    </row>
    <row r="73" spans="1:23" s="2" customFormat="1" x14ac:dyDescent="0.2">
      <c r="A73" s="3" t="s">
        <v>188</v>
      </c>
      <c r="B73" s="951"/>
      <c r="C73" s="1298">
        <f>+C88</f>
        <v>1507.8</v>
      </c>
      <c r="D73" s="1298">
        <f t="shared" ref="D73:J75" si="8">+D88</f>
        <v>1507.8</v>
      </c>
      <c r="E73" s="1298">
        <f t="shared" si="8"/>
        <v>1556</v>
      </c>
      <c r="F73" s="1298">
        <f t="shared" si="8"/>
        <v>1585</v>
      </c>
      <c r="G73" s="1298">
        <f t="shared" si="8"/>
        <v>1617</v>
      </c>
      <c r="H73" s="1298">
        <f t="shared" si="8"/>
        <v>1651</v>
      </c>
      <c r="I73" s="1298">
        <f t="shared" si="8"/>
        <v>1694</v>
      </c>
      <c r="J73" s="981"/>
      <c r="K73" s="1299"/>
      <c r="L73" s="1299"/>
      <c r="M73" s="1299"/>
      <c r="N73" s="1299"/>
      <c r="O73" s="1299"/>
      <c r="P73" s="1299"/>
      <c r="Q73" s="1299"/>
      <c r="R73" s="1299"/>
      <c r="S73" s="1299"/>
      <c r="T73" s="1299"/>
      <c r="U73" s="1299"/>
      <c r="V73" s="1299"/>
      <c r="W73" s="10">
        <f t="shared" si="7"/>
        <v>7</v>
      </c>
    </row>
    <row r="74" spans="1:23" s="2" customFormat="1" x14ac:dyDescent="0.2">
      <c r="A74" s="3" t="s">
        <v>198</v>
      </c>
      <c r="B74" s="951"/>
      <c r="C74" s="1298">
        <f>+C89</f>
        <v>1507.8</v>
      </c>
      <c r="D74" s="1298">
        <f t="shared" si="8"/>
        <v>1526</v>
      </c>
      <c r="E74" s="1298">
        <f t="shared" si="8"/>
        <v>1585</v>
      </c>
      <c r="F74" s="1298">
        <f t="shared" si="8"/>
        <v>1651</v>
      </c>
      <c r="G74" s="1298">
        <f t="shared" si="8"/>
        <v>1694</v>
      </c>
      <c r="H74" s="1298">
        <f t="shared" si="8"/>
        <v>1744</v>
      </c>
      <c r="I74" s="1298">
        <f t="shared" si="8"/>
        <v>1804</v>
      </c>
      <c r="J74" s="1298">
        <f t="shared" si="8"/>
        <v>1862</v>
      </c>
      <c r="K74" s="1299"/>
      <c r="L74" s="1299"/>
      <c r="M74" s="1299"/>
      <c r="N74" s="1299"/>
      <c r="O74" s="1299"/>
      <c r="P74" s="1299"/>
      <c r="Q74" s="1299"/>
      <c r="R74" s="1299"/>
      <c r="S74" s="1299"/>
      <c r="T74" s="1299"/>
      <c r="U74" s="1299"/>
      <c r="V74" s="1299"/>
      <c r="W74" s="10">
        <f t="shared" si="7"/>
        <v>8</v>
      </c>
    </row>
    <row r="75" spans="1:23" s="2" customFormat="1" x14ac:dyDescent="0.2">
      <c r="A75" s="3" t="s">
        <v>189</v>
      </c>
      <c r="B75" s="951"/>
      <c r="C75" s="1298">
        <f>+C90</f>
        <v>1507.8</v>
      </c>
      <c r="D75" s="1298">
        <f t="shared" si="8"/>
        <v>1585</v>
      </c>
      <c r="E75" s="1298">
        <f t="shared" si="8"/>
        <v>1651</v>
      </c>
      <c r="F75" s="1298">
        <f t="shared" si="8"/>
        <v>1744</v>
      </c>
      <c r="G75" s="1298">
        <f t="shared" si="8"/>
        <v>1804</v>
      </c>
      <c r="H75" s="1298">
        <f t="shared" si="8"/>
        <v>1862</v>
      </c>
      <c r="I75" s="1298">
        <f t="shared" si="8"/>
        <v>1919</v>
      </c>
      <c r="J75" s="981"/>
      <c r="K75" s="1299"/>
      <c r="L75" s="1299"/>
      <c r="M75" s="1299"/>
      <c r="N75" s="1299"/>
      <c r="O75" s="1299"/>
      <c r="P75" s="1299"/>
      <c r="Q75" s="1299"/>
      <c r="R75" s="1299"/>
      <c r="S75" s="1299"/>
      <c r="T75" s="1299"/>
      <c r="U75" s="1299"/>
      <c r="V75" s="1299"/>
      <c r="W75" s="10">
        <f t="shared" si="7"/>
        <v>7</v>
      </c>
    </row>
    <row r="76" spans="1:23" s="2" customFormat="1" x14ac:dyDescent="0.2">
      <c r="A76" s="9" t="s">
        <v>158</v>
      </c>
      <c r="B76" s="955"/>
      <c r="C76" s="981">
        <v>2317</v>
      </c>
      <c r="D76" s="981">
        <v>2364</v>
      </c>
      <c r="E76" s="981">
        <v>2416</v>
      </c>
      <c r="F76" s="981">
        <v>2467</v>
      </c>
      <c r="G76" s="981">
        <v>2519</v>
      </c>
      <c r="H76" s="981">
        <v>2579</v>
      </c>
      <c r="I76" s="981">
        <v>2641</v>
      </c>
      <c r="J76" s="981">
        <v>2709</v>
      </c>
      <c r="K76" s="981">
        <v>2785</v>
      </c>
      <c r="L76" s="981">
        <v>2863</v>
      </c>
      <c r="M76" s="981">
        <v>2949</v>
      </c>
      <c r="N76" s="981">
        <v>3039</v>
      </c>
      <c r="O76" s="981">
        <v>3136</v>
      </c>
      <c r="P76" s="981">
        <v>3236</v>
      </c>
      <c r="Q76" s="981">
        <v>3313</v>
      </c>
      <c r="R76" s="981"/>
      <c r="S76" s="981"/>
      <c r="T76" s="981"/>
      <c r="U76" s="981"/>
      <c r="V76" s="981"/>
      <c r="W76" s="10">
        <f t="shared" si="7"/>
        <v>15</v>
      </c>
    </row>
    <row r="77" spans="1:23" s="2" customFormat="1" x14ac:dyDescent="0.2">
      <c r="A77" s="9" t="s">
        <v>159</v>
      </c>
      <c r="B77" s="955"/>
      <c r="C77" s="981">
        <v>2402</v>
      </c>
      <c r="D77" s="981">
        <v>2460</v>
      </c>
      <c r="E77" s="981">
        <v>2526</v>
      </c>
      <c r="F77" s="981">
        <v>2590</v>
      </c>
      <c r="G77" s="981">
        <v>2653</v>
      </c>
      <c r="H77" s="981">
        <v>2726</v>
      </c>
      <c r="I77" s="981">
        <v>2804</v>
      </c>
      <c r="J77" s="981">
        <v>2889</v>
      </c>
      <c r="K77" s="981">
        <v>2988</v>
      </c>
      <c r="L77" s="981">
        <v>3089</v>
      </c>
      <c r="M77" s="981">
        <v>3197</v>
      </c>
      <c r="N77" s="981">
        <v>3308</v>
      </c>
      <c r="O77" s="981">
        <v>3425</v>
      </c>
      <c r="P77" s="981">
        <v>3546</v>
      </c>
      <c r="Q77" s="981">
        <v>3640</v>
      </c>
      <c r="R77" s="981"/>
      <c r="S77" s="981"/>
      <c r="T77" s="981"/>
      <c r="U77" s="981"/>
      <c r="V77" s="981"/>
      <c r="W77" s="10">
        <f t="shared" si="7"/>
        <v>15</v>
      </c>
    </row>
    <row r="78" spans="1:23" s="2" customFormat="1" x14ac:dyDescent="0.2">
      <c r="A78" s="9" t="s">
        <v>160</v>
      </c>
      <c r="B78" s="955"/>
      <c r="C78" s="981">
        <v>2416</v>
      </c>
      <c r="D78" s="981">
        <v>2533</v>
      </c>
      <c r="E78" s="981">
        <v>2652</v>
      </c>
      <c r="F78" s="981">
        <v>2774</v>
      </c>
      <c r="G78" s="981">
        <v>2893</v>
      </c>
      <c r="H78" s="981">
        <v>3017</v>
      </c>
      <c r="I78" s="981">
        <v>3143</v>
      </c>
      <c r="J78" s="981">
        <v>3273</v>
      </c>
      <c r="K78" s="981">
        <v>3408</v>
      </c>
      <c r="L78" s="981">
        <v>3547</v>
      </c>
      <c r="M78" s="981">
        <v>3686</v>
      </c>
      <c r="N78" s="981">
        <v>3831</v>
      </c>
      <c r="O78" s="981">
        <v>3980</v>
      </c>
      <c r="P78" s="981">
        <v>4131</v>
      </c>
      <c r="Q78" s="981">
        <v>4247</v>
      </c>
      <c r="R78" s="981"/>
      <c r="S78" s="981"/>
      <c r="T78" s="981"/>
      <c r="U78" s="981"/>
      <c r="V78" s="981"/>
      <c r="W78" s="10">
        <f t="shared" si="7"/>
        <v>15</v>
      </c>
    </row>
    <row r="79" spans="1:23" s="2" customFormat="1" x14ac:dyDescent="0.2">
      <c r="A79" s="9" t="s">
        <v>168</v>
      </c>
      <c r="B79" s="955"/>
      <c r="C79" s="981">
        <v>2425</v>
      </c>
      <c r="D79" s="981">
        <v>2570</v>
      </c>
      <c r="E79" s="981">
        <v>2720</v>
      </c>
      <c r="F79" s="981">
        <v>2872</v>
      </c>
      <c r="G79" s="981">
        <v>3024</v>
      </c>
      <c r="H79" s="981">
        <v>3183</v>
      </c>
      <c r="I79" s="981">
        <v>3348</v>
      </c>
      <c r="J79" s="981">
        <v>3515</v>
      </c>
      <c r="K79" s="981">
        <v>3691</v>
      </c>
      <c r="L79" s="981">
        <v>3874</v>
      </c>
      <c r="M79" s="981">
        <v>4062</v>
      </c>
      <c r="N79" s="981">
        <v>4256</v>
      </c>
      <c r="O79" s="981">
        <v>4458</v>
      </c>
      <c r="P79" s="981">
        <v>4664</v>
      </c>
      <c r="Q79" s="981">
        <v>4832</v>
      </c>
      <c r="R79" s="981"/>
      <c r="S79" s="981"/>
      <c r="T79" s="981"/>
      <c r="U79" s="981"/>
      <c r="V79" s="981"/>
      <c r="W79" s="10">
        <f t="shared" si="7"/>
        <v>15</v>
      </c>
    </row>
    <row r="80" spans="1:23" s="2" customFormat="1" x14ac:dyDescent="0.2">
      <c r="A80" s="9" t="s">
        <v>169</v>
      </c>
      <c r="B80" s="955"/>
      <c r="C80" s="981">
        <v>3120</v>
      </c>
      <c r="D80" s="981">
        <v>3238</v>
      </c>
      <c r="E80" s="981">
        <v>3344</v>
      </c>
      <c r="F80" s="981">
        <v>3556</v>
      </c>
      <c r="G80" s="981">
        <v>3791</v>
      </c>
      <c r="H80" s="981">
        <v>3939</v>
      </c>
      <c r="I80" s="981">
        <v>4088</v>
      </c>
      <c r="J80" s="981">
        <v>4238</v>
      </c>
      <c r="K80" s="981">
        <v>4388</v>
      </c>
      <c r="L80" s="981">
        <v>4537</v>
      </c>
      <c r="M80" s="981">
        <v>4688</v>
      </c>
      <c r="N80" s="981">
        <v>4838</v>
      </c>
      <c r="O80" s="981">
        <v>4989</v>
      </c>
      <c r="P80" s="981">
        <v>5138</v>
      </c>
      <c r="Q80" s="981">
        <v>5240</v>
      </c>
      <c r="R80" s="981"/>
      <c r="S80" s="981"/>
      <c r="T80" s="981"/>
      <c r="U80" s="981"/>
      <c r="V80" s="981"/>
      <c r="W80" s="10">
        <f t="shared" si="7"/>
        <v>15</v>
      </c>
    </row>
    <row r="81" spans="1:23" s="2" customFormat="1" x14ac:dyDescent="0.2">
      <c r="A81" s="3" t="s">
        <v>186</v>
      </c>
      <c r="B81" s="951"/>
      <c r="C81" s="1298">
        <f>+C76/2</f>
        <v>1158.5</v>
      </c>
      <c r="D81" s="1300"/>
      <c r="E81" s="1300"/>
      <c r="F81" s="1300"/>
      <c r="G81" s="1300"/>
      <c r="H81" s="1300"/>
      <c r="I81" s="1300"/>
      <c r="J81" s="1300"/>
      <c r="K81" s="1300"/>
      <c r="L81" s="1300"/>
      <c r="M81" s="1300"/>
      <c r="N81" s="1300"/>
      <c r="O81" s="1300"/>
      <c r="P81" s="1300"/>
      <c r="Q81" s="1300"/>
      <c r="R81" s="1299"/>
      <c r="S81" s="1300"/>
      <c r="T81" s="1300"/>
      <c r="U81" s="1300"/>
      <c r="V81" s="1300"/>
      <c r="W81" s="10">
        <f t="shared" si="7"/>
        <v>1</v>
      </c>
    </row>
    <row r="82" spans="1:23" s="2" customFormat="1" x14ac:dyDescent="0.2">
      <c r="A82" s="3" t="s">
        <v>187</v>
      </c>
      <c r="B82" s="951"/>
      <c r="C82" s="1298">
        <f>+C77/2</f>
        <v>1201</v>
      </c>
      <c r="D82" s="1300"/>
      <c r="E82" s="1300"/>
      <c r="F82" s="1300"/>
      <c r="G82" s="1300"/>
      <c r="H82" s="1300"/>
      <c r="I82" s="1300"/>
      <c r="J82" s="1300"/>
      <c r="K82" s="1300"/>
      <c r="L82" s="1300"/>
      <c r="M82" s="1300"/>
      <c r="N82" s="1300"/>
      <c r="O82" s="1300"/>
      <c r="P82" s="1300"/>
      <c r="Q82" s="1300"/>
      <c r="R82" s="1299"/>
      <c r="S82" s="1300"/>
      <c r="T82" s="1300"/>
      <c r="U82" s="1300"/>
      <c r="V82" s="1300"/>
      <c r="W82" s="10">
        <f t="shared" si="7"/>
        <v>1</v>
      </c>
    </row>
    <row r="83" spans="1:23" s="2" customFormat="1" x14ac:dyDescent="0.2">
      <c r="A83" s="11" t="s">
        <v>337</v>
      </c>
      <c r="B83" s="954"/>
      <c r="C83" s="981">
        <v>2636</v>
      </c>
      <c r="D83" s="981">
        <v>2739</v>
      </c>
      <c r="E83" s="981">
        <v>2845</v>
      </c>
      <c r="F83" s="981">
        <v>2947</v>
      </c>
      <c r="G83" s="981">
        <v>3050</v>
      </c>
      <c r="H83" s="981">
        <v>3155</v>
      </c>
      <c r="I83" s="981">
        <v>3259</v>
      </c>
      <c r="J83" s="981">
        <v>3363</v>
      </c>
      <c r="K83" s="981">
        <v>3465</v>
      </c>
      <c r="L83" s="981">
        <v>3569</v>
      </c>
      <c r="M83" s="981">
        <v>3675</v>
      </c>
      <c r="N83" s="981"/>
      <c r="O83" s="981"/>
      <c r="P83" s="981"/>
      <c r="Q83" s="981"/>
      <c r="R83" s="981"/>
      <c r="S83" s="981"/>
      <c r="T83" s="981"/>
      <c r="U83" s="981"/>
      <c r="V83" s="981"/>
      <c r="W83" s="10">
        <f t="shared" si="7"/>
        <v>11</v>
      </c>
    </row>
    <row r="84" spans="1:23" s="2" customFormat="1" x14ac:dyDescent="0.2">
      <c r="A84" s="11" t="s">
        <v>332</v>
      </c>
      <c r="B84" s="954"/>
      <c r="C84" s="981">
        <v>2739</v>
      </c>
      <c r="D84" s="981">
        <v>2947</v>
      </c>
      <c r="E84" s="981">
        <v>3155</v>
      </c>
      <c r="F84" s="981">
        <v>3259</v>
      </c>
      <c r="G84" s="981">
        <v>3363</v>
      </c>
      <c r="H84" s="981">
        <v>3465</v>
      </c>
      <c r="I84" s="981">
        <v>3569</v>
      </c>
      <c r="J84" s="981">
        <v>3675</v>
      </c>
      <c r="K84" s="981">
        <v>3778</v>
      </c>
      <c r="L84" s="981">
        <v>3883</v>
      </c>
      <c r="M84" s="981"/>
      <c r="N84" s="981"/>
      <c r="O84" s="981"/>
      <c r="P84" s="981"/>
      <c r="Q84" s="981"/>
      <c r="R84" s="981"/>
      <c r="S84" s="981"/>
      <c r="T84" s="981"/>
      <c r="U84" s="981"/>
      <c r="V84" s="981"/>
      <c r="W84" s="10">
        <f t="shared" si="7"/>
        <v>10</v>
      </c>
    </row>
    <row r="85" spans="1:23" s="2" customFormat="1" x14ac:dyDescent="0.2">
      <c r="A85" s="11" t="s">
        <v>333</v>
      </c>
      <c r="B85" s="954"/>
      <c r="C85" s="981">
        <v>2739</v>
      </c>
      <c r="D85" s="981">
        <v>2947</v>
      </c>
      <c r="E85" s="981">
        <v>3155</v>
      </c>
      <c r="F85" s="981">
        <v>3259</v>
      </c>
      <c r="G85" s="981">
        <v>3363</v>
      </c>
      <c r="H85" s="981">
        <v>3465</v>
      </c>
      <c r="I85" s="981">
        <v>3569</v>
      </c>
      <c r="J85" s="981">
        <v>3675</v>
      </c>
      <c r="K85" s="981">
        <v>3778</v>
      </c>
      <c r="L85" s="981">
        <v>3883</v>
      </c>
      <c r="M85" s="981">
        <v>3987</v>
      </c>
      <c r="N85" s="981"/>
      <c r="O85" s="981"/>
      <c r="P85" s="981"/>
      <c r="Q85" s="981"/>
      <c r="R85" s="981"/>
      <c r="S85" s="981"/>
      <c r="T85" s="981"/>
      <c r="U85" s="981"/>
      <c r="V85" s="981"/>
      <c r="W85" s="10">
        <f t="shared" si="7"/>
        <v>11</v>
      </c>
    </row>
    <row r="86" spans="1:23" s="2" customFormat="1" x14ac:dyDescent="0.2">
      <c r="A86" s="11" t="s">
        <v>335</v>
      </c>
      <c r="B86" s="954"/>
      <c r="C86" s="981">
        <v>2845</v>
      </c>
      <c r="D86" s="981">
        <v>3155</v>
      </c>
      <c r="E86" s="981">
        <v>3363</v>
      </c>
      <c r="F86" s="981">
        <v>3569</v>
      </c>
      <c r="G86" s="981">
        <v>3778</v>
      </c>
      <c r="H86" s="981">
        <v>3883</v>
      </c>
      <c r="I86" s="981">
        <v>3987</v>
      </c>
      <c r="J86" s="981">
        <v>4089</v>
      </c>
      <c r="K86" s="981">
        <v>4194</v>
      </c>
      <c r="L86" s="981">
        <v>4296</v>
      </c>
      <c r="M86" s="981">
        <v>4402</v>
      </c>
      <c r="N86" s="981">
        <v>4505</v>
      </c>
      <c r="O86" s="981">
        <v>4610</v>
      </c>
      <c r="P86" s="981"/>
      <c r="Q86" s="981"/>
      <c r="R86" s="981"/>
      <c r="S86" s="981"/>
      <c r="T86" s="981"/>
      <c r="U86" s="981"/>
      <c r="V86" s="981"/>
      <c r="W86" s="10">
        <f t="shared" si="7"/>
        <v>13</v>
      </c>
    </row>
    <row r="87" spans="1:23" s="2" customFormat="1" x14ac:dyDescent="0.2">
      <c r="A87" s="11" t="s">
        <v>334</v>
      </c>
      <c r="B87" s="954"/>
      <c r="C87" s="981">
        <v>2845</v>
      </c>
      <c r="D87" s="981">
        <v>3155</v>
      </c>
      <c r="E87" s="981">
        <v>3363</v>
      </c>
      <c r="F87" s="981">
        <v>3569</v>
      </c>
      <c r="G87" s="981">
        <v>3778</v>
      </c>
      <c r="H87" s="981">
        <v>3883</v>
      </c>
      <c r="I87" s="981">
        <v>3987</v>
      </c>
      <c r="J87" s="981">
        <v>4089</v>
      </c>
      <c r="K87" s="981">
        <v>4194</v>
      </c>
      <c r="L87" s="981">
        <v>4296</v>
      </c>
      <c r="M87" s="981">
        <v>4402</v>
      </c>
      <c r="N87" s="981">
        <v>4505</v>
      </c>
      <c r="O87" s="981">
        <v>4610</v>
      </c>
      <c r="P87" s="981">
        <v>4712</v>
      </c>
      <c r="Q87" s="981">
        <v>4816</v>
      </c>
      <c r="R87" s="981"/>
      <c r="S87" s="981"/>
      <c r="T87" s="981"/>
      <c r="U87" s="981"/>
      <c r="V87" s="981"/>
      <c r="W87" s="10">
        <f t="shared" si="7"/>
        <v>15</v>
      </c>
    </row>
    <row r="88" spans="1:23" s="2" customFormat="1" x14ac:dyDescent="0.2">
      <c r="A88" s="3">
        <v>1</v>
      </c>
      <c r="B88" s="951"/>
      <c r="C88" s="981">
        <v>1507.8</v>
      </c>
      <c r="D88" s="981">
        <v>1507.8</v>
      </c>
      <c r="E88" s="981">
        <v>1556</v>
      </c>
      <c r="F88" s="981">
        <v>1585</v>
      </c>
      <c r="G88" s="981">
        <v>1617</v>
      </c>
      <c r="H88" s="981">
        <v>1651</v>
      </c>
      <c r="I88" s="981">
        <v>1694</v>
      </c>
      <c r="J88" s="981"/>
      <c r="K88" s="981"/>
      <c r="L88" s="981"/>
      <c r="M88" s="981"/>
      <c r="N88" s="981"/>
      <c r="O88" s="981"/>
      <c r="P88" s="981"/>
      <c r="Q88" s="981"/>
      <c r="R88" s="981"/>
      <c r="S88" s="981"/>
      <c r="T88" s="981"/>
      <c r="U88" s="981"/>
      <c r="V88" s="981"/>
      <c r="W88" s="10">
        <f t="shared" si="7"/>
        <v>7</v>
      </c>
    </row>
    <row r="89" spans="1:23" s="2" customFormat="1" x14ac:dyDescent="0.2">
      <c r="A89" s="3">
        <v>2</v>
      </c>
      <c r="B89" s="951"/>
      <c r="C89" s="981">
        <v>1507.8</v>
      </c>
      <c r="D89" s="981">
        <v>1526</v>
      </c>
      <c r="E89" s="981">
        <v>1585</v>
      </c>
      <c r="F89" s="981">
        <v>1651</v>
      </c>
      <c r="G89" s="981">
        <v>1694</v>
      </c>
      <c r="H89" s="981">
        <v>1744</v>
      </c>
      <c r="I89" s="981">
        <v>1804</v>
      </c>
      <c r="J89" s="981">
        <v>1862</v>
      </c>
      <c r="K89" s="981"/>
      <c r="L89" s="981"/>
      <c r="M89" s="981"/>
      <c r="N89" s="981"/>
      <c r="O89" s="981"/>
      <c r="P89" s="981"/>
      <c r="Q89" s="981"/>
      <c r="R89" s="981"/>
      <c r="S89" s="981"/>
      <c r="T89" s="981"/>
      <c r="U89" s="981"/>
      <c r="V89" s="981"/>
      <c r="W89" s="10">
        <f t="shared" si="7"/>
        <v>8</v>
      </c>
    </row>
    <row r="90" spans="1:23" s="2" customFormat="1" x14ac:dyDescent="0.2">
      <c r="A90" s="3">
        <v>3</v>
      </c>
      <c r="B90" s="951"/>
      <c r="C90" s="981">
        <v>1507.8</v>
      </c>
      <c r="D90" s="981">
        <v>1585</v>
      </c>
      <c r="E90" s="981">
        <v>1651</v>
      </c>
      <c r="F90" s="981">
        <v>1744</v>
      </c>
      <c r="G90" s="981">
        <v>1804</v>
      </c>
      <c r="H90" s="981">
        <v>1862</v>
      </c>
      <c r="I90" s="981">
        <v>1919</v>
      </c>
      <c r="J90" s="981">
        <v>1973</v>
      </c>
      <c r="K90" s="981">
        <v>2028</v>
      </c>
      <c r="L90" s="981"/>
      <c r="M90" s="981"/>
      <c r="N90" s="981"/>
      <c r="O90" s="981"/>
      <c r="P90" s="981"/>
      <c r="Q90" s="981"/>
      <c r="R90" s="981"/>
      <c r="S90" s="981"/>
      <c r="T90" s="981"/>
      <c r="U90" s="981"/>
      <c r="V90" s="981"/>
      <c r="W90" s="10">
        <f t="shared" si="7"/>
        <v>9</v>
      </c>
    </row>
    <row r="91" spans="1:23" s="2" customFormat="1" x14ac:dyDescent="0.2">
      <c r="A91" s="3">
        <v>4</v>
      </c>
      <c r="B91" s="951"/>
      <c r="C91" s="981">
        <v>1507.8</v>
      </c>
      <c r="D91" s="981">
        <v>1556</v>
      </c>
      <c r="E91" s="981">
        <v>1617</v>
      </c>
      <c r="F91" s="981">
        <v>1694</v>
      </c>
      <c r="G91" s="981">
        <v>1804</v>
      </c>
      <c r="H91" s="981">
        <v>1862</v>
      </c>
      <c r="I91" s="981">
        <v>1919</v>
      </c>
      <c r="J91" s="981">
        <v>1973</v>
      </c>
      <c r="K91" s="981">
        <v>2028</v>
      </c>
      <c r="L91" s="981">
        <v>2081</v>
      </c>
      <c r="M91" s="981">
        <v>2133</v>
      </c>
      <c r="N91" s="981"/>
      <c r="O91" s="981"/>
      <c r="P91" s="981"/>
      <c r="Q91" s="981"/>
      <c r="R91" s="981"/>
      <c r="S91" s="981"/>
      <c r="T91" s="981"/>
      <c r="U91" s="981"/>
      <c r="V91" s="981"/>
      <c r="W91" s="10">
        <f t="shared" si="7"/>
        <v>11</v>
      </c>
    </row>
    <row r="92" spans="1:23" s="2" customFormat="1" x14ac:dyDescent="0.2">
      <c r="A92" s="3">
        <v>5</v>
      </c>
      <c r="B92" s="951"/>
      <c r="C92" s="981">
        <v>1526</v>
      </c>
      <c r="D92" s="981">
        <v>1556</v>
      </c>
      <c r="E92" s="981">
        <v>1651</v>
      </c>
      <c r="F92" s="981">
        <v>1744</v>
      </c>
      <c r="G92" s="981">
        <v>1862</v>
      </c>
      <c r="H92" s="981">
        <v>1919</v>
      </c>
      <c r="I92" s="981">
        <v>1973</v>
      </c>
      <c r="J92" s="981">
        <v>2028</v>
      </c>
      <c r="K92" s="981">
        <v>2081</v>
      </c>
      <c r="L92" s="981">
        <v>2133</v>
      </c>
      <c r="M92" s="981">
        <v>2184</v>
      </c>
      <c r="N92" s="981">
        <v>2243</v>
      </c>
      <c r="O92" s="981"/>
      <c r="P92" s="981"/>
      <c r="Q92" s="981"/>
      <c r="R92" s="981"/>
      <c r="S92" s="981"/>
      <c r="T92" s="981"/>
      <c r="U92" s="981"/>
      <c r="V92" s="981"/>
      <c r="W92" s="10">
        <f t="shared" si="7"/>
        <v>12</v>
      </c>
    </row>
    <row r="93" spans="1:23" s="2" customFormat="1" x14ac:dyDescent="0.2">
      <c r="A93" s="3">
        <v>6</v>
      </c>
      <c r="B93" s="951"/>
      <c r="C93" s="981">
        <v>1585</v>
      </c>
      <c r="D93" s="981">
        <v>1651</v>
      </c>
      <c r="E93" s="981">
        <v>1862</v>
      </c>
      <c r="F93" s="981">
        <v>1973</v>
      </c>
      <c r="G93" s="981">
        <v>2028</v>
      </c>
      <c r="H93" s="981">
        <v>2081</v>
      </c>
      <c r="I93" s="981">
        <v>2133</v>
      </c>
      <c r="J93" s="981">
        <v>2184</v>
      </c>
      <c r="K93" s="981">
        <v>2243</v>
      </c>
      <c r="L93" s="981">
        <v>2297</v>
      </c>
      <c r="M93" s="981">
        <v>2350</v>
      </c>
      <c r="N93" s="981"/>
      <c r="O93" s="981"/>
      <c r="P93" s="981"/>
      <c r="Q93" s="981"/>
      <c r="R93" s="981"/>
      <c r="S93" s="981"/>
      <c r="T93" s="981"/>
      <c r="U93" s="981"/>
      <c r="V93" s="981"/>
      <c r="W93" s="10">
        <f t="shared" si="7"/>
        <v>11</v>
      </c>
    </row>
    <row r="94" spans="1:23" s="2" customFormat="1" x14ac:dyDescent="0.2">
      <c r="A94" s="3">
        <v>7</v>
      </c>
      <c r="B94" s="951"/>
      <c r="C94" s="981">
        <v>1694</v>
      </c>
      <c r="D94" s="981">
        <v>1744</v>
      </c>
      <c r="E94" s="981">
        <v>1862</v>
      </c>
      <c r="F94" s="981">
        <v>2081</v>
      </c>
      <c r="G94" s="981">
        <v>2184</v>
      </c>
      <c r="H94" s="981">
        <v>2243</v>
      </c>
      <c r="I94" s="981">
        <v>2297</v>
      </c>
      <c r="J94" s="981">
        <v>2350</v>
      </c>
      <c r="K94" s="981">
        <v>2405</v>
      </c>
      <c r="L94" s="981">
        <v>2463</v>
      </c>
      <c r="M94" s="981">
        <v>2524</v>
      </c>
      <c r="N94" s="981">
        <v>2591</v>
      </c>
      <c r="O94" s="981"/>
      <c r="P94" s="981"/>
      <c r="Q94" s="981"/>
      <c r="R94" s="981"/>
      <c r="S94" s="981"/>
      <c r="T94" s="981"/>
      <c r="U94" s="981"/>
      <c r="V94" s="981"/>
      <c r="W94" s="10">
        <f t="shared" si="7"/>
        <v>12</v>
      </c>
    </row>
    <row r="95" spans="1:23" s="2" customFormat="1" x14ac:dyDescent="0.2">
      <c r="A95" s="3">
        <v>8</v>
      </c>
      <c r="B95" s="951"/>
      <c r="C95" s="981">
        <v>1919</v>
      </c>
      <c r="D95" s="981">
        <v>1973</v>
      </c>
      <c r="E95" s="981">
        <v>2081</v>
      </c>
      <c r="F95" s="981">
        <v>2297</v>
      </c>
      <c r="G95" s="981">
        <v>2405</v>
      </c>
      <c r="H95" s="981">
        <v>2524</v>
      </c>
      <c r="I95" s="981">
        <v>2591</v>
      </c>
      <c r="J95" s="981">
        <v>2652</v>
      </c>
      <c r="K95" s="981">
        <v>2707</v>
      </c>
      <c r="L95" s="981">
        <v>2766</v>
      </c>
      <c r="M95" s="981">
        <v>2824</v>
      </c>
      <c r="N95" s="981">
        <v>2879</v>
      </c>
      <c r="O95" s="981">
        <v>2931</v>
      </c>
      <c r="P95" s="981"/>
      <c r="Q95" s="981"/>
      <c r="R95" s="981"/>
      <c r="S95" s="981"/>
      <c r="T95" s="981"/>
      <c r="U95" s="981"/>
      <c r="V95" s="981"/>
      <c r="W95" s="10">
        <f t="shared" si="7"/>
        <v>13</v>
      </c>
    </row>
    <row r="96" spans="1:23" s="2" customFormat="1" x14ac:dyDescent="0.2">
      <c r="A96" s="3">
        <v>9</v>
      </c>
      <c r="B96" s="951"/>
      <c r="C96" s="981">
        <v>2206</v>
      </c>
      <c r="D96" s="981">
        <v>2320</v>
      </c>
      <c r="E96" s="981">
        <v>2548</v>
      </c>
      <c r="F96" s="981">
        <v>2679</v>
      </c>
      <c r="G96" s="981">
        <v>2792</v>
      </c>
      <c r="H96" s="981">
        <v>2907</v>
      </c>
      <c r="I96" s="981">
        <v>3016</v>
      </c>
      <c r="J96" s="981">
        <v>3124</v>
      </c>
      <c r="K96" s="981">
        <v>3242</v>
      </c>
      <c r="L96" s="981">
        <v>3346</v>
      </c>
      <c r="M96" s="981"/>
      <c r="N96" s="981"/>
      <c r="O96" s="981"/>
      <c r="P96" s="981"/>
      <c r="Q96" s="981"/>
      <c r="R96" s="981"/>
      <c r="S96" s="981"/>
      <c r="T96" s="981"/>
      <c r="U96" s="981"/>
      <c r="V96" s="981"/>
      <c r="W96" s="10">
        <f t="shared" si="7"/>
        <v>10</v>
      </c>
    </row>
    <row r="97" spans="1:27" s="2" customFormat="1" x14ac:dyDescent="0.2">
      <c r="A97" s="3">
        <v>10</v>
      </c>
      <c r="B97" s="951"/>
      <c r="C97" s="981">
        <v>2206</v>
      </c>
      <c r="D97" s="981">
        <v>2429</v>
      </c>
      <c r="E97" s="981">
        <v>2548</v>
      </c>
      <c r="F97" s="981">
        <v>2679</v>
      </c>
      <c r="G97" s="981">
        <v>2792</v>
      </c>
      <c r="H97" s="981">
        <v>2907</v>
      </c>
      <c r="I97" s="981">
        <v>3016</v>
      </c>
      <c r="J97" s="981">
        <v>3094</v>
      </c>
      <c r="K97" s="981">
        <v>3242</v>
      </c>
      <c r="L97" s="981">
        <v>3346</v>
      </c>
      <c r="M97" s="981">
        <v>3454</v>
      </c>
      <c r="N97" s="981">
        <v>3558</v>
      </c>
      <c r="O97" s="981">
        <v>3677</v>
      </c>
      <c r="P97" s="981"/>
      <c r="Q97" s="981"/>
      <c r="R97" s="981"/>
      <c r="S97" s="981"/>
      <c r="T97" s="981"/>
      <c r="U97" s="981"/>
      <c r="V97" s="981"/>
      <c r="W97" s="10">
        <f t="shared" si="7"/>
        <v>13</v>
      </c>
    </row>
    <row r="98" spans="1:27" s="2" customFormat="1" x14ac:dyDescent="0.2">
      <c r="A98" s="3">
        <v>11</v>
      </c>
      <c r="B98" s="951"/>
      <c r="C98" s="981">
        <v>2320</v>
      </c>
      <c r="D98" s="981">
        <v>2429</v>
      </c>
      <c r="E98" s="981">
        <v>2548</v>
      </c>
      <c r="F98" s="981">
        <v>2679</v>
      </c>
      <c r="G98" s="981">
        <v>2792</v>
      </c>
      <c r="H98" s="981">
        <v>2907</v>
      </c>
      <c r="I98" s="981">
        <v>3016</v>
      </c>
      <c r="J98" s="981">
        <v>3242</v>
      </c>
      <c r="K98" s="981">
        <v>3346</v>
      </c>
      <c r="L98" s="981">
        <v>3454</v>
      </c>
      <c r="M98" s="981">
        <v>3558</v>
      </c>
      <c r="N98" s="981">
        <v>3677</v>
      </c>
      <c r="O98" s="981">
        <v>3793</v>
      </c>
      <c r="P98" s="981">
        <v>3907</v>
      </c>
      <c r="Q98" s="981">
        <v>4016</v>
      </c>
      <c r="R98" s="981">
        <v>4127</v>
      </c>
      <c r="S98" s="981">
        <v>4232</v>
      </c>
      <c r="T98" s="981">
        <v>4290</v>
      </c>
      <c r="U98" s="981"/>
      <c r="V98" s="981"/>
      <c r="W98" s="10">
        <f t="shared" si="7"/>
        <v>18</v>
      </c>
    </row>
    <row r="99" spans="1:27" s="2" customFormat="1" x14ac:dyDescent="0.2">
      <c r="A99" s="3">
        <v>12</v>
      </c>
      <c r="B99" s="951"/>
      <c r="C99" s="981">
        <v>3124</v>
      </c>
      <c r="D99" s="981">
        <v>3242</v>
      </c>
      <c r="E99" s="981">
        <v>3346</v>
      </c>
      <c r="F99" s="981">
        <v>3454</v>
      </c>
      <c r="G99" s="981">
        <v>3558</v>
      </c>
      <c r="H99" s="981">
        <v>3677</v>
      </c>
      <c r="I99" s="981">
        <v>3907</v>
      </c>
      <c r="J99" s="981">
        <v>4016</v>
      </c>
      <c r="K99" s="981">
        <v>4127</v>
      </c>
      <c r="L99" s="981">
        <v>4232</v>
      </c>
      <c r="M99" s="981">
        <v>4347</v>
      </c>
      <c r="N99" s="981">
        <v>4458</v>
      </c>
      <c r="O99" s="981">
        <v>4563</v>
      </c>
      <c r="P99" s="981">
        <v>4674</v>
      </c>
      <c r="Q99" s="981">
        <v>4811</v>
      </c>
      <c r="R99" s="981">
        <v>4881</v>
      </c>
      <c r="S99" s="981"/>
      <c r="T99" s="981"/>
      <c r="U99" s="981"/>
      <c r="V99" s="981"/>
      <c r="W99" s="10">
        <f t="shared" si="7"/>
        <v>16</v>
      </c>
    </row>
    <row r="100" spans="1:27" s="2" customFormat="1" x14ac:dyDescent="0.2">
      <c r="A100" s="3">
        <v>13</v>
      </c>
      <c r="B100" s="951"/>
      <c r="C100" s="981">
        <v>3793</v>
      </c>
      <c r="D100" s="981">
        <v>3907</v>
      </c>
      <c r="E100" s="981">
        <v>4016</v>
      </c>
      <c r="F100" s="981">
        <v>4127</v>
      </c>
      <c r="G100" s="981">
        <v>4232</v>
      </c>
      <c r="H100" s="981">
        <v>4458</v>
      </c>
      <c r="I100" s="981">
        <v>4563</v>
      </c>
      <c r="J100" s="981">
        <v>4674</v>
      </c>
      <c r="K100" s="981">
        <v>4811</v>
      </c>
      <c r="L100" s="981">
        <v>4950</v>
      </c>
      <c r="M100" s="981">
        <v>5088</v>
      </c>
      <c r="N100" s="981">
        <v>5225</v>
      </c>
      <c r="O100" s="981">
        <v>5293</v>
      </c>
      <c r="P100" s="981"/>
      <c r="Q100" s="981"/>
      <c r="R100" s="981"/>
      <c r="S100" s="981"/>
      <c r="T100" s="981"/>
      <c r="U100" s="981"/>
      <c r="V100" s="981"/>
      <c r="W100" s="10">
        <f t="shared" si="7"/>
        <v>13</v>
      </c>
    </row>
    <row r="101" spans="1:27" s="2" customFormat="1" x14ac:dyDescent="0.2">
      <c r="A101" s="3">
        <v>14</v>
      </c>
      <c r="B101" s="951"/>
      <c r="C101" s="981">
        <v>4347</v>
      </c>
      <c r="D101" s="981">
        <v>4458</v>
      </c>
      <c r="E101" s="981">
        <v>4674</v>
      </c>
      <c r="F101" s="981">
        <v>4811</v>
      </c>
      <c r="G101" s="981">
        <v>4950</v>
      </c>
      <c r="H101" s="981">
        <v>5088</v>
      </c>
      <c r="I101" s="981">
        <v>5225</v>
      </c>
      <c r="J101" s="981">
        <v>5365</v>
      </c>
      <c r="K101" s="981">
        <v>5512</v>
      </c>
      <c r="L101" s="981">
        <v>5660</v>
      </c>
      <c r="M101" s="981">
        <v>5815</v>
      </c>
      <c r="N101" s="981"/>
      <c r="O101" s="981"/>
      <c r="P101" s="981"/>
      <c r="Q101" s="981"/>
      <c r="R101" s="981"/>
      <c r="S101" s="981"/>
      <c r="T101" s="981"/>
      <c r="U101" s="981"/>
      <c r="V101" s="981"/>
      <c r="W101" s="10">
        <f t="shared" si="7"/>
        <v>11</v>
      </c>
    </row>
    <row r="102" spans="1:27" ht="12" customHeight="1" x14ac:dyDescent="0.2">
      <c r="A102" s="11">
        <v>15</v>
      </c>
      <c r="C102" s="981">
        <v>4563</v>
      </c>
      <c r="D102" s="981">
        <v>4674</v>
      </c>
      <c r="E102" s="981">
        <v>4811</v>
      </c>
      <c r="F102" s="981">
        <v>5088</v>
      </c>
      <c r="G102" s="981">
        <v>5225</v>
      </c>
      <c r="H102" s="981">
        <v>5365</v>
      </c>
      <c r="I102" s="981">
        <v>5512</v>
      </c>
      <c r="J102" s="981">
        <v>5660</v>
      </c>
      <c r="K102" s="981">
        <v>5815</v>
      </c>
      <c r="L102" s="981">
        <v>5999</v>
      </c>
      <c r="M102" s="981">
        <v>6192</v>
      </c>
      <c r="N102" s="981">
        <v>6390</v>
      </c>
      <c r="O102" s="981"/>
      <c r="P102" s="981"/>
      <c r="Q102" s="981"/>
      <c r="R102" s="981"/>
      <c r="S102" s="981"/>
      <c r="T102" s="981"/>
      <c r="U102" s="958"/>
      <c r="V102" s="958"/>
      <c r="W102" s="10">
        <f t="shared" si="7"/>
        <v>12</v>
      </c>
      <c r="X102" s="29"/>
      <c r="Y102" s="29"/>
      <c r="Z102" s="29"/>
      <c r="AA102" s="29"/>
    </row>
    <row r="103" spans="1:27" ht="12" customHeight="1" x14ac:dyDescent="0.2">
      <c r="A103" s="11">
        <v>16</v>
      </c>
      <c r="C103" s="981">
        <v>4950</v>
      </c>
      <c r="D103" s="981">
        <v>5088</v>
      </c>
      <c r="E103" s="981">
        <v>5225</v>
      </c>
      <c r="F103" s="981">
        <v>5512</v>
      </c>
      <c r="G103" s="981">
        <v>5660</v>
      </c>
      <c r="H103" s="981">
        <v>5815</v>
      </c>
      <c r="I103" s="981">
        <v>5999</v>
      </c>
      <c r="J103" s="981">
        <v>6192</v>
      </c>
      <c r="K103" s="981">
        <v>6390</v>
      </c>
      <c r="L103" s="981">
        <v>6594</v>
      </c>
      <c r="M103" s="981">
        <v>6802</v>
      </c>
      <c r="N103" s="981">
        <v>7019</v>
      </c>
      <c r="O103" s="981"/>
      <c r="P103" s="981"/>
      <c r="Q103" s="981"/>
      <c r="R103" s="981"/>
      <c r="S103" s="981"/>
      <c r="T103" s="981"/>
      <c r="U103" s="958"/>
      <c r="V103" s="958"/>
      <c r="W103" s="10">
        <f t="shared" si="7"/>
        <v>12</v>
      </c>
      <c r="X103" s="29"/>
      <c r="Y103" s="29"/>
      <c r="Z103" s="29"/>
      <c r="AA103" s="29"/>
    </row>
    <row r="104" spans="1:27" ht="12" customHeight="1" x14ac:dyDescent="0.2">
      <c r="I104" s="29"/>
      <c r="J104" s="29"/>
      <c r="K104" s="29"/>
      <c r="L104" s="29"/>
      <c r="M104" s="29"/>
      <c r="N104" s="29"/>
      <c r="O104" s="29"/>
      <c r="P104" s="29"/>
      <c r="Q104" s="29"/>
      <c r="R104" s="29"/>
      <c r="S104" s="29"/>
      <c r="T104" s="29"/>
      <c r="U104" s="29"/>
      <c r="V104" s="29"/>
      <c r="W104" s="29"/>
      <c r="X104" s="29"/>
      <c r="Y104" s="29"/>
      <c r="Z104" s="29"/>
      <c r="AA104" s="29"/>
    </row>
    <row r="105" spans="1:27" ht="12" customHeight="1" x14ac:dyDescent="0.2"/>
    <row r="108" spans="1:27" s="3" customFormat="1" x14ac:dyDescent="0.2">
      <c r="A108" s="1183" t="s">
        <v>206</v>
      </c>
      <c r="B108" s="951"/>
      <c r="D108" s="866" t="s">
        <v>468</v>
      </c>
      <c r="E108" s="913">
        <v>-6.1999999999999998E-3</v>
      </c>
      <c r="H108" s="26"/>
      <c r="I108" s="866" t="s">
        <v>468</v>
      </c>
      <c r="J108" s="913">
        <v>2E-3</v>
      </c>
    </row>
    <row r="109" spans="1:27" s="2" customFormat="1" ht="12.75" customHeight="1" x14ac:dyDescent="0.2">
      <c r="A109" s="11"/>
      <c r="B109" s="953"/>
      <c r="D109" s="865">
        <f>D4</f>
        <v>2015</v>
      </c>
      <c r="E109" s="11"/>
      <c r="H109" s="26"/>
      <c r="I109" s="867">
        <f>E4</f>
        <v>2016</v>
      </c>
    </row>
    <row r="110" spans="1:27" s="2" customFormat="1" x14ac:dyDescent="0.2">
      <c r="A110" s="3" t="s">
        <v>320</v>
      </c>
      <c r="B110" s="951"/>
      <c r="D110" s="948">
        <v>13394.58</v>
      </c>
      <c r="E110" s="948">
        <v>313.16000000000003</v>
      </c>
      <c r="H110" s="26"/>
      <c r="I110" s="948">
        <v>13421.37</v>
      </c>
      <c r="J110" s="948">
        <v>318.88</v>
      </c>
    </row>
    <row r="111" spans="1:27" s="2" customFormat="1" x14ac:dyDescent="0.2">
      <c r="A111" s="3" t="s">
        <v>403</v>
      </c>
      <c r="B111" s="951"/>
      <c r="D111" s="948">
        <v>110.98</v>
      </c>
      <c r="E111" s="948">
        <v>19.88</v>
      </c>
      <c r="H111" s="26"/>
      <c r="I111" s="948">
        <v>111.2</v>
      </c>
      <c r="J111" s="948">
        <v>19.920000000000002</v>
      </c>
    </row>
    <row r="112" spans="1:27" s="2" customFormat="1" x14ac:dyDescent="0.2">
      <c r="A112" s="3" t="s">
        <v>404</v>
      </c>
      <c r="B112" s="951"/>
      <c r="D112" s="948">
        <v>0</v>
      </c>
      <c r="E112" s="948">
        <v>223.32</v>
      </c>
      <c r="H112" s="26"/>
      <c r="I112" s="948">
        <v>0</v>
      </c>
      <c r="J112" s="948">
        <v>223.77</v>
      </c>
      <c r="L112" s="1348"/>
    </row>
    <row r="113" spans="1:13" s="11" customFormat="1" x14ac:dyDescent="0.2">
      <c r="A113" s="3"/>
      <c r="B113" s="951"/>
      <c r="C113" s="44"/>
      <c r="D113" s="44"/>
      <c r="F113" s="44"/>
      <c r="G113" s="44"/>
      <c r="I113" s="44"/>
      <c r="J113" s="44"/>
    </row>
    <row r="114" spans="1:13" s="2" customFormat="1" ht="12.75" customHeight="1" x14ac:dyDescent="0.2">
      <c r="A114" s="11"/>
      <c r="B114" s="953"/>
      <c r="C114" s="11"/>
      <c r="D114" s="865">
        <f>D109</f>
        <v>2015</v>
      </c>
      <c r="F114" s="11"/>
      <c r="G114" s="11"/>
      <c r="H114" s="11"/>
      <c r="I114" s="867">
        <f>I109</f>
        <v>2016</v>
      </c>
    </row>
    <row r="115" spans="1:13" s="2" customFormat="1" x14ac:dyDescent="0.2">
      <c r="A115" s="3" t="s">
        <v>321</v>
      </c>
      <c r="B115" s="953"/>
      <c r="C115" s="3" t="s">
        <v>243</v>
      </c>
      <c r="D115" s="3" t="s">
        <v>321</v>
      </c>
      <c r="E115" s="3" t="s">
        <v>210</v>
      </c>
      <c r="F115" s="3" t="s">
        <v>322</v>
      </c>
      <c r="G115" s="868" t="s">
        <v>323</v>
      </c>
      <c r="H115" s="3" t="s">
        <v>176</v>
      </c>
      <c r="I115" s="3" t="s">
        <v>321</v>
      </c>
      <c r="J115" s="3" t="s">
        <v>210</v>
      </c>
      <c r="K115" s="3" t="s">
        <v>322</v>
      </c>
      <c r="L115" s="868" t="s">
        <v>323</v>
      </c>
      <c r="M115" s="3" t="s">
        <v>176</v>
      </c>
    </row>
    <row r="116" spans="1:13" s="2" customFormat="1" x14ac:dyDescent="0.2">
      <c r="A116" s="3" t="s">
        <v>242</v>
      </c>
      <c r="B116" s="951"/>
      <c r="C116" s="3" t="s">
        <v>244</v>
      </c>
      <c r="D116" s="3"/>
      <c r="E116" s="3"/>
      <c r="F116" s="3"/>
      <c r="G116" s="3"/>
      <c r="H116" s="868" t="s">
        <v>324</v>
      </c>
      <c r="I116" s="3"/>
      <c r="J116" s="3"/>
      <c r="K116" s="3"/>
      <c r="L116" s="3"/>
      <c r="M116" s="868" t="s">
        <v>324</v>
      </c>
    </row>
    <row r="117" spans="1:13" s="2" customFormat="1" x14ac:dyDescent="0.2">
      <c r="A117" s="3">
        <v>0</v>
      </c>
      <c r="B117" s="951"/>
      <c r="C117" s="3">
        <v>0</v>
      </c>
      <c r="D117" s="3">
        <v>0</v>
      </c>
      <c r="E117" s="949">
        <v>0</v>
      </c>
      <c r="F117" s="3"/>
      <c r="G117" s="3"/>
      <c r="H117" s="3"/>
      <c r="I117" s="3">
        <v>0</v>
      </c>
      <c r="J117" s="949">
        <v>0</v>
      </c>
      <c r="K117" s="3"/>
      <c r="L117" s="3"/>
      <c r="M117" s="3"/>
    </row>
    <row r="118" spans="1:13" s="2" customFormat="1" x14ac:dyDescent="0.2">
      <c r="A118" s="3">
        <v>2</v>
      </c>
      <c r="B118" s="951"/>
      <c r="C118" s="3">
        <v>375</v>
      </c>
      <c r="D118" s="10">
        <v>2</v>
      </c>
      <c r="E118" s="949">
        <v>23917</v>
      </c>
      <c r="F118" s="914"/>
      <c r="G118" s="914"/>
      <c r="H118" s="914"/>
      <c r="I118" s="10">
        <v>2</v>
      </c>
      <c r="J118" s="949">
        <v>24806</v>
      </c>
      <c r="K118" s="3"/>
      <c r="L118" s="3"/>
      <c r="M118" s="3"/>
    </row>
    <row r="119" spans="1:13" s="2" customFormat="1" x14ac:dyDescent="0.2">
      <c r="A119" s="3">
        <v>3</v>
      </c>
      <c r="B119" s="951"/>
      <c r="C119" s="3">
        <v>495</v>
      </c>
      <c r="D119" s="10">
        <v>3</v>
      </c>
      <c r="E119" s="949">
        <v>30939</v>
      </c>
      <c r="F119" s="914">
        <f t="shared" ref="F119:F166" si="9">+E119-E118</f>
        <v>7022</v>
      </c>
      <c r="G119" s="914"/>
      <c r="H119" s="914"/>
      <c r="I119" s="10">
        <v>3</v>
      </c>
      <c r="J119" s="949">
        <v>32111</v>
      </c>
      <c r="K119" s="46">
        <f t="shared" ref="K119:K166" si="10">+J119-J118</f>
        <v>7305</v>
      </c>
      <c r="L119" s="46"/>
      <c r="M119" s="46"/>
    </row>
    <row r="120" spans="1:13" s="2" customFormat="1" x14ac:dyDescent="0.2">
      <c r="A120" s="3">
        <v>4</v>
      </c>
      <c r="B120" s="951"/>
      <c r="C120" s="3">
        <v>650</v>
      </c>
      <c r="D120" s="10">
        <v>4</v>
      </c>
      <c r="E120" s="949">
        <v>40010</v>
      </c>
      <c r="F120" s="914">
        <f t="shared" si="9"/>
        <v>9071</v>
      </c>
      <c r="G120" s="914"/>
      <c r="H120" s="914"/>
      <c r="I120" s="10">
        <v>4</v>
      </c>
      <c r="J120" s="949">
        <v>41548</v>
      </c>
      <c r="K120" s="46">
        <f t="shared" si="10"/>
        <v>9437</v>
      </c>
      <c r="L120" s="46"/>
      <c r="M120" s="46"/>
    </row>
    <row r="121" spans="1:13" s="2" customFormat="1" x14ac:dyDescent="0.2">
      <c r="A121" s="3">
        <v>5</v>
      </c>
      <c r="B121" s="951"/>
      <c r="C121" s="3">
        <v>785</v>
      </c>
      <c r="D121" s="10">
        <v>5</v>
      </c>
      <c r="E121" s="949">
        <v>47910</v>
      </c>
      <c r="F121" s="914">
        <f t="shared" si="9"/>
        <v>7900</v>
      </c>
      <c r="G121" s="914"/>
      <c r="H121" s="914"/>
      <c r="I121" s="10">
        <v>5</v>
      </c>
      <c r="J121" s="949">
        <v>49766</v>
      </c>
      <c r="K121" s="46">
        <f t="shared" si="10"/>
        <v>8218</v>
      </c>
      <c r="L121" s="46"/>
      <c r="M121" s="46"/>
    </row>
    <row r="122" spans="1:13" s="2" customFormat="1" x14ac:dyDescent="0.2">
      <c r="A122" s="3">
        <v>6</v>
      </c>
      <c r="B122" s="951"/>
      <c r="C122" s="3">
        <v>875</v>
      </c>
      <c r="D122" s="10">
        <v>6</v>
      </c>
      <c r="E122" s="949">
        <v>53177</v>
      </c>
      <c r="F122" s="914">
        <f t="shared" si="9"/>
        <v>5267</v>
      </c>
      <c r="G122" s="914"/>
      <c r="H122" s="914"/>
      <c r="I122" s="10">
        <v>6</v>
      </c>
      <c r="J122" s="949">
        <v>55246</v>
      </c>
      <c r="K122" s="46">
        <f t="shared" si="10"/>
        <v>5480</v>
      </c>
      <c r="L122" s="46"/>
      <c r="M122" s="46"/>
    </row>
    <row r="123" spans="1:13" s="2" customFormat="1" x14ac:dyDescent="0.2">
      <c r="A123" s="3">
        <v>7</v>
      </c>
      <c r="B123" s="951"/>
      <c r="C123" s="3">
        <v>980</v>
      </c>
      <c r="D123" s="10">
        <v>7</v>
      </c>
      <c r="E123" s="869">
        <f t="shared" ref="E123:E129" si="11">+E122+G123</f>
        <v>59322</v>
      </c>
      <c r="F123" s="914">
        <f t="shared" si="9"/>
        <v>6145</v>
      </c>
      <c r="G123" s="949">
        <v>6145</v>
      </c>
      <c r="H123" s="914"/>
      <c r="I123" s="10">
        <v>7</v>
      </c>
      <c r="J123" s="869">
        <f t="shared" ref="J123:J129" si="12">+J122+L123</f>
        <v>61638</v>
      </c>
      <c r="K123" s="46">
        <f t="shared" si="10"/>
        <v>6392</v>
      </c>
      <c r="L123" s="949">
        <v>6392</v>
      </c>
      <c r="M123" s="46"/>
    </row>
    <row r="124" spans="1:13" s="2" customFormat="1" x14ac:dyDescent="0.2">
      <c r="A124" s="3">
        <v>8</v>
      </c>
      <c r="B124" s="951"/>
      <c r="C124" s="3">
        <v>1085</v>
      </c>
      <c r="D124" s="10">
        <v>8</v>
      </c>
      <c r="E124" s="869">
        <f t="shared" si="11"/>
        <v>65467</v>
      </c>
      <c r="F124" s="914">
        <f t="shared" si="9"/>
        <v>6145</v>
      </c>
      <c r="G124" s="914">
        <f t="shared" ref="G124:G166" si="13">G123</f>
        <v>6145</v>
      </c>
      <c r="H124" s="914"/>
      <c r="I124" s="10">
        <v>8</v>
      </c>
      <c r="J124" s="869">
        <f t="shared" si="12"/>
        <v>68030</v>
      </c>
      <c r="K124" s="46">
        <f t="shared" si="10"/>
        <v>6392</v>
      </c>
      <c r="L124" s="46">
        <f t="shared" ref="L124:L166" si="14">L123</f>
        <v>6392</v>
      </c>
      <c r="M124" s="46"/>
    </row>
    <row r="125" spans="1:13" s="2" customFormat="1" x14ac:dyDescent="0.2">
      <c r="A125" s="3">
        <v>9</v>
      </c>
      <c r="B125" s="951"/>
      <c r="C125" s="3">
        <v>1190</v>
      </c>
      <c r="D125" s="10">
        <v>9</v>
      </c>
      <c r="E125" s="869">
        <f t="shared" si="11"/>
        <v>71612</v>
      </c>
      <c r="F125" s="914">
        <f t="shared" si="9"/>
        <v>6145</v>
      </c>
      <c r="G125" s="914">
        <f t="shared" si="13"/>
        <v>6145</v>
      </c>
      <c r="H125" s="914"/>
      <c r="I125" s="10">
        <v>9</v>
      </c>
      <c r="J125" s="869">
        <f t="shared" si="12"/>
        <v>74422</v>
      </c>
      <c r="K125" s="46">
        <f t="shared" si="10"/>
        <v>6392</v>
      </c>
      <c r="L125" s="46">
        <f t="shared" si="14"/>
        <v>6392</v>
      </c>
      <c r="M125" s="46"/>
    </row>
    <row r="126" spans="1:13" s="2" customFormat="1" x14ac:dyDescent="0.2">
      <c r="A126" s="3">
        <v>10</v>
      </c>
      <c r="B126" s="951"/>
      <c r="C126" s="3">
        <v>1295</v>
      </c>
      <c r="D126" s="10">
        <v>10</v>
      </c>
      <c r="E126" s="869">
        <f t="shared" si="11"/>
        <v>77757</v>
      </c>
      <c r="F126" s="914">
        <f t="shared" si="9"/>
        <v>6145</v>
      </c>
      <c r="G126" s="914">
        <f t="shared" si="13"/>
        <v>6145</v>
      </c>
      <c r="H126" s="914"/>
      <c r="I126" s="10">
        <v>10</v>
      </c>
      <c r="J126" s="869">
        <f t="shared" si="12"/>
        <v>80814</v>
      </c>
      <c r="K126" s="46">
        <f t="shared" si="10"/>
        <v>6392</v>
      </c>
      <c r="L126" s="46">
        <f t="shared" si="14"/>
        <v>6392</v>
      </c>
      <c r="M126" s="46"/>
    </row>
    <row r="127" spans="1:13" s="2" customFormat="1" x14ac:dyDescent="0.2">
      <c r="A127" s="3">
        <v>11</v>
      </c>
      <c r="B127" s="951"/>
      <c r="C127" s="3">
        <v>1400</v>
      </c>
      <c r="D127" s="10">
        <v>11</v>
      </c>
      <c r="E127" s="869">
        <f t="shared" si="11"/>
        <v>83902</v>
      </c>
      <c r="F127" s="914">
        <f t="shared" si="9"/>
        <v>6145</v>
      </c>
      <c r="G127" s="914">
        <f t="shared" si="13"/>
        <v>6145</v>
      </c>
      <c r="H127" s="914"/>
      <c r="I127" s="10">
        <v>11</v>
      </c>
      <c r="J127" s="869">
        <f t="shared" si="12"/>
        <v>87206</v>
      </c>
      <c r="K127" s="46">
        <f t="shared" si="10"/>
        <v>6392</v>
      </c>
      <c r="L127" s="46">
        <f t="shared" si="14"/>
        <v>6392</v>
      </c>
      <c r="M127" s="46"/>
    </row>
    <row r="128" spans="1:13" s="2" customFormat="1" x14ac:dyDescent="0.2">
      <c r="A128" s="3">
        <v>12</v>
      </c>
      <c r="B128" s="951"/>
      <c r="C128" s="3">
        <v>1505</v>
      </c>
      <c r="D128" s="10">
        <v>12</v>
      </c>
      <c r="E128" s="869">
        <f t="shared" si="11"/>
        <v>90047</v>
      </c>
      <c r="F128" s="914">
        <f t="shared" si="9"/>
        <v>6145</v>
      </c>
      <c r="G128" s="914">
        <f t="shared" si="13"/>
        <v>6145</v>
      </c>
      <c r="H128" s="914"/>
      <c r="I128" s="10">
        <v>12</v>
      </c>
      <c r="J128" s="869">
        <f t="shared" si="12"/>
        <v>93598</v>
      </c>
      <c r="K128" s="46">
        <f t="shared" si="10"/>
        <v>6392</v>
      </c>
      <c r="L128" s="46">
        <f t="shared" si="14"/>
        <v>6392</v>
      </c>
      <c r="M128" s="46"/>
    </row>
    <row r="129" spans="1:13" s="2" customFormat="1" x14ac:dyDescent="0.2">
      <c r="A129" s="3">
        <v>13</v>
      </c>
      <c r="B129" s="951"/>
      <c r="C129" s="3">
        <v>1610</v>
      </c>
      <c r="D129" s="10">
        <v>13</v>
      </c>
      <c r="E129" s="869">
        <f t="shared" si="11"/>
        <v>96192</v>
      </c>
      <c r="F129" s="914">
        <f t="shared" si="9"/>
        <v>6145</v>
      </c>
      <c r="G129" s="914">
        <f t="shared" si="13"/>
        <v>6145</v>
      </c>
      <c r="H129" s="914"/>
      <c r="I129" s="10">
        <v>13</v>
      </c>
      <c r="J129" s="869">
        <f t="shared" si="12"/>
        <v>99990</v>
      </c>
      <c r="K129" s="46">
        <f t="shared" si="10"/>
        <v>6392</v>
      </c>
      <c r="L129" s="46">
        <f t="shared" si="14"/>
        <v>6392</v>
      </c>
      <c r="M129" s="46"/>
    </row>
    <row r="130" spans="1:13" s="2" customFormat="1" x14ac:dyDescent="0.2">
      <c r="A130" s="3">
        <v>14</v>
      </c>
      <c r="B130" s="951"/>
      <c r="C130" s="3">
        <v>1755</v>
      </c>
      <c r="D130" s="10">
        <v>14</v>
      </c>
      <c r="E130" s="869">
        <f>+E129+G130+H130</f>
        <v>104678</v>
      </c>
      <c r="F130" s="914">
        <f t="shared" si="9"/>
        <v>8486</v>
      </c>
      <c r="G130" s="914">
        <f t="shared" si="13"/>
        <v>6145</v>
      </c>
      <c r="H130" s="949">
        <v>2341</v>
      </c>
      <c r="I130" s="10">
        <v>14</v>
      </c>
      <c r="J130" s="869">
        <f>+J129+L130+M130</f>
        <v>108817</v>
      </c>
      <c r="K130" s="46">
        <f t="shared" si="10"/>
        <v>8827</v>
      </c>
      <c r="L130" s="46">
        <f t="shared" si="14"/>
        <v>6392</v>
      </c>
      <c r="M130" s="949">
        <v>2435</v>
      </c>
    </row>
    <row r="131" spans="1:13" s="2" customFormat="1" x14ac:dyDescent="0.2">
      <c r="A131" s="3">
        <v>15</v>
      </c>
      <c r="B131" s="951"/>
      <c r="C131" s="3">
        <v>1860</v>
      </c>
      <c r="D131" s="10">
        <v>15</v>
      </c>
      <c r="E131" s="869">
        <f t="shared" ref="E131:E166" si="15">+E130+G131</f>
        <v>110823</v>
      </c>
      <c r="F131" s="914">
        <f t="shared" si="9"/>
        <v>6145</v>
      </c>
      <c r="G131" s="914">
        <f t="shared" si="13"/>
        <v>6145</v>
      </c>
      <c r="H131" s="914"/>
      <c r="I131" s="10">
        <v>15</v>
      </c>
      <c r="J131" s="869">
        <f t="shared" ref="J131:J166" si="16">+J130+L131</f>
        <v>115209</v>
      </c>
      <c r="K131" s="46">
        <f t="shared" si="10"/>
        <v>6392</v>
      </c>
      <c r="L131" s="46">
        <f t="shared" si="14"/>
        <v>6392</v>
      </c>
      <c r="M131" s="46"/>
    </row>
    <row r="132" spans="1:13" s="2" customFormat="1" x14ac:dyDescent="0.2">
      <c r="A132" s="3">
        <v>16</v>
      </c>
      <c r="B132" s="951"/>
      <c r="C132" s="3">
        <v>1965</v>
      </c>
      <c r="D132" s="10">
        <v>16</v>
      </c>
      <c r="E132" s="869">
        <f t="shared" si="15"/>
        <v>116968</v>
      </c>
      <c r="F132" s="914">
        <f t="shared" si="9"/>
        <v>6145</v>
      </c>
      <c r="G132" s="914">
        <f t="shared" si="13"/>
        <v>6145</v>
      </c>
      <c r="H132" s="914"/>
      <c r="I132" s="10">
        <v>16</v>
      </c>
      <c r="J132" s="869">
        <f t="shared" si="16"/>
        <v>121601</v>
      </c>
      <c r="K132" s="46">
        <f t="shared" si="10"/>
        <v>6392</v>
      </c>
      <c r="L132" s="46">
        <f t="shared" si="14"/>
        <v>6392</v>
      </c>
      <c r="M132" s="46"/>
    </row>
    <row r="133" spans="1:13" s="2" customFormat="1" x14ac:dyDescent="0.2">
      <c r="A133" s="3">
        <v>17</v>
      </c>
      <c r="B133" s="951"/>
      <c r="C133" s="3">
        <v>2070</v>
      </c>
      <c r="D133" s="10">
        <v>17</v>
      </c>
      <c r="E133" s="869">
        <f t="shared" si="15"/>
        <v>123113</v>
      </c>
      <c r="F133" s="914">
        <f t="shared" si="9"/>
        <v>6145</v>
      </c>
      <c r="G133" s="914">
        <f t="shared" si="13"/>
        <v>6145</v>
      </c>
      <c r="H133" s="914"/>
      <c r="I133" s="10">
        <v>17</v>
      </c>
      <c r="J133" s="869">
        <f t="shared" si="16"/>
        <v>127993</v>
      </c>
      <c r="K133" s="46">
        <f t="shared" si="10"/>
        <v>6392</v>
      </c>
      <c r="L133" s="46">
        <f t="shared" si="14"/>
        <v>6392</v>
      </c>
      <c r="M133" s="46"/>
    </row>
    <row r="134" spans="1:13" s="2" customFormat="1" x14ac:dyDescent="0.2">
      <c r="A134" s="3">
        <v>18</v>
      </c>
      <c r="B134" s="951"/>
      <c r="C134" s="3">
        <v>2175</v>
      </c>
      <c r="D134" s="10">
        <v>18</v>
      </c>
      <c r="E134" s="869">
        <f t="shared" si="15"/>
        <v>129258</v>
      </c>
      <c r="F134" s="914">
        <f t="shared" si="9"/>
        <v>6145</v>
      </c>
      <c r="G134" s="914">
        <f t="shared" si="13"/>
        <v>6145</v>
      </c>
      <c r="H134" s="914"/>
      <c r="I134" s="10">
        <v>18</v>
      </c>
      <c r="J134" s="869">
        <f t="shared" si="16"/>
        <v>134385</v>
      </c>
      <c r="K134" s="46">
        <f t="shared" si="10"/>
        <v>6392</v>
      </c>
      <c r="L134" s="46">
        <f t="shared" si="14"/>
        <v>6392</v>
      </c>
      <c r="M134" s="46"/>
    </row>
    <row r="135" spans="1:13" s="2" customFormat="1" x14ac:dyDescent="0.2">
      <c r="A135" s="3">
        <v>19</v>
      </c>
      <c r="B135" s="951"/>
      <c r="C135" s="3">
        <v>2280</v>
      </c>
      <c r="D135" s="10">
        <v>19</v>
      </c>
      <c r="E135" s="869">
        <f t="shared" si="15"/>
        <v>135403</v>
      </c>
      <c r="F135" s="914">
        <f t="shared" si="9"/>
        <v>6145</v>
      </c>
      <c r="G135" s="914">
        <f t="shared" si="13"/>
        <v>6145</v>
      </c>
      <c r="H135" s="914"/>
      <c r="I135" s="10">
        <v>19</v>
      </c>
      <c r="J135" s="869">
        <f t="shared" si="16"/>
        <v>140777</v>
      </c>
      <c r="K135" s="46">
        <f t="shared" si="10"/>
        <v>6392</v>
      </c>
      <c r="L135" s="46">
        <f t="shared" si="14"/>
        <v>6392</v>
      </c>
      <c r="M135" s="46"/>
    </row>
    <row r="136" spans="1:13" s="2" customFormat="1" x14ac:dyDescent="0.2">
      <c r="A136" s="3">
        <v>20</v>
      </c>
      <c r="B136" s="951"/>
      <c r="C136" s="3">
        <v>2385</v>
      </c>
      <c r="D136" s="10">
        <v>20</v>
      </c>
      <c r="E136" s="869">
        <f t="shared" si="15"/>
        <v>141548</v>
      </c>
      <c r="F136" s="914">
        <f t="shared" si="9"/>
        <v>6145</v>
      </c>
      <c r="G136" s="914">
        <f t="shared" si="13"/>
        <v>6145</v>
      </c>
      <c r="H136" s="914"/>
      <c r="I136" s="10">
        <v>20</v>
      </c>
      <c r="J136" s="869">
        <f t="shared" si="16"/>
        <v>147169</v>
      </c>
      <c r="K136" s="46">
        <f t="shared" si="10"/>
        <v>6392</v>
      </c>
      <c r="L136" s="46">
        <f t="shared" si="14"/>
        <v>6392</v>
      </c>
      <c r="M136" s="46"/>
    </row>
    <row r="137" spans="1:13" s="2" customFormat="1" x14ac:dyDescent="0.2">
      <c r="A137" s="3">
        <v>21</v>
      </c>
      <c r="B137" s="951"/>
      <c r="C137" s="3">
        <v>2490</v>
      </c>
      <c r="D137" s="10">
        <v>21</v>
      </c>
      <c r="E137" s="869">
        <f t="shared" si="15"/>
        <v>147693</v>
      </c>
      <c r="F137" s="914">
        <f t="shared" si="9"/>
        <v>6145</v>
      </c>
      <c r="G137" s="914">
        <f t="shared" si="13"/>
        <v>6145</v>
      </c>
      <c r="H137" s="914"/>
      <c r="I137" s="10">
        <v>21</v>
      </c>
      <c r="J137" s="869">
        <f t="shared" si="16"/>
        <v>153561</v>
      </c>
      <c r="K137" s="46">
        <f t="shared" si="10"/>
        <v>6392</v>
      </c>
      <c r="L137" s="46">
        <f t="shared" si="14"/>
        <v>6392</v>
      </c>
      <c r="M137" s="46"/>
    </row>
    <row r="138" spans="1:13" s="2" customFormat="1" x14ac:dyDescent="0.2">
      <c r="A138" s="3">
        <v>22</v>
      </c>
      <c r="B138" s="951"/>
      <c r="C138" s="3">
        <v>2595</v>
      </c>
      <c r="D138" s="10">
        <v>22</v>
      </c>
      <c r="E138" s="869">
        <f t="shared" si="15"/>
        <v>153838</v>
      </c>
      <c r="F138" s="914">
        <f t="shared" si="9"/>
        <v>6145</v>
      </c>
      <c r="G138" s="914">
        <f t="shared" si="13"/>
        <v>6145</v>
      </c>
      <c r="H138" s="914"/>
      <c r="I138" s="10">
        <v>22</v>
      </c>
      <c r="J138" s="869">
        <f t="shared" si="16"/>
        <v>159953</v>
      </c>
      <c r="K138" s="46">
        <f t="shared" si="10"/>
        <v>6392</v>
      </c>
      <c r="L138" s="46">
        <f t="shared" si="14"/>
        <v>6392</v>
      </c>
      <c r="M138" s="46"/>
    </row>
    <row r="139" spans="1:13" s="2" customFormat="1" x14ac:dyDescent="0.2">
      <c r="A139" s="3">
        <v>23</v>
      </c>
      <c r="B139" s="951"/>
      <c r="C139" s="3">
        <v>2700</v>
      </c>
      <c r="D139" s="10">
        <v>23</v>
      </c>
      <c r="E139" s="869">
        <f t="shared" si="15"/>
        <v>159983</v>
      </c>
      <c r="F139" s="914">
        <f t="shared" si="9"/>
        <v>6145</v>
      </c>
      <c r="G139" s="914">
        <f t="shared" si="13"/>
        <v>6145</v>
      </c>
      <c r="H139" s="914"/>
      <c r="I139" s="10">
        <v>23</v>
      </c>
      <c r="J139" s="869">
        <f t="shared" si="16"/>
        <v>166345</v>
      </c>
      <c r="K139" s="46">
        <f t="shared" si="10"/>
        <v>6392</v>
      </c>
      <c r="L139" s="46">
        <f t="shared" si="14"/>
        <v>6392</v>
      </c>
      <c r="M139" s="46"/>
    </row>
    <row r="140" spans="1:13" s="2" customFormat="1" x14ac:dyDescent="0.2">
      <c r="A140" s="3">
        <v>24</v>
      </c>
      <c r="B140" s="951"/>
      <c r="C140" s="3">
        <v>2805</v>
      </c>
      <c r="D140" s="10">
        <v>24</v>
      </c>
      <c r="E140" s="869">
        <f t="shared" si="15"/>
        <v>166128</v>
      </c>
      <c r="F140" s="914">
        <f t="shared" si="9"/>
        <v>6145</v>
      </c>
      <c r="G140" s="914">
        <f t="shared" si="13"/>
        <v>6145</v>
      </c>
      <c r="H140" s="914"/>
      <c r="I140" s="10">
        <v>24</v>
      </c>
      <c r="J140" s="869">
        <f t="shared" si="16"/>
        <v>172737</v>
      </c>
      <c r="K140" s="46">
        <f t="shared" si="10"/>
        <v>6392</v>
      </c>
      <c r="L140" s="46">
        <f t="shared" si="14"/>
        <v>6392</v>
      </c>
      <c r="M140" s="46"/>
    </row>
    <row r="141" spans="1:13" s="2" customFormat="1" x14ac:dyDescent="0.2">
      <c r="A141" s="3">
        <v>25</v>
      </c>
      <c r="B141" s="951"/>
      <c r="C141" s="3">
        <v>2910</v>
      </c>
      <c r="D141" s="10">
        <v>25</v>
      </c>
      <c r="E141" s="869">
        <f t="shared" si="15"/>
        <v>172273</v>
      </c>
      <c r="F141" s="914">
        <f t="shared" si="9"/>
        <v>6145</v>
      </c>
      <c r="G141" s="914">
        <f t="shared" si="13"/>
        <v>6145</v>
      </c>
      <c r="H141" s="914"/>
      <c r="I141" s="10">
        <v>25</v>
      </c>
      <c r="J141" s="869">
        <f t="shared" si="16"/>
        <v>179129</v>
      </c>
      <c r="K141" s="46">
        <f t="shared" si="10"/>
        <v>6392</v>
      </c>
      <c r="L141" s="46">
        <f t="shared" si="14"/>
        <v>6392</v>
      </c>
      <c r="M141" s="46"/>
    </row>
    <row r="142" spans="1:13" s="2" customFormat="1" x14ac:dyDescent="0.2">
      <c r="A142" s="3">
        <v>26</v>
      </c>
      <c r="B142" s="951"/>
      <c r="C142" s="3">
        <v>3015</v>
      </c>
      <c r="D142" s="10">
        <v>26</v>
      </c>
      <c r="E142" s="869">
        <f t="shared" si="15"/>
        <v>178418</v>
      </c>
      <c r="F142" s="914">
        <f t="shared" si="9"/>
        <v>6145</v>
      </c>
      <c r="G142" s="914">
        <f t="shared" si="13"/>
        <v>6145</v>
      </c>
      <c r="H142" s="914"/>
      <c r="I142" s="10">
        <v>26</v>
      </c>
      <c r="J142" s="869">
        <f t="shared" si="16"/>
        <v>185521</v>
      </c>
      <c r="K142" s="46">
        <f t="shared" si="10"/>
        <v>6392</v>
      </c>
      <c r="L142" s="46">
        <f t="shared" si="14"/>
        <v>6392</v>
      </c>
      <c r="M142" s="46"/>
    </row>
    <row r="143" spans="1:13" s="2" customFormat="1" x14ac:dyDescent="0.2">
      <c r="A143" s="3">
        <v>27</v>
      </c>
      <c r="B143" s="951"/>
      <c r="C143" s="3">
        <v>3120</v>
      </c>
      <c r="D143" s="10">
        <v>27</v>
      </c>
      <c r="E143" s="869">
        <f t="shared" si="15"/>
        <v>184563</v>
      </c>
      <c r="F143" s="914">
        <f t="shared" si="9"/>
        <v>6145</v>
      </c>
      <c r="G143" s="914">
        <f t="shared" si="13"/>
        <v>6145</v>
      </c>
      <c r="H143" s="914"/>
      <c r="I143" s="10">
        <v>27</v>
      </c>
      <c r="J143" s="869">
        <f t="shared" si="16"/>
        <v>191913</v>
      </c>
      <c r="K143" s="46">
        <f t="shared" si="10"/>
        <v>6392</v>
      </c>
      <c r="L143" s="46">
        <f t="shared" si="14"/>
        <v>6392</v>
      </c>
      <c r="M143" s="46"/>
    </row>
    <row r="144" spans="1:13" s="2" customFormat="1" x14ac:dyDescent="0.2">
      <c r="A144" s="3">
        <v>28</v>
      </c>
      <c r="B144" s="951"/>
      <c r="C144" s="3">
        <v>3225</v>
      </c>
      <c r="D144" s="10">
        <v>28</v>
      </c>
      <c r="E144" s="869">
        <f t="shared" si="15"/>
        <v>190708</v>
      </c>
      <c r="F144" s="914">
        <f t="shared" si="9"/>
        <v>6145</v>
      </c>
      <c r="G144" s="914">
        <f t="shared" si="13"/>
        <v>6145</v>
      </c>
      <c r="H144" s="914"/>
      <c r="I144" s="10">
        <v>28</v>
      </c>
      <c r="J144" s="869">
        <f t="shared" si="16"/>
        <v>198305</v>
      </c>
      <c r="K144" s="46">
        <f t="shared" si="10"/>
        <v>6392</v>
      </c>
      <c r="L144" s="46">
        <f t="shared" si="14"/>
        <v>6392</v>
      </c>
      <c r="M144" s="46"/>
    </row>
    <row r="145" spans="1:13" s="2" customFormat="1" x14ac:dyDescent="0.2">
      <c r="A145" s="3">
        <v>29</v>
      </c>
      <c r="B145" s="951"/>
      <c r="C145" s="3">
        <v>3330</v>
      </c>
      <c r="D145" s="10">
        <v>29</v>
      </c>
      <c r="E145" s="869">
        <f t="shared" si="15"/>
        <v>196853</v>
      </c>
      <c r="F145" s="914">
        <f t="shared" si="9"/>
        <v>6145</v>
      </c>
      <c r="G145" s="914">
        <f t="shared" si="13"/>
        <v>6145</v>
      </c>
      <c r="H145" s="914"/>
      <c r="I145" s="10">
        <v>29</v>
      </c>
      <c r="J145" s="869">
        <f t="shared" si="16"/>
        <v>204697</v>
      </c>
      <c r="K145" s="46">
        <f t="shared" si="10"/>
        <v>6392</v>
      </c>
      <c r="L145" s="46">
        <f t="shared" si="14"/>
        <v>6392</v>
      </c>
      <c r="M145" s="46"/>
    </row>
    <row r="146" spans="1:13" s="2" customFormat="1" x14ac:dyDescent="0.2">
      <c r="A146" s="3">
        <v>30</v>
      </c>
      <c r="B146" s="951"/>
      <c r="C146" s="3">
        <v>3435</v>
      </c>
      <c r="D146" s="10">
        <v>30</v>
      </c>
      <c r="E146" s="869">
        <f t="shared" si="15"/>
        <v>202998</v>
      </c>
      <c r="F146" s="914">
        <f t="shared" si="9"/>
        <v>6145</v>
      </c>
      <c r="G146" s="914">
        <f t="shared" si="13"/>
        <v>6145</v>
      </c>
      <c r="H146" s="914"/>
      <c r="I146" s="10">
        <v>30</v>
      </c>
      <c r="J146" s="869">
        <f t="shared" si="16"/>
        <v>211089</v>
      </c>
      <c r="K146" s="46">
        <f t="shared" si="10"/>
        <v>6392</v>
      </c>
      <c r="L146" s="46">
        <f t="shared" si="14"/>
        <v>6392</v>
      </c>
      <c r="M146" s="46"/>
    </row>
    <row r="147" spans="1:13" s="2" customFormat="1" x14ac:dyDescent="0.2">
      <c r="A147" s="3">
        <v>31</v>
      </c>
      <c r="B147" s="951"/>
      <c r="C147" s="3">
        <v>3540</v>
      </c>
      <c r="D147" s="10">
        <v>31</v>
      </c>
      <c r="E147" s="869">
        <f t="shared" si="15"/>
        <v>209143</v>
      </c>
      <c r="F147" s="914">
        <f t="shared" si="9"/>
        <v>6145</v>
      </c>
      <c r="G147" s="914">
        <f t="shared" si="13"/>
        <v>6145</v>
      </c>
      <c r="H147" s="914"/>
      <c r="I147" s="10">
        <v>31</v>
      </c>
      <c r="J147" s="869">
        <f t="shared" si="16"/>
        <v>217481</v>
      </c>
      <c r="K147" s="46">
        <f t="shared" si="10"/>
        <v>6392</v>
      </c>
      <c r="L147" s="46">
        <f t="shared" si="14"/>
        <v>6392</v>
      </c>
      <c r="M147" s="46"/>
    </row>
    <row r="148" spans="1:13" s="2" customFormat="1" x14ac:dyDescent="0.2">
      <c r="A148" s="3">
        <v>32</v>
      </c>
      <c r="B148" s="951"/>
      <c r="C148" s="3">
        <v>3645</v>
      </c>
      <c r="D148" s="10">
        <v>32</v>
      </c>
      <c r="E148" s="869">
        <f t="shared" si="15"/>
        <v>215288</v>
      </c>
      <c r="F148" s="914">
        <f t="shared" si="9"/>
        <v>6145</v>
      </c>
      <c r="G148" s="914">
        <f t="shared" si="13"/>
        <v>6145</v>
      </c>
      <c r="H148" s="914"/>
      <c r="I148" s="10">
        <v>32</v>
      </c>
      <c r="J148" s="869">
        <f t="shared" si="16"/>
        <v>223873</v>
      </c>
      <c r="K148" s="46">
        <f t="shared" si="10"/>
        <v>6392</v>
      </c>
      <c r="L148" s="46">
        <f t="shared" si="14"/>
        <v>6392</v>
      </c>
      <c r="M148" s="46"/>
    </row>
    <row r="149" spans="1:13" s="2" customFormat="1" x14ac:dyDescent="0.2">
      <c r="A149" s="3">
        <v>33</v>
      </c>
      <c r="B149" s="951"/>
      <c r="C149" s="3">
        <v>3750</v>
      </c>
      <c r="D149" s="10">
        <v>33</v>
      </c>
      <c r="E149" s="869">
        <f t="shared" si="15"/>
        <v>221433</v>
      </c>
      <c r="F149" s="914">
        <f t="shared" si="9"/>
        <v>6145</v>
      </c>
      <c r="G149" s="914">
        <f t="shared" si="13"/>
        <v>6145</v>
      </c>
      <c r="H149" s="914"/>
      <c r="I149" s="10">
        <v>33</v>
      </c>
      <c r="J149" s="869">
        <f t="shared" si="16"/>
        <v>230265</v>
      </c>
      <c r="K149" s="46">
        <f t="shared" si="10"/>
        <v>6392</v>
      </c>
      <c r="L149" s="46">
        <f t="shared" si="14"/>
        <v>6392</v>
      </c>
      <c r="M149" s="46"/>
    </row>
    <row r="150" spans="1:13" s="2" customFormat="1" x14ac:dyDescent="0.2">
      <c r="A150" s="3">
        <v>34</v>
      </c>
      <c r="B150" s="951"/>
      <c r="C150" s="3">
        <v>3855</v>
      </c>
      <c r="D150" s="10">
        <v>34</v>
      </c>
      <c r="E150" s="869">
        <f t="shared" si="15"/>
        <v>227578</v>
      </c>
      <c r="F150" s="914">
        <f t="shared" si="9"/>
        <v>6145</v>
      </c>
      <c r="G150" s="914">
        <f t="shared" si="13"/>
        <v>6145</v>
      </c>
      <c r="H150" s="914"/>
      <c r="I150" s="10">
        <v>34</v>
      </c>
      <c r="J150" s="869">
        <f t="shared" si="16"/>
        <v>236657</v>
      </c>
      <c r="K150" s="46">
        <f t="shared" si="10"/>
        <v>6392</v>
      </c>
      <c r="L150" s="46">
        <f t="shared" si="14"/>
        <v>6392</v>
      </c>
      <c r="M150" s="46"/>
    </row>
    <row r="151" spans="1:13" s="2" customFormat="1" x14ac:dyDescent="0.2">
      <c r="A151" s="3">
        <v>35</v>
      </c>
      <c r="B151" s="951"/>
      <c r="C151" s="3">
        <v>3960</v>
      </c>
      <c r="D151" s="10">
        <v>35</v>
      </c>
      <c r="E151" s="869">
        <f t="shared" si="15"/>
        <v>233723</v>
      </c>
      <c r="F151" s="914">
        <f t="shared" si="9"/>
        <v>6145</v>
      </c>
      <c r="G151" s="914">
        <f t="shared" si="13"/>
        <v>6145</v>
      </c>
      <c r="H151" s="914"/>
      <c r="I151" s="10">
        <v>35</v>
      </c>
      <c r="J151" s="869">
        <f t="shared" si="16"/>
        <v>243049</v>
      </c>
      <c r="K151" s="46">
        <f t="shared" si="10"/>
        <v>6392</v>
      </c>
      <c r="L151" s="46">
        <f t="shared" si="14"/>
        <v>6392</v>
      </c>
      <c r="M151" s="46"/>
    </row>
    <row r="152" spans="1:13" s="2" customFormat="1" x14ac:dyDescent="0.2">
      <c r="A152" s="3">
        <f>+A151+1</f>
        <v>36</v>
      </c>
      <c r="B152" s="951"/>
      <c r="C152" s="3">
        <f>C151+105</f>
        <v>4065</v>
      </c>
      <c r="D152" s="10">
        <v>36</v>
      </c>
      <c r="E152" s="869">
        <f t="shared" si="15"/>
        <v>239868</v>
      </c>
      <c r="F152" s="914">
        <f t="shared" si="9"/>
        <v>6145</v>
      </c>
      <c r="G152" s="914">
        <f t="shared" si="13"/>
        <v>6145</v>
      </c>
      <c r="H152" s="914"/>
      <c r="I152" s="10">
        <v>36</v>
      </c>
      <c r="J152" s="869">
        <f t="shared" si="16"/>
        <v>249441</v>
      </c>
      <c r="K152" s="46">
        <f t="shared" si="10"/>
        <v>6392</v>
      </c>
      <c r="L152" s="46">
        <f t="shared" si="14"/>
        <v>6392</v>
      </c>
      <c r="M152" s="46"/>
    </row>
    <row r="153" spans="1:13" s="2" customFormat="1" x14ac:dyDescent="0.2">
      <c r="A153" s="3">
        <f>+A152+1</f>
        <v>37</v>
      </c>
      <c r="B153" s="951"/>
      <c r="C153" s="3">
        <f t="shared" ref="C153:C166" si="17">+C152+105</f>
        <v>4170</v>
      </c>
      <c r="D153" s="10">
        <v>37</v>
      </c>
      <c r="E153" s="869">
        <f t="shared" si="15"/>
        <v>246013</v>
      </c>
      <c r="F153" s="914">
        <f t="shared" si="9"/>
        <v>6145</v>
      </c>
      <c r="G153" s="914">
        <f t="shared" si="13"/>
        <v>6145</v>
      </c>
      <c r="H153" s="914"/>
      <c r="I153" s="10">
        <v>37</v>
      </c>
      <c r="J153" s="869">
        <f t="shared" si="16"/>
        <v>255833</v>
      </c>
      <c r="K153" s="46">
        <f t="shared" si="10"/>
        <v>6392</v>
      </c>
      <c r="L153" s="46">
        <f t="shared" si="14"/>
        <v>6392</v>
      </c>
      <c r="M153" s="46"/>
    </row>
    <row r="154" spans="1:13" s="2" customFormat="1" x14ac:dyDescent="0.2">
      <c r="A154" s="3">
        <f>+A153+1</f>
        <v>38</v>
      </c>
      <c r="B154" s="951"/>
      <c r="C154" s="3">
        <f t="shared" si="17"/>
        <v>4275</v>
      </c>
      <c r="D154" s="10">
        <v>38</v>
      </c>
      <c r="E154" s="869">
        <f t="shared" si="15"/>
        <v>252158</v>
      </c>
      <c r="F154" s="914">
        <f t="shared" si="9"/>
        <v>6145</v>
      </c>
      <c r="G154" s="914">
        <f t="shared" si="13"/>
        <v>6145</v>
      </c>
      <c r="H154" s="914"/>
      <c r="I154" s="10">
        <v>38</v>
      </c>
      <c r="J154" s="869">
        <f t="shared" si="16"/>
        <v>262225</v>
      </c>
      <c r="K154" s="46">
        <f t="shared" si="10"/>
        <v>6392</v>
      </c>
      <c r="L154" s="46">
        <f t="shared" si="14"/>
        <v>6392</v>
      </c>
      <c r="M154" s="46"/>
    </row>
    <row r="155" spans="1:13" s="2" customFormat="1" x14ac:dyDescent="0.2">
      <c r="A155" s="3">
        <f>+A154+1</f>
        <v>39</v>
      </c>
      <c r="B155" s="951"/>
      <c r="C155" s="3">
        <f t="shared" si="17"/>
        <v>4380</v>
      </c>
      <c r="D155" s="10">
        <v>39</v>
      </c>
      <c r="E155" s="869">
        <f t="shared" si="15"/>
        <v>258303</v>
      </c>
      <c r="F155" s="914">
        <f t="shared" si="9"/>
        <v>6145</v>
      </c>
      <c r="G155" s="914">
        <f t="shared" si="13"/>
        <v>6145</v>
      </c>
      <c r="H155" s="914"/>
      <c r="I155" s="10">
        <v>39</v>
      </c>
      <c r="J155" s="869">
        <f t="shared" si="16"/>
        <v>268617</v>
      </c>
      <c r="K155" s="46">
        <f t="shared" si="10"/>
        <v>6392</v>
      </c>
      <c r="L155" s="46">
        <f t="shared" si="14"/>
        <v>6392</v>
      </c>
      <c r="M155" s="46"/>
    </row>
    <row r="156" spans="1:13" s="2" customFormat="1" x14ac:dyDescent="0.2">
      <c r="A156" s="3">
        <f>+A155+1</f>
        <v>40</v>
      </c>
      <c r="B156" s="951"/>
      <c r="C156" s="3">
        <f t="shared" si="17"/>
        <v>4485</v>
      </c>
      <c r="D156" s="10">
        <v>40</v>
      </c>
      <c r="E156" s="869">
        <f t="shared" si="15"/>
        <v>264448</v>
      </c>
      <c r="F156" s="914">
        <f t="shared" si="9"/>
        <v>6145</v>
      </c>
      <c r="G156" s="914">
        <f t="shared" si="13"/>
        <v>6145</v>
      </c>
      <c r="H156" s="914"/>
      <c r="I156" s="10">
        <v>40</v>
      </c>
      <c r="J156" s="869">
        <f t="shared" si="16"/>
        <v>275009</v>
      </c>
      <c r="K156" s="46">
        <f t="shared" si="10"/>
        <v>6392</v>
      </c>
      <c r="L156" s="46">
        <f t="shared" si="14"/>
        <v>6392</v>
      </c>
      <c r="M156" s="46"/>
    </row>
    <row r="157" spans="1:13" s="2" customFormat="1" x14ac:dyDescent="0.2">
      <c r="A157" s="3">
        <v>41</v>
      </c>
      <c r="B157" s="951"/>
      <c r="C157" s="3">
        <f t="shared" si="17"/>
        <v>4590</v>
      </c>
      <c r="D157" s="10">
        <v>41</v>
      </c>
      <c r="E157" s="869">
        <f t="shared" si="15"/>
        <v>270593</v>
      </c>
      <c r="F157" s="914">
        <f t="shared" si="9"/>
        <v>6145</v>
      </c>
      <c r="G157" s="914">
        <f t="shared" si="13"/>
        <v>6145</v>
      </c>
      <c r="H157" s="914"/>
      <c r="I157" s="10">
        <v>41</v>
      </c>
      <c r="J157" s="869">
        <f t="shared" si="16"/>
        <v>281401</v>
      </c>
      <c r="K157" s="46">
        <f t="shared" si="10"/>
        <v>6392</v>
      </c>
      <c r="L157" s="46">
        <f t="shared" si="14"/>
        <v>6392</v>
      </c>
      <c r="M157" s="46"/>
    </row>
    <row r="158" spans="1:13" s="2" customFormat="1" x14ac:dyDescent="0.2">
      <c r="A158" s="3">
        <v>42</v>
      </c>
      <c r="B158" s="951"/>
      <c r="C158" s="3">
        <f t="shared" si="17"/>
        <v>4695</v>
      </c>
      <c r="D158" s="10">
        <v>42</v>
      </c>
      <c r="E158" s="869">
        <f t="shared" si="15"/>
        <v>276738</v>
      </c>
      <c r="F158" s="914">
        <f t="shared" si="9"/>
        <v>6145</v>
      </c>
      <c r="G158" s="914">
        <f t="shared" si="13"/>
        <v>6145</v>
      </c>
      <c r="H158" s="914"/>
      <c r="I158" s="10">
        <v>42</v>
      </c>
      <c r="J158" s="869">
        <f t="shared" si="16"/>
        <v>287793</v>
      </c>
      <c r="K158" s="46">
        <f t="shared" si="10"/>
        <v>6392</v>
      </c>
      <c r="L158" s="46">
        <f t="shared" si="14"/>
        <v>6392</v>
      </c>
      <c r="M158" s="46"/>
    </row>
    <row r="159" spans="1:13" s="2" customFormat="1" x14ac:dyDescent="0.2">
      <c r="A159" s="3">
        <v>43</v>
      </c>
      <c r="B159" s="951"/>
      <c r="C159" s="3">
        <f t="shared" si="17"/>
        <v>4800</v>
      </c>
      <c r="D159" s="10">
        <v>43</v>
      </c>
      <c r="E159" s="869">
        <f t="shared" si="15"/>
        <v>282883</v>
      </c>
      <c r="F159" s="914">
        <f t="shared" si="9"/>
        <v>6145</v>
      </c>
      <c r="G159" s="914">
        <f t="shared" si="13"/>
        <v>6145</v>
      </c>
      <c r="H159" s="914"/>
      <c r="I159" s="10">
        <v>43</v>
      </c>
      <c r="J159" s="869">
        <f t="shared" si="16"/>
        <v>294185</v>
      </c>
      <c r="K159" s="46">
        <f t="shared" si="10"/>
        <v>6392</v>
      </c>
      <c r="L159" s="46">
        <f t="shared" si="14"/>
        <v>6392</v>
      </c>
      <c r="M159" s="46"/>
    </row>
    <row r="160" spans="1:13" s="2" customFormat="1" x14ac:dyDescent="0.2">
      <c r="A160" s="3">
        <v>44</v>
      </c>
      <c r="B160" s="951"/>
      <c r="C160" s="3">
        <f t="shared" si="17"/>
        <v>4905</v>
      </c>
      <c r="D160" s="10">
        <v>44</v>
      </c>
      <c r="E160" s="869">
        <f t="shared" si="15"/>
        <v>289028</v>
      </c>
      <c r="F160" s="914">
        <f t="shared" si="9"/>
        <v>6145</v>
      </c>
      <c r="G160" s="914">
        <f t="shared" si="13"/>
        <v>6145</v>
      </c>
      <c r="H160" s="914"/>
      <c r="I160" s="10">
        <v>44</v>
      </c>
      <c r="J160" s="869">
        <f t="shared" si="16"/>
        <v>300577</v>
      </c>
      <c r="K160" s="46">
        <f t="shared" si="10"/>
        <v>6392</v>
      </c>
      <c r="L160" s="46">
        <f t="shared" si="14"/>
        <v>6392</v>
      </c>
      <c r="M160" s="46"/>
    </row>
    <row r="161" spans="1:13" s="2" customFormat="1" x14ac:dyDescent="0.2">
      <c r="A161" s="3">
        <v>45</v>
      </c>
      <c r="B161" s="951"/>
      <c r="C161" s="3">
        <f t="shared" si="17"/>
        <v>5010</v>
      </c>
      <c r="D161" s="10">
        <v>45</v>
      </c>
      <c r="E161" s="869">
        <f t="shared" si="15"/>
        <v>295173</v>
      </c>
      <c r="F161" s="914">
        <f t="shared" si="9"/>
        <v>6145</v>
      </c>
      <c r="G161" s="914">
        <f t="shared" si="13"/>
        <v>6145</v>
      </c>
      <c r="H161" s="914"/>
      <c r="I161" s="10">
        <v>45</v>
      </c>
      <c r="J161" s="869">
        <f t="shared" si="16"/>
        <v>306969</v>
      </c>
      <c r="K161" s="46">
        <f t="shared" si="10"/>
        <v>6392</v>
      </c>
      <c r="L161" s="46">
        <f t="shared" si="14"/>
        <v>6392</v>
      </c>
      <c r="M161" s="46"/>
    </row>
    <row r="162" spans="1:13" s="2" customFormat="1" x14ac:dyDescent="0.2">
      <c r="A162" s="3">
        <v>46</v>
      </c>
      <c r="B162" s="951"/>
      <c r="C162" s="3">
        <f t="shared" si="17"/>
        <v>5115</v>
      </c>
      <c r="D162" s="10">
        <v>46</v>
      </c>
      <c r="E162" s="869">
        <f t="shared" si="15"/>
        <v>301318</v>
      </c>
      <c r="F162" s="914">
        <f t="shared" si="9"/>
        <v>6145</v>
      </c>
      <c r="G162" s="914">
        <f t="shared" si="13"/>
        <v>6145</v>
      </c>
      <c r="H162" s="914"/>
      <c r="I162" s="10">
        <v>46</v>
      </c>
      <c r="J162" s="869">
        <f t="shared" si="16"/>
        <v>313361</v>
      </c>
      <c r="K162" s="46">
        <f t="shared" si="10"/>
        <v>6392</v>
      </c>
      <c r="L162" s="46">
        <f t="shared" si="14"/>
        <v>6392</v>
      </c>
      <c r="M162" s="46"/>
    </row>
    <row r="163" spans="1:13" s="2" customFormat="1" x14ac:dyDescent="0.2">
      <c r="A163" s="3">
        <v>47</v>
      </c>
      <c r="B163" s="951"/>
      <c r="C163" s="3">
        <f t="shared" si="17"/>
        <v>5220</v>
      </c>
      <c r="D163" s="10">
        <v>47</v>
      </c>
      <c r="E163" s="869">
        <f t="shared" si="15"/>
        <v>307463</v>
      </c>
      <c r="F163" s="914">
        <f t="shared" si="9"/>
        <v>6145</v>
      </c>
      <c r="G163" s="914">
        <f t="shared" si="13"/>
        <v>6145</v>
      </c>
      <c r="H163" s="914"/>
      <c r="I163" s="10">
        <v>47</v>
      </c>
      <c r="J163" s="869">
        <f t="shared" si="16"/>
        <v>319753</v>
      </c>
      <c r="K163" s="46">
        <f t="shared" si="10"/>
        <v>6392</v>
      </c>
      <c r="L163" s="46">
        <f t="shared" si="14"/>
        <v>6392</v>
      </c>
      <c r="M163" s="46"/>
    </row>
    <row r="164" spans="1:13" s="2" customFormat="1" x14ac:dyDescent="0.2">
      <c r="A164" s="3">
        <v>48</v>
      </c>
      <c r="B164" s="951"/>
      <c r="C164" s="3">
        <f t="shared" si="17"/>
        <v>5325</v>
      </c>
      <c r="D164" s="10">
        <v>48</v>
      </c>
      <c r="E164" s="869">
        <f t="shared" si="15"/>
        <v>313608</v>
      </c>
      <c r="F164" s="914">
        <f t="shared" si="9"/>
        <v>6145</v>
      </c>
      <c r="G164" s="914">
        <f t="shared" si="13"/>
        <v>6145</v>
      </c>
      <c r="H164" s="914"/>
      <c r="I164" s="10">
        <v>48</v>
      </c>
      <c r="J164" s="869">
        <f t="shared" si="16"/>
        <v>326145</v>
      </c>
      <c r="K164" s="46">
        <f t="shared" si="10"/>
        <v>6392</v>
      </c>
      <c r="L164" s="46">
        <f t="shared" si="14"/>
        <v>6392</v>
      </c>
      <c r="M164" s="46"/>
    </row>
    <row r="165" spans="1:13" s="2" customFormat="1" x14ac:dyDescent="0.2">
      <c r="A165" s="3">
        <v>49</v>
      </c>
      <c r="B165" s="951"/>
      <c r="C165" s="3">
        <f t="shared" si="17"/>
        <v>5430</v>
      </c>
      <c r="D165" s="10">
        <v>49</v>
      </c>
      <c r="E165" s="869">
        <f t="shared" si="15"/>
        <v>319753</v>
      </c>
      <c r="F165" s="914">
        <f t="shared" si="9"/>
        <v>6145</v>
      </c>
      <c r="G165" s="914">
        <f t="shared" si="13"/>
        <v>6145</v>
      </c>
      <c r="H165" s="914"/>
      <c r="I165" s="10">
        <v>49</v>
      </c>
      <c r="J165" s="869">
        <f t="shared" si="16"/>
        <v>332537</v>
      </c>
      <c r="K165" s="46">
        <f t="shared" si="10"/>
        <v>6392</v>
      </c>
      <c r="L165" s="46">
        <f t="shared" si="14"/>
        <v>6392</v>
      </c>
      <c r="M165" s="46"/>
    </row>
    <row r="166" spans="1:13" s="2" customFormat="1" x14ac:dyDescent="0.2">
      <c r="A166" s="3">
        <v>50</v>
      </c>
      <c r="B166" s="951"/>
      <c r="C166" s="3">
        <f t="shared" si="17"/>
        <v>5535</v>
      </c>
      <c r="D166" s="10">
        <v>50</v>
      </c>
      <c r="E166" s="869">
        <f t="shared" si="15"/>
        <v>325898</v>
      </c>
      <c r="F166" s="914">
        <f t="shared" si="9"/>
        <v>6145</v>
      </c>
      <c r="G166" s="914">
        <f t="shared" si="13"/>
        <v>6145</v>
      </c>
      <c r="H166" s="914"/>
      <c r="I166" s="10">
        <v>50</v>
      </c>
      <c r="J166" s="869">
        <f t="shared" si="16"/>
        <v>338929</v>
      </c>
      <c r="K166" s="46">
        <f t="shared" si="10"/>
        <v>6392</v>
      </c>
      <c r="L166" s="46">
        <f t="shared" si="14"/>
        <v>6392</v>
      </c>
      <c r="M166" s="46"/>
    </row>
    <row r="167" spans="1:13" s="2" customFormat="1" ht="12.75" customHeight="1" x14ac:dyDescent="0.2">
      <c r="A167" s="11"/>
      <c r="B167" s="953"/>
      <c r="C167" s="11"/>
      <c r="D167" s="11"/>
      <c r="E167" s="11"/>
      <c r="F167" s="11"/>
      <c r="G167" s="11"/>
      <c r="H167" s="11"/>
    </row>
    <row r="168" spans="1:13" s="3" customFormat="1" x14ac:dyDescent="0.2">
      <c r="B168" s="951"/>
    </row>
    <row r="169" spans="1:13" s="3" customFormat="1" x14ac:dyDescent="0.2">
      <c r="B169" s="951"/>
      <c r="H169" s="870"/>
      <c r="J169" s="871"/>
    </row>
    <row r="170" spans="1:13" s="3" customFormat="1" x14ac:dyDescent="0.2">
      <c r="B170" s="951"/>
      <c r="H170" s="870"/>
      <c r="J170" s="871"/>
    </row>
    <row r="171" spans="1:13" s="3" customFormat="1" x14ac:dyDescent="0.2">
      <c r="B171" s="951"/>
      <c r="H171" s="870"/>
      <c r="J171" s="872"/>
    </row>
    <row r="172" spans="1:13" s="3" customFormat="1" x14ac:dyDescent="0.2">
      <c r="B172" s="951"/>
    </row>
    <row r="173" spans="1:13" s="3" customFormat="1" x14ac:dyDescent="0.2">
      <c r="B173" s="951"/>
    </row>
    <row r="174" spans="1:13" s="3" customFormat="1" x14ac:dyDescent="0.2">
      <c r="B174" s="951"/>
    </row>
    <row r="175" spans="1:13" s="3" customFormat="1" x14ac:dyDescent="0.2">
      <c r="A175" s="873"/>
      <c r="B175" s="951"/>
    </row>
    <row r="176" spans="1:13" s="3" customFormat="1" x14ac:dyDescent="0.2">
      <c r="A176" s="873"/>
      <c r="B176" s="951"/>
    </row>
    <row r="177" spans="1:7" s="3" customFormat="1" x14ac:dyDescent="0.2">
      <c r="A177" s="873"/>
      <c r="B177" s="951"/>
    </row>
    <row r="178" spans="1:7" s="3" customFormat="1" x14ac:dyDescent="0.2">
      <c r="A178" s="873"/>
      <c r="B178" s="951"/>
    </row>
    <row r="179" spans="1:7" s="3" customFormat="1" x14ac:dyDescent="0.2">
      <c r="A179" s="873"/>
      <c r="B179" s="951"/>
    </row>
    <row r="180" spans="1:7" s="3" customFormat="1" x14ac:dyDescent="0.2">
      <c r="A180" s="873"/>
      <c r="B180" s="951"/>
    </row>
    <row r="181" spans="1:7" s="3" customFormat="1" x14ac:dyDescent="0.2">
      <c r="A181" s="873"/>
      <c r="B181" s="951"/>
    </row>
    <row r="182" spans="1:7" s="3" customFormat="1" x14ac:dyDescent="0.2">
      <c r="A182" s="873"/>
      <c r="B182" s="951"/>
    </row>
    <row r="183" spans="1:7" s="897" customFormat="1" x14ac:dyDescent="0.2">
      <c r="A183" s="35"/>
      <c r="B183" s="951"/>
    </row>
    <row r="184" spans="1:7" s="897" customFormat="1" x14ac:dyDescent="0.2">
      <c r="A184" s="35"/>
      <c r="B184" s="951"/>
    </row>
    <row r="185" spans="1:7" s="897" customFormat="1" x14ac:dyDescent="0.2">
      <c r="B185" s="951"/>
    </row>
    <row r="186" spans="1:7" s="897" customFormat="1" x14ac:dyDescent="0.2">
      <c r="A186" s="1352"/>
      <c r="B186" s="1352"/>
      <c r="C186" s="1352"/>
      <c r="D186" s="1352"/>
    </row>
    <row r="187" spans="1:7" s="897" customFormat="1" x14ac:dyDescent="0.2">
      <c r="A187" s="36"/>
      <c r="B187" s="951"/>
      <c r="C187" s="36"/>
      <c r="D187" s="37"/>
      <c r="E187" s="37"/>
      <c r="F187" s="37"/>
      <c r="G187" s="37"/>
    </row>
    <row r="188" spans="1:7" s="897" customFormat="1" x14ac:dyDescent="0.2">
      <c r="A188" s="36"/>
      <c r="B188" s="951"/>
      <c r="C188" s="36"/>
      <c r="D188" s="36"/>
      <c r="E188" s="36"/>
      <c r="F188" s="36"/>
      <c r="G188" s="36"/>
    </row>
    <row r="189" spans="1:7" s="897" customFormat="1" x14ac:dyDescent="0.2">
      <c r="A189" s="36"/>
      <c r="B189" s="951"/>
      <c r="C189" s="36"/>
      <c r="D189" s="36"/>
      <c r="E189" s="36"/>
      <c r="F189" s="36"/>
      <c r="G189" s="36"/>
    </row>
    <row r="190" spans="1:7" s="897" customFormat="1" x14ac:dyDescent="0.2">
      <c r="A190" s="36"/>
      <c r="B190" s="951"/>
      <c r="C190" s="36"/>
      <c r="D190" s="36"/>
      <c r="E190" s="36"/>
      <c r="F190" s="36"/>
      <c r="G190" s="36"/>
    </row>
    <row r="191" spans="1:7" s="897" customFormat="1" x14ac:dyDescent="0.2">
      <c r="A191" s="36"/>
      <c r="B191" s="951"/>
      <c r="C191" s="38"/>
      <c r="D191" s="38"/>
      <c r="E191" s="38"/>
      <c r="F191" s="38"/>
      <c r="G191" s="38"/>
    </row>
    <row r="192" spans="1:7" s="897" customFormat="1" x14ac:dyDescent="0.2">
      <c r="A192" s="36"/>
      <c r="B192" s="951"/>
      <c r="C192" s="38"/>
      <c r="D192" s="38"/>
      <c r="E192" s="38"/>
      <c r="F192" s="38"/>
      <c r="G192" s="38"/>
    </row>
    <row r="193" spans="1:7" s="897" customFormat="1" x14ac:dyDescent="0.2">
      <c r="A193" s="36"/>
      <c r="B193" s="951"/>
      <c r="C193" s="38"/>
      <c r="D193" s="38"/>
      <c r="E193" s="38"/>
      <c r="F193" s="38"/>
      <c r="G193" s="38"/>
    </row>
    <row r="194" spans="1:7" s="897" customFormat="1" x14ac:dyDescent="0.2">
      <c r="A194" s="36"/>
      <c r="B194" s="951"/>
      <c r="C194" s="38"/>
      <c r="D194" s="38"/>
      <c r="E194" s="38"/>
      <c r="F194" s="38"/>
      <c r="G194" s="38"/>
    </row>
    <row r="195" spans="1:7" s="897" customFormat="1" x14ac:dyDescent="0.2">
      <c r="A195" s="36"/>
      <c r="B195" s="951"/>
      <c r="C195" s="38"/>
      <c r="D195" s="38"/>
      <c r="E195" s="38"/>
      <c r="F195" s="38"/>
      <c r="G195" s="38"/>
    </row>
    <row r="196" spans="1:7" s="897" customFormat="1" x14ac:dyDescent="0.2">
      <c r="A196" s="36"/>
      <c r="B196" s="951"/>
      <c r="C196" s="38"/>
      <c r="D196" s="38"/>
      <c r="E196" s="38"/>
      <c r="F196" s="38"/>
      <c r="G196" s="38"/>
    </row>
    <row r="197" spans="1:7" s="897" customFormat="1" x14ac:dyDescent="0.2">
      <c r="A197" s="35"/>
      <c r="B197" s="951"/>
      <c r="C197" s="38"/>
      <c r="D197" s="38"/>
      <c r="E197" s="38"/>
      <c r="F197" s="38"/>
      <c r="G197" s="38"/>
    </row>
    <row r="198" spans="1:7" s="897" customFormat="1" x14ac:dyDescent="0.2">
      <c r="A198" s="35"/>
      <c r="B198" s="951"/>
      <c r="C198" s="38"/>
      <c r="D198" s="38"/>
      <c r="E198" s="38"/>
      <c r="F198" s="38"/>
      <c r="G198" s="38"/>
    </row>
    <row r="199" spans="1:7" s="897" customFormat="1" x14ac:dyDescent="0.2">
      <c r="A199" s="35"/>
      <c r="B199" s="951"/>
      <c r="C199" s="38"/>
      <c r="D199" s="38"/>
      <c r="E199" s="38"/>
      <c r="F199" s="38"/>
      <c r="G199" s="38"/>
    </row>
    <row r="200" spans="1:7" s="897" customFormat="1" x14ac:dyDescent="0.2">
      <c r="A200" s="36"/>
      <c r="B200" s="951"/>
      <c r="C200" s="38"/>
      <c r="D200" s="38"/>
      <c r="E200" s="38"/>
      <c r="F200" s="38"/>
      <c r="G200" s="38"/>
    </row>
    <row r="201" spans="1:7" s="897" customFormat="1" x14ac:dyDescent="0.2">
      <c r="A201" s="36"/>
      <c r="B201" s="951"/>
      <c r="C201" s="38"/>
      <c r="D201" s="38"/>
      <c r="E201" s="38"/>
      <c r="F201" s="38"/>
      <c r="G201" s="38"/>
    </row>
    <row r="202" spans="1:7" s="897" customFormat="1" x14ac:dyDescent="0.2">
      <c r="A202" s="36"/>
      <c r="B202" s="951"/>
      <c r="C202" s="38"/>
      <c r="D202" s="38"/>
      <c r="E202" s="38"/>
      <c r="F202" s="38"/>
      <c r="G202" s="38"/>
    </row>
    <row r="203" spans="1:7" s="897" customFormat="1" x14ac:dyDescent="0.2">
      <c r="A203" s="36"/>
      <c r="B203" s="951"/>
      <c r="C203" s="38"/>
      <c r="D203" s="38"/>
      <c r="E203" s="38"/>
      <c r="F203" s="38"/>
      <c r="G203" s="38"/>
    </row>
    <row r="204" spans="1:7" s="897" customFormat="1" x14ac:dyDescent="0.2">
      <c r="B204" s="951"/>
    </row>
    <row r="205" spans="1:7" s="897" customFormat="1" x14ac:dyDescent="0.2">
      <c r="B205" s="951"/>
    </row>
    <row r="206" spans="1:7" s="897" customFormat="1" x14ac:dyDescent="0.2">
      <c r="A206" s="30"/>
      <c r="B206" s="951"/>
    </row>
    <row r="207" spans="1:7" s="897" customFormat="1" x14ac:dyDescent="0.2">
      <c r="A207" s="38"/>
      <c r="B207" s="951"/>
      <c r="C207" s="38"/>
      <c r="D207" s="39"/>
      <c r="E207" s="39"/>
      <c r="F207" s="39"/>
      <c r="G207" s="37"/>
    </row>
    <row r="208" spans="1:7" s="897" customFormat="1" x14ac:dyDescent="0.2">
      <c r="A208" s="38"/>
      <c r="B208" s="951"/>
      <c r="C208" s="38"/>
      <c r="D208" s="38"/>
      <c r="E208" s="38"/>
      <c r="F208" s="38"/>
      <c r="G208" s="38"/>
    </row>
    <row r="209" spans="1:7" s="897" customFormat="1" x14ac:dyDescent="0.2">
      <c r="A209" s="36"/>
      <c r="B209" s="951"/>
      <c r="C209" s="36"/>
      <c r="D209" s="36"/>
      <c r="E209" s="36"/>
      <c r="F209" s="36"/>
      <c r="G209" s="36"/>
    </row>
    <row r="210" spans="1:7" s="897" customFormat="1" x14ac:dyDescent="0.2">
      <c r="A210" s="36"/>
      <c r="B210" s="951"/>
      <c r="C210" s="36"/>
      <c r="D210" s="36"/>
      <c r="E210" s="36"/>
      <c r="F210" s="36"/>
      <c r="G210" s="36"/>
    </row>
    <row r="211" spans="1:7" s="897" customFormat="1" x14ac:dyDescent="0.2">
      <c r="A211" s="38"/>
      <c r="B211" s="951"/>
      <c r="C211" s="38"/>
      <c r="D211" s="38"/>
      <c r="E211" s="38"/>
      <c r="F211" s="38"/>
      <c r="G211" s="38"/>
    </row>
    <row r="212" spans="1:7" s="897" customFormat="1" x14ac:dyDescent="0.2">
      <c r="A212" s="38"/>
      <c r="B212" s="951"/>
      <c r="C212" s="38"/>
      <c r="D212" s="38"/>
      <c r="E212" s="38"/>
      <c r="F212" s="38"/>
      <c r="G212" s="38"/>
    </row>
    <row r="213" spans="1:7" s="897" customFormat="1" x14ac:dyDescent="0.2">
      <c r="A213" s="38"/>
      <c r="B213" s="951"/>
      <c r="C213" s="38"/>
      <c r="D213" s="38"/>
      <c r="E213" s="38"/>
      <c r="F213" s="38"/>
      <c r="G213" s="38"/>
    </row>
    <row r="214" spans="1:7" s="897" customFormat="1" x14ac:dyDescent="0.2">
      <c r="A214" s="38"/>
      <c r="B214" s="951"/>
      <c r="C214" s="38"/>
      <c r="D214" s="38"/>
      <c r="E214" s="38"/>
      <c r="F214" s="38"/>
      <c r="G214" s="38"/>
    </row>
    <row r="215" spans="1:7" s="897" customFormat="1" x14ac:dyDescent="0.2">
      <c r="A215" s="38"/>
      <c r="B215" s="951"/>
      <c r="C215" s="38"/>
      <c r="D215" s="38"/>
      <c r="E215" s="38"/>
      <c r="F215" s="38"/>
      <c r="G215" s="38"/>
    </row>
    <row r="216" spans="1:7" s="897" customFormat="1" x14ac:dyDescent="0.2">
      <c r="A216" s="38"/>
      <c r="B216" s="951"/>
      <c r="C216" s="38"/>
      <c r="D216" s="38"/>
      <c r="E216" s="38"/>
      <c r="F216" s="38"/>
      <c r="G216" s="38"/>
    </row>
    <row r="217" spans="1:7" s="897" customFormat="1" x14ac:dyDescent="0.2">
      <c r="A217" s="35"/>
      <c r="B217" s="951"/>
      <c r="C217" s="38"/>
      <c r="D217" s="38"/>
      <c r="E217" s="38"/>
      <c r="F217" s="38"/>
      <c r="G217" s="38"/>
    </row>
    <row r="218" spans="1:7" s="897" customFormat="1" x14ac:dyDescent="0.2">
      <c r="A218" s="35"/>
      <c r="B218" s="951"/>
      <c r="C218" s="38"/>
      <c r="D218" s="38"/>
      <c r="E218" s="38"/>
      <c r="F218" s="38"/>
      <c r="G218" s="38"/>
    </row>
    <row r="219" spans="1:7" s="897" customFormat="1" x14ac:dyDescent="0.2">
      <c r="A219" s="35"/>
      <c r="B219" s="951"/>
      <c r="C219" s="38"/>
      <c r="D219" s="38"/>
      <c r="E219" s="38"/>
      <c r="F219" s="38"/>
      <c r="G219" s="38"/>
    </row>
    <row r="220" spans="1:7" s="897" customFormat="1" x14ac:dyDescent="0.2">
      <c r="A220" s="38"/>
      <c r="B220" s="951"/>
      <c r="C220" s="38"/>
      <c r="D220" s="38"/>
      <c r="E220" s="38"/>
      <c r="F220" s="38"/>
      <c r="G220" s="38"/>
    </row>
    <row r="221" spans="1:7" s="897" customFormat="1" x14ac:dyDescent="0.2">
      <c r="A221" s="38"/>
      <c r="B221" s="951"/>
      <c r="C221" s="38"/>
      <c r="D221" s="38"/>
      <c r="E221" s="38"/>
      <c r="F221" s="38"/>
      <c r="G221" s="38"/>
    </row>
    <row r="222" spans="1:7" s="897" customFormat="1" x14ac:dyDescent="0.2">
      <c r="A222" s="38"/>
      <c r="B222" s="951"/>
      <c r="C222" s="38"/>
      <c r="D222" s="38"/>
      <c r="E222" s="38"/>
      <c r="F222" s="38"/>
      <c r="G222" s="38"/>
    </row>
    <row r="223" spans="1:7" s="897" customFormat="1" x14ac:dyDescent="0.2">
      <c r="A223" s="38"/>
      <c r="B223" s="951"/>
      <c r="C223" s="38"/>
      <c r="D223" s="38"/>
      <c r="E223" s="38"/>
      <c r="F223" s="38"/>
      <c r="G223" s="38"/>
    </row>
    <row r="224" spans="1:7" s="897" customFormat="1" x14ac:dyDescent="0.2">
      <c r="B224" s="951"/>
    </row>
    <row r="225" spans="1:3" s="897" customFormat="1" x14ac:dyDescent="0.2">
      <c r="B225" s="951"/>
    </row>
    <row r="226" spans="1:3" s="897" customFormat="1" x14ac:dyDescent="0.2">
      <c r="B226" s="951"/>
      <c r="C226" s="28"/>
    </row>
    <row r="227" spans="1:3" s="897" customFormat="1" x14ac:dyDescent="0.2">
      <c r="B227" s="951"/>
      <c r="C227" s="34"/>
    </row>
    <row r="228" spans="1:3" s="897" customFormat="1" x14ac:dyDescent="0.2">
      <c r="B228" s="951"/>
      <c r="C228" s="34"/>
    </row>
    <row r="229" spans="1:3" s="897" customFormat="1" x14ac:dyDescent="0.2">
      <c r="A229" s="35"/>
      <c r="B229" s="951"/>
      <c r="C229" s="31"/>
    </row>
    <row r="230" spans="1:3" s="897" customFormat="1" x14ac:dyDescent="0.2">
      <c r="A230" s="35"/>
      <c r="B230" s="951"/>
      <c r="C230" s="31"/>
    </row>
    <row r="231" spans="1:3" s="897" customFormat="1" x14ac:dyDescent="0.2">
      <c r="A231" s="35"/>
      <c r="B231" s="951"/>
      <c r="C231" s="31"/>
    </row>
    <row r="232" spans="1:3" s="897" customFormat="1" x14ac:dyDescent="0.2">
      <c r="A232" s="35"/>
      <c r="B232" s="951"/>
      <c r="C232" s="31"/>
    </row>
    <row r="233" spans="1:3" s="897" customFormat="1" x14ac:dyDescent="0.2">
      <c r="A233" s="35"/>
      <c r="B233" s="951"/>
      <c r="C233" s="31"/>
    </row>
    <row r="234" spans="1:3" s="897" customFormat="1" x14ac:dyDescent="0.2">
      <c r="A234" s="35"/>
      <c r="B234" s="951"/>
      <c r="C234" s="31"/>
    </row>
    <row r="235" spans="1:3" s="897" customFormat="1" x14ac:dyDescent="0.2">
      <c r="A235" s="35"/>
      <c r="B235" s="951"/>
      <c r="C235" s="31"/>
    </row>
    <row r="236" spans="1:3" s="897" customFormat="1" x14ac:dyDescent="0.2">
      <c r="A236" s="35"/>
      <c r="B236" s="951"/>
      <c r="C236" s="31"/>
    </row>
    <row r="237" spans="1:3" s="897" customFormat="1" x14ac:dyDescent="0.2">
      <c r="A237" s="35"/>
      <c r="B237" s="951"/>
      <c r="C237" s="31"/>
    </row>
    <row r="238" spans="1:3" s="897" customFormat="1" x14ac:dyDescent="0.2">
      <c r="A238" s="35"/>
      <c r="B238" s="951"/>
      <c r="C238" s="31"/>
    </row>
    <row r="239" spans="1:3" s="897" customFormat="1" x14ac:dyDescent="0.2">
      <c r="A239" s="35"/>
      <c r="B239" s="951"/>
      <c r="C239" s="31"/>
    </row>
    <row r="240" spans="1:3" s="897" customFormat="1" x14ac:dyDescent="0.2">
      <c r="A240" s="35"/>
      <c r="B240" s="951"/>
      <c r="C240" s="31"/>
    </row>
    <row r="241" spans="1:10" s="897" customFormat="1" x14ac:dyDescent="0.2">
      <c r="A241" s="35"/>
      <c r="B241" s="951"/>
      <c r="C241" s="31"/>
    </row>
    <row r="242" spans="1:10" s="897" customFormat="1" x14ac:dyDescent="0.2">
      <c r="B242" s="951"/>
    </row>
    <row r="243" spans="1:10" s="897" customFormat="1" x14ac:dyDescent="0.2">
      <c r="B243" s="951"/>
    </row>
    <row r="244" spans="1:10" s="897" customFormat="1" x14ac:dyDescent="0.2">
      <c r="A244" s="32"/>
      <c r="B244" s="951"/>
      <c r="C244" s="30"/>
      <c r="D244" s="30"/>
      <c r="E244" s="30"/>
      <c r="F244" s="30"/>
    </row>
    <row r="245" spans="1:10" s="897" customFormat="1" x14ac:dyDescent="0.2">
      <c r="A245" s="38"/>
      <c r="B245" s="951"/>
      <c r="C245" s="38"/>
      <c r="D245" s="38"/>
      <c r="E245" s="38"/>
      <c r="F245" s="38"/>
      <c r="G245" s="38"/>
      <c r="H245" s="38"/>
      <c r="I245" s="38"/>
      <c r="J245" s="38"/>
    </row>
    <row r="246" spans="1:10" s="897" customFormat="1" x14ac:dyDescent="0.2">
      <c r="A246" s="36"/>
      <c r="B246" s="951"/>
      <c r="C246" s="40"/>
      <c r="D246" s="38"/>
      <c r="E246" s="38"/>
      <c r="F246" s="38"/>
      <c r="G246" s="38"/>
      <c r="H246" s="38"/>
      <c r="I246" s="38"/>
      <c r="J246" s="38"/>
    </row>
    <row r="247" spans="1:10" s="897" customFormat="1" x14ac:dyDescent="0.2">
      <c r="A247" s="36"/>
      <c r="B247" s="951"/>
      <c r="C247" s="40"/>
      <c r="D247" s="38"/>
      <c r="E247" s="38"/>
      <c r="F247" s="38"/>
      <c r="G247" s="38"/>
      <c r="H247" s="38"/>
      <c r="I247" s="38"/>
      <c r="J247" s="38"/>
    </row>
    <row r="248" spans="1:10" s="897" customFormat="1" x14ac:dyDescent="0.2">
      <c r="A248" s="38"/>
      <c r="B248" s="951"/>
      <c r="C248" s="38"/>
      <c r="D248" s="38"/>
      <c r="E248" s="38"/>
      <c r="F248" s="38"/>
      <c r="G248" s="38"/>
      <c r="H248" s="38"/>
      <c r="I248" s="38"/>
      <c r="J248" s="38"/>
    </row>
    <row r="249" spans="1:10" s="897" customFormat="1" x14ac:dyDescent="0.2">
      <c r="A249" s="38"/>
      <c r="B249" s="951"/>
      <c r="C249" s="38"/>
      <c r="D249" s="38"/>
      <c r="E249" s="38"/>
      <c r="F249" s="38"/>
      <c r="G249" s="38"/>
      <c r="H249" s="38"/>
      <c r="I249" s="38"/>
      <c r="J249" s="38"/>
    </row>
    <row r="250" spans="1:10" s="897" customFormat="1" x14ac:dyDescent="0.2">
      <c r="A250" s="38"/>
      <c r="B250" s="951"/>
      <c r="C250" s="38"/>
      <c r="D250" s="38"/>
      <c r="E250" s="38"/>
      <c r="F250" s="38"/>
      <c r="G250" s="38"/>
      <c r="H250" s="38"/>
      <c r="I250" s="38"/>
      <c r="J250" s="38"/>
    </row>
    <row r="251" spans="1:10" s="897" customFormat="1" x14ac:dyDescent="0.2">
      <c r="A251" s="38"/>
      <c r="B251" s="951"/>
      <c r="C251" s="38"/>
      <c r="D251" s="38"/>
      <c r="E251" s="41"/>
      <c r="F251" s="38"/>
      <c r="G251" s="38"/>
      <c r="H251" s="41"/>
      <c r="I251" s="34"/>
      <c r="J251" s="34"/>
    </row>
    <row r="252" spans="1:10" s="897" customFormat="1" x14ac:dyDescent="0.2">
      <c r="A252" s="38"/>
      <c r="B252" s="951"/>
      <c r="C252" s="38"/>
      <c r="D252" s="38"/>
      <c r="E252" s="41"/>
      <c r="F252" s="38"/>
      <c r="G252" s="38"/>
      <c r="H252" s="41"/>
      <c r="I252" s="34"/>
      <c r="J252" s="34"/>
    </row>
    <row r="253" spans="1:10" s="897" customFormat="1" x14ac:dyDescent="0.2">
      <c r="A253" s="38"/>
      <c r="B253" s="951"/>
      <c r="C253" s="38"/>
    </row>
    <row r="254" spans="1:10" s="897" customFormat="1" x14ac:dyDescent="0.2">
      <c r="A254" s="38"/>
      <c r="B254" s="951"/>
      <c r="C254" s="38"/>
    </row>
    <row r="255" spans="1:10" s="897" customFormat="1" x14ac:dyDescent="0.2">
      <c r="A255" s="38"/>
      <c r="B255" s="951"/>
      <c r="C255" s="38"/>
    </row>
    <row r="256" spans="1:10" s="897" customFormat="1" x14ac:dyDescent="0.2">
      <c r="A256" s="38"/>
      <c r="B256" s="951"/>
      <c r="C256" s="38"/>
    </row>
    <row r="257" spans="1:10" s="897" customFormat="1" x14ac:dyDescent="0.2">
      <c r="A257" s="38"/>
      <c r="B257" s="951"/>
      <c r="C257" s="38"/>
      <c r="D257" s="38"/>
      <c r="E257" s="41"/>
      <c r="F257" s="38"/>
      <c r="G257" s="38"/>
      <c r="H257" s="41"/>
      <c r="I257" s="34"/>
      <c r="J257" s="34"/>
    </row>
    <row r="258" spans="1:10" s="897" customFormat="1" x14ac:dyDescent="0.2">
      <c r="A258" s="38"/>
      <c r="B258" s="951"/>
      <c r="C258" s="38"/>
      <c r="D258" s="38"/>
      <c r="E258" s="41"/>
      <c r="F258" s="38"/>
      <c r="G258" s="38"/>
      <c r="H258" s="41"/>
      <c r="I258" s="34"/>
      <c r="J258" s="34"/>
    </row>
    <row r="259" spans="1:10" s="897" customFormat="1" x14ac:dyDescent="0.2">
      <c r="A259" s="38"/>
      <c r="B259" s="951"/>
      <c r="C259" s="38"/>
      <c r="D259" s="38"/>
      <c r="E259" s="41"/>
      <c r="F259" s="38"/>
      <c r="G259" s="38"/>
      <c r="H259" s="41"/>
      <c r="I259" s="34"/>
      <c r="J259" s="34"/>
    </row>
    <row r="260" spans="1:10" s="897" customFormat="1" x14ac:dyDescent="0.2">
      <c r="A260" s="38"/>
      <c r="B260" s="951"/>
      <c r="C260" s="38"/>
      <c r="D260" s="38"/>
      <c r="E260" s="41"/>
      <c r="F260" s="38"/>
      <c r="G260" s="38"/>
      <c r="H260" s="41"/>
      <c r="I260" s="34"/>
      <c r="J260" s="34"/>
    </row>
    <row r="261" spans="1:10" s="897" customFormat="1" x14ac:dyDescent="0.2">
      <c r="A261" s="30"/>
      <c r="B261" s="951"/>
      <c r="C261" s="30"/>
      <c r="D261" s="30"/>
      <c r="E261" s="38"/>
      <c r="F261" s="38"/>
      <c r="G261" s="38"/>
    </row>
    <row r="262" spans="1:10" s="897" customFormat="1" x14ac:dyDescent="0.2">
      <c r="A262" s="38"/>
      <c r="B262" s="951"/>
      <c r="C262" s="30"/>
      <c r="D262" s="30"/>
      <c r="E262" s="34"/>
      <c r="F262" s="30"/>
      <c r="G262" s="30"/>
    </row>
    <row r="263" spans="1:10" s="897" customFormat="1" x14ac:dyDescent="0.2">
      <c r="B263" s="951"/>
    </row>
    <row r="264" spans="1:10" s="897" customFormat="1" x14ac:dyDescent="0.2">
      <c r="B264" s="951"/>
    </row>
    <row r="265" spans="1:10" s="897" customFormat="1" x14ac:dyDescent="0.2">
      <c r="B265" s="951"/>
    </row>
    <row r="266" spans="1:10" s="897" customFormat="1" x14ac:dyDescent="0.2">
      <c r="B266" s="951"/>
    </row>
    <row r="267" spans="1:10" s="897" customFormat="1" x14ac:dyDescent="0.2">
      <c r="A267" s="33"/>
      <c r="B267" s="953"/>
      <c r="C267" s="29"/>
      <c r="D267" s="29"/>
      <c r="E267" s="29"/>
      <c r="F267" s="29"/>
      <c r="G267" s="29"/>
      <c r="H267" s="29"/>
    </row>
    <row r="268" spans="1:10" s="897" customFormat="1" x14ac:dyDescent="0.2">
      <c r="A268" s="33"/>
      <c r="B268" s="953"/>
      <c r="C268" s="29"/>
      <c r="D268" s="29"/>
      <c r="E268" s="29"/>
      <c r="F268" s="29"/>
      <c r="G268" s="29"/>
      <c r="H268" s="29"/>
    </row>
    <row r="269" spans="1:10" s="897" customFormat="1" x14ac:dyDescent="0.2">
      <c r="A269" s="29"/>
      <c r="B269" s="953"/>
      <c r="C269" s="29"/>
      <c r="D269" s="33"/>
      <c r="E269" s="29"/>
      <c r="F269" s="29"/>
      <c r="G269" s="29"/>
      <c r="H269" s="29"/>
    </row>
    <row r="270" spans="1:10" s="897" customFormat="1" x14ac:dyDescent="0.2">
      <c r="A270" s="29"/>
      <c r="B270" s="953"/>
      <c r="C270" s="29"/>
      <c r="D270" s="29"/>
      <c r="E270" s="29"/>
      <c r="F270" s="29"/>
      <c r="G270" s="29"/>
      <c r="H270" s="29"/>
    </row>
    <row r="271" spans="1:10" s="897" customFormat="1" x14ac:dyDescent="0.2">
      <c r="A271" s="33"/>
      <c r="B271" s="953"/>
      <c r="C271" s="29"/>
      <c r="D271" s="29"/>
      <c r="E271" s="29"/>
      <c r="F271" s="29"/>
      <c r="G271" s="29"/>
      <c r="H271" s="29"/>
    </row>
    <row r="272" spans="1:10" s="897" customFormat="1" x14ac:dyDescent="0.2">
      <c r="A272" s="29"/>
      <c r="B272" s="951"/>
      <c r="D272" s="29"/>
      <c r="E272" s="42"/>
      <c r="F272" s="42"/>
      <c r="G272" s="42"/>
      <c r="H272" s="42"/>
      <c r="I272" s="42"/>
      <c r="J272" s="42"/>
    </row>
    <row r="273" spans="1:10" s="897" customFormat="1" x14ac:dyDescent="0.2">
      <c r="A273" s="29"/>
      <c r="B273" s="951"/>
      <c r="D273" s="33"/>
      <c r="E273" s="33"/>
      <c r="F273" s="33"/>
      <c r="G273" s="33"/>
      <c r="H273" s="33"/>
      <c r="I273" s="33"/>
      <c r="J273" s="33"/>
    </row>
    <row r="274" spans="1:10" s="897" customFormat="1" x14ac:dyDescent="0.2">
      <c r="A274" s="29"/>
      <c r="B274" s="951"/>
      <c r="D274" s="29"/>
      <c r="E274" s="43"/>
      <c r="F274" s="43"/>
      <c r="G274" s="43"/>
      <c r="H274" s="43"/>
      <c r="I274" s="43"/>
      <c r="J274" s="43"/>
    </row>
    <row r="275" spans="1:10" s="897" customFormat="1" x14ac:dyDescent="0.2">
      <c r="A275" s="29"/>
      <c r="B275" s="951"/>
      <c r="D275" s="29"/>
      <c r="E275" s="43"/>
      <c r="F275" s="43"/>
      <c r="G275" s="43"/>
      <c r="H275" s="43"/>
      <c r="I275" s="43"/>
      <c r="J275" s="43"/>
    </row>
    <row r="276" spans="1:10" s="897" customFormat="1" x14ac:dyDescent="0.2">
      <c r="B276" s="951"/>
    </row>
    <row r="277" spans="1:10" s="897" customFormat="1" x14ac:dyDescent="0.2">
      <c r="B277" s="951"/>
    </row>
    <row r="278" spans="1:10" s="29" customFormat="1" x14ac:dyDescent="0.2">
      <c r="B278" s="953"/>
    </row>
  </sheetData>
  <sheetProtection algorithmName="SHA-512" hashValue="Kvr/iL36OfKzhBZjpADN9xa+RsFs/zkfOl8oT3Ka5waVcsPN/neTH6zXMUSMQFmszMQVfrNtCsf2rocGjeP0SQ==" saltValue="GLBTR5p9dsZ1tgOMd+Ln8w==" spinCount="100000" sheet="1" objects="1" scenarios="1"/>
  <mergeCells count="1">
    <mergeCell ref="A186:D186"/>
  </mergeCells>
  <phoneticPr fontId="0" type="noConversion"/>
  <hyperlinks>
    <hyperlink ref="H48" r:id="rId1"/>
  </hyperlinks>
  <pageMargins left="0.78740157480314965" right="0.78740157480314965" top="0.98425196850393704" bottom="0.98425196850393704" header="0.51181102362204722" footer="0.51181102362204722"/>
  <pageSetup paperSize="9" scale="50" orientation="portrait" r:id="rId2"/>
  <headerFooter alignWithMargins="0">
    <oddHeader>&amp;L&amp;"Arial,Vet"&amp;F&amp;R&amp;"Arial,Vet"&amp;A</oddHeader>
    <oddFooter>&amp;L&amp;"Arial,Vet"PO-Raad&amp;C&amp;"Arial,Vet"&amp;D&amp;R&amp;"Arial,Vet"pagina &amp;P</oddFooter>
  </headerFooter>
  <rowBreaks count="2" manualBreakCount="2">
    <brk id="56" max="9" man="1"/>
    <brk id="107" max="9" man="1"/>
  </rowBreaks>
  <colBreaks count="2" manualBreakCount="2">
    <brk id="10" max="158" man="1"/>
    <brk id="21" min="1" max="195" man="1"/>
  </colBreaks>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pageSetUpPr fitToPage="1"/>
  </sheetPr>
  <dimension ref="B1:AC1177"/>
  <sheetViews>
    <sheetView showGridLines="0" tabSelected="1" zoomScale="85" zoomScaleNormal="85" workbookViewId="0">
      <selection activeCell="B2" sqref="B2"/>
    </sheetView>
  </sheetViews>
  <sheetFormatPr defaultColWidth="9.140625" defaultRowHeight="12.75" x14ac:dyDescent="0.2"/>
  <cols>
    <col min="1" max="1" width="3.7109375" style="13" customWidth="1"/>
    <col min="2" max="3" width="2.7109375" style="13" customWidth="1"/>
    <col min="4" max="4" width="45.7109375" style="13" customWidth="1"/>
    <col min="5" max="5" width="2.7109375" style="13" customWidth="1"/>
    <col min="6" max="10" width="16.85546875" style="13" customWidth="1"/>
    <col min="11" max="12" width="2.7109375" style="13" customWidth="1"/>
    <col min="13" max="13" width="14.7109375" style="13" customWidth="1"/>
    <col min="14" max="16384" width="9.140625" style="13"/>
  </cols>
  <sheetData>
    <row r="1" spans="2:13" ht="12.75" customHeight="1" x14ac:dyDescent="0.2"/>
    <row r="2" spans="2:13" x14ac:dyDescent="0.2">
      <c r="B2" s="62"/>
      <c r="C2" s="63"/>
      <c r="D2" s="64"/>
      <c r="E2" s="64"/>
      <c r="F2" s="65"/>
      <c r="G2" s="65"/>
      <c r="H2" s="65"/>
      <c r="I2" s="65"/>
      <c r="J2" s="65"/>
      <c r="K2" s="65"/>
      <c r="L2" s="66"/>
      <c r="M2" s="14"/>
    </row>
    <row r="3" spans="2:13" x14ac:dyDescent="0.2">
      <c r="B3" s="67"/>
      <c r="C3" s="68"/>
      <c r="D3" s="69"/>
      <c r="E3" s="69"/>
      <c r="F3" s="70"/>
      <c r="G3" s="70"/>
      <c r="H3" s="70"/>
      <c r="I3" s="70"/>
      <c r="J3" s="70"/>
      <c r="K3" s="70"/>
      <c r="L3" s="71"/>
      <c r="M3" s="14"/>
    </row>
    <row r="4" spans="2:13" s="499" customFormat="1" ht="18.75" x14ac:dyDescent="0.3">
      <c r="B4" s="206"/>
      <c r="C4" s="971" t="s">
        <v>350</v>
      </c>
      <c r="D4" s="467"/>
      <c r="E4" s="467"/>
      <c r="F4" s="467"/>
      <c r="G4" s="467"/>
      <c r="H4" s="467"/>
      <c r="I4" s="467"/>
      <c r="J4" s="467"/>
      <c r="K4" s="467"/>
      <c r="L4" s="469"/>
    </row>
    <row r="5" spans="2:13" ht="18.75" x14ac:dyDescent="0.3">
      <c r="B5" s="72"/>
      <c r="C5" s="74" t="str">
        <f>F11</f>
        <v>Voorbeeld SBO</v>
      </c>
      <c r="D5" s="68"/>
      <c r="E5" s="68"/>
      <c r="F5" s="68"/>
      <c r="G5" s="68"/>
      <c r="H5" s="68"/>
      <c r="I5" s="68"/>
      <c r="J5" s="68"/>
      <c r="K5" s="68"/>
      <c r="L5" s="71"/>
    </row>
    <row r="6" spans="2:13" x14ac:dyDescent="0.2">
      <c r="B6" s="67"/>
      <c r="C6" s="68"/>
      <c r="D6" s="75"/>
      <c r="E6" s="75"/>
      <c r="F6" s="76"/>
      <c r="G6" s="76"/>
      <c r="H6" s="77"/>
      <c r="I6" s="68"/>
      <c r="J6" s="68"/>
      <c r="K6" s="68"/>
      <c r="L6" s="71"/>
    </row>
    <row r="7" spans="2:13" x14ac:dyDescent="0.2">
      <c r="B7" s="67"/>
      <c r="C7" s="68"/>
      <c r="D7" s="75"/>
      <c r="E7" s="75"/>
      <c r="F7" s="76"/>
      <c r="G7" s="76"/>
      <c r="H7" s="77"/>
      <c r="I7" s="68"/>
      <c r="J7" s="68"/>
      <c r="K7" s="68"/>
      <c r="L7" s="71"/>
    </row>
    <row r="8" spans="2:13" x14ac:dyDescent="0.2">
      <c r="B8" s="67"/>
      <c r="C8" s="68"/>
      <c r="D8" s="75"/>
      <c r="E8" s="75"/>
      <c r="F8" s="76"/>
      <c r="G8" s="76"/>
      <c r="H8" s="77"/>
      <c r="I8" s="68"/>
      <c r="J8" s="68"/>
      <c r="K8" s="68"/>
      <c r="L8" s="71"/>
    </row>
    <row r="9" spans="2:13" x14ac:dyDescent="0.2">
      <c r="B9" s="67"/>
      <c r="C9" s="68"/>
      <c r="D9" s="75"/>
      <c r="E9" s="75"/>
      <c r="F9" s="76"/>
      <c r="G9" s="76"/>
      <c r="H9" s="77"/>
      <c r="I9" s="68"/>
      <c r="J9" s="68"/>
      <c r="K9" s="68"/>
      <c r="L9" s="71"/>
    </row>
    <row r="10" spans="2:13" x14ac:dyDescent="0.2">
      <c r="B10" s="67"/>
      <c r="C10" s="98"/>
      <c r="D10" s="99"/>
      <c r="E10" s="99"/>
      <c r="F10" s="100"/>
      <c r="G10" s="100"/>
      <c r="H10" s="100"/>
      <c r="I10" s="100"/>
      <c r="J10" s="100"/>
      <c r="K10" s="101"/>
      <c r="L10" s="71"/>
    </row>
    <row r="11" spans="2:13" x14ac:dyDescent="0.2">
      <c r="B11" s="67"/>
      <c r="C11" s="102"/>
      <c r="D11" s="103" t="s">
        <v>390</v>
      </c>
      <c r="E11" s="104"/>
      <c r="F11" s="1349" t="s">
        <v>424</v>
      </c>
      <c r="G11" s="1350"/>
      <c r="H11" s="103"/>
      <c r="I11" s="103"/>
      <c r="J11" s="103"/>
      <c r="K11" s="106"/>
      <c r="L11" s="71"/>
    </row>
    <row r="12" spans="2:13" x14ac:dyDescent="0.2">
      <c r="B12" s="67"/>
      <c r="C12" s="102"/>
      <c r="D12" s="103" t="s">
        <v>391</v>
      </c>
      <c r="E12" s="104"/>
      <c r="F12" s="147" t="s">
        <v>330</v>
      </c>
      <c r="G12" s="105"/>
      <c r="H12" s="103"/>
      <c r="I12" s="103"/>
      <c r="J12" s="103"/>
      <c r="K12" s="106"/>
      <c r="L12" s="71"/>
    </row>
    <row r="13" spans="2:13" x14ac:dyDescent="0.2">
      <c r="B13" s="67"/>
      <c r="C13" s="141"/>
      <c r="D13" s="114"/>
      <c r="E13" s="114"/>
      <c r="F13" s="142"/>
      <c r="G13" s="142"/>
      <c r="H13" s="142"/>
      <c r="I13" s="142"/>
      <c r="J13" s="142"/>
      <c r="K13" s="143"/>
      <c r="L13" s="71"/>
    </row>
    <row r="14" spans="2:13" x14ac:dyDescent="0.2">
      <c r="B14" s="67"/>
      <c r="C14" s="145"/>
      <c r="D14" s="145"/>
      <c r="E14" s="145"/>
      <c r="F14" s="146"/>
      <c r="G14" s="146"/>
      <c r="H14" s="146"/>
      <c r="I14" s="146"/>
      <c r="J14" s="146"/>
      <c r="K14" s="146"/>
      <c r="L14" s="71"/>
    </row>
    <row r="15" spans="2:13" x14ac:dyDescent="0.2">
      <c r="B15" s="67"/>
      <c r="C15" s="145"/>
      <c r="D15" s="145"/>
      <c r="E15" s="145"/>
      <c r="F15" s="146"/>
      <c r="G15" s="146"/>
      <c r="H15" s="146"/>
      <c r="I15" s="146"/>
      <c r="J15" s="146"/>
      <c r="K15" s="146"/>
      <c r="L15" s="71"/>
    </row>
    <row r="16" spans="2:13" x14ac:dyDescent="0.2">
      <c r="B16" s="67"/>
      <c r="C16" s="145"/>
      <c r="D16" s="145"/>
      <c r="E16" s="145"/>
      <c r="F16" s="146"/>
      <c r="G16" s="146"/>
      <c r="H16" s="146"/>
      <c r="I16" s="146"/>
      <c r="J16" s="146"/>
      <c r="K16" s="146"/>
      <c r="L16" s="71"/>
    </row>
    <row r="17" spans="2:12" s="19" customFormat="1" x14ac:dyDescent="0.2">
      <c r="B17" s="78"/>
      <c r="C17" s="145"/>
      <c r="D17" s="1023" t="s">
        <v>200</v>
      </c>
      <c r="E17" s="1023"/>
      <c r="F17" s="1024" t="str">
        <f>tab!D2</f>
        <v>2015/16</v>
      </c>
      <c r="G17" s="1024" t="str">
        <f>tab!E2</f>
        <v>2016/17</v>
      </c>
      <c r="H17" s="1024" t="str">
        <f>tab!F2</f>
        <v>2017/18</v>
      </c>
      <c r="I17" s="1024" t="str">
        <f>tab!G2</f>
        <v>2018/19</v>
      </c>
      <c r="J17" s="1024" t="str">
        <f>tab!H2</f>
        <v>2019/20</v>
      </c>
      <c r="K17" s="146"/>
      <c r="L17" s="82"/>
    </row>
    <row r="18" spans="2:12" s="19" customFormat="1" x14ac:dyDescent="0.2">
      <c r="B18" s="78"/>
      <c r="C18" s="145"/>
      <c r="D18" s="1023" t="s">
        <v>111</v>
      </c>
      <c r="E18" s="1023"/>
      <c r="F18" s="1024">
        <f>tab!C4</f>
        <v>2014</v>
      </c>
      <c r="G18" s="1024">
        <f t="shared" ref="G18:J19" si="0">F18+1</f>
        <v>2015</v>
      </c>
      <c r="H18" s="1024">
        <f t="shared" si="0"/>
        <v>2016</v>
      </c>
      <c r="I18" s="1024">
        <f t="shared" si="0"/>
        <v>2017</v>
      </c>
      <c r="J18" s="1024">
        <f t="shared" si="0"/>
        <v>2018</v>
      </c>
      <c r="K18" s="146"/>
      <c r="L18" s="82"/>
    </row>
    <row r="19" spans="2:12" s="19" customFormat="1" x14ac:dyDescent="0.2">
      <c r="B19" s="78"/>
      <c r="C19" s="145"/>
      <c r="D19" s="1023" t="s">
        <v>520</v>
      </c>
      <c r="E19" s="1023"/>
      <c r="F19" s="1024">
        <f>F18+1</f>
        <v>2015</v>
      </c>
      <c r="G19" s="1024">
        <f t="shared" si="0"/>
        <v>2016</v>
      </c>
      <c r="H19" s="1024">
        <f t="shared" si="0"/>
        <v>2017</v>
      </c>
      <c r="I19" s="1024">
        <f t="shared" si="0"/>
        <v>2018</v>
      </c>
      <c r="J19" s="1024">
        <f t="shared" si="0"/>
        <v>2019</v>
      </c>
      <c r="K19" s="146"/>
      <c r="L19" s="82"/>
    </row>
    <row r="20" spans="2:12" x14ac:dyDescent="0.2">
      <c r="B20" s="67"/>
      <c r="C20" s="145"/>
      <c r="D20" s="1023"/>
      <c r="E20" s="1023"/>
      <c r="F20" s="1024"/>
      <c r="G20" s="1024"/>
      <c r="H20" s="1024"/>
      <c r="I20" s="1024"/>
      <c r="J20" s="1024"/>
      <c r="K20" s="146"/>
      <c r="L20" s="71"/>
    </row>
    <row r="21" spans="2:12" x14ac:dyDescent="0.2">
      <c r="B21" s="67"/>
      <c r="C21" s="98"/>
      <c r="D21" s="99"/>
      <c r="E21" s="99"/>
      <c r="F21" s="100"/>
      <c r="G21" s="100"/>
      <c r="H21" s="100"/>
      <c r="I21" s="100"/>
      <c r="J21" s="100"/>
      <c r="K21" s="101"/>
      <c r="L21" s="71"/>
    </row>
    <row r="22" spans="2:12" x14ac:dyDescent="0.2">
      <c r="B22" s="67"/>
      <c r="C22" s="102"/>
      <c r="D22" s="1025" t="s">
        <v>461</v>
      </c>
      <c r="E22" s="104"/>
      <c r="F22" s="107"/>
      <c r="G22" s="107"/>
      <c r="H22" s="107"/>
      <c r="I22" s="107"/>
      <c r="J22" s="107"/>
      <c r="K22" s="106"/>
      <c r="L22" s="71"/>
    </row>
    <row r="23" spans="2:12" x14ac:dyDescent="0.2">
      <c r="B23" s="67"/>
      <c r="C23" s="102"/>
      <c r="D23" s="1026"/>
      <c r="E23" s="104"/>
      <c r="F23" s="107"/>
      <c r="G23" s="107"/>
      <c r="H23" s="107"/>
      <c r="I23" s="107"/>
      <c r="J23" s="107"/>
      <c r="K23" s="106"/>
      <c r="L23" s="71"/>
    </row>
    <row r="24" spans="2:12" x14ac:dyDescent="0.2">
      <c r="B24" s="67"/>
      <c r="C24" s="102"/>
      <c r="D24" s="528" t="s">
        <v>348</v>
      </c>
      <c r="E24" s="104"/>
      <c r="F24" s="103"/>
      <c r="G24" s="107"/>
      <c r="H24" s="107"/>
      <c r="I24" s="107"/>
      <c r="J24" s="107"/>
      <c r="K24" s="106"/>
      <c r="L24" s="71"/>
    </row>
    <row r="25" spans="2:12" x14ac:dyDescent="0.2">
      <c r="B25" s="67"/>
      <c r="C25" s="102"/>
      <c r="D25" s="518" t="s">
        <v>58</v>
      </c>
      <c r="E25" s="103"/>
      <c r="F25" s="164">
        <v>150</v>
      </c>
      <c r="G25" s="164">
        <v>155</v>
      </c>
      <c r="H25" s="164">
        <f>G25</f>
        <v>155</v>
      </c>
      <c r="I25" s="164">
        <f t="shared" ref="I25" si="1">H25</f>
        <v>155</v>
      </c>
      <c r="J25" s="164">
        <f t="shared" ref="J25" si="2">I25</f>
        <v>155</v>
      </c>
      <c r="K25" s="109"/>
      <c r="L25" s="71"/>
    </row>
    <row r="26" spans="2:12" x14ac:dyDescent="0.2">
      <c r="B26" s="67"/>
      <c r="C26" s="102"/>
      <c r="D26" s="518" t="s">
        <v>338</v>
      </c>
      <c r="E26" s="103"/>
      <c r="F26" s="164">
        <v>9</v>
      </c>
      <c r="G26" s="164">
        <v>7</v>
      </c>
      <c r="H26" s="164">
        <f>G26</f>
        <v>7</v>
      </c>
      <c r="I26" s="164">
        <f t="shared" ref="I26:J26" si="3">H26</f>
        <v>7</v>
      </c>
      <c r="J26" s="164">
        <f t="shared" si="3"/>
        <v>7</v>
      </c>
      <c r="K26" s="109"/>
      <c r="L26" s="71"/>
    </row>
    <row r="27" spans="2:12" x14ac:dyDescent="0.2">
      <c r="B27" s="67"/>
      <c r="C27" s="102"/>
      <c r="D27" s="136" t="s">
        <v>146</v>
      </c>
      <c r="E27" s="103"/>
      <c r="F27" s="164">
        <v>120</v>
      </c>
      <c r="G27" s="164">
        <v>121</v>
      </c>
      <c r="H27" s="164">
        <f>G27</f>
        <v>121</v>
      </c>
      <c r="I27" s="164">
        <f>H27</f>
        <v>121</v>
      </c>
      <c r="J27" s="164">
        <f>I27</f>
        <v>121</v>
      </c>
      <c r="K27" s="109"/>
      <c r="L27" s="71"/>
    </row>
    <row r="28" spans="2:12" x14ac:dyDescent="0.2">
      <c r="B28" s="67"/>
      <c r="C28" s="102"/>
      <c r="D28" s="534"/>
      <c r="E28" s="103"/>
      <c r="F28" s="103"/>
      <c r="G28" s="103"/>
      <c r="H28" s="103"/>
      <c r="I28" s="103"/>
      <c r="J28" s="103"/>
      <c r="K28" s="109"/>
      <c r="L28" s="71"/>
    </row>
    <row r="29" spans="2:12" x14ac:dyDescent="0.2">
      <c r="B29" s="67"/>
      <c r="C29" s="102"/>
      <c r="D29" s="528" t="s">
        <v>339</v>
      </c>
      <c r="E29" s="103"/>
      <c r="F29" s="103"/>
      <c r="G29" s="103"/>
      <c r="H29" s="103"/>
      <c r="I29" s="103"/>
      <c r="J29" s="103"/>
      <c r="K29" s="109"/>
      <c r="L29" s="71"/>
    </row>
    <row r="30" spans="2:12" x14ac:dyDescent="0.2">
      <c r="B30" s="67"/>
      <c r="C30" s="102"/>
      <c r="D30" s="518" t="s">
        <v>59</v>
      </c>
      <c r="E30" s="103"/>
      <c r="F30" s="164">
        <v>155</v>
      </c>
      <c r="G30" s="164">
        <v>158</v>
      </c>
      <c r="H30" s="164">
        <f t="shared" ref="H30:J31" si="4">G30</f>
        <v>158</v>
      </c>
      <c r="I30" s="164">
        <f t="shared" si="4"/>
        <v>158</v>
      </c>
      <c r="J30" s="164">
        <f t="shared" si="4"/>
        <v>158</v>
      </c>
      <c r="K30" s="109"/>
      <c r="L30" s="71"/>
    </row>
    <row r="31" spans="2:12" x14ac:dyDescent="0.2">
      <c r="B31" s="67"/>
      <c r="C31" s="102"/>
      <c r="D31" s="518" t="s">
        <v>60</v>
      </c>
      <c r="E31" s="103"/>
      <c r="F31" s="164">
        <v>0</v>
      </c>
      <c r="G31" s="164">
        <v>0</v>
      </c>
      <c r="H31" s="164">
        <f t="shared" si="4"/>
        <v>0</v>
      </c>
      <c r="I31" s="164">
        <f t="shared" si="4"/>
        <v>0</v>
      </c>
      <c r="J31" s="164">
        <f t="shared" si="4"/>
        <v>0</v>
      </c>
      <c r="K31" s="109"/>
      <c r="L31" s="71"/>
    </row>
    <row r="32" spans="2:12" x14ac:dyDescent="0.2">
      <c r="B32" s="67"/>
      <c r="C32" s="141"/>
      <c r="D32" s="524"/>
      <c r="E32" s="153"/>
      <c r="F32" s="153"/>
      <c r="G32" s="153"/>
      <c r="H32" s="153"/>
      <c r="I32" s="153"/>
      <c r="J32" s="153"/>
      <c r="K32" s="154"/>
      <c r="L32" s="71"/>
    </row>
    <row r="33" spans="2:12" x14ac:dyDescent="0.2">
      <c r="B33" s="67"/>
      <c r="C33" s="157"/>
      <c r="D33" s="158"/>
      <c r="E33" s="158"/>
      <c r="F33" s="159"/>
      <c r="G33" s="159"/>
      <c r="H33" s="159"/>
      <c r="I33" s="159"/>
      <c r="J33" s="159"/>
      <c r="K33" s="159"/>
      <c r="L33" s="71"/>
    </row>
    <row r="34" spans="2:12" x14ac:dyDescent="0.2">
      <c r="B34" s="67"/>
      <c r="C34" s="118"/>
      <c r="D34" s="119"/>
      <c r="E34" s="120"/>
      <c r="F34" s="120"/>
      <c r="G34" s="120"/>
      <c r="H34" s="120"/>
      <c r="I34" s="120"/>
      <c r="J34" s="120"/>
      <c r="K34" s="121"/>
      <c r="L34" s="71"/>
    </row>
    <row r="35" spans="2:12" x14ac:dyDescent="0.2">
      <c r="B35" s="67"/>
      <c r="C35" s="118"/>
      <c r="D35" s="1028" t="s">
        <v>429</v>
      </c>
      <c r="E35" s="120"/>
      <c r="F35" s="120"/>
      <c r="G35" s="120"/>
      <c r="H35" s="120"/>
      <c r="I35" s="120"/>
      <c r="J35" s="120"/>
      <c r="K35" s="121"/>
      <c r="L35" s="71"/>
    </row>
    <row r="36" spans="2:12" x14ac:dyDescent="0.2">
      <c r="B36" s="67"/>
      <c r="C36" s="118"/>
      <c r="D36" s="172" t="s">
        <v>430</v>
      </c>
      <c r="E36" s="120"/>
      <c r="F36" s="120"/>
      <c r="G36" s="120"/>
      <c r="H36" s="120"/>
      <c r="I36" s="120"/>
      <c r="J36" s="120"/>
      <c r="K36" s="121"/>
      <c r="L36" s="71"/>
    </row>
    <row r="37" spans="2:12" x14ac:dyDescent="0.2">
      <c r="B37" s="67"/>
      <c r="C37" s="118"/>
      <c r="D37" s="20"/>
      <c r="E37" s="120"/>
      <c r="F37" s="120"/>
      <c r="G37" s="120"/>
      <c r="H37" s="120"/>
      <c r="I37" s="120"/>
      <c r="J37" s="120"/>
      <c r="K37" s="121"/>
      <c r="L37" s="71"/>
    </row>
    <row r="38" spans="2:12" x14ac:dyDescent="0.2">
      <c r="B38" s="67"/>
      <c r="C38" s="122"/>
      <c r="D38" s="1186" t="s">
        <v>248</v>
      </c>
      <c r="E38" s="124"/>
      <c r="F38" s="124"/>
      <c r="G38" s="124"/>
      <c r="H38" s="124"/>
      <c r="I38" s="124"/>
      <c r="J38" s="124"/>
      <c r="K38" s="125"/>
      <c r="L38" s="71"/>
    </row>
    <row r="39" spans="2:12" s="893" customFormat="1" x14ac:dyDescent="0.2">
      <c r="B39" s="889"/>
      <c r="C39" s="890"/>
      <c r="D39" s="518" t="s">
        <v>346</v>
      </c>
      <c r="E39" s="518"/>
      <c r="F39" s="990">
        <f>IF(F43=0,0,IF(F25&lt;F43,F43,F25-F43))</f>
        <v>100</v>
      </c>
      <c r="G39" s="990">
        <f>IF(G43=0,0,IF(G25&lt;G43,G43,G25-G43))</f>
        <v>105</v>
      </c>
      <c r="H39" s="990">
        <f>IF(H43=0,0,IF(H25&lt;H43,H43,H25-H43))</f>
        <v>105</v>
      </c>
      <c r="I39" s="990">
        <f>IF(I43=0,0,IF(I25&lt;I43,I43,I25-I43))</f>
        <v>105</v>
      </c>
      <c r="J39" s="990">
        <f>IF(J43=0,0,IF(J25&lt;J43,J43,J25-J43))</f>
        <v>105</v>
      </c>
      <c r="K39" s="891"/>
      <c r="L39" s="892"/>
    </row>
    <row r="40" spans="2:12" s="893" customFormat="1" x14ac:dyDescent="0.2">
      <c r="B40" s="889"/>
      <c r="C40" s="890"/>
      <c r="D40" s="518" t="s">
        <v>347</v>
      </c>
      <c r="E40" s="518"/>
      <c r="F40" s="990">
        <f>IF(F43=0,0,IF(F30&lt;F44,F44,F30-F44))</f>
        <v>100</v>
      </c>
      <c r="G40" s="990">
        <f>IF(G43=0,0,IF(G30&lt;G44,G44,G30-G44))</f>
        <v>103</v>
      </c>
      <c r="H40" s="990">
        <f>IF(H43=0,0,IF(H30&lt;H44,H44,H30-H44))</f>
        <v>103</v>
      </c>
      <c r="I40" s="990">
        <f>IF(I43=0,0,IF(I30&lt;I44,I44,I30-I44))</f>
        <v>103</v>
      </c>
      <c r="J40" s="990">
        <f>IF(J43=0,0,IF(J30&lt;J44,J44,J30-J44))</f>
        <v>103</v>
      </c>
      <c r="K40" s="891"/>
      <c r="L40" s="892"/>
    </row>
    <row r="41" spans="2:12" x14ac:dyDescent="0.2">
      <c r="B41" s="67"/>
      <c r="C41" s="122"/>
      <c r="D41" s="534"/>
      <c r="E41" s="124"/>
      <c r="F41" s="124"/>
      <c r="G41" s="124"/>
      <c r="H41" s="124"/>
      <c r="I41" s="124"/>
      <c r="J41" s="124"/>
      <c r="K41" s="125"/>
      <c r="L41" s="71"/>
    </row>
    <row r="42" spans="2:12" x14ac:dyDescent="0.2">
      <c r="B42" s="67"/>
      <c r="C42" s="122"/>
      <c r="D42" s="1186" t="s">
        <v>431</v>
      </c>
      <c r="E42" s="124"/>
      <c r="F42" s="124"/>
      <c r="G42" s="124"/>
      <c r="H42" s="124"/>
      <c r="I42" s="124"/>
      <c r="J42" s="124"/>
      <c r="K42" s="125"/>
      <c r="L42" s="71"/>
    </row>
    <row r="43" spans="2:12" x14ac:dyDescent="0.2">
      <c r="B43" s="67"/>
      <c r="C43" s="126"/>
      <c r="D43" s="518" t="s">
        <v>346</v>
      </c>
      <c r="E43" s="127"/>
      <c r="F43" s="117">
        <v>50</v>
      </c>
      <c r="G43" s="117">
        <f>F43</f>
        <v>50</v>
      </c>
      <c r="H43" s="117">
        <f t="shared" ref="H43:J44" si="5">G43</f>
        <v>50</v>
      </c>
      <c r="I43" s="117">
        <f t="shared" si="5"/>
        <v>50</v>
      </c>
      <c r="J43" s="117">
        <f t="shared" si="5"/>
        <v>50</v>
      </c>
      <c r="K43" s="129"/>
      <c r="L43" s="71"/>
    </row>
    <row r="44" spans="2:12" x14ac:dyDescent="0.2">
      <c r="B44" s="67"/>
      <c r="C44" s="126"/>
      <c r="D44" s="518" t="s">
        <v>347</v>
      </c>
      <c r="E44" s="127"/>
      <c r="F44" s="117">
        <v>55</v>
      </c>
      <c r="G44" s="117">
        <f>F44</f>
        <v>55</v>
      </c>
      <c r="H44" s="117">
        <f t="shared" si="5"/>
        <v>55</v>
      </c>
      <c r="I44" s="117">
        <f t="shared" si="5"/>
        <v>55</v>
      </c>
      <c r="J44" s="117">
        <f t="shared" si="5"/>
        <v>55</v>
      </c>
      <c r="K44" s="129"/>
      <c r="L44" s="71"/>
    </row>
    <row r="45" spans="2:12" x14ac:dyDescent="0.2">
      <c r="B45" s="67"/>
      <c r="C45" s="122"/>
      <c r="D45" s="534"/>
      <c r="E45" s="124"/>
      <c r="F45" s="124"/>
      <c r="G45" s="124"/>
      <c r="H45" s="124"/>
      <c r="I45" s="124"/>
      <c r="J45" s="124"/>
      <c r="K45" s="125"/>
      <c r="L45" s="71"/>
    </row>
    <row r="46" spans="2:12" x14ac:dyDescent="0.2">
      <c r="B46" s="67"/>
      <c r="C46" s="122"/>
      <c r="D46" s="534" t="s">
        <v>352</v>
      </c>
      <c r="E46" s="124"/>
      <c r="F46" s="1032">
        <f t="shared" ref="F46:J47" si="6">F39+F43</f>
        <v>150</v>
      </c>
      <c r="G46" s="1032">
        <f t="shared" si="6"/>
        <v>155</v>
      </c>
      <c r="H46" s="1032">
        <f t="shared" si="6"/>
        <v>155</v>
      </c>
      <c r="I46" s="1032">
        <f t="shared" si="6"/>
        <v>155</v>
      </c>
      <c r="J46" s="1032">
        <f t="shared" si="6"/>
        <v>155</v>
      </c>
      <c r="K46" s="125"/>
      <c r="L46" s="71"/>
    </row>
    <row r="47" spans="2:12" x14ac:dyDescent="0.2">
      <c r="B47" s="67"/>
      <c r="C47" s="122"/>
      <c r="D47" s="534" t="s">
        <v>349</v>
      </c>
      <c r="E47" s="124"/>
      <c r="F47" s="1032">
        <f t="shared" si="6"/>
        <v>155</v>
      </c>
      <c r="G47" s="1032">
        <f t="shared" si="6"/>
        <v>158</v>
      </c>
      <c r="H47" s="1032">
        <f t="shared" si="6"/>
        <v>158</v>
      </c>
      <c r="I47" s="1032">
        <f t="shared" si="6"/>
        <v>158</v>
      </c>
      <c r="J47" s="1032">
        <f t="shared" si="6"/>
        <v>158</v>
      </c>
      <c r="K47" s="125"/>
      <c r="L47" s="71"/>
    </row>
    <row r="48" spans="2:12" x14ac:dyDescent="0.2">
      <c r="B48" s="67"/>
      <c r="C48" s="167"/>
      <c r="D48" s="168" t="s">
        <v>365</v>
      </c>
      <c r="E48" s="169"/>
      <c r="F48" s="170">
        <f>(IF(F39=0,0,1)+IF(F43=0,0,1))</f>
        <v>2</v>
      </c>
      <c r="G48" s="170">
        <f>(IF(G39=0,0,1)+IF(G43=0,0,1))</f>
        <v>2</v>
      </c>
      <c r="H48" s="170">
        <f>(IF(H39=0,0,1)+IF(H43=0,0,1))</f>
        <v>2</v>
      </c>
      <c r="I48" s="170">
        <f>(IF(I39=0,0,1)+IF(I43=0,0,1))</f>
        <v>2</v>
      </c>
      <c r="J48" s="170">
        <f>(IF(J39=0,0,1)+IF(J43=0,0,1))</f>
        <v>2</v>
      </c>
      <c r="K48" s="171"/>
      <c r="L48" s="71"/>
    </row>
    <row r="49" spans="2:12" x14ac:dyDescent="0.2">
      <c r="B49" s="67"/>
      <c r="C49" s="157"/>
      <c r="D49" s="158"/>
      <c r="E49" s="158"/>
      <c r="F49" s="159"/>
      <c r="G49" s="159"/>
      <c r="H49" s="159"/>
      <c r="I49" s="159"/>
      <c r="J49" s="159"/>
      <c r="K49" s="159"/>
      <c r="L49" s="71"/>
    </row>
    <row r="50" spans="2:12" x14ac:dyDescent="0.2">
      <c r="B50" s="67"/>
      <c r="C50" s="160"/>
      <c r="D50" s="161"/>
      <c r="E50" s="161"/>
      <c r="F50" s="161"/>
      <c r="G50" s="161"/>
      <c r="H50" s="161"/>
      <c r="I50" s="161"/>
      <c r="J50" s="161"/>
      <c r="K50" s="162"/>
      <c r="L50" s="71"/>
    </row>
    <row r="51" spans="2:12" x14ac:dyDescent="0.2">
      <c r="B51" s="67"/>
      <c r="C51" s="163"/>
      <c r="D51" s="160"/>
      <c r="E51" s="160"/>
      <c r="F51" s="160"/>
      <c r="G51" s="160"/>
      <c r="H51" s="160"/>
      <c r="I51" s="160"/>
      <c r="J51" s="160"/>
      <c r="K51" s="160"/>
      <c r="L51" s="71"/>
    </row>
    <row r="52" spans="2:12" x14ac:dyDescent="0.2">
      <c r="B52" s="67"/>
      <c r="C52" s="163"/>
      <c r="D52" s="1023" t="s">
        <v>366</v>
      </c>
      <c r="E52" s="1023"/>
      <c r="F52" s="1024">
        <f>tab!D4</f>
        <v>2015</v>
      </c>
      <c r="G52" s="1024">
        <f>mat!I8</f>
        <v>2016</v>
      </c>
      <c r="H52" s="1024">
        <f>mat!J8</f>
        <v>2017</v>
      </c>
      <c r="I52" s="1024">
        <f>mat!K8</f>
        <v>2018</v>
      </c>
      <c r="J52" s="1024">
        <f>mat!L8</f>
        <v>2019</v>
      </c>
      <c r="K52" s="160"/>
      <c r="L52" s="71"/>
    </row>
    <row r="53" spans="2:12" x14ac:dyDescent="0.2">
      <c r="B53" s="67"/>
      <c r="C53" s="163"/>
      <c r="D53" s="1023" t="s">
        <v>111</v>
      </c>
      <c r="E53" s="1023"/>
      <c r="F53" s="1024">
        <f>F18</f>
        <v>2014</v>
      </c>
      <c r="G53" s="1024">
        <f>F53+1</f>
        <v>2015</v>
      </c>
      <c r="H53" s="1024">
        <f>G53+1</f>
        <v>2016</v>
      </c>
      <c r="I53" s="1024">
        <f>H53+1</f>
        <v>2017</v>
      </c>
      <c r="J53" s="1024">
        <f>I53+1</f>
        <v>2018</v>
      </c>
      <c r="K53" s="160"/>
      <c r="L53" s="71"/>
    </row>
    <row r="54" spans="2:12" x14ac:dyDescent="0.2">
      <c r="B54" s="67"/>
      <c r="C54" s="163"/>
      <c r="D54" s="1029"/>
      <c r="E54" s="1029"/>
      <c r="F54" s="1029"/>
      <c r="G54" s="1029"/>
      <c r="H54" s="1029"/>
      <c r="I54" s="1029"/>
      <c r="J54" s="1029"/>
      <c r="K54" s="160"/>
      <c r="L54" s="71"/>
    </row>
    <row r="55" spans="2:12" x14ac:dyDescent="0.2">
      <c r="B55" s="67"/>
      <c r="C55" s="155"/>
      <c r="D55" s="99"/>
      <c r="E55" s="99"/>
      <c r="F55" s="99"/>
      <c r="G55" s="99"/>
      <c r="H55" s="99"/>
      <c r="I55" s="99"/>
      <c r="J55" s="99"/>
      <c r="K55" s="156"/>
      <c r="L55" s="71"/>
    </row>
    <row r="56" spans="2:12" x14ac:dyDescent="0.2">
      <c r="B56" s="67"/>
      <c r="C56" s="110"/>
      <c r="D56" s="103" t="s">
        <v>61</v>
      </c>
      <c r="E56" s="103"/>
      <c r="F56" s="164" t="s">
        <v>427</v>
      </c>
      <c r="G56" s="164" t="str">
        <f>+F56</f>
        <v>ja</v>
      </c>
      <c r="H56" s="164" t="str">
        <f>+G56</f>
        <v>ja</v>
      </c>
      <c r="I56" s="164" t="str">
        <f>+H56</f>
        <v>ja</v>
      </c>
      <c r="J56" s="164" t="str">
        <f>+I56</f>
        <v>ja</v>
      </c>
      <c r="K56" s="111"/>
      <c r="L56" s="71"/>
    </row>
    <row r="57" spans="2:12" x14ac:dyDescent="0.2">
      <c r="B57" s="67"/>
      <c r="C57" s="110"/>
      <c r="D57" s="104"/>
      <c r="E57" s="104"/>
      <c r="F57" s="104"/>
      <c r="G57" s="104"/>
      <c r="H57" s="104"/>
      <c r="I57" s="104"/>
      <c r="J57" s="104"/>
      <c r="K57" s="111"/>
      <c r="L57" s="71"/>
    </row>
    <row r="58" spans="2:12" x14ac:dyDescent="0.2">
      <c r="B58" s="67"/>
      <c r="C58" s="110"/>
      <c r="D58" s="108" t="s">
        <v>354</v>
      </c>
      <c r="E58" s="104"/>
      <c r="F58" s="104"/>
      <c r="G58" s="104"/>
      <c r="H58" s="104"/>
      <c r="I58" s="104"/>
      <c r="J58" s="104"/>
      <c r="K58" s="111"/>
      <c r="L58" s="71"/>
    </row>
    <row r="59" spans="2:12" x14ac:dyDescent="0.2">
      <c r="B59" s="67"/>
      <c r="C59" s="110"/>
      <c r="D59" s="112"/>
      <c r="E59" s="104"/>
      <c r="F59" s="104"/>
      <c r="G59" s="104"/>
      <c r="H59" s="104"/>
      <c r="I59" s="104"/>
      <c r="J59" s="104"/>
      <c r="K59" s="111"/>
      <c r="L59" s="71"/>
    </row>
    <row r="60" spans="2:12" x14ac:dyDescent="0.2">
      <c r="B60" s="67"/>
      <c r="C60" s="110"/>
      <c r="D60" s="576" t="s">
        <v>83</v>
      </c>
      <c r="E60" s="104"/>
      <c r="F60" s="104"/>
      <c r="G60" s="104"/>
      <c r="H60" s="104"/>
      <c r="I60" s="104"/>
      <c r="J60" s="104"/>
      <c r="K60" s="111"/>
      <c r="L60" s="71"/>
    </row>
    <row r="61" spans="2:12" x14ac:dyDescent="0.2">
      <c r="B61" s="67"/>
      <c r="C61" s="110"/>
      <c r="D61" s="136" t="s">
        <v>33</v>
      </c>
      <c r="E61" s="104"/>
      <c r="F61" s="1031">
        <f>IF(F25=0,0,(ROUNDUP(IF(F25&lt;15,2,F25/14),0)))</f>
        <v>11</v>
      </c>
      <c r="G61" s="1031">
        <f>IF(G25=0,0,(ROUNDUP(IF(G25&lt;15,2,G25/14),0)))</f>
        <v>12</v>
      </c>
      <c r="H61" s="1031">
        <f>IF(H25=0,0,(ROUNDUP(IF(H25&lt;15,2,H25/14),0)))</f>
        <v>12</v>
      </c>
      <c r="I61" s="1031">
        <f>IF(I25=0,0,(ROUNDUP(IF(I25&lt;15,2,I25/14),0)))</f>
        <v>12</v>
      </c>
      <c r="J61" s="1031">
        <f>IF(J25=0,0,(ROUNDUP(IF(J25&lt;15,2,J25/14),0)))</f>
        <v>12</v>
      </c>
      <c r="K61" s="111"/>
      <c r="L61" s="71"/>
    </row>
    <row r="62" spans="2:12" x14ac:dyDescent="0.2">
      <c r="B62" s="67"/>
      <c r="C62" s="110"/>
      <c r="D62" s="136" t="str">
        <f>D38</f>
        <v>Hoofdvestiging</v>
      </c>
      <c r="E62" s="104"/>
      <c r="F62" s="1031">
        <f>IF(F39=0,0,(ROUNDUP(IF(F39&lt;15,2,F39/14),0)))</f>
        <v>8</v>
      </c>
      <c r="G62" s="1031">
        <f>IF(G39=0,0,(ROUNDUP(IF(G39&lt;15,2,G39/14),0)))</f>
        <v>8</v>
      </c>
      <c r="H62" s="1031">
        <f>IF(H39=0,0,(ROUNDUP(IF(H39&lt;15,2,H39/14),0)))</f>
        <v>8</v>
      </c>
      <c r="I62" s="1031">
        <f>IF(I39=0,0,(ROUNDUP(IF(I39&lt;15,2,I39/14),0)))</f>
        <v>8</v>
      </c>
      <c r="J62" s="1031">
        <f>IF(J39=0,0,(ROUNDUP(IF(J39&lt;15,2,J39/14),0)))</f>
        <v>8</v>
      </c>
      <c r="K62" s="111"/>
      <c r="L62" s="71"/>
    </row>
    <row r="63" spans="2:12" x14ac:dyDescent="0.2">
      <c r="B63" s="67"/>
      <c r="C63" s="110"/>
      <c r="D63" s="136" t="str">
        <f>D42</f>
        <v xml:space="preserve">Nevenvestiging </v>
      </c>
      <c r="E63" s="104"/>
      <c r="F63" s="1031">
        <f>IF(F43=0,0,(ROUNDUP(IF(F43&lt;15,2,F43/14),0)))</f>
        <v>4</v>
      </c>
      <c r="G63" s="1031">
        <f>IF(G43=0,0,(ROUNDUP(IF(G43&lt;15,2,G43/14),0)))</f>
        <v>4</v>
      </c>
      <c r="H63" s="1031">
        <f>IF(H43=0,0,(ROUNDUP(IF(H43&lt;15,2,H43/14),0)))</f>
        <v>4</v>
      </c>
      <c r="I63" s="1031">
        <f>IF(I43=0,0,(ROUNDUP(IF(I43&lt;15,2,I43/14),0)))</f>
        <v>4</v>
      </c>
      <c r="J63" s="1031">
        <f>IF(J43=0,0,(ROUNDUP(IF(J43&lt;15,2,J43/14),0)))</f>
        <v>4</v>
      </c>
      <c r="K63" s="111"/>
      <c r="L63" s="71"/>
    </row>
    <row r="64" spans="2:12" x14ac:dyDescent="0.2">
      <c r="B64" s="67"/>
      <c r="C64" s="110"/>
      <c r="D64" s="136"/>
      <c r="E64" s="104"/>
      <c r="F64" s="104"/>
      <c r="G64" s="104"/>
      <c r="H64" s="104"/>
      <c r="I64" s="104"/>
      <c r="J64" s="104"/>
      <c r="K64" s="111"/>
      <c r="L64" s="71"/>
    </row>
    <row r="65" spans="2:12" x14ac:dyDescent="0.2">
      <c r="B65" s="67"/>
      <c r="C65" s="110"/>
      <c r="D65" s="528" t="s">
        <v>84</v>
      </c>
      <c r="E65" s="104"/>
      <c r="F65" s="104"/>
      <c r="G65" s="104"/>
      <c r="H65" s="104"/>
      <c r="I65" s="104"/>
      <c r="J65" s="104"/>
      <c r="K65" s="111"/>
      <c r="L65" s="71"/>
    </row>
    <row r="66" spans="2:12" x14ac:dyDescent="0.2">
      <c r="B66" s="67"/>
      <c r="C66" s="110"/>
      <c r="D66" s="136" t="s">
        <v>33</v>
      </c>
      <c r="E66" s="104"/>
      <c r="F66" s="1031">
        <f t="shared" ref="F66:J68" si="7">LOOKUP(F61,groepenleerlingennu,vloeroppervlaknu)</f>
        <v>1400</v>
      </c>
      <c r="G66" s="1031">
        <f t="shared" si="7"/>
        <v>1505</v>
      </c>
      <c r="H66" s="1031">
        <f t="shared" si="7"/>
        <v>1505</v>
      </c>
      <c r="I66" s="1031">
        <f t="shared" si="7"/>
        <v>1505</v>
      </c>
      <c r="J66" s="1031">
        <f t="shared" si="7"/>
        <v>1505</v>
      </c>
      <c r="K66" s="111"/>
      <c r="L66" s="71"/>
    </row>
    <row r="67" spans="2:12" x14ac:dyDescent="0.2">
      <c r="B67" s="67"/>
      <c r="C67" s="110"/>
      <c r="D67" s="136" t="str">
        <f>D62</f>
        <v>Hoofdvestiging</v>
      </c>
      <c r="E67" s="104"/>
      <c r="F67" s="1031">
        <f t="shared" si="7"/>
        <v>1085</v>
      </c>
      <c r="G67" s="1031">
        <f t="shared" si="7"/>
        <v>1085</v>
      </c>
      <c r="H67" s="1031">
        <f t="shared" si="7"/>
        <v>1085</v>
      </c>
      <c r="I67" s="1031">
        <f t="shared" si="7"/>
        <v>1085</v>
      </c>
      <c r="J67" s="1031">
        <f t="shared" si="7"/>
        <v>1085</v>
      </c>
      <c r="K67" s="111"/>
      <c r="L67" s="71"/>
    </row>
    <row r="68" spans="2:12" x14ac:dyDescent="0.2">
      <c r="B68" s="67"/>
      <c r="C68" s="110"/>
      <c r="D68" s="136" t="str">
        <f>D63</f>
        <v xml:space="preserve">Nevenvestiging </v>
      </c>
      <c r="E68" s="104"/>
      <c r="F68" s="1031">
        <f t="shared" si="7"/>
        <v>650</v>
      </c>
      <c r="G68" s="1031">
        <f t="shared" si="7"/>
        <v>650</v>
      </c>
      <c r="H68" s="1031">
        <f t="shared" si="7"/>
        <v>650</v>
      </c>
      <c r="I68" s="1031">
        <f t="shared" si="7"/>
        <v>650</v>
      </c>
      <c r="J68" s="1031">
        <f t="shared" si="7"/>
        <v>650</v>
      </c>
      <c r="K68" s="111"/>
      <c r="L68" s="71"/>
    </row>
    <row r="69" spans="2:12" x14ac:dyDescent="0.2">
      <c r="B69" s="67"/>
      <c r="C69" s="110"/>
      <c r="D69" s="136"/>
      <c r="E69" s="104"/>
      <c r="F69" s="104"/>
      <c r="G69" s="104"/>
      <c r="H69" s="104"/>
      <c r="I69" s="104"/>
      <c r="J69" s="104"/>
      <c r="K69" s="111"/>
      <c r="L69" s="71"/>
    </row>
    <row r="70" spans="2:12" x14ac:dyDescent="0.2">
      <c r="B70" s="67"/>
      <c r="C70" s="110"/>
      <c r="D70" s="528" t="s">
        <v>85</v>
      </c>
      <c r="E70" s="104"/>
      <c r="F70" s="104"/>
      <c r="G70" s="104"/>
      <c r="H70" s="104"/>
      <c r="I70" s="104"/>
      <c r="J70" s="104"/>
      <c r="K70" s="111"/>
      <c r="L70" s="71"/>
    </row>
    <row r="71" spans="2:12" x14ac:dyDescent="0.2">
      <c r="B71" s="67"/>
      <c r="C71" s="110"/>
      <c r="D71" s="136" t="str">
        <f>D61</f>
        <v>School zonder nevenvestiging</v>
      </c>
      <c r="E71" s="104"/>
      <c r="F71" s="1031">
        <f>IF(F30=0,0,(ROUNDUP(IF(F30&lt;15,2,F30/14),0)))</f>
        <v>12</v>
      </c>
      <c r="G71" s="1031">
        <f>IF(G30=0,0,(ROUNDUP(IF(G30&lt;15,2,G30/14),0)))</f>
        <v>12</v>
      </c>
      <c r="H71" s="1031">
        <f>IF(H30=0,0,(ROUNDUP(IF(H30&lt;15,2,H30/14),0)))</f>
        <v>12</v>
      </c>
      <c r="I71" s="1031">
        <f>IF(I30=0,0,(ROUNDUP(IF(I30&lt;15,2,I30/14),0)))</f>
        <v>12</v>
      </c>
      <c r="J71" s="1031">
        <f>IF(J30=0,0,(ROUNDUP(IF(J30&lt;15,2,J30/14),0)))</f>
        <v>12</v>
      </c>
      <c r="K71" s="111"/>
      <c r="L71" s="71"/>
    </row>
    <row r="72" spans="2:12" x14ac:dyDescent="0.2">
      <c r="B72" s="67"/>
      <c r="C72" s="110"/>
      <c r="D72" s="136" t="str">
        <f>D62</f>
        <v>Hoofdvestiging</v>
      </c>
      <c r="E72" s="104"/>
      <c r="F72" s="1031">
        <f>IF(F39=0,0,IF(AND($G$56="ja",F40&gt;F39),ROUNDUP(IF(F40&lt;15,2,F40/14),0),ROUNDUP(IF(F39&lt;15,2,F39/14),0)))</f>
        <v>8</v>
      </c>
      <c r="G72" s="1031">
        <f>IF(G39=0,0,IF(AND($G$56="ja",G40&gt;G39),ROUNDUP(IF(G40&lt;15,2,G40/14),0),ROUNDUP(IF(G39&lt;15,2,G39/14),0)))</f>
        <v>8</v>
      </c>
      <c r="H72" s="1031">
        <f>IF(H39=0,0,IF(AND($G$56="ja",H40&gt;H39),ROUNDUP(IF(H40&lt;15,2,H40/14),0),ROUNDUP(IF(H39&lt;15,2,H39/14),0)))</f>
        <v>8</v>
      </c>
      <c r="I72" s="1031">
        <f>IF(I39=0,0,IF(AND($G$56="ja",I40&gt;I39),ROUNDUP(IF(I40&lt;15,2,I40/14),0),ROUNDUP(IF(I39&lt;15,2,I39/14),0)))</f>
        <v>8</v>
      </c>
      <c r="J72" s="1031">
        <f>IF(J39=0,0,IF(AND($G$56="ja",J40&gt;J39),ROUNDUP(IF(J40&lt;15,2,J40/14),0),ROUNDUP(IF(J39&lt;15,2,J39/14),0)))</f>
        <v>8</v>
      </c>
      <c r="K72" s="111"/>
      <c r="L72" s="71"/>
    </row>
    <row r="73" spans="2:12" x14ac:dyDescent="0.2">
      <c r="B73" s="67"/>
      <c r="C73" s="110"/>
      <c r="D73" s="136" t="str">
        <f>D63</f>
        <v xml:space="preserve">Nevenvestiging </v>
      </c>
      <c r="E73" s="104"/>
      <c r="F73" s="1031">
        <f>IF(F43=0,0,IF(AND($G$56="ja",F44&gt;F43),ROUNDUP(IF(F44&lt;15,2,F44/14),0),ROUNDUP(IF(F43&lt;15,2,F43/14),0)))</f>
        <v>4</v>
      </c>
      <c r="G73" s="1031">
        <f>IF(G43=0,0,IF(AND($G$56="ja",G44&gt;G43),ROUNDUP(IF(G44&lt;15,2,G44/14),0),ROUNDUP(IF(G43&lt;15,2,G43/14),0)))</f>
        <v>4</v>
      </c>
      <c r="H73" s="1031">
        <f>IF(H43=0,0,IF(AND($G$56="ja",H44&gt;H43),ROUNDUP(IF(H44&lt;15,2,H44/14),0),ROUNDUP(IF(H43&lt;15,2,H43/14),0)))</f>
        <v>4</v>
      </c>
      <c r="I73" s="1031">
        <f>IF(I43=0,0,IF(AND($G$56="ja",I44&gt;I43),ROUNDUP(IF(I44&lt;15,2,I44/14),0),ROUNDUP(IF(I43&lt;15,2,I43/14),0)))</f>
        <v>4</v>
      </c>
      <c r="J73" s="1031">
        <f>IF(J43=0,0,IF(AND($G$56="ja",J44&gt;J43),ROUNDUP(IF(J44&lt;15,2,J44/14),0),ROUNDUP(IF(J43&lt;15,2,J43/14),0)))</f>
        <v>4</v>
      </c>
      <c r="K73" s="111"/>
      <c r="L73" s="71"/>
    </row>
    <row r="74" spans="2:12" x14ac:dyDescent="0.2">
      <c r="B74" s="67"/>
      <c r="C74" s="110"/>
      <c r="D74" s="136"/>
      <c r="E74" s="104"/>
      <c r="F74" s="104"/>
      <c r="G74" s="104"/>
      <c r="H74" s="104"/>
      <c r="I74" s="104"/>
      <c r="J74" s="104"/>
      <c r="K74" s="111"/>
      <c r="L74" s="71"/>
    </row>
    <row r="75" spans="2:12" x14ac:dyDescent="0.2">
      <c r="B75" s="67"/>
      <c r="C75" s="110"/>
      <c r="D75" s="528" t="s">
        <v>86</v>
      </c>
      <c r="E75" s="104"/>
      <c r="F75" s="104"/>
      <c r="G75" s="104"/>
      <c r="H75" s="104"/>
      <c r="I75" s="104"/>
      <c r="J75" s="104"/>
      <c r="K75" s="111"/>
      <c r="L75" s="71"/>
    </row>
    <row r="76" spans="2:12" x14ac:dyDescent="0.2">
      <c r="B76" s="67"/>
      <c r="C76" s="110"/>
      <c r="D76" s="136" t="str">
        <f>D71</f>
        <v>School zonder nevenvestiging</v>
      </c>
      <c r="E76" s="104"/>
      <c r="F76" s="1031">
        <f t="shared" ref="F76:J78" si="8">LOOKUP(F71,groepenleerlingennu,vloeroppervlaknu)</f>
        <v>1505</v>
      </c>
      <c r="G76" s="1031">
        <f t="shared" si="8"/>
        <v>1505</v>
      </c>
      <c r="H76" s="1031">
        <f t="shared" si="8"/>
        <v>1505</v>
      </c>
      <c r="I76" s="1031">
        <f t="shared" si="8"/>
        <v>1505</v>
      </c>
      <c r="J76" s="1031">
        <f t="shared" si="8"/>
        <v>1505</v>
      </c>
      <c r="K76" s="111"/>
      <c r="L76" s="71"/>
    </row>
    <row r="77" spans="2:12" x14ac:dyDescent="0.2">
      <c r="B77" s="67"/>
      <c r="C77" s="110"/>
      <c r="D77" s="136" t="str">
        <f>D62</f>
        <v>Hoofdvestiging</v>
      </c>
      <c r="E77" s="104"/>
      <c r="F77" s="1031">
        <f t="shared" si="8"/>
        <v>1085</v>
      </c>
      <c r="G77" s="1031">
        <f t="shared" si="8"/>
        <v>1085</v>
      </c>
      <c r="H77" s="1031">
        <f t="shared" si="8"/>
        <v>1085</v>
      </c>
      <c r="I77" s="1031">
        <f t="shared" si="8"/>
        <v>1085</v>
      </c>
      <c r="J77" s="1031">
        <f t="shared" si="8"/>
        <v>1085</v>
      </c>
      <c r="K77" s="111"/>
      <c r="L77" s="71"/>
    </row>
    <row r="78" spans="2:12" x14ac:dyDescent="0.2">
      <c r="B78" s="67"/>
      <c r="C78" s="110"/>
      <c r="D78" s="136" t="str">
        <f>D63</f>
        <v xml:space="preserve">Nevenvestiging </v>
      </c>
      <c r="E78" s="104"/>
      <c r="F78" s="1031">
        <f t="shared" si="8"/>
        <v>650</v>
      </c>
      <c r="G78" s="1031">
        <f t="shared" si="8"/>
        <v>650</v>
      </c>
      <c r="H78" s="1031">
        <f t="shared" si="8"/>
        <v>650</v>
      </c>
      <c r="I78" s="1031">
        <f t="shared" si="8"/>
        <v>650</v>
      </c>
      <c r="J78" s="1031">
        <f t="shared" si="8"/>
        <v>650</v>
      </c>
      <c r="K78" s="111"/>
      <c r="L78" s="71"/>
    </row>
    <row r="79" spans="2:12" x14ac:dyDescent="0.2">
      <c r="B79" s="67"/>
      <c r="C79" s="113"/>
      <c r="D79" s="492"/>
      <c r="E79" s="114"/>
      <c r="F79" s="114"/>
      <c r="G79" s="115"/>
      <c r="H79" s="115"/>
      <c r="I79" s="115"/>
      <c r="J79" s="115"/>
      <c r="K79" s="116"/>
      <c r="L79" s="71"/>
    </row>
    <row r="80" spans="2:12" x14ac:dyDescent="0.2">
      <c r="B80" s="67"/>
      <c r="C80" s="68"/>
      <c r="D80" s="84"/>
      <c r="E80" s="84"/>
      <c r="F80" s="84"/>
      <c r="G80" s="84"/>
      <c r="H80" s="84"/>
      <c r="I80" s="84"/>
      <c r="J80" s="84"/>
      <c r="K80" s="85"/>
      <c r="L80" s="71"/>
    </row>
    <row r="81" spans="2:12" ht="15" x14ac:dyDescent="0.25">
      <c r="B81" s="86"/>
      <c r="C81" s="87"/>
      <c r="D81" s="88"/>
      <c r="E81" s="88"/>
      <c r="F81" s="88"/>
      <c r="G81" s="88"/>
      <c r="H81" s="88"/>
      <c r="I81" s="88"/>
      <c r="J81" s="88"/>
      <c r="K81" s="89" t="s">
        <v>410</v>
      </c>
      <c r="L81" s="90"/>
    </row>
    <row r="1011" spans="4:29" x14ac:dyDescent="0.2">
      <c r="D1011" s="25"/>
      <c r="E1011" s="25"/>
      <c r="F1011" s="25"/>
      <c r="G1011" s="25"/>
      <c r="H1011" s="25"/>
      <c r="I1011" s="25"/>
      <c r="J1011" s="25"/>
      <c r="K1011" s="25"/>
      <c r="L1011" s="25"/>
      <c r="M1011" s="25"/>
      <c r="N1011" s="25"/>
      <c r="O1011" s="25"/>
      <c r="P1011" s="25"/>
      <c r="Q1011" s="25"/>
      <c r="R1011" s="25"/>
      <c r="S1011" s="25"/>
      <c r="T1011" s="25"/>
      <c r="U1011" s="25"/>
      <c r="V1011" s="25"/>
      <c r="W1011" s="25"/>
      <c r="X1011" s="25"/>
      <c r="Y1011" s="25"/>
      <c r="Z1011" s="25"/>
      <c r="AA1011" s="25"/>
      <c r="AB1011" s="25"/>
      <c r="AC1011" s="25"/>
    </row>
    <row r="1012" spans="4:29" x14ac:dyDescent="0.2">
      <c r="D1012" s="25"/>
      <c r="E1012" s="25"/>
      <c r="F1012" s="25"/>
      <c r="G1012" s="25"/>
      <c r="H1012" s="25"/>
      <c r="I1012" s="25"/>
      <c r="J1012" s="25"/>
      <c r="K1012" s="25"/>
      <c r="L1012" s="25"/>
      <c r="M1012" s="25"/>
      <c r="N1012" s="25"/>
      <c r="O1012" s="25"/>
      <c r="P1012" s="25"/>
      <c r="Q1012" s="25"/>
      <c r="R1012" s="25"/>
      <c r="S1012" s="25"/>
      <c r="T1012" s="25"/>
      <c r="U1012" s="25"/>
      <c r="V1012" s="25"/>
      <c r="W1012" s="25"/>
      <c r="X1012" s="25"/>
      <c r="Y1012" s="25"/>
      <c r="Z1012" s="25"/>
      <c r="AA1012" s="25"/>
      <c r="AB1012" s="25"/>
      <c r="AC1012" s="25"/>
    </row>
    <row r="1013" spans="4:29" x14ac:dyDescent="0.2">
      <c r="D1013" s="25"/>
      <c r="E1013" s="25"/>
      <c r="F1013" s="25"/>
      <c r="G1013" s="25"/>
      <c r="H1013" s="25"/>
      <c r="I1013" s="25"/>
      <c r="J1013" s="25"/>
      <c r="K1013" s="25"/>
      <c r="L1013" s="25"/>
      <c r="M1013" s="25"/>
      <c r="N1013" s="25"/>
      <c r="O1013" s="25"/>
      <c r="P1013" s="25"/>
      <c r="Q1013" s="25"/>
      <c r="R1013" s="25"/>
      <c r="S1013" s="25"/>
      <c r="T1013" s="25"/>
      <c r="U1013" s="25"/>
      <c r="V1013" s="25"/>
      <c r="W1013" s="25"/>
      <c r="X1013" s="25"/>
      <c r="Y1013" s="25"/>
      <c r="Z1013" s="25"/>
      <c r="AA1013" s="25"/>
      <c r="AB1013" s="25"/>
      <c r="AC1013" s="25"/>
    </row>
    <row r="1014" spans="4:29" x14ac:dyDescent="0.2">
      <c r="D1014" s="25"/>
      <c r="E1014" s="25"/>
      <c r="F1014" s="25"/>
      <c r="G1014" s="25"/>
      <c r="H1014" s="25"/>
      <c r="I1014" s="25"/>
      <c r="J1014" s="25"/>
      <c r="K1014" s="25"/>
      <c r="L1014" s="25"/>
      <c r="M1014" s="25"/>
      <c r="N1014" s="25"/>
      <c r="O1014" s="25"/>
      <c r="P1014" s="25"/>
      <c r="Q1014" s="25"/>
      <c r="R1014" s="25"/>
      <c r="S1014" s="25"/>
      <c r="T1014" s="25"/>
      <c r="U1014" s="25"/>
      <c r="V1014" s="25"/>
      <c r="W1014" s="25"/>
      <c r="X1014" s="25"/>
      <c r="Y1014" s="25"/>
      <c r="Z1014" s="25"/>
      <c r="AA1014" s="25"/>
      <c r="AB1014" s="25"/>
      <c r="AC1014" s="25"/>
    </row>
    <row r="1015" spans="4:29" x14ac:dyDescent="0.2">
      <c r="D1015" s="25"/>
      <c r="E1015" s="25"/>
      <c r="F1015" s="25"/>
      <c r="G1015" s="25"/>
      <c r="H1015" s="25"/>
      <c r="I1015" s="25"/>
      <c r="J1015" s="25"/>
      <c r="K1015" s="25"/>
      <c r="L1015" s="25"/>
      <c r="M1015" s="25"/>
      <c r="N1015" s="25"/>
      <c r="O1015" s="25"/>
      <c r="P1015" s="25"/>
      <c r="Q1015" s="25"/>
      <c r="R1015" s="25"/>
      <c r="S1015" s="25"/>
      <c r="T1015" s="25"/>
      <c r="U1015" s="25"/>
      <c r="V1015" s="25"/>
      <c r="W1015" s="25"/>
      <c r="X1015" s="25"/>
      <c r="Y1015" s="25"/>
      <c r="Z1015" s="25"/>
      <c r="AA1015" s="25"/>
      <c r="AB1015" s="25"/>
      <c r="AC1015" s="25"/>
    </row>
    <row r="1016" spans="4:29" x14ac:dyDescent="0.2">
      <c r="D1016" s="25"/>
      <c r="E1016" s="25"/>
      <c r="F1016" s="25"/>
      <c r="G1016" s="25"/>
      <c r="H1016" s="25"/>
      <c r="I1016" s="25"/>
      <c r="J1016" s="25"/>
      <c r="K1016" s="25"/>
      <c r="L1016" s="25"/>
      <c r="M1016" s="25"/>
      <c r="N1016" s="25"/>
      <c r="O1016" s="25"/>
      <c r="P1016" s="25"/>
      <c r="Q1016" s="25"/>
      <c r="R1016" s="25"/>
      <c r="S1016" s="25"/>
      <c r="T1016" s="25"/>
      <c r="U1016" s="25"/>
      <c r="V1016" s="25"/>
      <c r="W1016" s="25"/>
      <c r="X1016" s="25"/>
      <c r="Y1016" s="25"/>
      <c r="Z1016" s="25"/>
      <c r="AA1016" s="25"/>
      <c r="AB1016" s="25"/>
      <c r="AC1016" s="25"/>
    </row>
    <row r="1017" spans="4:29" x14ac:dyDescent="0.2">
      <c r="D1017" s="25"/>
      <c r="E1017" s="25"/>
      <c r="F1017" s="25"/>
      <c r="G1017" s="25"/>
      <c r="H1017" s="25"/>
      <c r="I1017" s="25"/>
      <c r="J1017" s="25"/>
      <c r="K1017" s="25"/>
      <c r="L1017" s="25"/>
      <c r="M1017" s="25"/>
      <c r="N1017" s="25"/>
      <c r="O1017" s="25"/>
      <c r="P1017" s="25"/>
      <c r="Q1017" s="25"/>
      <c r="R1017" s="25"/>
      <c r="S1017" s="25"/>
      <c r="T1017" s="25"/>
      <c r="U1017" s="25"/>
      <c r="V1017" s="25"/>
      <c r="W1017" s="25"/>
      <c r="X1017" s="25"/>
      <c r="Y1017" s="25"/>
      <c r="Z1017" s="25"/>
      <c r="AA1017" s="25"/>
      <c r="AB1017" s="25"/>
      <c r="AC1017" s="25"/>
    </row>
    <row r="1018" spans="4:29" x14ac:dyDescent="0.2">
      <c r="D1018" s="25"/>
      <c r="E1018" s="25"/>
      <c r="F1018" s="25"/>
      <c r="G1018" s="25"/>
      <c r="H1018" s="25"/>
      <c r="I1018" s="25"/>
      <c r="J1018" s="25"/>
      <c r="K1018" s="25"/>
      <c r="L1018" s="25"/>
      <c r="M1018" s="25"/>
      <c r="N1018" s="25"/>
      <c r="O1018" s="25"/>
      <c r="P1018" s="25"/>
      <c r="Q1018" s="25"/>
      <c r="R1018" s="25"/>
      <c r="S1018" s="25"/>
      <c r="T1018" s="25"/>
      <c r="U1018" s="25"/>
      <c r="V1018" s="25"/>
      <c r="W1018" s="25"/>
      <c r="X1018" s="25"/>
      <c r="Y1018" s="25"/>
      <c r="Z1018" s="25"/>
      <c r="AA1018" s="25"/>
      <c r="AB1018" s="25"/>
      <c r="AC1018" s="25"/>
    </row>
    <row r="1019" spans="4:29" x14ac:dyDescent="0.2">
      <c r="D1019" s="25"/>
      <c r="E1019" s="25"/>
      <c r="F1019" s="25"/>
      <c r="G1019" s="25"/>
      <c r="H1019" s="25"/>
      <c r="I1019" s="25"/>
      <c r="J1019" s="25"/>
      <c r="K1019" s="25"/>
      <c r="L1019" s="25"/>
      <c r="M1019" s="25"/>
      <c r="N1019" s="25"/>
      <c r="O1019" s="25"/>
      <c r="P1019" s="25"/>
      <c r="Q1019" s="25"/>
      <c r="R1019" s="25"/>
      <c r="S1019" s="25"/>
      <c r="T1019" s="25"/>
      <c r="U1019" s="25"/>
      <c r="V1019" s="25"/>
      <c r="W1019" s="25"/>
      <c r="X1019" s="25"/>
      <c r="Y1019" s="25"/>
      <c r="Z1019" s="25"/>
      <c r="AA1019" s="25"/>
      <c r="AB1019" s="25"/>
      <c r="AC1019" s="25"/>
    </row>
    <row r="1020" spans="4:29" x14ac:dyDescent="0.2">
      <c r="D1020" s="25"/>
      <c r="E1020" s="25"/>
      <c r="F1020" s="25"/>
      <c r="G1020" s="25"/>
      <c r="H1020" s="25"/>
      <c r="I1020" s="25"/>
      <c r="J1020" s="25"/>
      <c r="K1020" s="25"/>
      <c r="L1020" s="25"/>
      <c r="M1020" s="25"/>
      <c r="N1020" s="25"/>
      <c r="O1020" s="25"/>
      <c r="P1020" s="25"/>
      <c r="Q1020" s="25"/>
      <c r="R1020" s="25"/>
      <c r="S1020" s="25"/>
      <c r="T1020" s="25"/>
      <c r="U1020" s="25"/>
      <c r="V1020" s="25"/>
      <c r="W1020" s="25"/>
      <c r="X1020" s="25"/>
      <c r="Y1020" s="25"/>
      <c r="Z1020" s="25"/>
      <c r="AA1020" s="25"/>
      <c r="AB1020" s="25"/>
      <c r="AC1020" s="25"/>
    </row>
    <row r="1021" spans="4:29" x14ac:dyDescent="0.2">
      <c r="D1021" s="25"/>
      <c r="E1021" s="25"/>
      <c r="F1021" s="25"/>
      <c r="G1021" s="25"/>
      <c r="H1021" s="25"/>
      <c r="I1021" s="25"/>
      <c r="J1021" s="25"/>
      <c r="K1021" s="25"/>
      <c r="L1021" s="25"/>
      <c r="M1021" s="25"/>
      <c r="N1021" s="25"/>
      <c r="O1021" s="25"/>
      <c r="P1021" s="25"/>
      <c r="Q1021" s="25"/>
      <c r="R1021" s="25"/>
      <c r="S1021" s="25"/>
      <c r="T1021" s="25"/>
      <c r="U1021" s="25"/>
      <c r="V1021" s="25"/>
      <c r="W1021" s="25"/>
      <c r="X1021" s="25"/>
      <c r="Y1021" s="25"/>
      <c r="Z1021" s="25"/>
      <c r="AA1021" s="25"/>
      <c r="AB1021" s="25"/>
      <c r="AC1021" s="25"/>
    </row>
    <row r="1022" spans="4:29" x14ac:dyDescent="0.2">
      <c r="D1022" s="25"/>
      <c r="E1022" s="25"/>
      <c r="F1022" s="25"/>
      <c r="G1022" s="25"/>
      <c r="H1022" s="25"/>
      <c r="I1022" s="25"/>
      <c r="J1022" s="25"/>
      <c r="K1022" s="25"/>
      <c r="L1022" s="25"/>
      <c r="M1022" s="25"/>
      <c r="N1022" s="25"/>
      <c r="O1022" s="25"/>
      <c r="P1022" s="25"/>
      <c r="Q1022" s="25"/>
      <c r="R1022" s="25"/>
      <c r="S1022" s="25"/>
      <c r="T1022" s="25"/>
      <c r="U1022" s="25"/>
      <c r="V1022" s="25"/>
      <c r="W1022" s="25"/>
      <c r="X1022" s="25"/>
      <c r="Y1022" s="25"/>
      <c r="Z1022" s="25"/>
      <c r="AA1022" s="25"/>
      <c r="AB1022" s="25"/>
      <c r="AC1022" s="25"/>
    </row>
    <row r="1023" spans="4:29" x14ac:dyDescent="0.2">
      <c r="D1023" s="25"/>
      <c r="E1023" s="25"/>
      <c r="F1023" s="25"/>
      <c r="G1023" s="25"/>
      <c r="H1023" s="25"/>
      <c r="I1023" s="25"/>
      <c r="J1023" s="25"/>
      <c r="K1023" s="25"/>
      <c r="L1023" s="25"/>
      <c r="M1023" s="25"/>
      <c r="N1023" s="25"/>
      <c r="O1023" s="25"/>
      <c r="P1023" s="25"/>
      <c r="Q1023" s="25"/>
      <c r="R1023" s="25"/>
      <c r="S1023" s="25"/>
      <c r="T1023" s="25"/>
      <c r="U1023" s="25"/>
      <c r="V1023" s="25"/>
      <c r="W1023" s="25"/>
      <c r="X1023" s="25"/>
      <c r="Y1023" s="25"/>
      <c r="Z1023" s="25"/>
      <c r="AA1023" s="25"/>
      <c r="AB1023" s="25"/>
      <c r="AC1023" s="25"/>
    </row>
    <row r="1024" spans="4:29" x14ac:dyDescent="0.2">
      <c r="D1024" s="25"/>
      <c r="E1024" s="25"/>
      <c r="F1024" s="25"/>
      <c r="G1024" s="25"/>
      <c r="H1024" s="25"/>
      <c r="I1024" s="25"/>
      <c r="J1024" s="25"/>
      <c r="K1024" s="25"/>
      <c r="L1024" s="25"/>
      <c r="M1024" s="25"/>
      <c r="N1024" s="25"/>
      <c r="O1024" s="25"/>
      <c r="P1024" s="25"/>
      <c r="Q1024" s="25"/>
      <c r="R1024" s="25"/>
      <c r="S1024" s="25"/>
      <c r="T1024" s="25"/>
      <c r="U1024" s="25"/>
      <c r="V1024" s="25"/>
      <c r="W1024" s="25"/>
      <c r="X1024" s="25"/>
      <c r="Y1024" s="25"/>
      <c r="Z1024" s="25"/>
      <c r="AA1024" s="25"/>
      <c r="AB1024" s="25"/>
      <c r="AC1024" s="25"/>
    </row>
    <row r="1025" spans="4:29" x14ac:dyDescent="0.2">
      <c r="D1025" s="25"/>
      <c r="E1025" s="25"/>
      <c r="F1025" s="25"/>
      <c r="G1025" s="25"/>
      <c r="H1025" s="25"/>
      <c r="I1025" s="25"/>
      <c r="J1025" s="25"/>
      <c r="K1025" s="25"/>
      <c r="L1025" s="25"/>
      <c r="M1025" s="25"/>
      <c r="N1025" s="25"/>
      <c r="O1025" s="25"/>
      <c r="P1025" s="25"/>
      <c r="Q1025" s="25"/>
      <c r="R1025" s="25"/>
      <c r="S1025" s="25"/>
      <c r="T1025" s="25"/>
      <c r="U1025" s="25"/>
      <c r="V1025" s="25"/>
      <c r="W1025" s="25"/>
      <c r="X1025" s="25"/>
      <c r="Y1025" s="25"/>
      <c r="Z1025" s="25"/>
      <c r="AA1025" s="25"/>
      <c r="AB1025" s="25"/>
      <c r="AC1025" s="25"/>
    </row>
    <row r="1026" spans="4:29" x14ac:dyDescent="0.2">
      <c r="D1026" s="25"/>
      <c r="E1026" s="25"/>
      <c r="F1026" s="25"/>
      <c r="G1026" s="25"/>
      <c r="H1026" s="25"/>
      <c r="I1026" s="25"/>
      <c r="J1026" s="25"/>
      <c r="K1026" s="25"/>
      <c r="L1026" s="25"/>
      <c r="M1026" s="25"/>
      <c r="N1026" s="25"/>
      <c r="O1026" s="25"/>
      <c r="P1026" s="25"/>
      <c r="Q1026" s="25"/>
      <c r="R1026" s="25"/>
      <c r="S1026" s="25"/>
      <c r="T1026" s="25"/>
      <c r="U1026" s="25"/>
      <c r="V1026" s="25"/>
      <c r="W1026" s="25"/>
      <c r="X1026" s="25"/>
      <c r="Y1026" s="25"/>
      <c r="Z1026" s="25"/>
      <c r="AA1026" s="25"/>
      <c r="AB1026" s="25"/>
      <c r="AC1026" s="25"/>
    </row>
    <row r="1027" spans="4:29" x14ac:dyDescent="0.2">
      <c r="D1027" s="25"/>
      <c r="E1027" s="25"/>
      <c r="F1027" s="25"/>
      <c r="G1027" s="25"/>
      <c r="H1027" s="25"/>
      <c r="I1027" s="25"/>
      <c r="J1027" s="25"/>
      <c r="K1027" s="25"/>
      <c r="L1027" s="25"/>
      <c r="M1027" s="25"/>
      <c r="N1027" s="25"/>
      <c r="O1027" s="25"/>
      <c r="P1027" s="25"/>
      <c r="Q1027" s="25"/>
      <c r="R1027" s="25"/>
      <c r="S1027" s="25"/>
      <c r="T1027" s="25"/>
      <c r="U1027" s="25"/>
      <c r="V1027" s="25"/>
      <c r="W1027" s="25"/>
      <c r="X1027" s="25"/>
      <c r="Y1027" s="25"/>
      <c r="Z1027" s="25"/>
      <c r="AA1027" s="25"/>
      <c r="AB1027" s="25"/>
      <c r="AC1027" s="25"/>
    </row>
    <row r="1028" spans="4:29" x14ac:dyDescent="0.2">
      <c r="D1028" s="25"/>
      <c r="E1028" s="25"/>
      <c r="F1028" s="25"/>
      <c r="G1028" s="25"/>
      <c r="H1028" s="25"/>
      <c r="I1028" s="25"/>
      <c r="J1028" s="25"/>
      <c r="K1028" s="25"/>
      <c r="L1028" s="25"/>
      <c r="M1028" s="25"/>
      <c r="N1028" s="25"/>
      <c r="O1028" s="25"/>
      <c r="P1028" s="25"/>
      <c r="Q1028" s="25"/>
      <c r="R1028" s="25"/>
      <c r="S1028" s="25"/>
      <c r="T1028" s="25"/>
      <c r="U1028" s="25"/>
      <c r="V1028" s="25"/>
      <c r="W1028" s="25"/>
      <c r="X1028" s="25"/>
      <c r="Y1028" s="25"/>
      <c r="Z1028" s="25"/>
      <c r="AA1028" s="25"/>
      <c r="AB1028" s="25"/>
      <c r="AC1028" s="25"/>
    </row>
    <row r="1029" spans="4:29" x14ac:dyDescent="0.2">
      <c r="D1029" s="25"/>
      <c r="E1029" s="25"/>
      <c r="F1029" s="25"/>
      <c r="G1029" s="25"/>
      <c r="H1029" s="25"/>
      <c r="I1029" s="25"/>
      <c r="J1029" s="25"/>
      <c r="K1029" s="25"/>
      <c r="L1029" s="25"/>
      <c r="M1029" s="25"/>
      <c r="N1029" s="25"/>
      <c r="O1029" s="25"/>
      <c r="P1029" s="25"/>
      <c r="Q1029" s="25"/>
      <c r="R1029" s="25"/>
      <c r="S1029" s="25"/>
      <c r="T1029" s="25"/>
      <c r="U1029" s="25"/>
      <c r="V1029" s="25"/>
      <c r="W1029" s="25"/>
      <c r="X1029" s="25"/>
      <c r="Y1029" s="25"/>
      <c r="Z1029" s="25"/>
      <c r="AA1029" s="25"/>
      <c r="AB1029" s="25"/>
      <c r="AC1029" s="25"/>
    </row>
    <row r="1030" spans="4:29" x14ac:dyDescent="0.2">
      <c r="D1030" s="25"/>
      <c r="E1030" s="25"/>
      <c r="F1030" s="25"/>
      <c r="G1030" s="25"/>
      <c r="H1030" s="25"/>
      <c r="I1030" s="25"/>
      <c r="J1030" s="25"/>
      <c r="K1030" s="25"/>
      <c r="L1030" s="25"/>
      <c r="M1030" s="25"/>
      <c r="N1030" s="25"/>
      <c r="O1030" s="25"/>
      <c r="P1030" s="25"/>
      <c r="Q1030" s="25"/>
      <c r="R1030" s="25"/>
      <c r="S1030" s="25"/>
      <c r="T1030" s="25"/>
      <c r="U1030" s="25"/>
      <c r="V1030" s="25"/>
      <c r="W1030" s="25"/>
      <c r="X1030" s="25"/>
      <c r="Y1030" s="25"/>
      <c r="Z1030" s="25"/>
      <c r="AA1030" s="25"/>
      <c r="AB1030" s="25"/>
      <c r="AC1030" s="25"/>
    </row>
    <row r="1031" spans="4:29" x14ac:dyDescent="0.2">
      <c r="D1031" s="25"/>
      <c r="E1031" s="25"/>
      <c r="F1031" s="25"/>
      <c r="G1031" s="25"/>
      <c r="H1031" s="25"/>
      <c r="I1031" s="25"/>
      <c r="J1031" s="25"/>
      <c r="K1031" s="25"/>
      <c r="L1031" s="25"/>
      <c r="M1031" s="25"/>
      <c r="N1031" s="25"/>
      <c r="O1031" s="25"/>
      <c r="P1031" s="25"/>
      <c r="Q1031" s="25"/>
      <c r="R1031" s="25"/>
      <c r="S1031" s="25"/>
      <c r="T1031" s="25"/>
      <c r="U1031" s="25"/>
      <c r="V1031" s="25"/>
      <c r="W1031" s="25"/>
      <c r="X1031" s="25"/>
      <c r="Y1031" s="25"/>
      <c r="Z1031" s="25"/>
      <c r="AA1031" s="25"/>
      <c r="AB1031" s="25"/>
      <c r="AC1031" s="25"/>
    </row>
    <row r="1032" spans="4:29" x14ac:dyDescent="0.2">
      <c r="D1032" s="25"/>
      <c r="E1032" s="25"/>
      <c r="F1032" s="25"/>
      <c r="G1032" s="25"/>
      <c r="H1032" s="25"/>
      <c r="I1032" s="25"/>
      <c r="J1032" s="25"/>
      <c r="K1032" s="25"/>
      <c r="L1032" s="25"/>
      <c r="M1032" s="25"/>
      <c r="N1032" s="25"/>
      <c r="O1032" s="25"/>
      <c r="P1032" s="25"/>
      <c r="Q1032" s="25"/>
      <c r="R1032" s="25"/>
      <c r="S1032" s="25"/>
      <c r="T1032" s="25"/>
      <c r="U1032" s="25"/>
      <c r="V1032" s="25"/>
      <c r="W1032" s="25"/>
      <c r="X1032" s="25"/>
      <c r="Y1032" s="25"/>
      <c r="Z1032" s="25"/>
      <c r="AA1032" s="25"/>
      <c r="AB1032" s="25"/>
      <c r="AC1032" s="25"/>
    </row>
    <row r="1033" spans="4:29" x14ac:dyDescent="0.2">
      <c r="D1033" s="25"/>
      <c r="E1033" s="25"/>
      <c r="F1033" s="25"/>
      <c r="G1033" s="25"/>
      <c r="H1033" s="25"/>
      <c r="I1033" s="25"/>
      <c r="J1033" s="25"/>
      <c r="K1033" s="25"/>
      <c r="L1033" s="25"/>
      <c r="M1033" s="25"/>
      <c r="N1033" s="25"/>
      <c r="O1033" s="25"/>
      <c r="P1033" s="25"/>
      <c r="Q1033" s="25"/>
      <c r="R1033" s="25"/>
      <c r="S1033" s="25"/>
      <c r="T1033" s="25"/>
      <c r="U1033" s="25"/>
      <c r="V1033" s="25"/>
      <c r="W1033" s="25"/>
      <c r="X1033" s="25"/>
      <c r="Y1033" s="25"/>
      <c r="Z1033" s="25"/>
      <c r="AA1033" s="25"/>
      <c r="AB1033" s="25"/>
      <c r="AC1033" s="25"/>
    </row>
    <row r="1034" spans="4:29" x14ac:dyDescent="0.2">
      <c r="D1034" s="25"/>
      <c r="E1034" s="25"/>
      <c r="F1034" s="25"/>
      <c r="G1034" s="25"/>
      <c r="H1034" s="25"/>
      <c r="I1034" s="25"/>
      <c r="J1034" s="25"/>
      <c r="K1034" s="25"/>
      <c r="L1034" s="25"/>
      <c r="M1034" s="25"/>
      <c r="N1034" s="25"/>
      <c r="O1034" s="25"/>
      <c r="P1034" s="25"/>
      <c r="Q1034" s="25"/>
      <c r="R1034" s="25"/>
      <c r="S1034" s="25"/>
      <c r="T1034" s="25"/>
      <c r="U1034" s="25"/>
      <c r="V1034" s="25"/>
      <c r="W1034" s="25"/>
      <c r="X1034" s="25"/>
      <c r="Y1034" s="25"/>
      <c r="Z1034" s="25"/>
      <c r="AA1034" s="25"/>
      <c r="AB1034" s="25"/>
      <c r="AC1034" s="25"/>
    </row>
    <row r="1035" spans="4:29" x14ac:dyDescent="0.2">
      <c r="D1035" s="25"/>
      <c r="E1035" s="25"/>
      <c r="F1035" s="25"/>
      <c r="G1035" s="25"/>
      <c r="H1035" s="25"/>
      <c r="I1035" s="25"/>
      <c r="J1035" s="25"/>
      <c r="K1035" s="25"/>
      <c r="L1035" s="25"/>
      <c r="M1035" s="25"/>
      <c r="N1035" s="25"/>
      <c r="O1035" s="25"/>
      <c r="P1035" s="25"/>
      <c r="Q1035" s="25"/>
      <c r="R1035" s="25"/>
      <c r="S1035" s="25"/>
      <c r="T1035" s="25"/>
      <c r="U1035" s="25"/>
      <c r="V1035" s="25"/>
      <c r="W1035" s="25"/>
      <c r="X1035" s="25"/>
      <c r="Y1035" s="25"/>
      <c r="Z1035" s="25"/>
      <c r="AA1035" s="25"/>
      <c r="AB1035" s="25"/>
      <c r="AC1035" s="25"/>
    </row>
    <row r="1036" spans="4:29" x14ac:dyDescent="0.2">
      <c r="D1036" s="25"/>
      <c r="E1036" s="25"/>
      <c r="F1036" s="25"/>
      <c r="G1036" s="25"/>
      <c r="H1036" s="25"/>
      <c r="I1036" s="25"/>
      <c r="J1036" s="25"/>
      <c r="K1036" s="25"/>
      <c r="L1036" s="25"/>
      <c r="M1036" s="25"/>
      <c r="N1036" s="25"/>
      <c r="O1036" s="25"/>
      <c r="P1036" s="25"/>
      <c r="Q1036" s="25"/>
      <c r="R1036" s="25"/>
      <c r="S1036" s="25"/>
      <c r="T1036" s="25"/>
      <c r="U1036" s="25"/>
      <c r="V1036" s="25"/>
      <c r="W1036" s="25"/>
      <c r="X1036" s="25"/>
      <c r="Y1036" s="25"/>
      <c r="Z1036" s="25"/>
      <c r="AA1036" s="25"/>
      <c r="AB1036" s="25"/>
      <c r="AC1036" s="25"/>
    </row>
    <row r="1037" spans="4:29" x14ac:dyDescent="0.2">
      <c r="D1037" s="25"/>
      <c r="E1037" s="25"/>
      <c r="F1037" s="25"/>
      <c r="G1037" s="25"/>
      <c r="H1037" s="25"/>
      <c r="I1037" s="25"/>
      <c r="J1037" s="25"/>
      <c r="K1037" s="25"/>
      <c r="L1037" s="25"/>
      <c r="M1037" s="25"/>
      <c r="N1037" s="25"/>
      <c r="O1037" s="25"/>
      <c r="P1037" s="25"/>
      <c r="Q1037" s="25"/>
      <c r="R1037" s="25"/>
      <c r="S1037" s="25"/>
      <c r="T1037" s="25"/>
      <c r="U1037" s="25"/>
      <c r="V1037" s="25"/>
      <c r="W1037" s="25"/>
      <c r="X1037" s="25"/>
      <c r="Y1037" s="25"/>
      <c r="Z1037" s="25"/>
      <c r="AA1037" s="25"/>
      <c r="AB1037" s="25"/>
      <c r="AC1037" s="25"/>
    </row>
    <row r="1038" spans="4:29" x14ac:dyDescent="0.2">
      <c r="D1038" s="25"/>
      <c r="E1038" s="25"/>
      <c r="F1038" s="25"/>
      <c r="G1038" s="25"/>
      <c r="H1038" s="25"/>
      <c r="I1038" s="25"/>
      <c r="J1038" s="25"/>
      <c r="K1038" s="25"/>
      <c r="L1038" s="25"/>
      <c r="M1038" s="25"/>
      <c r="N1038" s="25"/>
      <c r="O1038" s="25"/>
      <c r="P1038" s="25"/>
      <c r="Q1038" s="25"/>
      <c r="R1038" s="25"/>
      <c r="S1038" s="25"/>
      <c r="T1038" s="25"/>
      <c r="U1038" s="25"/>
      <c r="V1038" s="25"/>
      <c r="W1038" s="25"/>
      <c r="X1038" s="25"/>
      <c r="Y1038" s="25"/>
      <c r="Z1038" s="25"/>
      <c r="AA1038" s="25"/>
      <c r="AB1038" s="25"/>
      <c r="AC1038" s="25"/>
    </row>
    <row r="1039" spans="4:29" x14ac:dyDescent="0.2">
      <c r="D1039" s="25"/>
      <c r="E1039" s="25"/>
      <c r="F1039" s="25"/>
      <c r="G1039" s="25"/>
      <c r="H1039" s="25"/>
      <c r="I1039" s="25"/>
      <c r="J1039" s="25"/>
      <c r="K1039" s="25"/>
      <c r="L1039" s="25"/>
      <c r="M1039" s="25"/>
      <c r="N1039" s="25"/>
      <c r="O1039" s="25"/>
      <c r="P1039" s="25"/>
      <c r="Q1039" s="25"/>
      <c r="R1039" s="25"/>
      <c r="S1039" s="25"/>
      <c r="T1039" s="25"/>
      <c r="U1039" s="25"/>
      <c r="V1039" s="25"/>
      <c r="W1039" s="25"/>
      <c r="X1039" s="25"/>
      <c r="Y1039" s="25"/>
      <c r="Z1039" s="25"/>
      <c r="AA1039" s="25"/>
      <c r="AB1039" s="25"/>
      <c r="AC1039" s="25"/>
    </row>
    <row r="1040" spans="4:29" x14ac:dyDescent="0.2">
      <c r="D1040" s="25"/>
      <c r="E1040" s="25"/>
      <c r="F1040" s="25"/>
      <c r="G1040" s="25"/>
      <c r="H1040" s="25"/>
      <c r="I1040" s="25"/>
      <c r="J1040" s="25"/>
      <c r="K1040" s="25"/>
      <c r="L1040" s="25"/>
      <c r="M1040" s="25"/>
      <c r="N1040" s="25"/>
      <c r="O1040" s="25"/>
      <c r="P1040" s="25"/>
      <c r="Q1040" s="25"/>
      <c r="R1040" s="25"/>
      <c r="S1040" s="25"/>
      <c r="T1040" s="25"/>
      <c r="U1040" s="25"/>
      <c r="V1040" s="25"/>
      <c r="W1040" s="25"/>
      <c r="X1040" s="25"/>
      <c r="Y1040" s="25"/>
      <c r="Z1040" s="25"/>
      <c r="AA1040" s="25"/>
      <c r="AB1040" s="25"/>
      <c r="AC1040" s="25"/>
    </row>
    <row r="1041" spans="4:29" x14ac:dyDescent="0.2">
      <c r="D1041" s="25"/>
      <c r="E1041" s="25"/>
      <c r="F1041" s="25"/>
      <c r="G1041" s="25"/>
      <c r="H1041" s="25"/>
      <c r="I1041" s="25"/>
      <c r="J1041" s="25"/>
      <c r="K1041" s="25"/>
      <c r="L1041" s="25"/>
      <c r="M1041" s="25"/>
      <c r="N1041" s="25"/>
      <c r="O1041" s="25"/>
      <c r="P1041" s="25"/>
      <c r="Q1041" s="25"/>
      <c r="R1041" s="25"/>
      <c r="S1041" s="25"/>
      <c r="T1041" s="25"/>
      <c r="U1041" s="25"/>
      <c r="V1041" s="25"/>
      <c r="W1041" s="25"/>
      <c r="X1041" s="25"/>
      <c r="Y1041" s="25"/>
      <c r="Z1041" s="25"/>
      <c r="AA1041" s="25"/>
      <c r="AB1041" s="25"/>
      <c r="AC1041" s="25"/>
    </row>
    <row r="1042" spans="4:29" x14ac:dyDescent="0.2">
      <c r="D1042" s="25"/>
      <c r="E1042" s="25"/>
      <c r="F1042" s="25"/>
      <c r="G1042" s="25"/>
      <c r="H1042" s="25"/>
      <c r="I1042" s="25"/>
      <c r="J1042" s="25"/>
      <c r="K1042" s="25"/>
      <c r="L1042" s="25"/>
      <c r="M1042" s="25"/>
      <c r="N1042" s="25"/>
      <c r="O1042" s="25"/>
      <c r="P1042" s="25"/>
      <c r="Q1042" s="25"/>
      <c r="R1042" s="25"/>
      <c r="S1042" s="25"/>
      <c r="T1042" s="25"/>
      <c r="U1042" s="25"/>
      <c r="V1042" s="25"/>
      <c r="W1042" s="25"/>
      <c r="X1042" s="25"/>
      <c r="Y1042" s="25"/>
      <c r="Z1042" s="25"/>
      <c r="AA1042" s="25"/>
      <c r="AB1042" s="25"/>
      <c r="AC1042" s="25"/>
    </row>
    <row r="1043" spans="4:29" x14ac:dyDescent="0.2">
      <c r="D1043" s="25"/>
      <c r="E1043" s="25"/>
      <c r="F1043" s="25"/>
      <c r="G1043" s="25"/>
      <c r="H1043" s="25"/>
      <c r="I1043" s="25"/>
      <c r="J1043" s="25"/>
      <c r="K1043" s="25"/>
      <c r="L1043" s="25"/>
      <c r="M1043" s="25"/>
      <c r="N1043" s="25"/>
      <c r="O1043" s="25"/>
      <c r="P1043" s="25"/>
      <c r="Q1043" s="25"/>
      <c r="R1043" s="25"/>
      <c r="S1043" s="25"/>
      <c r="T1043" s="25"/>
      <c r="U1043" s="25"/>
      <c r="V1043" s="25"/>
      <c r="W1043" s="25"/>
      <c r="X1043" s="25"/>
      <c r="Y1043" s="25"/>
      <c r="Z1043" s="25"/>
      <c r="AA1043" s="25"/>
      <c r="AB1043" s="25"/>
      <c r="AC1043" s="25"/>
    </row>
    <row r="1044" spans="4:29" x14ac:dyDescent="0.2">
      <c r="D1044" s="25"/>
      <c r="E1044" s="25"/>
      <c r="F1044" s="25"/>
      <c r="G1044" s="25"/>
      <c r="H1044" s="25"/>
      <c r="I1044" s="25"/>
      <c r="J1044" s="25"/>
      <c r="K1044" s="25"/>
      <c r="L1044" s="25"/>
      <c r="M1044" s="25"/>
      <c r="N1044" s="25"/>
      <c r="O1044" s="25"/>
      <c r="P1044" s="25"/>
      <c r="Q1044" s="25"/>
      <c r="R1044" s="25"/>
      <c r="S1044" s="25"/>
      <c r="T1044" s="25"/>
      <c r="U1044" s="25"/>
      <c r="V1044" s="25"/>
      <c r="W1044" s="25"/>
      <c r="X1044" s="25"/>
      <c r="Y1044" s="25"/>
      <c r="Z1044" s="25"/>
      <c r="AA1044" s="25"/>
      <c r="AB1044" s="25"/>
      <c r="AC1044" s="25"/>
    </row>
    <row r="1045" spans="4:29" x14ac:dyDescent="0.2">
      <c r="D1045" s="25"/>
      <c r="E1045" s="25"/>
      <c r="F1045" s="25"/>
      <c r="G1045" s="25"/>
      <c r="H1045" s="25"/>
      <c r="I1045" s="25"/>
      <c r="J1045" s="25"/>
      <c r="K1045" s="25"/>
      <c r="L1045" s="25"/>
      <c r="M1045" s="25"/>
      <c r="N1045" s="25"/>
      <c r="O1045" s="25"/>
      <c r="P1045" s="25"/>
      <c r="Q1045" s="25"/>
      <c r="R1045" s="25"/>
      <c r="S1045" s="25"/>
      <c r="T1045" s="25"/>
      <c r="U1045" s="25"/>
      <c r="V1045" s="25"/>
      <c r="W1045" s="25"/>
      <c r="X1045" s="25"/>
      <c r="Y1045" s="25"/>
      <c r="Z1045" s="25"/>
      <c r="AA1045" s="25"/>
      <c r="AB1045" s="25"/>
      <c r="AC1045" s="25"/>
    </row>
    <row r="1046" spans="4:29" x14ac:dyDescent="0.2">
      <c r="D1046" s="25"/>
      <c r="E1046" s="25"/>
      <c r="F1046" s="25"/>
      <c r="G1046" s="25"/>
      <c r="H1046" s="25"/>
      <c r="I1046" s="25"/>
      <c r="J1046" s="25"/>
      <c r="K1046" s="25"/>
      <c r="L1046" s="25"/>
      <c r="M1046" s="25"/>
      <c r="N1046" s="25"/>
      <c r="O1046" s="25"/>
      <c r="P1046" s="25"/>
      <c r="Q1046" s="25"/>
      <c r="R1046" s="25"/>
      <c r="S1046" s="25"/>
      <c r="T1046" s="25"/>
      <c r="U1046" s="25"/>
      <c r="V1046" s="25"/>
      <c r="W1046" s="25"/>
      <c r="X1046" s="25"/>
      <c r="Y1046" s="25"/>
      <c r="Z1046" s="25"/>
      <c r="AA1046" s="25"/>
      <c r="AB1046" s="25"/>
      <c r="AC1046" s="25"/>
    </row>
    <row r="1047" spans="4:29" x14ac:dyDescent="0.2">
      <c r="D1047" s="25"/>
      <c r="E1047" s="25"/>
      <c r="F1047" s="25"/>
      <c r="G1047" s="25"/>
      <c r="H1047" s="25"/>
      <c r="I1047" s="25"/>
      <c r="J1047" s="25"/>
      <c r="K1047" s="25"/>
      <c r="L1047" s="25"/>
      <c r="M1047" s="25"/>
      <c r="N1047" s="25"/>
      <c r="O1047" s="25"/>
      <c r="P1047" s="25"/>
      <c r="Q1047" s="25"/>
      <c r="R1047" s="25"/>
      <c r="S1047" s="25"/>
      <c r="T1047" s="25"/>
      <c r="U1047" s="25"/>
      <c r="V1047" s="25"/>
      <c r="W1047" s="25"/>
      <c r="X1047" s="25"/>
      <c r="Y1047" s="25"/>
      <c r="Z1047" s="25"/>
      <c r="AA1047" s="25"/>
      <c r="AB1047" s="25"/>
      <c r="AC1047" s="25"/>
    </row>
    <row r="1048" spans="4:29" x14ac:dyDescent="0.2">
      <c r="D1048" s="25"/>
      <c r="E1048" s="25"/>
      <c r="F1048" s="25"/>
      <c r="G1048" s="25"/>
      <c r="H1048" s="25"/>
      <c r="I1048" s="25"/>
      <c r="J1048" s="25"/>
      <c r="K1048" s="25"/>
      <c r="L1048" s="25"/>
      <c r="M1048" s="25"/>
      <c r="N1048" s="25"/>
      <c r="O1048" s="25"/>
      <c r="P1048" s="25"/>
      <c r="Q1048" s="25"/>
      <c r="R1048" s="25"/>
      <c r="S1048" s="25"/>
      <c r="T1048" s="25"/>
      <c r="U1048" s="25"/>
      <c r="V1048" s="25"/>
      <c r="W1048" s="25"/>
      <c r="X1048" s="25"/>
      <c r="Y1048" s="25"/>
      <c r="Z1048" s="25"/>
      <c r="AA1048" s="25"/>
      <c r="AB1048" s="25"/>
      <c r="AC1048" s="25"/>
    </row>
    <row r="1049" spans="4:29" x14ac:dyDescent="0.2">
      <c r="D1049" s="25"/>
      <c r="E1049" s="25"/>
      <c r="F1049" s="25"/>
      <c r="G1049" s="25"/>
      <c r="H1049" s="25"/>
      <c r="I1049" s="25"/>
      <c r="J1049" s="25"/>
      <c r="K1049" s="25"/>
      <c r="L1049" s="25"/>
      <c r="M1049" s="25"/>
      <c r="N1049" s="25"/>
      <c r="O1049" s="25"/>
      <c r="P1049" s="25"/>
      <c r="Q1049" s="25"/>
      <c r="R1049" s="25"/>
      <c r="S1049" s="25"/>
      <c r="T1049" s="25"/>
      <c r="U1049" s="25"/>
      <c r="V1049" s="25"/>
      <c r="W1049" s="25"/>
      <c r="X1049" s="25"/>
      <c r="Y1049" s="25"/>
      <c r="Z1049" s="25"/>
      <c r="AA1049" s="25"/>
      <c r="AB1049" s="25"/>
      <c r="AC1049" s="25"/>
    </row>
    <row r="1050" spans="4:29" x14ac:dyDescent="0.2">
      <c r="D1050" s="25"/>
      <c r="E1050" s="25"/>
      <c r="F1050" s="25"/>
      <c r="G1050" s="25"/>
      <c r="H1050" s="25"/>
      <c r="I1050" s="25"/>
      <c r="J1050" s="25"/>
      <c r="K1050" s="25"/>
      <c r="L1050" s="25"/>
      <c r="M1050" s="25"/>
      <c r="N1050" s="25"/>
      <c r="O1050" s="25"/>
      <c r="P1050" s="25"/>
      <c r="Q1050" s="25"/>
      <c r="R1050" s="25"/>
      <c r="S1050" s="25"/>
      <c r="T1050" s="25"/>
      <c r="U1050" s="25"/>
      <c r="V1050" s="25"/>
      <c r="W1050" s="25"/>
      <c r="X1050" s="25"/>
      <c r="Y1050" s="25"/>
      <c r="Z1050" s="25"/>
      <c r="AA1050" s="25"/>
      <c r="AB1050" s="25"/>
      <c r="AC1050" s="25"/>
    </row>
    <row r="1051" spans="4:29" x14ac:dyDescent="0.2">
      <c r="D1051" s="25"/>
      <c r="E1051" s="25"/>
      <c r="F1051" s="25"/>
      <c r="G1051" s="25"/>
      <c r="H1051" s="25"/>
      <c r="I1051" s="25"/>
      <c r="J1051" s="25"/>
      <c r="K1051" s="25"/>
      <c r="L1051" s="25"/>
      <c r="M1051" s="25"/>
      <c r="N1051" s="25"/>
      <c r="O1051" s="25"/>
      <c r="P1051" s="25"/>
      <c r="Q1051" s="25"/>
      <c r="R1051" s="25"/>
      <c r="S1051" s="25"/>
      <c r="T1051" s="25"/>
      <c r="U1051" s="25"/>
      <c r="V1051" s="25"/>
      <c r="W1051" s="25"/>
      <c r="X1051" s="25"/>
      <c r="Y1051" s="25"/>
      <c r="Z1051" s="25"/>
      <c r="AA1051" s="25"/>
      <c r="AB1051" s="25"/>
      <c r="AC1051" s="25"/>
    </row>
    <row r="1052" spans="4:29" x14ac:dyDescent="0.2">
      <c r="D1052" s="25"/>
      <c r="E1052" s="25"/>
      <c r="F1052" s="25"/>
      <c r="G1052" s="25"/>
      <c r="H1052" s="25"/>
      <c r="I1052" s="25"/>
      <c r="J1052" s="25"/>
      <c r="K1052" s="25"/>
      <c r="L1052" s="25"/>
      <c r="M1052" s="25"/>
      <c r="N1052" s="25"/>
      <c r="O1052" s="25"/>
      <c r="P1052" s="25"/>
      <c r="Q1052" s="25"/>
      <c r="R1052" s="25"/>
      <c r="S1052" s="25"/>
      <c r="T1052" s="25"/>
      <c r="U1052" s="25"/>
      <c r="V1052" s="25"/>
      <c r="W1052" s="25"/>
      <c r="X1052" s="25"/>
      <c r="Y1052" s="25"/>
      <c r="Z1052" s="25"/>
      <c r="AA1052" s="25"/>
      <c r="AB1052" s="25"/>
      <c r="AC1052" s="25"/>
    </row>
    <row r="1053" spans="4:29" x14ac:dyDescent="0.2">
      <c r="D1053" s="25"/>
      <c r="E1053" s="25"/>
      <c r="F1053" s="25"/>
      <c r="G1053" s="25"/>
      <c r="H1053" s="25"/>
      <c r="I1053" s="25"/>
      <c r="J1053" s="25"/>
      <c r="K1053" s="25"/>
      <c r="L1053" s="25"/>
      <c r="M1053" s="25"/>
      <c r="N1053" s="25"/>
      <c r="O1053" s="25"/>
      <c r="P1053" s="25"/>
      <c r="Q1053" s="25"/>
      <c r="R1053" s="25"/>
      <c r="S1053" s="25"/>
      <c r="T1053" s="25"/>
      <c r="U1053" s="25"/>
      <c r="V1053" s="25"/>
      <c r="W1053" s="25"/>
      <c r="X1053" s="25"/>
      <c r="Y1053" s="25"/>
      <c r="Z1053" s="25"/>
      <c r="AA1053" s="25"/>
      <c r="AB1053" s="25"/>
      <c r="AC1053" s="25"/>
    </row>
    <row r="1054" spans="4:29" x14ac:dyDescent="0.2">
      <c r="D1054" s="25"/>
      <c r="E1054" s="25"/>
      <c r="F1054" s="25"/>
      <c r="G1054" s="25"/>
      <c r="H1054" s="25"/>
      <c r="I1054" s="25"/>
      <c r="J1054" s="25"/>
      <c r="K1054" s="25"/>
      <c r="L1054" s="25"/>
      <c r="M1054" s="25"/>
      <c r="N1054" s="25"/>
      <c r="O1054" s="25"/>
      <c r="P1054" s="25"/>
      <c r="Q1054" s="25"/>
      <c r="R1054" s="25"/>
      <c r="S1054" s="25"/>
      <c r="T1054" s="25"/>
      <c r="U1054" s="25"/>
      <c r="V1054" s="25"/>
      <c r="W1054" s="25"/>
      <c r="X1054" s="25"/>
      <c r="Y1054" s="25"/>
      <c r="Z1054" s="25"/>
      <c r="AA1054" s="25"/>
      <c r="AB1054" s="25"/>
      <c r="AC1054" s="25"/>
    </row>
    <row r="1055" spans="4:29" x14ac:dyDescent="0.2">
      <c r="D1055" s="25"/>
      <c r="E1055" s="25"/>
      <c r="F1055" s="25"/>
      <c r="G1055" s="25"/>
      <c r="H1055" s="25"/>
      <c r="I1055" s="25"/>
      <c r="J1055" s="25"/>
      <c r="K1055" s="25"/>
      <c r="L1055" s="25"/>
      <c r="M1055" s="25"/>
      <c r="N1055" s="25"/>
      <c r="O1055" s="25"/>
      <c r="P1055" s="25"/>
      <c r="Q1055" s="25"/>
      <c r="R1055" s="25"/>
      <c r="S1055" s="25"/>
      <c r="T1055" s="25"/>
      <c r="U1055" s="25"/>
      <c r="V1055" s="25"/>
      <c r="W1055" s="25"/>
      <c r="X1055" s="25"/>
      <c r="Y1055" s="25"/>
      <c r="Z1055" s="25"/>
      <c r="AA1055" s="25"/>
      <c r="AB1055" s="25"/>
      <c r="AC1055" s="25"/>
    </row>
    <row r="1056" spans="4:29" x14ac:dyDescent="0.2">
      <c r="D1056" s="25"/>
      <c r="E1056" s="25"/>
      <c r="F1056" s="25"/>
      <c r="G1056" s="25"/>
      <c r="H1056" s="25"/>
      <c r="I1056" s="25"/>
      <c r="J1056" s="25"/>
      <c r="K1056" s="25"/>
      <c r="L1056" s="25"/>
      <c r="M1056" s="25"/>
      <c r="N1056" s="25"/>
      <c r="O1056" s="25"/>
      <c r="P1056" s="25"/>
      <c r="Q1056" s="25"/>
      <c r="R1056" s="25"/>
      <c r="S1056" s="25"/>
      <c r="T1056" s="25"/>
      <c r="U1056" s="25"/>
      <c r="V1056" s="25"/>
      <c r="W1056" s="25"/>
      <c r="X1056" s="25"/>
      <c r="Y1056" s="25"/>
      <c r="Z1056" s="25"/>
      <c r="AA1056" s="25"/>
      <c r="AB1056" s="25"/>
      <c r="AC1056" s="25"/>
    </row>
    <row r="1057" spans="4:29" x14ac:dyDescent="0.2">
      <c r="D1057" s="25"/>
      <c r="E1057" s="25"/>
      <c r="F1057" s="25"/>
      <c r="G1057" s="25"/>
      <c r="H1057" s="25"/>
      <c r="I1057" s="25"/>
      <c r="J1057" s="25"/>
      <c r="K1057" s="25"/>
      <c r="L1057" s="25"/>
      <c r="M1057" s="25"/>
      <c r="N1057" s="25"/>
      <c r="O1057" s="25"/>
      <c r="P1057" s="25"/>
      <c r="Q1057" s="25"/>
      <c r="R1057" s="25"/>
      <c r="S1057" s="25"/>
      <c r="T1057" s="25"/>
      <c r="U1057" s="25"/>
      <c r="V1057" s="25"/>
      <c r="W1057" s="25"/>
      <c r="X1057" s="25"/>
      <c r="Y1057" s="25"/>
      <c r="Z1057" s="25"/>
      <c r="AA1057" s="25"/>
      <c r="AB1057" s="25"/>
      <c r="AC1057" s="25"/>
    </row>
    <row r="1058" spans="4:29" x14ac:dyDescent="0.2">
      <c r="D1058" s="25"/>
      <c r="E1058" s="25"/>
      <c r="F1058" s="25"/>
      <c r="G1058" s="25"/>
      <c r="H1058" s="25"/>
      <c r="I1058" s="25"/>
      <c r="J1058" s="25"/>
      <c r="K1058" s="25"/>
      <c r="L1058" s="25"/>
      <c r="M1058" s="25"/>
      <c r="N1058" s="25"/>
      <c r="O1058" s="25"/>
      <c r="P1058" s="25"/>
      <c r="Q1058" s="25"/>
      <c r="R1058" s="25"/>
      <c r="S1058" s="25"/>
      <c r="T1058" s="25"/>
      <c r="U1058" s="25"/>
      <c r="V1058" s="25"/>
      <c r="W1058" s="25"/>
      <c r="X1058" s="25"/>
      <c r="Y1058" s="25"/>
      <c r="Z1058" s="25"/>
      <c r="AA1058" s="25"/>
      <c r="AB1058" s="25"/>
      <c r="AC1058" s="25"/>
    </row>
    <row r="1059" spans="4:29" x14ac:dyDescent="0.2">
      <c r="D1059" s="25"/>
      <c r="E1059" s="25"/>
      <c r="F1059" s="25"/>
      <c r="G1059" s="25"/>
      <c r="H1059" s="25"/>
      <c r="I1059" s="25"/>
      <c r="J1059" s="25"/>
      <c r="K1059" s="25"/>
      <c r="L1059" s="25"/>
      <c r="M1059" s="25"/>
      <c r="N1059" s="25"/>
      <c r="O1059" s="25"/>
      <c r="P1059" s="25"/>
      <c r="Q1059" s="25"/>
      <c r="R1059" s="25"/>
      <c r="S1059" s="25"/>
      <c r="T1059" s="25"/>
      <c r="U1059" s="25"/>
      <c r="V1059" s="25"/>
      <c r="W1059" s="25"/>
      <c r="X1059" s="25"/>
      <c r="Y1059" s="25"/>
      <c r="Z1059" s="25"/>
      <c r="AA1059" s="25"/>
      <c r="AB1059" s="25"/>
      <c r="AC1059" s="25"/>
    </row>
    <row r="1060" spans="4:29" x14ac:dyDescent="0.2">
      <c r="D1060" s="25"/>
      <c r="E1060" s="25"/>
      <c r="F1060" s="25"/>
      <c r="G1060" s="25"/>
      <c r="H1060" s="25"/>
      <c r="I1060" s="25"/>
      <c r="J1060" s="25"/>
      <c r="K1060" s="25"/>
      <c r="L1060" s="25"/>
      <c r="M1060" s="25"/>
      <c r="N1060" s="25"/>
      <c r="O1060" s="25"/>
      <c r="P1060" s="25"/>
      <c r="Q1060" s="25"/>
      <c r="R1060" s="25"/>
      <c r="S1060" s="25"/>
      <c r="T1060" s="25"/>
      <c r="U1060" s="25"/>
      <c r="V1060" s="25"/>
      <c r="W1060" s="25"/>
      <c r="X1060" s="25"/>
      <c r="Y1060" s="25"/>
      <c r="Z1060" s="25"/>
      <c r="AA1060" s="25"/>
      <c r="AB1060" s="25"/>
      <c r="AC1060" s="25"/>
    </row>
    <row r="1061" spans="4:29" x14ac:dyDescent="0.2">
      <c r="D1061" s="25"/>
      <c r="E1061" s="25"/>
      <c r="F1061" s="25"/>
      <c r="G1061" s="25"/>
      <c r="H1061" s="25"/>
      <c r="I1061" s="25"/>
      <c r="J1061" s="25"/>
      <c r="K1061" s="25"/>
      <c r="L1061" s="25"/>
      <c r="M1061" s="25"/>
      <c r="N1061" s="25"/>
      <c r="O1061" s="25"/>
      <c r="P1061" s="25"/>
      <c r="Q1061" s="25"/>
      <c r="R1061" s="25"/>
      <c r="S1061" s="25"/>
      <c r="T1061" s="25"/>
      <c r="U1061" s="25"/>
      <c r="V1061" s="25"/>
      <c r="W1061" s="25"/>
      <c r="X1061" s="25"/>
      <c r="Y1061" s="25"/>
      <c r="Z1061" s="25"/>
      <c r="AA1061" s="25"/>
      <c r="AB1061" s="25"/>
      <c r="AC1061" s="25"/>
    </row>
    <row r="1062" spans="4:29" x14ac:dyDescent="0.2">
      <c r="D1062" s="25"/>
      <c r="E1062" s="25"/>
      <c r="F1062" s="25"/>
      <c r="G1062" s="25"/>
      <c r="H1062" s="25"/>
      <c r="I1062" s="25"/>
      <c r="J1062" s="25"/>
      <c r="K1062" s="25"/>
      <c r="L1062" s="25"/>
      <c r="M1062" s="25"/>
      <c r="N1062" s="25"/>
      <c r="O1062" s="25"/>
      <c r="P1062" s="25"/>
      <c r="Q1062" s="25"/>
      <c r="R1062" s="25"/>
      <c r="S1062" s="25"/>
      <c r="T1062" s="25"/>
      <c r="U1062" s="25"/>
      <c r="V1062" s="25"/>
      <c r="W1062" s="25"/>
      <c r="X1062" s="25"/>
      <c r="Y1062" s="25"/>
      <c r="Z1062" s="25"/>
      <c r="AA1062" s="25"/>
      <c r="AB1062" s="25"/>
      <c r="AC1062" s="25"/>
    </row>
    <row r="1063" spans="4:29" x14ac:dyDescent="0.2">
      <c r="D1063" s="25"/>
      <c r="E1063" s="25"/>
      <c r="F1063" s="25"/>
      <c r="G1063" s="25"/>
      <c r="H1063" s="25"/>
      <c r="I1063" s="25"/>
      <c r="J1063" s="25"/>
      <c r="K1063" s="25"/>
      <c r="L1063" s="25"/>
      <c r="M1063" s="25"/>
      <c r="N1063" s="25"/>
      <c r="O1063" s="25"/>
      <c r="P1063" s="25"/>
      <c r="Q1063" s="25"/>
      <c r="R1063" s="25"/>
      <c r="S1063" s="25"/>
      <c r="T1063" s="25"/>
      <c r="U1063" s="25"/>
      <c r="V1063" s="25"/>
      <c r="W1063" s="25"/>
      <c r="X1063" s="25"/>
      <c r="Y1063" s="25"/>
      <c r="Z1063" s="25"/>
      <c r="AA1063" s="25"/>
      <c r="AB1063" s="25"/>
      <c r="AC1063" s="25"/>
    </row>
    <row r="1064" spans="4:29" x14ac:dyDescent="0.2">
      <c r="D1064" s="25"/>
      <c r="E1064" s="25"/>
      <c r="F1064" s="25"/>
      <c r="G1064" s="25"/>
      <c r="H1064" s="25"/>
      <c r="I1064" s="25"/>
      <c r="J1064" s="25"/>
      <c r="K1064" s="25"/>
      <c r="L1064" s="25"/>
      <c r="M1064" s="25"/>
      <c r="N1064" s="25"/>
      <c r="O1064" s="25"/>
      <c r="P1064" s="25"/>
      <c r="Q1064" s="25"/>
      <c r="R1064" s="25"/>
      <c r="S1064" s="25"/>
      <c r="T1064" s="25"/>
      <c r="U1064" s="25"/>
      <c r="V1064" s="25"/>
      <c r="W1064" s="25"/>
      <c r="X1064" s="25"/>
      <c r="Y1064" s="25"/>
      <c r="Z1064" s="25"/>
      <c r="AA1064" s="25"/>
      <c r="AB1064" s="25"/>
      <c r="AC1064" s="25"/>
    </row>
    <row r="1065" spans="4:29" x14ac:dyDescent="0.2">
      <c r="D1065" s="25"/>
      <c r="E1065" s="25"/>
      <c r="F1065" s="25"/>
      <c r="G1065" s="25"/>
      <c r="H1065" s="25"/>
      <c r="I1065" s="25"/>
      <c r="J1065" s="25"/>
      <c r="K1065" s="25"/>
      <c r="L1065" s="25"/>
      <c r="M1065" s="25"/>
      <c r="N1065" s="25"/>
      <c r="O1065" s="25"/>
      <c r="P1065" s="25"/>
      <c r="Q1065" s="25"/>
      <c r="R1065" s="25"/>
      <c r="S1065" s="25"/>
      <c r="T1065" s="25"/>
      <c r="U1065" s="25"/>
      <c r="V1065" s="25"/>
      <c r="W1065" s="25"/>
      <c r="X1065" s="25"/>
      <c r="Y1065" s="25"/>
      <c r="Z1065" s="25"/>
      <c r="AA1065" s="25"/>
      <c r="AB1065" s="25"/>
      <c r="AC1065" s="25"/>
    </row>
    <row r="1066" spans="4:29" x14ac:dyDescent="0.2">
      <c r="D1066" s="25"/>
      <c r="E1066" s="25"/>
      <c r="F1066" s="25"/>
      <c r="G1066" s="25"/>
      <c r="H1066" s="25"/>
      <c r="I1066" s="25"/>
      <c r="J1066" s="25"/>
      <c r="K1066" s="25"/>
      <c r="L1066" s="25"/>
      <c r="M1066" s="25"/>
      <c r="N1066" s="25"/>
      <c r="O1066" s="25"/>
      <c r="P1066" s="25"/>
      <c r="Q1066" s="25"/>
      <c r="R1066" s="25"/>
      <c r="S1066" s="25"/>
      <c r="T1066" s="25"/>
      <c r="U1066" s="25"/>
      <c r="V1066" s="25"/>
      <c r="W1066" s="25"/>
      <c r="X1066" s="25"/>
      <c r="Y1066" s="25"/>
      <c r="Z1066" s="25"/>
      <c r="AA1066" s="25"/>
      <c r="AB1066" s="25"/>
      <c r="AC1066" s="25"/>
    </row>
    <row r="1067" spans="4:29" x14ac:dyDescent="0.2">
      <c r="D1067" s="25"/>
      <c r="E1067" s="25"/>
      <c r="F1067" s="25"/>
      <c r="G1067" s="25"/>
      <c r="H1067" s="25"/>
      <c r="I1067" s="25"/>
      <c r="J1067" s="25"/>
      <c r="K1067" s="25"/>
      <c r="L1067" s="25"/>
      <c r="M1067" s="25"/>
      <c r="N1067" s="25"/>
      <c r="O1067" s="25"/>
      <c r="P1067" s="25"/>
      <c r="Q1067" s="25"/>
      <c r="R1067" s="25"/>
      <c r="S1067" s="25"/>
      <c r="T1067" s="25"/>
      <c r="U1067" s="25"/>
      <c r="V1067" s="25"/>
      <c r="W1067" s="25"/>
      <c r="X1067" s="25"/>
      <c r="Y1067" s="25"/>
      <c r="Z1067" s="25"/>
      <c r="AA1067" s="25"/>
      <c r="AB1067" s="25"/>
      <c r="AC1067" s="25"/>
    </row>
    <row r="1068" spans="4:29" x14ac:dyDescent="0.2">
      <c r="D1068" s="25"/>
      <c r="E1068" s="25"/>
      <c r="F1068" s="25"/>
      <c r="G1068" s="25"/>
      <c r="H1068" s="25"/>
      <c r="I1068" s="25"/>
      <c r="J1068" s="25"/>
      <c r="K1068" s="25"/>
      <c r="L1068" s="25"/>
      <c r="M1068" s="25"/>
      <c r="N1068" s="25"/>
      <c r="O1068" s="25"/>
      <c r="P1068" s="25"/>
      <c r="Q1068" s="25"/>
      <c r="R1068" s="25"/>
      <c r="S1068" s="25"/>
      <c r="T1068" s="25"/>
      <c r="U1068" s="25"/>
      <c r="V1068" s="25"/>
      <c r="W1068" s="25"/>
      <c r="X1068" s="25"/>
      <c r="Y1068" s="25"/>
      <c r="Z1068" s="25"/>
      <c r="AA1068" s="25"/>
      <c r="AB1068" s="25"/>
      <c r="AC1068" s="25"/>
    </row>
    <row r="1069" spans="4:29" x14ac:dyDescent="0.2">
      <c r="D1069" s="25"/>
      <c r="E1069" s="25"/>
      <c r="F1069" s="25"/>
      <c r="G1069" s="25"/>
      <c r="H1069" s="25"/>
      <c r="I1069" s="25"/>
      <c r="J1069" s="25"/>
      <c r="K1069" s="25"/>
      <c r="L1069" s="25"/>
      <c r="M1069" s="25"/>
      <c r="N1069" s="25"/>
      <c r="O1069" s="25"/>
      <c r="P1069" s="25"/>
      <c r="Q1069" s="25"/>
      <c r="R1069" s="25"/>
      <c r="S1069" s="25"/>
      <c r="T1069" s="25"/>
      <c r="U1069" s="25"/>
      <c r="V1069" s="25"/>
      <c r="W1069" s="25"/>
      <c r="X1069" s="25"/>
      <c r="Y1069" s="25"/>
      <c r="Z1069" s="25"/>
      <c r="AA1069" s="25"/>
      <c r="AB1069" s="25"/>
      <c r="AC1069" s="25"/>
    </row>
    <row r="1070" spans="4:29" x14ac:dyDescent="0.2">
      <c r="D1070" s="25"/>
      <c r="E1070" s="25"/>
      <c r="F1070" s="25"/>
      <c r="G1070" s="25"/>
      <c r="H1070" s="25"/>
      <c r="I1070" s="25"/>
      <c r="J1070" s="25"/>
      <c r="K1070" s="25"/>
      <c r="L1070" s="25"/>
      <c r="M1070" s="25"/>
      <c r="N1070" s="25"/>
      <c r="O1070" s="25"/>
      <c r="P1070" s="25"/>
      <c r="Q1070" s="25"/>
      <c r="R1070" s="25"/>
      <c r="S1070" s="25"/>
      <c r="T1070" s="25"/>
      <c r="U1070" s="25"/>
      <c r="V1070" s="25"/>
      <c r="W1070" s="25"/>
      <c r="X1070" s="25"/>
      <c r="Y1070" s="25"/>
      <c r="Z1070" s="25"/>
      <c r="AA1070" s="25"/>
      <c r="AB1070" s="25"/>
      <c r="AC1070" s="25"/>
    </row>
    <row r="1071" spans="4:29" x14ac:dyDescent="0.2">
      <c r="D1071" s="25"/>
      <c r="E1071" s="25"/>
      <c r="F1071" s="25"/>
      <c r="G1071" s="25"/>
      <c r="H1071" s="25"/>
      <c r="I1071" s="25"/>
      <c r="J1071" s="25"/>
      <c r="K1071" s="25"/>
      <c r="L1071" s="25"/>
      <c r="M1071" s="25"/>
      <c r="N1071" s="25"/>
      <c r="O1071" s="25"/>
      <c r="P1071" s="25"/>
      <c r="Q1071" s="25"/>
      <c r="R1071" s="25"/>
      <c r="S1071" s="25"/>
      <c r="T1071" s="25"/>
      <c r="U1071" s="25"/>
      <c r="V1071" s="25"/>
      <c r="W1071" s="25"/>
      <c r="X1071" s="25"/>
      <c r="Y1071" s="25"/>
      <c r="Z1071" s="25"/>
      <c r="AA1071" s="25"/>
      <c r="AB1071" s="25"/>
      <c r="AC1071" s="25"/>
    </row>
    <row r="1072" spans="4:29" x14ac:dyDescent="0.2">
      <c r="D1072" s="25"/>
      <c r="E1072" s="25"/>
      <c r="F1072" s="25"/>
      <c r="G1072" s="25"/>
      <c r="H1072" s="25"/>
      <c r="I1072" s="25"/>
      <c r="J1072" s="25"/>
      <c r="K1072" s="25"/>
      <c r="L1072" s="25"/>
      <c r="M1072" s="25"/>
      <c r="N1072" s="25"/>
      <c r="O1072" s="25"/>
      <c r="P1072" s="25"/>
      <c r="Q1072" s="25"/>
      <c r="R1072" s="25"/>
      <c r="S1072" s="25"/>
      <c r="T1072" s="25"/>
      <c r="U1072" s="25"/>
      <c r="V1072" s="25"/>
      <c r="W1072" s="25"/>
      <c r="X1072" s="25"/>
      <c r="Y1072" s="25"/>
      <c r="Z1072" s="25"/>
      <c r="AA1072" s="25"/>
      <c r="AB1072" s="25"/>
      <c r="AC1072" s="25"/>
    </row>
    <row r="1073" spans="4:29" x14ac:dyDescent="0.2">
      <c r="D1073" s="25"/>
      <c r="E1073" s="25"/>
      <c r="F1073" s="25"/>
      <c r="G1073" s="25"/>
      <c r="H1073" s="25"/>
      <c r="I1073" s="25"/>
      <c r="J1073" s="25"/>
      <c r="K1073" s="25"/>
      <c r="L1073" s="25"/>
      <c r="M1073" s="25"/>
      <c r="N1073" s="25"/>
      <c r="O1073" s="25"/>
      <c r="P1073" s="25"/>
      <c r="Q1073" s="25"/>
      <c r="R1073" s="25"/>
      <c r="S1073" s="25"/>
      <c r="T1073" s="25"/>
      <c r="U1073" s="25"/>
      <c r="V1073" s="25"/>
      <c r="W1073" s="25"/>
      <c r="X1073" s="25"/>
      <c r="Y1073" s="25"/>
      <c r="Z1073" s="25"/>
      <c r="AA1073" s="25"/>
      <c r="AB1073" s="25"/>
      <c r="AC1073" s="25"/>
    </row>
    <row r="1074" spans="4:29" x14ac:dyDescent="0.2">
      <c r="D1074" s="25"/>
      <c r="E1074" s="25"/>
      <c r="F1074" s="25"/>
      <c r="G1074" s="25"/>
      <c r="H1074" s="25"/>
      <c r="I1074" s="25"/>
      <c r="J1074" s="25"/>
      <c r="K1074" s="25"/>
      <c r="L1074" s="25"/>
      <c r="M1074" s="25"/>
      <c r="N1074" s="25"/>
      <c r="O1074" s="25"/>
      <c r="P1074" s="25"/>
      <c r="Q1074" s="25"/>
      <c r="R1074" s="25"/>
      <c r="S1074" s="25"/>
      <c r="T1074" s="25"/>
      <c r="U1074" s="25"/>
      <c r="V1074" s="25"/>
      <c r="W1074" s="25"/>
      <c r="X1074" s="25"/>
      <c r="Y1074" s="25"/>
      <c r="Z1074" s="25"/>
      <c r="AA1074" s="25"/>
      <c r="AB1074" s="25"/>
      <c r="AC1074" s="25"/>
    </row>
    <row r="1075" spans="4:29" x14ac:dyDescent="0.2">
      <c r="D1075" s="25"/>
      <c r="E1075" s="25"/>
      <c r="F1075" s="25"/>
      <c r="G1075" s="25"/>
      <c r="H1075" s="25"/>
      <c r="I1075" s="25"/>
      <c r="J1075" s="25"/>
      <c r="K1075" s="25"/>
      <c r="L1075" s="25"/>
      <c r="M1075" s="25"/>
      <c r="N1075" s="25"/>
      <c r="O1075" s="25"/>
      <c r="P1075" s="25"/>
      <c r="Q1075" s="25"/>
      <c r="R1075" s="25"/>
      <c r="S1075" s="25"/>
      <c r="T1075" s="25"/>
      <c r="U1075" s="25"/>
      <c r="V1075" s="25"/>
      <c r="W1075" s="25"/>
      <c r="X1075" s="25"/>
      <c r="Y1075" s="25"/>
      <c r="Z1075" s="25"/>
      <c r="AA1075" s="25"/>
      <c r="AB1075" s="25"/>
      <c r="AC1075" s="25"/>
    </row>
    <row r="1076" spans="4:29" x14ac:dyDescent="0.2">
      <c r="D1076" s="25"/>
      <c r="E1076" s="25"/>
      <c r="F1076" s="25"/>
      <c r="G1076" s="25"/>
      <c r="H1076" s="25"/>
      <c r="I1076" s="25"/>
      <c r="J1076" s="25"/>
      <c r="K1076" s="25"/>
      <c r="L1076" s="25"/>
      <c r="M1076" s="25"/>
      <c r="N1076" s="25"/>
      <c r="O1076" s="25"/>
      <c r="P1076" s="25"/>
      <c r="Q1076" s="25"/>
      <c r="R1076" s="25"/>
      <c r="S1076" s="25"/>
      <c r="T1076" s="25"/>
      <c r="U1076" s="25"/>
      <c r="V1076" s="25"/>
      <c r="W1076" s="25"/>
      <c r="X1076" s="25"/>
      <c r="Y1076" s="25"/>
      <c r="Z1076" s="25"/>
      <c r="AA1076" s="25"/>
      <c r="AB1076" s="25"/>
      <c r="AC1076" s="25"/>
    </row>
    <row r="1077" spans="4:29" x14ac:dyDescent="0.2">
      <c r="D1077" s="25"/>
      <c r="E1077" s="25"/>
      <c r="F1077" s="25"/>
      <c r="G1077" s="25"/>
      <c r="H1077" s="25"/>
      <c r="I1077" s="25"/>
      <c r="J1077" s="25"/>
      <c r="K1077" s="25"/>
      <c r="L1077" s="25"/>
      <c r="M1077" s="25"/>
      <c r="N1077" s="25"/>
      <c r="O1077" s="25"/>
      <c r="P1077" s="25"/>
      <c r="Q1077" s="25"/>
      <c r="R1077" s="25"/>
      <c r="S1077" s="25"/>
      <c r="T1077" s="25"/>
      <c r="U1077" s="25"/>
      <c r="V1077" s="25"/>
      <c r="W1077" s="25"/>
      <c r="X1077" s="25"/>
      <c r="Y1077" s="25"/>
      <c r="Z1077" s="25"/>
      <c r="AA1077" s="25"/>
      <c r="AB1077" s="25"/>
      <c r="AC1077" s="25"/>
    </row>
    <row r="1078" spans="4:29" x14ac:dyDescent="0.2">
      <c r="D1078" s="25"/>
      <c r="E1078" s="25"/>
      <c r="F1078" s="25"/>
      <c r="G1078" s="25"/>
      <c r="H1078" s="25"/>
      <c r="I1078" s="25"/>
      <c r="J1078" s="25"/>
      <c r="K1078" s="25"/>
      <c r="L1078" s="25"/>
      <c r="M1078" s="25"/>
      <c r="N1078" s="25"/>
      <c r="O1078" s="25"/>
      <c r="P1078" s="25"/>
      <c r="Q1078" s="25"/>
      <c r="R1078" s="25"/>
      <c r="S1078" s="25"/>
      <c r="T1078" s="25"/>
      <c r="U1078" s="25"/>
      <c r="V1078" s="25"/>
      <c r="W1078" s="25"/>
      <c r="X1078" s="25"/>
      <c r="Y1078" s="25"/>
      <c r="Z1078" s="25"/>
      <c r="AA1078" s="25"/>
      <c r="AB1078" s="25"/>
      <c r="AC1078" s="25"/>
    </row>
    <row r="1079" spans="4:29" x14ac:dyDescent="0.2">
      <c r="D1079" s="25"/>
      <c r="E1079" s="25"/>
      <c r="F1079" s="25"/>
      <c r="G1079" s="25"/>
      <c r="H1079" s="25"/>
      <c r="I1079" s="25"/>
      <c r="J1079" s="25"/>
      <c r="K1079" s="25"/>
      <c r="L1079" s="25"/>
      <c r="M1079" s="25"/>
      <c r="N1079" s="25"/>
      <c r="O1079" s="25"/>
      <c r="P1079" s="25"/>
      <c r="Q1079" s="25"/>
      <c r="R1079" s="25"/>
      <c r="S1079" s="25"/>
      <c r="T1079" s="25"/>
      <c r="U1079" s="25"/>
      <c r="V1079" s="25"/>
      <c r="W1079" s="25"/>
      <c r="X1079" s="25"/>
      <c r="Y1079" s="25"/>
      <c r="Z1079" s="25"/>
      <c r="AA1079" s="25"/>
      <c r="AB1079" s="25"/>
      <c r="AC1079" s="25"/>
    </row>
    <row r="1080" spans="4:29" x14ac:dyDescent="0.2">
      <c r="D1080" s="25"/>
      <c r="E1080" s="25"/>
      <c r="F1080" s="25"/>
      <c r="G1080" s="25"/>
      <c r="H1080" s="25"/>
      <c r="I1080" s="25"/>
      <c r="J1080" s="25"/>
      <c r="K1080" s="25"/>
      <c r="L1080" s="25"/>
      <c r="M1080" s="25"/>
      <c r="N1080" s="25"/>
      <c r="O1080" s="25"/>
      <c r="P1080" s="25"/>
      <c r="Q1080" s="25"/>
      <c r="R1080" s="25"/>
      <c r="S1080" s="25"/>
      <c r="T1080" s="25"/>
      <c r="U1080" s="25"/>
      <c r="V1080" s="25"/>
      <c r="W1080" s="25"/>
      <c r="X1080" s="25"/>
      <c r="Y1080" s="25"/>
      <c r="Z1080" s="25"/>
      <c r="AA1080" s="25"/>
      <c r="AB1080" s="25"/>
      <c r="AC1080" s="25"/>
    </row>
    <row r="1081" spans="4:29" x14ac:dyDescent="0.2">
      <c r="D1081" s="25"/>
      <c r="E1081" s="25"/>
      <c r="F1081" s="25"/>
      <c r="G1081" s="25"/>
      <c r="H1081" s="25"/>
      <c r="I1081" s="25"/>
      <c r="J1081" s="25"/>
      <c r="K1081" s="25"/>
      <c r="L1081" s="25"/>
      <c r="M1081" s="25"/>
      <c r="N1081" s="25"/>
      <c r="O1081" s="25"/>
      <c r="P1081" s="25"/>
      <c r="Q1081" s="25"/>
      <c r="R1081" s="25"/>
      <c r="S1081" s="25"/>
      <c r="T1081" s="25"/>
      <c r="U1081" s="25"/>
      <c r="V1081" s="25"/>
      <c r="W1081" s="25"/>
      <c r="X1081" s="25"/>
      <c r="Y1081" s="25"/>
      <c r="Z1081" s="25"/>
      <c r="AA1081" s="25"/>
      <c r="AB1081" s="25"/>
      <c r="AC1081" s="25"/>
    </row>
    <row r="1082" spans="4:29" x14ac:dyDescent="0.2">
      <c r="D1082" s="25"/>
      <c r="E1082" s="25"/>
      <c r="F1082" s="25"/>
      <c r="G1082" s="25"/>
      <c r="H1082" s="25"/>
      <c r="I1082" s="25"/>
      <c r="J1082" s="25"/>
      <c r="K1082" s="25"/>
      <c r="L1082" s="25"/>
      <c r="M1082" s="25"/>
      <c r="N1082" s="25"/>
      <c r="O1082" s="25"/>
      <c r="P1082" s="25"/>
      <c r="Q1082" s="25"/>
      <c r="R1082" s="25"/>
      <c r="S1082" s="25"/>
      <c r="T1082" s="25"/>
      <c r="U1082" s="25"/>
      <c r="V1082" s="25"/>
      <c r="W1082" s="25"/>
      <c r="X1082" s="25"/>
      <c r="Y1082" s="25"/>
      <c r="Z1082" s="25"/>
      <c r="AA1082" s="25"/>
      <c r="AB1082" s="25"/>
      <c r="AC1082" s="25"/>
    </row>
    <row r="1083" spans="4:29" x14ac:dyDescent="0.2">
      <c r="D1083" s="25"/>
      <c r="E1083" s="25"/>
      <c r="F1083" s="25"/>
      <c r="G1083" s="25"/>
      <c r="H1083" s="25"/>
      <c r="I1083" s="25"/>
      <c r="J1083" s="25"/>
      <c r="K1083" s="25"/>
      <c r="L1083" s="25"/>
      <c r="M1083" s="25"/>
      <c r="N1083" s="25"/>
      <c r="O1083" s="25"/>
      <c r="P1083" s="25"/>
      <c r="Q1083" s="25"/>
      <c r="R1083" s="25"/>
      <c r="S1083" s="25"/>
      <c r="T1083" s="25"/>
      <c r="U1083" s="25"/>
      <c r="V1083" s="25"/>
      <c r="W1083" s="25"/>
      <c r="X1083" s="25"/>
      <c r="Y1083" s="25"/>
      <c r="Z1083" s="25"/>
      <c r="AA1083" s="25"/>
      <c r="AB1083" s="25"/>
      <c r="AC1083" s="25"/>
    </row>
    <row r="1084" spans="4:29" x14ac:dyDescent="0.2">
      <c r="D1084" s="25"/>
      <c r="E1084" s="25"/>
      <c r="F1084" s="25"/>
      <c r="G1084" s="25"/>
      <c r="H1084" s="25"/>
      <c r="I1084" s="25"/>
      <c r="J1084" s="25"/>
      <c r="K1084" s="25"/>
      <c r="L1084" s="25"/>
      <c r="M1084" s="25"/>
      <c r="N1084" s="25"/>
      <c r="O1084" s="25"/>
      <c r="P1084" s="25"/>
      <c r="Q1084" s="25"/>
      <c r="R1084" s="25"/>
      <c r="S1084" s="25"/>
      <c r="T1084" s="25"/>
      <c r="U1084" s="25"/>
      <c r="V1084" s="25"/>
      <c r="W1084" s="25"/>
      <c r="X1084" s="25"/>
      <c r="Y1084" s="25"/>
      <c r="Z1084" s="25"/>
      <c r="AA1084" s="25"/>
      <c r="AB1084" s="25"/>
      <c r="AC1084" s="25"/>
    </row>
    <row r="1085" spans="4:29" x14ac:dyDescent="0.2">
      <c r="D1085" s="25"/>
      <c r="E1085" s="25"/>
      <c r="F1085" s="25"/>
      <c r="G1085" s="25"/>
      <c r="H1085" s="25"/>
      <c r="I1085" s="25"/>
      <c r="J1085" s="25"/>
      <c r="K1085" s="25"/>
      <c r="L1085" s="25"/>
      <c r="M1085" s="25"/>
      <c r="N1085" s="25"/>
      <c r="O1085" s="25"/>
      <c r="P1085" s="25"/>
      <c r="Q1085" s="25"/>
      <c r="R1085" s="25"/>
      <c r="S1085" s="25"/>
      <c r="T1085" s="25"/>
      <c r="U1085" s="25"/>
      <c r="V1085" s="25"/>
      <c r="W1085" s="25"/>
      <c r="X1085" s="25"/>
      <c r="Y1085" s="25"/>
      <c r="Z1085" s="25"/>
      <c r="AA1085" s="25"/>
      <c r="AB1085" s="25"/>
      <c r="AC1085" s="25"/>
    </row>
    <row r="1086" spans="4:29" x14ac:dyDescent="0.2">
      <c r="D1086" s="25"/>
      <c r="E1086" s="25"/>
      <c r="F1086" s="25"/>
      <c r="G1086" s="25"/>
      <c r="H1086" s="25"/>
      <c r="I1086" s="25"/>
      <c r="J1086" s="25"/>
      <c r="K1086" s="25"/>
      <c r="L1086" s="25"/>
      <c r="M1086" s="25"/>
      <c r="N1086" s="25"/>
      <c r="O1086" s="25"/>
      <c r="P1086" s="25"/>
      <c r="Q1086" s="25"/>
      <c r="R1086" s="25"/>
      <c r="S1086" s="25"/>
      <c r="T1086" s="25"/>
      <c r="U1086" s="25"/>
      <c r="V1086" s="25"/>
      <c r="W1086" s="25"/>
      <c r="X1086" s="25"/>
      <c r="Y1086" s="25"/>
      <c r="Z1086" s="25"/>
      <c r="AA1086" s="25"/>
      <c r="AB1086" s="25"/>
      <c r="AC1086" s="25"/>
    </row>
    <row r="1087" spans="4:29" x14ac:dyDescent="0.2">
      <c r="D1087" s="25"/>
      <c r="E1087" s="25"/>
      <c r="F1087" s="25"/>
      <c r="G1087" s="25"/>
      <c r="H1087" s="25"/>
      <c r="I1087" s="25"/>
      <c r="J1087" s="25"/>
      <c r="K1087" s="25"/>
      <c r="L1087" s="25"/>
      <c r="M1087" s="25"/>
      <c r="N1087" s="25"/>
      <c r="O1087" s="25"/>
      <c r="P1087" s="25"/>
      <c r="Q1087" s="25"/>
      <c r="R1087" s="25"/>
      <c r="S1087" s="25"/>
      <c r="T1087" s="25"/>
      <c r="U1087" s="25"/>
      <c r="V1087" s="25"/>
      <c r="W1087" s="25"/>
      <c r="X1087" s="25"/>
      <c r="Y1087" s="25"/>
      <c r="Z1087" s="25"/>
      <c r="AA1087" s="25"/>
      <c r="AB1087" s="25"/>
      <c r="AC1087" s="25"/>
    </row>
    <row r="1088" spans="4:29" x14ac:dyDescent="0.2">
      <c r="D1088" s="25"/>
      <c r="E1088" s="25"/>
      <c r="F1088" s="25"/>
      <c r="G1088" s="25"/>
      <c r="H1088" s="25"/>
      <c r="I1088" s="25"/>
      <c r="J1088" s="25"/>
      <c r="K1088" s="25"/>
      <c r="L1088" s="25"/>
      <c r="M1088" s="25"/>
      <c r="N1088" s="25"/>
      <c r="O1088" s="25"/>
      <c r="P1088" s="25"/>
      <c r="Q1088" s="25"/>
      <c r="R1088" s="25"/>
      <c r="S1088" s="25"/>
      <c r="T1088" s="25"/>
      <c r="U1088" s="25"/>
      <c r="V1088" s="25"/>
      <c r="W1088" s="25"/>
      <c r="X1088" s="25"/>
      <c r="Y1088" s="25"/>
      <c r="Z1088" s="25"/>
      <c r="AA1088" s="25"/>
      <c r="AB1088" s="25"/>
      <c r="AC1088" s="25"/>
    </row>
    <row r="1089" spans="4:29" x14ac:dyDescent="0.2">
      <c r="D1089" s="25"/>
      <c r="E1089" s="25"/>
      <c r="F1089" s="25"/>
      <c r="G1089" s="25"/>
      <c r="H1089" s="25"/>
      <c r="I1089" s="25"/>
      <c r="J1089" s="25"/>
      <c r="K1089" s="25"/>
      <c r="L1089" s="25"/>
      <c r="M1089" s="25"/>
      <c r="N1089" s="25"/>
      <c r="O1089" s="25"/>
      <c r="P1089" s="25"/>
      <c r="Q1089" s="25"/>
      <c r="R1089" s="25"/>
      <c r="S1089" s="25"/>
      <c r="T1089" s="25"/>
      <c r="U1089" s="25"/>
      <c r="V1089" s="25"/>
      <c r="W1089" s="25"/>
      <c r="X1089" s="25"/>
      <c r="Y1089" s="25"/>
      <c r="Z1089" s="25"/>
      <c r="AA1089" s="25"/>
      <c r="AB1089" s="25"/>
      <c r="AC1089" s="25"/>
    </row>
    <row r="1090" spans="4:29" x14ac:dyDescent="0.2">
      <c r="D1090" s="25"/>
      <c r="E1090" s="25"/>
      <c r="F1090" s="25"/>
      <c r="G1090" s="25"/>
      <c r="H1090" s="25"/>
      <c r="I1090" s="25"/>
      <c r="J1090" s="25"/>
      <c r="K1090" s="25"/>
      <c r="L1090" s="25"/>
      <c r="M1090" s="25"/>
      <c r="N1090" s="25"/>
      <c r="O1090" s="25"/>
      <c r="P1090" s="25"/>
      <c r="Q1090" s="25"/>
      <c r="R1090" s="25"/>
      <c r="S1090" s="25"/>
      <c r="T1090" s="25"/>
      <c r="U1090" s="25"/>
      <c r="V1090" s="25"/>
      <c r="W1090" s="25"/>
      <c r="X1090" s="25"/>
      <c r="Y1090" s="25"/>
      <c r="Z1090" s="25"/>
      <c r="AA1090" s="25"/>
      <c r="AB1090" s="25"/>
      <c r="AC1090" s="25"/>
    </row>
    <row r="1091" spans="4:29" x14ac:dyDescent="0.2">
      <c r="D1091" s="25"/>
      <c r="E1091" s="25"/>
      <c r="F1091" s="25"/>
      <c r="G1091" s="25"/>
      <c r="H1091" s="25"/>
      <c r="I1091" s="25"/>
      <c r="J1091" s="25"/>
      <c r="K1091" s="25"/>
      <c r="L1091" s="25"/>
      <c r="M1091" s="25"/>
      <c r="N1091" s="25"/>
      <c r="O1091" s="25"/>
      <c r="P1091" s="25"/>
      <c r="Q1091" s="25"/>
      <c r="R1091" s="25"/>
      <c r="S1091" s="25"/>
      <c r="T1091" s="25"/>
      <c r="U1091" s="25"/>
      <c r="V1091" s="25"/>
      <c r="W1091" s="25"/>
      <c r="X1091" s="25"/>
      <c r="Y1091" s="25"/>
      <c r="Z1091" s="25"/>
      <c r="AA1091" s="25"/>
      <c r="AB1091" s="25"/>
      <c r="AC1091" s="25"/>
    </row>
    <row r="1092" spans="4:29" x14ac:dyDescent="0.2">
      <c r="D1092" s="25"/>
      <c r="E1092" s="25"/>
      <c r="F1092" s="25"/>
      <c r="G1092" s="25"/>
      <c r="H1092" s="25"/>
      <c r="I1092" s="25"/>
      <c r="J1092" s="25"/>
      <c r="K1092" s="25"/>
      <c r="L1092" s="25"/>
      <c r="M1092" s="25"/>
      <c r="N1092" s="25"/>
      <c r="O1092" s="25"/>
      <c r="P1092" s="25"/>
      <c r="Q1092" s="25"/>
      <c r="R1092" s="25"/>
      <c r="S1092" s="25"/>
      <c r="T1092" s="25"/>
      <c r="U1092" s="25"/>
      <c r="V1092" s="25"/>
      <c r="W1092" s="25"/>
      <c r="X1092" s="25"/>
      <c r="Y1092" s="25"/>
      <c r="Z1092" s="25"/>
      <c r="AA1092" s="25"/>
      <c r="AB1092" s="25"/>
      <c r="AC1092" s="25"/>
    </row>
    <row r="1093" spans="4:29" x14ac:dyDescent="0.2">
      <c r="D1093" s="25"/>
      <c r="E1093" s="25"/>
      <c r="F1093" s="25"/>
      <c r="G1093" s="25"/>
      <c r="H1093" s="25"/>
      <c r="I1093" s="25"/>
      <c r="J1093" s="25"/>
      <c r="K1093" s="25"/>
      <c r="L1093" s="25"/>
      <c r="M1093" s="25"/>
      <c r="N1093" s="25"/>
      <c r="O1093" s="25"/>
      <c r="P1093" s="25"/>
      <c r="Q1093" s="25"/>
      <c r="R1093" s="25"/>
      <c r="S1093" s="25"/>
      <c r="T1093" s="25"/>
      <c r="U1093" s="25"/>
      <c r="V1093" s="25"/>
      <c r="W1093" s="25"/>
      <c r="X1093" s="25"/>
      <c r="Y1093" s="25"/>
      <c r="Z1093" s="25"/>
      <c r="AA1093" s="25"/>
      <c r="AB1093" s="25"/>
      <c r="AC1093" s="25"/>
    </row>
    <row r="1094" spans="4:29" x14ac:dyDescent="0.2">
      <c r="D1094" s="25"/>
      <c r="E1094" s="25"/>
      <c r="F1094" s="25"/>
      <c r="G1094" s="25"/>
      <c r="H1094" s="25"/>
      <c r="I1094" s="25"/>
      <c r="J1094" s="25"/>
      <c r="K1094" s="25"/>
      <c r="L1094" s="25"/>
      <c r="M1094" s="25"/>
      <c r="N1094" s="25"/>
      <c r="O1094" s="25"/>
      <c r="P1094" s="25"/>
      <c r="Q1094" s="25"/>
      <c r="R1094" s="25"/>
      <c r="S1094" s="25"/>
      <c r="T1094" s="25"/>
      <c r="U1094" s="25"/>
      <c r="V1094" s="25"/>
      <c r="W1094" s="25"/>
      <c r="X1094" s="25"/>
      <c r="Y1094" s="25"/>
      <c r="Z1094" s="25"/>
      <c r="AA1094" s="25"/>
      <c r="AB1094" s="25"/>
      <c r="AC1094" s="25"/>
    </row>
    <row r="1095" spans="4:29" x14ac:dyDescent="0.2">
      <c r="D1095" s="25"/>
      <c r="E1095" s="25"/>
      <c r="F1095" s="25"/>
      <c r="G1095" s="25"/>
      <c r="H1095" s="25"/>
      <c r="I1095" s="25"/>
      <c r="J1095" s="25"/>
      <c r="K1095" s="25"/>
      <c r="L1095" s="25"/>
      <c r="M1095" s="25"/>
      <c r="N1095" s="25"/>
      <c r="O1095" s="25"/>
      <c r="P1095" s="25"/>
      <c r="Q1095" s="25"/>
      <c r="R1095" s="25"/>
      <c r="S1095" s="25"/>
      <c r="T1095" s="25"/>
      <c r="U1095" s="25"/>
      <c r="V1095" s="25"/>
      <c r="W1095" s="25"/>
      <c r="X1095" s="25"/>
      <c r="Y1095" s="25"/>
      <c r="Z1095" s="25"/>
      <c r="AA1095" s="25"/>
      <c r="AB1095" s="25"/>
      <c r="AC1095" s="25"/>
    </row>
    <row r="1096" spans="4:29" x14ac:dyDescent="0.2">
      <c r="D1096" s="25"/>
      <c r="E1096" s="25"/>
      <c r="F1096" s="25"/>
      <c r="G1096" s="25"/>
      <c r="H1096" s="25"/>
      <c r="I1096" s="25"/>
      <c r="J1096" s="25"/>
      <c r="K1096" s="25"/>
      <c r="L1096" s="25"/>
      <c r="M1096" s="25"/>
      <c r="N1096" s="25"/>
      <c r="O1096" s="25"/>
      <c r="P1096" s="25"/>
      <c r="Q1096" s="25"/>
      <c r="R1096" s="25"/>
      <c r="S1096" s="25"/>
      <c r="T1096" s="25"/>
      <c r="U1096" s="25"/>
      <c r="V1096" s="25"/>
      <c r="W1096" s="25"/>
      <c r="X1096" s="25"/>
      <c r="Y1096" s="25"/>
      <c r="Z1096" s="25"/>
      <c r="AA1096" s="25"/>
      <c r="AB1096" s="25"/>
      <c r="AC1096" s="25"/>
    </row>
    <row r="1097" spans="4:29" x14ac:dyDescent="0.2">
      <c r="D1097" s="25"/>
      <c r="E1097" s="25"/>
      <c r="F1097" s="25"/>
      <c r="G1097" s="25"/>
      <c r="H1097" s="25"/>
      <c r="I1097" s="25"/>
      <c r="J1097" s="25"/>
      <c r="K1097" s="25"/>
      <c r="L1097" s="25"/>
      <c r="M1097" s="25"/>
      <c r="N1097" s="25"/>
      <c r="O1097" s="25"/>
      <c r="P1097" s="25"/>
      <c r="Q1097" s="25"/>
      <c r="R1097" s="25"/>
      <c r="S1097" s="25"/>
      <c r="T1097" s="25"/>
      <c r="U1097" s="25"/>
      <c r="V1097" s="25"/>
      <c r="W1097" s="25"/>
      <c r="X1097" s="25"/>
      <c r="Y1097" s="25"/>
      <c r="Z1097" s="25"/>
      <c r="AA1097" s="25"/>
      <c r="AB1097" s="25"/>
      <c r="AC1097" s="25"/>
    </row>
    <row r="1098" spans="4:29" x14ac:dyDescent="0.2">
      <c r="D1098" s="25"/>
      <c r="E1098" s="25"/>
      <c r="F1098" s="25"/>
      <c r="G1098" s="25"/>
      <c r="H1098" s="25"/>
      <c r="I1098" s="25"/>
      <c r="J1098" s="25"/>
      <c r="K1098" s="25"/>
      <c r="L1098" s="25"/>
      <c r="M1098" s="25"/>
      <c r="N1098" s="25"/>
      <c r="O1098" s="25"/>
      <c r="P1098" s="25"/>
      <c r="Q1098" s="25"/>
      <c r="R1098" s="25"/>
      <c r="S1098" s="25"/>
      <c r="T1098" s="25"/>
      <c r="U1098" s="25"/>
      <c r="V1098" s="25"/>
      <c r="W1098" s="25"/>
      <c r="X1098" s="25"/>
      <c r="Y1098" s="25"/>
      <c r="Z1098" s="25"/>
      <c r="AA1098" s="25"/>
      <c r="AB1098" s="25"/>
      <c r="AC1098" s="25"/>
    </row>
    <row r="1099" spans="4:29" x14ac:dyDescent="0.2">
      <c r="D1099" s="25"/>
      <c r="E1099" s="25"/>
      <c r="F1099" s="25"/>
      <c r="G1099" s="25"/>
      <c r="H1099" s="25"/>
      <c r="I1099" s="25"/>
      <c r="J1099" s="25"/>
      <c r="K1099" s="25"/>
      <c r="L1099" s="25"/>
      <c r="M1099" s="25"/>
      <c r="N1099" s="25"/>
      <c r="O1099" s="25"/>
      <c r="P1099" s="25"/>
      <c r="Q1099" s="25"/>
      <c r="R1099" s="25"/>
      <c r="S1099" s="25"/>
      <c r="T1099" s="25"/>
      <c r="U1099" s="25"/>
      <c r="V1099" s="25"/>
      <c r="W1099" s="25"/>
      <c r="X1099" s="25"/>
      <c r="Y1099" s="25"/>
      <c r="Z1099" s="25"/>
      <c r="AA1099" s="25"/>
      <c r="AB1099" s="25"/>
      <c r="AC1099" s="25"/>
    </row>
    <row r="1100" spans="4:29" x14ac:dyDescent="0.2">
      <c r="D1100" s="25"/>
      <c r="E1100" s="25"/>
      <c r="F1100" s="25"/>
      <c r="G1100" s="25"/>
      <c r="H1100" s="25"/>
      <c r="I1100" s="25"/>
      <c r="J1100" s="25"/>
      <c r="K1100" s="25"/>
      <c r="L1100" s="25"/>
      <c r="M1100" s="25"/>
      <c r="N1100" s="25"/>
      <c r="O1100" s="25"/>
      <c r="P1100" s="25"/>
      <c r="Q1100" s="25"/>
      <c r="R1100" s="25"/>
      <c r="S1100" s="25"/>
      <c r="T1100" s="25"/>
      <c r="U1100" s="25"/>
      <c r="V1100" s="25"/>
      <c r="W1100" s="25"/>
      <c r="X1100" s="25"/>
      <c r="Y1100" s="25"/>
      <c r="Z1100" s="25"/>
      <c r="AA1100" s="25"/>
      <c r="AB1100" s="25"/>
      <c r="AC1100" s="25"/>
    </row>
    <row r="1101" spans="4:29" x14ac:dyDescent="0.2">
      <c r="D1101" s="25"/>
      <c r="E1101" s="25"/>
      <c r="F1101" s="25"/>
      <c r="G1101" s="25"/>
      <c r="H1101" s="25"/>
      <c r="I1101" s="25"/>
      <c r="J1101" s="25"/>
      <c r="K1101" s="25"/>
      <c r="L1101" s="25"/>
      <c r="M1101" s="25"/>
      <c r="N1101" s="25"/>
      <c r="O1101" s="25"/>
      <c r="P1101" s="25"/>
      <c r="Q1101" s="25"/>
      <c r="R1101" s="25"/>
      <c r="S1101" s="25"/>
      <c r="T1101" s="25"/>
      <c r="U1101" s="25"/>
      <c r="V1101" s="25"/>
      <c r="W1101" s="25"/>
      <c r="X1101" s="25"/>
      <c r="Y1101" s="25"/>
      <c r="Z1101" s="25"/>
      <c r="AA1101" s="25"/>
      <c r="AB1101" s="25"/>
      <c r="AC1101" s="25"/>
    </row>
    <row r="1102" spans="4:29" x14ac:dyDescent="0.2">
      <c r="D1102" s="25"/>
      <c r="E1102" s="25"/>
      <c r="F1102" s="25"/>
      <c r="G1102" s="25"/>
      <c r="H1102" s="25"/>
      <c r="I1102" s="25"/>
      <c r="J1102" s="25"/>
      <c r="K1102" s="25"/>
      <c r="L1102" s="25"/>
      <c r="M1102" s="25"/>
      <c r="N1102" s="25"/>
      <c r="O1102" s="25"/>
      <c r="P1102" s="25"/>
      <c r="Q1102" s="25"/>
      <c r="R1102" s="25"/>
      <c r="S1102" s="25"/>
      <c r="T1102" s="25"/>
      <c r="U1102" s="25"/>
      <c r="V1102" s="25"/>
      <c r="W1102" s="25"/>
      <c r="X1102" s="25"/>
      <c r="Y1102" s="25"/>
      <c r="Z1102" s="25"/>
      <c r="AA1102" s="25"/>
      <c r="AB1102" s="25"/>
      <c r="AC1102" s="25"/>
    </row>
    <row r="1103" spans="4:29" x14ac:dyDescent="0.2">
      <c r="D1103" s="25"/>
      <c r="E1103" s="25"/>
      <c r="F1103" s="25"/>
      <c r="G1103" s="25"/>
      <c r="H1103" s="25"/>
      <c r="I1103" s="25"/>
      <c r="J1103" s="25"/>
      <c r="K1103" s="25"/>
      <c r="L1103" s="25"/>
      <c r="M1103" s="25"/>
      <c r="N1103" s="25"/>
      <c r="O1103" s="25"/>
      <c r="P1103" s="25"/>
      <c r="Q1103" s="25"/>
      <c r="R1103" s="25"/>
      <c r="S1103" s="25"/>
      <c r="T1103" s="25"/>
      <c r="U1103" s="25"/>
      <c r="V1103" s="25"/>
      <c r="W1103" s="25"/>
      <c r="X1103" s="25"/>
      <c r="Y1103" s="25"/>
      <c r="Z1103" s="25"/>
      <c r="AA1103" s="25"/>
      <c r="AB1103" s="25"/>
      <c r="AC1103" s="25"/>
    </row>
    <row r="1104" spans="4:29" x14ac:dyDescent="0.2">
      <c r="D1104" s="25"/>
      <c r="E1104" s="25"/>
      <c r="F1104" s="25"/>
      <c r="G1104" s="25"/>
      <c r="H1104" s="25"/>
      <c r="I1104" s="25"/>
      <c r="J1104" s="25"/>
      <c r="K1104" s="25"/>
      <c r="L1104" s="25"/>
      <c r="M1104" s="25"/>
      <c r="N1104" s="25"/>
      <c r="O1104" s="25"/>
      <c r="P1104" s="25"/>
      <c r="Q1104" s="25"/>
      <c r="R1104" s="25"/>
      <c r="S1104" s="25"/>
      <c r="T1104" s="25"/>
      <c r="U1104" s="25"/>
      <c r="V1104" s="25"/>
      <c r="W1104" s="25"/>
      <c r="X1104" s="25"/>
      <c r="Y1104" s="25"/>
      <c r="Z1104" s="25"/>
      <c r="AA1104" s="25"/>
      <c r="AB1104" s="25"/>
      <c r="AC1104" s="25"/>
    </row>
    <row r="1105" spans="4:29" x14ac:dyDescent="0.2">
      <c r="D1105" s="25"/>
      <c r="E1105" s="25"/>
      <c r="F1105" s="25"/>
      <c r="G1105" s="25"/>
      <c r="H1105" s="25"/>
      <c r="I1105" s="25"/>
      <c r="J1105" s="25"/>
      <c r="K1105" s="25"/>
      <c r="L1105" s="25"/>
      <c r="M1105" s="25"/>
      <c r="N1105" s="25"/>
      <c r="O1105" s="25"/>
      <c r="P1105" s="25"/>
      <c r="Q1105" s="25"/>
      <c r="R1105" s="25"/>
      <c r="S1105" s="25"/>
      <c r="T1105" s="25"/>
      <c r="U1105" s="25"/>
      <c r="V1105" s="25"/>
      <c r="W1105" s="25"/>
      <c r="X1105" s="25"/>
      <c r="Y1105" s="25"/>
      <c r="Z1105" s="25"/>
      <c r="AA1105" s="25"/>
      <c r="AB1105" s="25"/>
      <c r="AC1105" s="25"/>
    </row>
    <row r="1106" spans="4:29" x14ac:dyDescent="0.2">
      <c r="D1106" s="25"/>
      <c r="E1106" s="25"/>
      <c r="F1106" s="25"/>
      <c r="G1106" s="25"/>
      <c r="H1106" s="25"/>
      <c r="I1106" s="25"/>
      <c r="J1106" s="25"/>
      <c r="K1106" s="25"/>
      <c r="L1106" s="25"/>
      <c r="M1106" s="25"/>
      <c r="N1106" s="25"/>
      <c r="O1106" s="25"/>
      <c r="P1106" s="25"/>
      <c r="Q1106" s="25"/>
      <c r="R1106" s="25"/>
      <c r="S1106" s="25"/>
      <c r="T1106" s="25"/>
      <c r="U1106" s="25"/>
      <c r="V1106" s="25"/>
      <c r="W1106" s="25"/>
      <c r="X1106" s="25"/>
      <c r="Y1106" s="25"/>
      <c r="Z1106" s="25"/>
      <c r="AA1106" s="25"/>
      <c r="AB1106" s="25"/>
      <c r="AC1106" s="25"/>
    </row>
    <row r="1107" spans="4:29" x14ac:dyDescent="0.2">
      <c r="D1107" s="25"/>
      <c r="E1107" s="25"/>
      <c r="F1107" s="25"/>
      <c r="G1107" s="25"/>
      <c r="H1107" s="25"/>
      <c r="I1107" s="25"/>
      <c r="J1107" s="25"/>
      <c r="K1107" s="25"/>
      <c r="L1107" s="25"/>
      <c r="M1107" s="25"/>
      <c r="N1107" s="25"/>
      <c r="O1107" s="25"/>
      <c r="P1107" s="25"/>
      <c r="Q1107" s="25"/>
      <c r="R1107" s="25"/>
      <c r="S1107" s="25"/>
      <c r="T1107" s="25"/>
      <c r="U1107" s="25"/>
      <c r="V1107" s="25"/>
      <c r="W1107" s="25"/>
      <c r="X1107" s="25"/>
      <c r="Y1107" s="25"/>
      <c r="Z1107" s="25"/>
      <c r="AA1107" s="25"/>
      <c r="AB1107" s="25"/>
      <c r="AC1107" s="25"/>
    </row>
    <row r="1108" spans="4:29" x14ac:dyDescent="0.2">
      <c r="D1108" s="25"/>
      <c r="E1108" s="25"/>
      <c r="F1108" s="25"/>
      <c r="G1108" s="25"/>
      <c r="H1108" s="25"/>
      <c r="I1108" s="25"/>
      <c r="J1108" s="25"/>
      <c r="K1108" s="25"/>
      <c r="L1108" s="25"/>
      <c r="M1108" s="25"/>
      <c r="N1108" s="25"/>
      <c r="O1108" s="25"/>
      <c r="P1108" s="25"/>
      <c r="Q1108" s="25"/>
      <c r="R1108" s="25"/>
      <c r="S1108" s="25"/>
      <c r="T1108" s="25"/>
      <c r="U1108" s="25"/>
      <c r="V1108" s="25"/>
      <c r="W1108" s="25"/>
      <c r="X1108" s="25"/>
      <c r="Y1108" s="25"/>
      <c r="Z1108" s="25"/>
      <c r="AA1108" s="25"/>
      <c r="AB1108" s="25"/>
      <c r="AC1108" s="25"/>
    </row>
    <row r="1109" spans="4:29" x14ac:dyDescent="0.2">
      <c r="D1109" s="25"/>
      <c r="E1109" s="25"/>
      <c r="F1109" s="25"/>
      <c r="G1109" s="25"/>
      <c r="H1109" s="25"/>
      <c r="I1109" s="25"/>
      <c r="J1109" s="25"/>
      <c r="K1109" s="25"/>
      <c r="L1109" s="25"/>
      <c r="M1109" s="25"/>
      <c r="N1109" s="25"/>
      <c r="O1109" s="25"/>
      <c r="P1109" s="25"/>
      <c r="Q1109" s="25"/>
      <c r="R1109" s="25"/>
      <c r="S1109" s="25"/>
      <c r="T1109" s="25"/>
      <c r="U1109" s="25"/>
      <c r="V1109" s="25"/>
      <c r="W1109" s="25"/>
      <c r="X1109" s="25"/>
      <c r="Y1109" s="25"/>
      <c r="Z1109" s="25"/>
      <c r="AA1109" s="25"/>
      <c r="AB1109" s="25"/>
      <c r="AC1109" s="25"/>
    </row>
    <row r="1110" spans="4:29" x14ac:dyDescent="0.2">
      <c r="D1110" s="25"/>
      <c r="E1110" s="25"/>
      <c r="F1110" s="25"/>
      <c r="G1110" s="25"/>
      <c r="H1110" s="25"/>
      <c r="I1110" s="25"/>
      <c r="J1110" s="25"/>
      <c r="K1110" s="25"/>
      <c r="L1110" s="25"/>
      <c r="M1110" s="25"/>
      <c r="N1110" s="25"/>
      <c r="O1110" s="25"/>
      <c r="P1110" s="25"/>
      <c r="Q1110" s="25"/>
      <c r="R1110" s="25"/>
      <c r="S1110" s="25"/>
      <c r="T1110" s="25"/>
      <c r="U1110" s="25"/>
      <c r="V1110" s="25"/>
      <c r="W1110" s="25"/>
      <c r="X1110" s="25"/>
      <c r="Y1110" s="25"/>
      <c r="Z1110" s="25"/>
      <c r="AA1110" s="25"/>
      <c r="AB1110" s="25"/>
      <c r="AC1110" s="25"/>
    </row>
    <row r="1111" spans="4:29" x14ac:dyDescent="0.2">
      <c r="D1111" s="25"/>
      <c r="E1111" s="25"/>
      <c r="F1111" s="25"/>
      <c r="G1111" s="25"/>
      <c r="H1111" s="25"/>
      <c r="I1111" s="25"/>
      <c r="J1111" s="25"/>
      <c r="K1111" s="25"/>
      <c r="L1111" s="25"/>
      <c r="M1111" s="25"/>
      <c r="N1111" s="25"/>
      <c r="O1111" s="25"/>
      <c r="P1111" s="25"/>
      <c r="Q1111" s="25"/>
      <c r="R1111" s="25"/>
      <c r="S1111" s="25"/>
      <c r="T1111" s="25"/>
      <c r="U1111" s="25"/>
      <c r="V1111" s="25"/>
      <c r="W1111" s="25"/>
      <c r="X1111" s="25"/>
      <c r="Y1111" s="25"/>
      <c r="Z1111" s="25"/>
      <c r="AA1111" s="25"/>
      <c r="AB1111" s="25"/>
      <c r="AC1111" s="25"/>
    </row>
    <row r="1112" spans="4:29" x14ac:dyDescent="0.2">
      <c r="D1112" s="25"/>
      <c r="E1112" s="25"/>
      <c r="F1112" s="25"/>
      <c r="G1112" s="25"/>
      <c r="H1112" s="25"/>
      <c r="I1112" s="25"/>
      <c r="J1112" s="25"/>
      <c r="K1112" s="25"/>
      <c r="L1112" s="25"/>
      <c r="M1112" s="25"/>
      <c r="N1112" s="25"/>
      <c r="O1112" s="25"/>
      <c r="P1112" s="25"/>
      <c r="Q1112" s="25"/>
      <c r="R1112" s="25"/>
      <c r="S1112" s="25"/>
      <c r="T1112" s="25"/>
      <c r="U1112" s="25"/>
      <c r="V1112" s="25"/>
      <c r="W1112" s="25"/>
      <c r="X1112" s="25"/>
      <c r="Y1112" s="25"/>
      <c r="Z1112" s="25"/>
      <c r="AA1112" s="25"/>
      <c r="AB1112" s="25"/>
      <c r="AC1112" s="25"/>
    </row>
    <row r="1113" spans="4:29" x14ac:dyDescent="0.2">
      <c r="D1113" s="25"/>
      <c r="E1113" s="25"/>
      <c r="F1113" s="25"/>
      <c r="G1113" s="25"/>
      <c r="H1113" s="25"/>
      <c r="I1113" s="25"/>
      <c r="J1113" s="25"/>
      <c r="K1113" s="25"/>
      <c r="L1113" s="25"/>
      <c r="M1113" s="25"/>
      <c r="N1113" s="25"/>
      <c r="O1113" s="25"/>
      <c r="P1113" s="25"/>
      <c r="Q1113" s="25"/>
      <c r="R1113" s="25"/>
      <c r="S1113" s="25"/>
      <c r="T1113" s="25"/>
      <c r="U1113" s="25"/>
      <c r="V1113" s="25"/>
      <c r="W1113" s="25"/>
      <c r="X1113" s="25"/>
      <c r="Y1113" s="25"/>
      <c r="Z1113" s="25"/>
      <c r="AA1113" s="25"/>
      <c r="AB1113" s="25"/>
      <c r="AC1113" s="25"/>
    </row>
    <row r="1114" spans="4:29" x14ac:dyDescent="0.2">
      <c r="D1114" s="25"/>
      <c r="E1114" s="25"/>
      <c r="F1114" s="25"/>
      <c r="G1114" s="25"/>
      <c r="H1114" s="25"/>
      <c r="I1114" s="25"/>
      <c r="J1114" s="25"/>
      <c r="K1114" s="25"/>
      <c r="L1114" s="25"/>
      <c r="M1114" s="25"/>
      <c r="N1114" s="25"/>
      <c r="O1114" s="25"/>
      <c r="P1114" s="25"/>
      <c r="Q1114" s="25"/>
      <c r="R1114" s="25"/>
      <c r="S1114" s="25"/>
      <c r="T1114" s="25"/>
      <c r="U1114" s="25"/>
      <c r="V1114" s="25"/>
      <c r="W1114" s="25"/>
      <c r="X1114" s="25"/>
      <c r="Y1114" s="25"/>
      <c r="Z1114" s="25"/>
      <c r="AA1114" s="25"/>
      <c r="AB1114" s="25"/>
      <c r="AC1114" s="25"/>
    </row>
    <row r="1115" spans="4:29" x14ac:dyDescent="0.2">
      <c r="D1115" s="25"/>
      <c r="E1115" s="25"/>
      <c r="F1115" s="25"/>
      <c r="G1115" s="25"/>
      <c r="H1115" s="25"/>
      <c r="I1115" s="25"/>
      <c r="J1115" s="25"/>
      <c r="K1115" s="25"/>
      <c r="L1115" s="25"/>
      <c r="M1115" s="25"/>
      <c r="N1115" s="25"/>
      <c r="O1115" s="25"/>
      <c r="P1115" s="25"/>
      <c r="Q1115" s="25"/>
      <c r="R1115" s="25"/>
      <c r="S1115" s="25"/>
      <c r="T1115" s="25"/>
      <c r="U1115" s="25"/>
      <c r="V1115" s="25"/>
      <c r="W1115" s="25"/>
      <c r="X1115" s="25"/>
      <c r="Y1115" s="25"/>
      <c r="Z1115" s="25"/>
      <c r="AA1115" s="25"/>
      <c r="AB1115" s="25"/>
      <c r="AC1115" s="25"/>
    </row>
    <row r="1116" spans="4:29" x14ac:dyDescent="0.2">
      <c r="D1116" s="25"/>
      <c r="E1116" s="25"/>
      <c r="F1116" s="25"/>
      <c r="G1116" s="25"/>
      <c r="H1116" s="25"/>
      <c r="I1116" s="25"/>
      <c r="J1116" s="25"/>
      <c r="K1116" s="25"/>
      <c r="L1116" s="25"/>
      <c r="M1116" s="25"/>
      <c r="N1116" s="25"/>
      <c r="O1116" s="25"/>
      <c r="P1116" s="25"/>
      <c r="Q1116" s="25"/>
      <c r="R1116" s="25"/>
      <c r="S1116" s="25"/>
      <c r="T1116" s="25"/>
      <c r="U1116" s="25"/>
      <c r="V1116" s="25"/>
      <c r="W1116" s="25"/>
      <c r="X1116" s="25"/>
      <c r="Y1116" s="25"/>
      <c r="Z1116" s="25"/>
      <c r="AA1116" s="25"/>
      <c r="AB1116" s="25"/>
      <c r="AC1116" s="25"/>
    </row>
    <row r="1117" spans="4:29" x14ac:dyDescent="0.2">
      <c r="D1117" s="25"/>
      <c r="E1117" s="25"/>
      <c r="F1117" s="25"/>
      <c r="G1117" s="25"/>
      <c r="H1117" s="25"/>
      <c r="I1117" s="25"/>
      <c r="J1117" s="25"/>
      <c r="K1117" s="25"/>
      <c r="L1117" s="25"/>
      <c r="M1117" s="25"/>
      <c r="N1117" s="25"/>
      <c r="O1117" s="25"/>
      <c r="P1117" s="25"/>
      <c r="Q1117" s="25"/>
      <c r="R1117" s="25"/>
      <c r="S1117" s="25"/>
      <c r="T1117" s="25"/>
      <c r="U1117" s="25"/>
      <c r="V1117" s="25"/>
      <c r="W1117" s="25"/>
      <c r="X1117" s="25"/>
      <c r="Y1117" s="25"/>
      <c r="Z1117" s="25"/>
      <c r="AA1117" s="25"/>
      <c r="AB1117" s="25"/>
      <c r="AC1117" s="25"/>
    </row>
    <row r="1118" spans="4:29" x14ac:dyDescent="0.2">
      <c r="D1118" s="25"/>
      <c r="E1118" s="25"/>
      <c r="F1118" s="25"/>
      <c r="G1118" s="25"/>
      <c r="H1118" s="25"/>
      <c r="I1118" s="25"/>
      <c r="J1118" s="25"/>
      <c r="K1118" s="25"/>
      <c r="L1118" s="25"/>
      <c r="M1118" s="25"/>
      <c r="N1118" s="25"/>
      <c r="O1118" s="25"/>
      <c r="P1118" s="25"/>
      <c r="Q1118" s="25"/>
      <c r="R1118" s="25"/>
      <c r="S1118" s="25"/>
      <c r="T1118" s="25"/>
      <c r="U1118" s="25"/>
      <c r="V1118" s="25"/>
      <c r="W1118" s="25"/>
      <c r="X1118" s="25"/>
      <c r="Y1118" s="25"/>
      <c r="Z1118" s="25"/>
      <c r="AA1118" s="25"/>
      <c r="AB1118" s="25"/>
      <c r="AC1118" s="25"/>
    </row>
    <row r="1119" spans="4:29" x14ac:dyDescent="0.2">
      <c r="D1119" s="25"/>
      <c r="E1119" s="25"/>
      <c r="F1119" s="25"/>
      <c r="G1119" s="25"/>
      <c r="H1119" s="25"/>
      <c r="I1119" s="25"/>
      <c r="J1119" s="25"/>
      <c r="K1119" s="25"/>
      <c r="L1119" s="25"/>
      <c r="M1119" s="25"/>
      <c r="N1119" s="25"/>
      <c r="O1119" s="25"/>
      <c r="P1119" s="25"/>
      <c r="Q1119" s="25"/>
      <c r="R1119" s="25"/>
      <c r="S1119" s="25"/>
      <c r="T1119" s="25"/>
      <c r="U1119" s="25"/>
      <c r="V1119" s="25"/>
      <c r="W1119" s="25"/>
      <c r="X1119" s="25"/>
      <c r="Y1119" s="25"/>
      <c r="Z1119" s="25"/>
      <c r="AA1119" s="25"/>
      <c r="AB1119" s="25"/>
      <c r="AC1119" s="25"/>
    </row>
    <row r="1120" spans="4:29" x14ac:dyDescent="0.2">
      <c r="D1120" s="25"/>
      <c r="E1120" s="25"/>
      <c r="F1120" s="25"/>
      <c r="G1120" s="25"/>
      <c r="H1120" s="25"/>
      <c r="I1120" s="25"/>
      <c r="J1120" s="25"/>
      <c r="K1120" s="25"/>
      <c r="L1120" s="25"/>
      <c r="M1120" s="25"/>
      <c r="N1120" s="25"/>
      <c r="O1120" s="25"/>
      <c r="P1120" s="25"/>
      <c r="Q1120" s="25"/>
      <c r="R1120" s="25"/>
      <c r="S1120" s="25"/>
      <c r="T1120" s="25"/>
      <c r="U1120" s="25"/>
      <c r="V1120" s="25"/>
      <c r="W1120" s="25"/>
      <c r="X1120" s="25"/>
      <c r="Y1120" s="25"/>
      <c r="Z1120" s="25"/>
      <c r="AA1120" s="25"/>
      <c r="AB1120" s="25"/>
      <c r="AC1120" s="25"/>
    </row>
    <row r="1121" spans="4:29" x14ac:dyDescent="0.2">
      <c r="D1121" s="25"/>
      <c r="E1121" s="25"/>
      <c r="F1121" s="25"/>
      <c r="G1121" s="25"/>
      <c r="H1121" s="25"/>
      <c r="I1121" s="25"/>
      <c r="J1121" s="25"/>
      <c r="K1121" s="25"/>
      <c r="L1121" s="25"/>
      <c r="M1121" s="25"/>
      <c r="N1121" s="25"/>
      <c r="O1121" s="25"/>
      <c r="P1121" s="25"/>
      <c r="Q1121" s="25"/>
      <c r="R1121" s="25"/>
      <c r="S1121" s="25"/>
      <c r="T1121" s="25"/>
      <c r="U1121" s="25"/>
      <c r="V1121" s="25"/>
      <c r="W1121" s="25"/>
      <c r="X1121" s="25"/>
      <c r="Y1121" s="25"/>
      <c r="Z1121" s="25"/>
      <c r="AA1121" s="25"/>
      <c r="AB1121" s="25"/>
      <c r="AC1121" s="25"/>
    </row>
    <row r="1122" spans="4:29" x14ac:dyDescent="0.2">
      <c r="D1122" s="25"/>
      <c r="E1122" s="25"/>
      <c r="F1122" s="25"/>
      <c r="G1122" s="25"/>
      <c r="H1122" s="25"/>
      <c r="I1122" s="25"/>
      <c r="J1122" s="25"/>
      <c r="K1122" s="25"/>
      <c r="L1122" s="25"/>
      <c r="M1122" s="25"/>
      <c r="N1122" s="25"/>
      <c r="O1122" s="25"/>
      <c r="P1122" s="25"/>
      <c r="Q1122" s="25"/>
      <c r="R1122" s="25"/>
      <c r="S1122" s="25"/>
      <c r="T1122" s="25"/>
      <c r="U1122" s="25"/>
      <c r="V1122" s="25"/>
      <c r="W1122" s="25"/>
      <c r="X1122" s="25"/>
      <c r="Y1122" s="25"/>
      <c r="Z1122" s="25"/>
      <c r="AA1122" s="25"/>
      <c r="AB1122" s="25"/>
      <c r="AC1122" s="25"/>
    </row>
    <row r="1123" spans="4:29" x14ac:dyDescent="0.2">
      <c r="D1123" s="25"/>
      <c r="E1123" s="25"/>
      <c r="F1123" s="25"/>
      <c r="G1123" s="25"/>
      <c r="H1123" s="25"/>
      <c r="I1123" s="25"/>
      <c r="J1123" s="25"/>
      <c r="K1123" s="25"/>
      <c r="L1123" s="25"/>
      <c r="M1123" s="25"/>
      <c r="N1123" s="25"/>
      <c r="O1123" s="25"/>
      <c r="P1123" s="25"/>
      <c r="Q1123" s="25"/>
      <c r="R1123" s="25"/>
      <c r="S1123" s="25"/>
      <c r="T1123" s="25"/>
      <c r="U1123" s="25"/>
      <c r="V1123" s="25"/>
      <c r="W1123" s="25"/>
      <c r="X1123" s="25"/>
      <c r="Y1123" s="25"/>
      <c r="Z1123" s="25"/>
      <c r="AA1123" s="25"/>
      <c r="AB1123" s="25"/>
      <c r="AC1123" s="25"/>
    </row>
    <row r="1124" spans="4:29" x14ac:dyDescent="0.2">
      <c r="D1124" s="25"/>
      <c r="E1124" s="25"/>
      <c r="F1124" s="25"/>
      <c r="G1124" s="25"/>
      <c r="H1124" s="25"/>
      <c r="I1124" s="25"/>
      <c r="J1124" s="25"/>
      <c r="K1124" s="25"/>
      <c r="L1124" s="25"/>
      <c r="M1124" s="25"/>
      <c r="N1124" s="25"/>
      <c r="O1124" s="25"/>
      <c r="P1124" s="25"/>
      <c r="Q1124" s="25"/>
      <c r="R1124" s="25"/>
      <c r="S1124" s="25"/>
      <c r="T1124" s="25"/>
      <c r="U1124" s="25"/>
      <c r="V1124" s="25"/>
      <c r="W1124" s="25"/>
      <c r="X1124" s="25"/>
      <c r="Y1124" s="25"/>
      <c r="Z1124" s="25"/>
      <c r="AA1124" s="25"/>
      <c r="AB1124" s="25"/>
      <c r="AC1124" s="25"/>
    </row>
    <row r="1125" spans="4:29" x14ac:dyDescent="0.2">
      <c r="D1125" s="25"/>
      <c r="E1125" s="25"/>
      <c r="F1125" s="25"/>
      <c r="G1125" s="25"/>
      <c r="H1125" s="25"/>
      <c r="I1125" s="25"/>
      <c r="J1125" s="25"/>
      <c r="K1125" s="25"/>
      <c r="L1125" s="25"/>
      <c r="M1125" s="25"/>
      <c r="N1125" s="25"/>
      <c r="O1125" s="25"/>
      <c r="P1125" s="25"/>
      <c r="Q1125" s="25"/>
      <c r="R1125" s="25"/>
      <c r="S1125" s="25"/>
      <c r="T1125" s="25"/>
      <c r="U1125" s="25"/>
      <c r="V1125" s="25"/>
      <c r="W1125" s="25"/>
      <c r="X1125" s="25"/>
      <c r="Y1125" s="25"/>
      <c r="Z1125" s="25"/>
      <c r="AA1125" s="25"/>
      <c r="AB1125" s="25"/>
      <c r="AC1125" s="25"/>
    </row>
    <row r="1126" spans="4:29" x14ac:dyDescent="0.2">
      <c r="D1126" s="25"/>
      <c r="E1126" s="25"/>
      <c r="F1126" s="25"/>
      <c r="G1126" s="25"/>
      <c r="H1126" s="25"/>
      <c r="I1126" s="25"/>
      <c r="J1126" s="25"/>
      <c r="K1126" s="25"/>
      <c r="L1126" s="25"/>
      <c r="M1126" s="25"/>
      <c r="N1126" s="25"/>
      <c r="O1126" s="25"/>
      <c r="P1126" s="25"/>
      <c r="Q1126" s="25"/>
      <c r="R1126" s="25"/>
      <c r="S1126" s="25"/>
      <c r="T1126" s="25"/>
      <c r="U1126" s="25"/>
      <c r="V1126" s="25"/>
      <c r="W1126" s="25"/>
      <c r="X1126" s="25"/>
      <c r="Y1126" s="25"/>
      <c r="Z1126" s="25"/>
      <c r="AA1126" s="25"/>
      <c r="AB1126" s="25"/>
      <c r="AC1126" s="25"/>
    </row>
    <row r="1127" spans="4:29" x14ac:dyDescent="0.2">
      <c r="D1127" s="25"/>
      <c r="E1127" s="25"/>
      <c r="F1127" s="25"/>
      <c r="G1127" s="25"/>
      <c r="H1127" s="25"/>
      <c r="I1127" s="25"/>
      <c r="J1127" s="25"/>
      <c r="K1127" s="25"/>
      <c r="L1127" s="25"/>
      <c r="M1127" s="25"/>
      <c r="N1127" s="25"/>
      <c r="O1127" s="25"/>
      <c r="P1127" s="25"/>
      <c r="Q1127" s="25"/>
      <c r="R1127" s="25"/>
      <c r="S1127" s="25"/>
      <c r="T1127" s="25"/>
      <c r="U1127" s="25"/>
      <c r="V1127" s="25"/>
      <c r="W1127" s="25"/>
      <c r="X1127" s="25"/>
      <c r="Y1127" s="25"/>
      <c r="Z1127" s="25"/>
      <c r="AA1127" s="25"/>
      <c r="AB1127" s="25"/>
      <c r="AC1127" s="25"/>
    </row>
    <row r="1128" spans="4:29" x14ac:dyDescent="0.2">
      <c r="D1128" s="25"/>
      <c r="E1128" s="25"/>
      <c r="F1128" s="25"/>
      <c r="G1128" s="25"/>
      <c r="H1128" s="25"/>
      <c r="I1128" s="25"/>
      <c r="J1128" s="25"/>
      <c r="K1128" s="25"/>
      <c r="L1128" s="25"/>
      <c r="M1128" s="25"/>
      <c r="N1128" s="25"/>
      <c r="O1128" s="25"/>
      <c r="P1128" s="25"/>
      <c r="Q1128" s="25"/>
      <c r="R1128" s="25"/>
      <c r="S1128" s="25"/>
      <c r="T1128" s="25"/>
      <c r="U1128" s="25"/>
      <c r="V1128" s="25"/>
      <c r="W1128" s="25"/>
      <c r="X1128" s="25"/>
      <c r="Y1128" s="25"/>
      <c r="Z1128" s="25"/>
      <c r="AA1128" s="25"/>
      <c r="AB1128" s="25"/>
      <c r="AC1128" s="25"/>
    </row>
    <row r="1129" spans="4:29" x14ac:dyDescent="0.2">
      <c r="D1129" s="25"/>
      <c r="E1129" s="25"/>
      <c r="F1129" s="25"/>
      <c r="G1129" s="25"/>
      <c r="H1129" s="25"/>
      <c r="I1129" s="25"/>
      <c r="J1129" s="25"/>
      <c r="K1129" s="25"/>
      <c r="L1129" s="25"/>
      <c r="M1129" s="25"/>
      <c r="N1129" s="25"/>
      <c r="O1129" s="25"/>
      <c r="P1129" s="25"/>
      <c r="Q1129" s="25"/>
      <c r="R1129" s="25"/>
      <c r="S1129" s="25"/>
      <c r="T1129" s="25"/>
      <c r="U1129" s="25"/>
      <c r="V1129" s="25"/>
      <c r="W1129" s="25"/>
      <c r="X1129" s="25"/>
      <c r="Y1129" s="25"/>
      <c r="Z1129" s="25"/>
      <c r="AA1129" s="25"/>
      <c r="AB1129" s="25"/>
      <c r="AC1129" s="25"/>
    </row>
    <row r="1130" spans="4:29" x14ac:dyDescent="0.2">
      <c r="D1130" s="25"/>
      <c r="E1130" s="25"/>
      <c r="F1130" s="25"/>
      <c r="G1130" s="25"/>
      <c r="H1130" s="25"/>
      <c r="I1130" s="25"/>
      <c r="J1130" s="25"/>
      <c r="K1130" s="25"/>
      <c r="L1130" s="25"/>
      <c r="M1130" s="25"/>
      <c r="N1130" s="25"/>
      <c r="O1130" s="25"/>
      <c r="P1130" s="25"/>
      <c r="Q1130" s="25"/>
      <c r="R1130" s="25"/>
      <c r="S1130" s="25"/>
      <c r="T1130" s="25"/>
      <c r="U1130" s="25"/>
      <c r="V1130" s="25"/>
      <c r="W1130" s="25"/>
      <c r="X1130" s="25"/>
      <c r="Y1130" s="25"/>
      <c r="Z1130" s="25"/>
      <c r="AA1130" s="25"/>
      <c r="AB1130" s="25"/>
      <c r="AC1130" s="25"/>
    </row>
    <row r="1131" spans="4:29" x14ac:dyDescent="0.2">
      <c r="D1131" s="25"/>
      <c r="E1131" s="25"/>
      <c r="F1131" s="25"/>
      <c r="G1131" s="25"/>
      <c r="H1131" s="25"/>
      <c r="I1131" s="25"/>
      <c r="J1131" s="25"/>
      <c r="K1131" s="25"/>
      <c r="L1131" s="25"/>
      <c r="M1131" s="25"/>
      <c r="N1131" s="25"/>
      <c r="O1131" s="25"/>
      <c r="P1131" s="25"/>
      <c r="Q1131" s="25"/>
      <c r="R1131" s="25"/>
      <c r="S1131" s="25"/>
      <c r="T1131" s="25"/>
      <c r="U1131" s="25"/>
      <c r="V1131" s="25"/>
      <c r="W1131" s="25"/>
      <c r="X1131" s="25"/>
      <c r="Y1131" s="25"/>
      <c r="Z1131" s="25"/>
      <c r="AA1131" s="25"/>
      <c r="AB1131" s="25"/>
      <c r="AC1131" s="25"/>
    </row>
    <row r="1132" spans="4:29" x14ac:dyDescent="0.2">
      <c r="D1132" s="25"/>
      <c r="E1132" s="25"/>
      <c r="F1132" s="25"/>
      <c r="G1132" s="25"/>
      <c r="H1132" s="25"/>
      <c r="I1132" s="25"/>
      <c r="J1132" s="25"/>
      <c r="K1132" s="25"/>
      <c r="L1132" s="25"/>
      <c r="M1132" s="25"/>
      <c r="N1132" s="25"/>
      <c r="O1132" s="25"/>
      <c r="P1132" s="25"/>
      <c r="Q1132" s="25"/>
      <c r="R1132" s="25"/>
      <c r="S1132" s="25"/>
      <c r="T1132" s="25"/>
      <c r="U1132" s="25"/>
      <c r="V1132" s="25"/>
      <c r="W1132" s="25"/>
      <c r="X1132" s="25"/>
      <c r="Y1132" s="25"/>
      <c r="Z1132" s="25"/>
      <c r="AA1132" s="25"/>
      <c r="AB1132" s="25"/>
      <c r="AC1132" s="25"/>
    </row>
    <row r="1133" spans="4:29" x14ac:dyDescent="0.2">
      <c r="D1133" s="25"/>
      <c r="E1133" s="25"/>
      <c r="F1133" s="25"/>
      <c r="G1133" s="25"/>
      <c r="H1133" s="25"/>
      <c r="I1133" s="25"/>
      <c r="J1133" s="25"/>
      <c r="K1133" s="25"/>
      <c r="L1133" s="25"/>
      <c r="M1133" s="25"/>
      <c r="N1133" s="25"/>
      <c r="O1133" s="25"/>
      <c r="P1133" s="25"/>
      <c r="Q1133" s="25"/>
      <c r="R1133" s="25"/>
      <c r="S1133" s="25"/>
      <c r="T1133" s="25"/>
      <c r="U1133" s="25"/>
      <c r="V1133" s="25"/>
      <c r="W1133" s="25"/>
      <c r="X1133" s="25"/>
      <c r="Y1133" s="25"/>
      <c r="Z1133" s="25"/>
      <c r="AA1133" s="25"/>
      <c r="AB1133" s="25"/>
      <c r="AC1133" s="25"/>
    </row>
    <row r="1134" spans="4:29" x14ac:dyDescent="0.2">
      <c r="D1134" s="25"/>
      <c r="E1134" s="25"/>
      <c r="F1134" s="25"/>
      <c r="G1134" s="25"/>
      <c r="H1134" s="25"/>
      <c r="I1134" s="25"/>
      <c r="J1134" s="25"/>
      <c r="K1134" s="25"/>
      <c r="L1134" s="25"/>
      <c r="M1134" s="25"/>
      <c r="N1134" s="25"/>
      <c r="O1134" s="25"/>
      <c r="P1134" s="25"/>
      <c r="Q1134" s="25"/>
      <c r="R1134" s="25"/>
      <c r="S1134" s="25"/>
      <c r="T1134" s="25"/>
      <c r="U1134" s="25"/>
      <c r="V1134" s="25"/>
      <c r="W1134" s="25"/>
      <c r="X1134" s="25"/>
      <c r="Y1134" s="25"/>
      <c r="Z1134" s="25"/>
      <c r="AA1134" s="25"/>
      <c r="AB1134" s="25"/>
      <c r="AC1134" s="25"/>
    </row>
    <row r="1135" spans="4:29" x14ac:dyDescent="0.2">
      <c r="D1135" s="25"/>
      <c r="E1135" s="25"/>
      <c r="F1135" s="25"/>
      <c r="G1135" s="25"/>
      <c r="H1135" s="25"/>
      <c r="I1135" s="25"/>
      <c r="J1135" s="25"/>
      <c r="K1135" s="25"/>
      <c r="L1135" s="25"/>
      <c r="M1135" s="25"/>
      <c r="N1135" s="25"/>
      <c r="O1135" s="25"/>
      <c r="P1135" s="25"/>
      <c r="Q1135" s="25"/>
      <c r="R1135" s="25"/>
      <c r="S1135" s="25"/>
      <c r="T1135" s="25"/>
      <c r="U1135" s="25"/>
      <c r="V1135" s="25"/>
      <c r="W1135" s="25"/>
      <c r="X1135" s="25"/>
      <c r="Y1135" s="25"/>
      <c r="Z1135" s="25"/>
      <c r="AA1135" s="25"/>
      <c r="AB1135" s="25"/>
      <c r="AC1135" s="25"/>
    </row>
    <row r="1136" spans="4:29" x14ac:dyDescent="0.2">
      <c r="D1136" s="25"/>
      <c r="E1136" s="25"/>
      <c r="F1136" s="25"/>
      <c r="G1136" s="25"/>
      <c r="H1136" s="25"/>
      <c r="I1136" s="25"/>
      <c r="J1136" s="25"/>
      <c r="K1136" s="25"/>
      <c r="L1136" s="25"/>
      <c r="M1136" s="25"/>
      <c r="N1136" s="25"/>
      <c r="O1136" s="25"/>
      <c r="P1136" s="25"/>
      <c r="Q1136" s="25"/>
      <c r="R1136" s="25"/>
      <c r="S1136" s="25"/>
      <c r="T1136" s="25"/>
      <c r="U1136" s="25"/>
      <c r="V1136" s="25"/>
      <c r="W1136" s="25"/>
      <c r="X1136" s="25"/>
      <c r="Y1136" s="25"/>
      <c r="Z1136" s="25"/>
      <c r="AA1136" s="25"/>
      <c r="AB1136" s="25"/>
      <c r="AC1136" s="25"/>
    </row>
    <row r="1137" spans="4:29" x14ac:dyDescent="0.2">
      <c r="D1137" s="25"/>
      <c r="E1137" s="25"/>
      <c r="F1137" s="25"/>
      <c r="G1137" s="25"/>
      <c r="H1137" s="25"/>
      <c r="I1137" s="25"/>
      <c r="J1137" s="25"/>
      <c r="K1137" s="25"/>
      <c r="L1137" s="25"/>
      <c r="M1137" s="25"/>
      <c r="N1137" s="25"/>
      <c r="O1137" s="25"/>
      <c r="P1137" s="25"/>
      <c r="Q1137" s="25"/>
      <c r="R1137" s="25"/>
      <c r="S1137" s="25"/>
      <c r="T1137" s="25"/>
      <c r="U1137" s="25"/>
      <c r="V1137" s="25"/>
      <c r="W1137" s="25"/>
      <c r="X1137" s="25"/>
      <c r="Y1137" s="25"/>
      <c r="Z1137" s="25"/>
      <c r="AA1137" s="25"/>
      <c r="AB1137" s="25"/>
      <c r="AC1137" s="25"/>
    </row>
    <row r="1138" spans="4:29" x14ac:dyDescent="0.2">
      <c r="D1138" s="25"/>
      <c r="E1138" s="25"/>
      <c r="F1138" s="25"/>
      <c r="G1138" s="25"/>
      <c r="H1138" s="25"/>
      <c r="I1138" s="25"/>
      <c r="J1138" s="25"/>
      <c r="K1138" s="25"/>
      <c r="L1138" s="25"/>
      <c r="M1138" s="25"/>
      <c r="N1138" s="25"/>
      <c r="O1138" s="25"/>
      <c r="P1138" s="25"/>
      <c r="Q1138" s="25"/>
      <c r="R1138" s="25"/>
      <c r="S1138" s="25"/>
      <c r="T1138" s="25"/>
      <c r="U1138" s="25"/>
      <c r="V1138" s="25"/>
      <c r="W1138" s="25"/>
      <c r="X1138" s="25"/>
      <c r="Y1138" s="25"/>
      <c r="Z1138" s="25"/>
      <c r="AA1138" s="25"/>
      <c r="AB1138" s="25"/>
      <c r="AC1138" s="25"/>
    </row>
    <row r="1139" spans="4:29" x14ac:dyDescent="0.2">
      <c r="D1139" s="25"/>
      <c r="E1139" s="25"/>
      <c r="F1139" s="25"/>
      <c r="G1139" s="25"/>
      <c r="H1139" s="25"/>
      <c r="I1139" s="25"/>
      <c r="J1139" s="25"/>
      <c r="K1139" s="25"/>
      <c r="L1139" s="25"/>
      <c r="M1139" s="25"/>
      <c r="N1139" s="25"/>
      <c r="O1139" s="25"/>
      <c r="P1139" s="25"/>
      <c r="Q1139" s="25"/>
      <c r="R1139" s="25"/>
      <c r="S1139" s="25"/>
      <c r="T1139" s="25"/>
      <c r="U1139" s="25"/>
      <c r="V1139" s="25"/>
      <c r="W1139" s="25"/>
      <c r="X1139" s="25"/>
      <c r="Y1139" s="25"/>
      <c r="Z1139" s="25"/>
      <c r="AA1139" s="25"/>
      <c r="AB1139" s="25"/>
      <c r="AC1139" s="25"/>
    </row>
    <row r="1140" spans="4:29" x14ac:dyDescent="0.2">
      <c r="D1140" s="25"/>
      <c r="E1140" s="25"/>
      <c r="F1140" s="25"/>
      <c r="G1140" s="25"/>
      <c r="H1140" s="25"/>
      <c r="I1140" s="25"/>
      <c r="J1140" s="25"/>
      <c r="K1140" s="25"/>
      <c r="L1140" s="25"/>
      <c r="M1140" s="25"/>
      <c r="N1140" s="25"/>
      <c r="O1140" s="25"/>
      <c r="P1140" s="25"/>
      <c r="Q1140" s="25"/>
      <c r="R1140" s="25"/>
      <c r="S1140" s="25"/>
      <c r="T1140" s="25"/>
      <c r="U1140" s="25"/>
      <c r="V1140" s="25"/>
      <c r="W1140" s="25"/>
      <c r="X1140" s="25"/>
      <c r="Y1140" s="25"/>
      <c r="Z1140" s="25"/>
      <c r="AA1140" s="25"/>
      <c r="AB1140" s="25"/>
      <c r="AC1140" s="25"/>
    </row>
    <row r="1141" spans="4:29" x14ac:dyDescent="0.2">
      <c r="D1141" s="25"/>
      <c r="E1141" s="25"/>
      <c r="F1141" s="25"/>
      <c r="G1141" s="25"/>
      <c r="H1141" s="25"/>
      <c r="I1141" s="25"/>
      <c r="J1141" s="25"/>
      <c r="K1141" s="25"/>
      <c r="L1141" s="25"/>
      <c r="M1141" s="25"/>
      <c r="N1141" s="25"/>
      <c r="O1141" s="25"/>
      <c r="P1141" s="25"/>
      <c r="Q1141" s="25"/>
      <c r="R1141" s="25"/>
      <c r="S1141" s="25"/>
      <c r="T1141" s="25"/>
      <c r="U1141" s="25"/>
      <c r="V1141" s="25"/>
      <c r="W1141" s="25"/>
      <c r="X1141" s="25"/>
      <c r="Y1141" s="25"/>
      <c r="Z1141" s="25"/>
      <c r="AA1141" s="25"/>
      <c r="AB1141" s="25"/>
      <c r="AC1141" s="25"/>
    </row>
    <row r="1142" spans="4:29" x14ac:dyDescent="0.2">
      <c r="D1142" s="25"/>
      <c r="E1142" s="25"/>
      <c r="F1142" s="25"/>
      <c r="G1142" s="25"/>
      <c r="H1142" s="25"/>
      <c r="I1142" s="25"/>
      <c r="J1142" s="25"/>
      <c r="K1142" s="25"/>
      <c r="L1142" s="25"/>
      <c r="M1142" s="25"/>
      <c r="N1142" s="25"/>
      <c r="O1142" s="25"/>
      <c r="P1142" s="25"/>
      <c r="Q1142" s="25"/>
      <c r="R1142" s="25"/>
      <c r="S1142" s="25"/>
      <c r="T1142" s="25"/>
      <c r="U1142" s="25"/>
      <c r="V1142" s="25"/>
      <c r="W1142" s="25"/>
      <c r="X1142" s="25"/>
      <c r="Y1142" s="25"/>
      <c r="Z1142" s="25"/>
      <c r="AA1142" s="25"/>
      <c r="AB1142" s="25"/>
      <c r="AC1142" s="25"/>
    </row>
    <row r="1143" spans="4:29" x14ac:dyDescent="0.2">
      <c r="D1143" s="25"/>
      <c r="E1143" s="25"/>
      <c r="F1143" s="25"/>
      <c r="G1143" s="25"/>
      <c r="H1143" s="25"/>
      <c r="I1143" s="25"/>
      <c r="J1143" s="25"/>
      <c r="K1143" s="25"/>
      <c r="L1143" s="25"/>
      <c r="M1143" s="25"/>
      <c r="N1143" s="25"/>
      <c r="O1143" s="25"/>
      <c r="P1143" s="25"/>
      <c r="Q1143" s="25"/>
      <c r="R1143" s="25"/>
      <c r="S1143" s="25"/>
      <c r="T1143" s="25"/>
      <c r="U1143" s="25"/>
      <c r="V1143" s="25"/>
      <c r="W1143" s="25"/>
      <c r="X1143" s="25"/>
      <c r="Y1143" s="25"/>
      <c r="Z1143" s="25"/>
      <c r="AA1143" s="25"/>
      <c r="AB1143" s="25"/>
      <c r="AC1143" s="25"/>
    </row>
    <row r="1144" spans="4:29" x14ac:dyDescent="0.2">
      <c r="D1144" s="25"/>
      <c r="E1144" s="25"/>
      <c r="F1144" s="25"/>
      <c r="G1144" s="25"/>
      <c r="H1144" s="25"/>
      <c r="I1144" s="25"/>
      <c r="J1144" s="25"/>
      <c r="K1144" s="25"/>
      <c r="L1144" s="25"/>
      <c r="M1144" s="25"/>
      <c r="N1144" s="25"/>
      <c r="O1144" s="25"/>
      <c r="P1144" s="25"/>
      <c r="Q1144" s="25"/>
      <c r="R1144" s="25"/>
      <c r="S1144" s="25"/>
      <c r="T1144" s="25"/>
      <c r="U1144" s="25"/>
      <c r="V1144" s="25"/>
      <c r="W1144" s="25"/>
      <c r="X1144" s="25"/>
      <c r="Y1144" s="25"/>
      <c r="Z1144" s="25"/>
      <c r="AA1144" s="25"/>
      <c r="AB1144" s="25"/>
      <c r="AC1144" s="25"/>
    </row>
    <row r="1145" spans="4:29" x14ac:dyDescent="0.2">
      <c r="D1145" s="25"/>
      <c r="E1145" s="25"/>
      <c r="F1145" s="25"/>
      <c r="G1145" s="25"/>
      <c r="H1145" s="25"/>
      <c r="I1145" s="25"/>
      <c r="J1145" s="25"/>
      <c r="K1145" s="25"/>
      <c r="L1145" s="25"/>
      <c r="M1145" s="25"/>
      <c r="N1145" s="25"/>
      <c r="O1145" s="25"/>
      <c r="P1145" s="25"/>
      <c r="Q1145" s="25"/>
      <c r="R1145" s="25"/>
      <c r="S1145" s="25"/>
      <c r="T1145" s="25"/>
      <c r="U1145" s="25"/>
      <c r="V1145" s="25"/>
      <c r="W1145" s="25"/>
      <c r="X1145" s="25"/>
      <c r="Y1145" s="25"/>
      <c r="Z1145" s="25"/>
      <c r="AA1145" s="25"/>
      <c r="AB1145" s="25"/>
      <c r="AC1145" s="25"/>
    </row>
    <row r="1146" spans="4:29" x14ac:dyDescent="0.2">
      <c r="D1146" s="25"/>
      <c r="E1146" s="25"/>
      <c r="F1146" s="25"/>
      <c r="G1146" s="25"/>
      <c r="H1146" s="25"/>
      <c r="I1146" s="25"/>
      <c r="J1146" s="25"/>
      <c r="K1146" s="25"/>
      <c r="L1146" s="25"/>
      <c r="M1146" s="25"/>
      <c r="N1146" s="25"/>
      <c r="O1146" s="25"/>
      <c r="P1146" s="25"/>
      <c r="Q1146" s="25"/>
      <c r="R1146" s="25"/>
      <c r="S1146" s="25"/>
      <c r="T1146" s="25"/>
      <c r="U1146" s="25"/>
      <c r="V1146" s="25"/>
      <c r="W1146" s="25"/>
      <c r="X1146" s="25"/>
      <c r="Y1146" s="25"/>
      <c r="Z1146" s="25"/>
      <c r="AA1146" s="25"/>
      <c r="AB1146" s="25"/>
      <c r="AC1146" s="25"/>
    </row>
    <row r="1147" spans="4:29" x14ac:dyDescent="0.2">
      <c r="D1147" s="25"/>
      <c r="E1147" s="25"/>
      <c r="F1147" s="25"/>
      <c r="G1147" s="25"/>
      <c r="H1147" s="25"/>
      <c r="I1147" s="25"/>
      <c r="J1147" s="25"/>
      <c r="K1147" s="25"/>
      <c r="L1147" s="25"/>
      <c r="M1147" s="25"/>
      <c r="N1147" s="25"/>
      <c r="O1147" s="25"/>
      <c r="P1147" s="25"/>
      <c r="Q1147" s="25"/>
      <c r="R1147" s="25"/>
      <c r="S1147" s="25"/>
      <c r="T1147" s="25"/>
      <c r="U1147" s="25"/>
      <c r="V1147" s="25"/>
      <c r="W1147" s="25"/>
      <c r="X1147" s="25"/>
      <c r="Y1147" s="25"/>
      <c r="Z1147" s="25"/>
      <c r="AA1147" s="25"/>
      <c r="AB1147" s="25"/>
      <c r="AC1147" s="25"/>
    </row>
    <row r="1148" spans="4:29" x14ac:dyDescent="0.2">
      <c r="D1148" s="25"/>
      <c r="E1148" s="25"/>
      <c r="F1148" s="25"/>
      <c r="G1148" s="25"/>
      <c r="H1148" s="25"/>
      <c r="I1148" s="25"/>
      <c r="J1148" s="25"/>
      <c r="K1148" s="25"/>
      <c r="L1148" s="25"/>
      <c r="M1148" s="25"/>
      <c r="N1148" s="25"/>
      <c r="O1148" s="25"/>
      <c r="P1148" s="25"/>
      <c r="Q1148" s="25"/>
      <c r="R1148" s="25"/>
      <c r="S1148" s="25"/>
      <c r="T1148" s="25"/>
      <c r="U1148" s="25"/>
      <c r="V1148" s="25"/>
      <c r="W1148" s="25"/>
      <c r="X1148" s="25"/>
      <c r="Y1148" s="25"/>
      <c r="Z1148" s="25"/>
      <c r="AA1148" s="25"/>
      <c r="AB1148" s="25"/>
      <c r="AC1148" s="25"/>
    </row>
    <row r="1149" spans="4:29" x14ac:dyDescent="0.2">
      <c r="D1149" s="25"/>
      <c r="E1149" s="25"/>
      <c r="F1149" s="25"/>
      <c r="G1149" s="25"/>
      <c r="H1149" s="25"/>
      <c r="I1149" s="25"/>
      <c r="J1149" s="25"/>
      <c r="K1149" s="25"/>
      <c r="L1149" s="25"/>
      <c r="M1149" s="25"/>
      <c r="N1149" s="25"/>
      <c r="O1149" s="25"/>
      <c r="P1149" s="25"/>
      <c r="Q1149" s="25"/>
      <c r="R1149" s="25"/>
      <c r="S1149" s="25"/>
      <c r="T1149" s="25"/>
      <c r="U1149" s="25"/>
      <c r="V1149" s="25"/>
      <c r="W1149" s="25"/>
      <c r="X1149" s="25"/>
      <c r="Y1149" s="25"/>
      <c r="Z1149" s="25"/>
      <c r="AA1149" s="25"/>
      <c r="AB1149" s="25"/>
      <c r="AC1149" s="25"/>
    </row>
    <row r="1150" spans="4:29" x14ac:dyDescent="0.2">
      <c r="D1150" s="25"/>
      <c r="E1150" s="25"/>
      <c r="F1150" s="25"/>
      <c r="G1150" s="25"/>
      <c r="H1150" s="25"/>
      <c r="I1150" s="25"/>
      <c r="J1150" s="25"/>
      <c r="K1150" s="25"/>
      <c r="L1150" s="25"/>
      <c r="M1150" s="25"/>
      <c r="N1150" s="25"/>
      <c r="O1150" s="25"/>
      <c r="P1150" s="25"/>
      <c r="Q1150" s="25"/>
      <c r="R1150" s="25"/>
      <c r="S1150" s="25"/>
      <c r="T1150" s="25"/>
      <c r="U1150" s="25"/>
      <c r="V1150" s="25"/>
      <c r="W1150" s="25"/>
      <c r="X1150" s="25"/>
      <c r="Y1150" s="25"/>
      <c r="Z1150" s="25"/>
      <c r="AA1150" s="25"/>
      <c r="AB1150" s="25"/>
      <c r="AC1150" s="25"/>
    </row>
    <row r="1151" spans="4:29" x14ac:dyDescent="0.2">
      <c r="D1151" s="25"/>
      <c r="E1151" s="25"/>
      <c r="F1151" s="25"/>
      <c r="G1151" s="25"/>
      <c r="H1151" s="25"/>
      <c r="I1151" s="25"/>
      <c r="J1151" s="25"/>
      <c r="K1151" s="25"/>
      <c r="L1151" s="25"/>
      <c r="M1151" s="25"/>
      <c r="N1151" s="25"/>
      <c r="O1151" s="25"/>
      <c r="P1151" s="25"/>
      <c r="Q1151" s="25"/>
      <c r="R1151" s="25"/>
      <c r="S1151" s="25"/>
      <c r="T1151" s="25"/>
      <c r="U1151" s="25"/>
      <c r="V1151" s="25"/>
      <c r="W1151" s="25"/>
      <c r="X1151" s="25"/>
      <c r="Y1151" s="25"/>
      <c r="Z1151" s="25"/>
      <c r="AA1151" s="25"/>
      <c r="AB1151" s="25"/>
      <c r="AC1151" s="25"/>
    </row>
    <row r="1152" spans="4:29" x14ac:dyDescent="0.2">
      <c r="D1152" s="25"/>
      <c r="E1152" s="25"/>
      <c r="F1152" s="25"/>
      <c r="G1152" s="25"/>
      <c r="H1152" s="25"/>
      <c r="I1152" s="25"/>
      <c r="J1152" s="25"/>
      <c r="K1152" s="25"/>
      <c r="L1152" s="25"/>
      <c r="M1152" s="25"/>
      <c r="N1152" s="25"/>
      <c r="O1152" s="25"/>
      <c r="P1152" s="25"/>
      <c r="Q1152" s="25"/>
      <c r="R1152" s="25"/>
      <c r="S1152" s="25"/>
      <c r="T1152" s="25"/>
      <c r="U1152" s="25"/>
      <c r="V1152" s="25"/>
      <c r="W1152" s="25"/>
      <c r="X1152" s="25"/>
      <c r="Y1152" s="25"/>
      <c r="Z1152" s="25"/>
      <c r="AA1152" s="25"/>
      <c r="AB1152" s="25"/>
      <c r="AC1152" s="25"/>
    </row>
    <row r="1153" spans="4:29" x14ac:dyDescent="0.2">
      <c r="D1153" s="25"/>
      <c r="E1153" s="25"/>
      <c r="F1153" s="25"/>
      <c r="G1153" s="25"/>
      <c r="H1153" s="25"/>
      <c r="I1153" s="25"/>
      <c r="J1153" s="25"/>
      <c r="K1153" s="25"/>
      <c r="L1153" s="25"/>
      <c r="M1153" s="25"/>
      <c r="N1153" s="25"/>
      <c r="O1153" s="25"/>
      <c r="P1153" s="25"/>
      <c r="Q1153" s="25"/>
      <c r="R1153" s="25"/>
      <c r="S1153" s="25"/>
      <c r="T1153" s="25"/>
      <c r="U1153" s="25"/>
      <c r="V1153" s="25"/>
      <c r="W1153" s="25"/>
      <c r="X1153" s="25"/>
      <c r="Y1153" s="25"/>
      <c r="Z1153" s="25"/>
      <c r="AA1153" s="25"/>
      <c r="AB1153" s="25"/>
      <c r="AC1153" s="25"/>
    </row>
    <row r="1154" spans="4:29" x14ac:dyDescent="0.2">
      <c r="D1154" s="25"/>
      <c r="E1154" s="25"/>
      <c r="F1154" s="25"/>
      <c r="G1154" s="25"/>
      <c r="H1154" s="25"/>
      <c r="I1154" s="25"/>
      <c r="J1154" s="25"/>
      <c r="K1154" s="25"/>
      <c r="L1154" s="25"/>
      <c r="M1154" s="25"/>
      <c r="N1154" s="25"/>
      <c r="O1154" s="25"/>
      <c r="P1154" s="25"/>
      <c r="Q1154" s="25"/>
      <c r="R1154" s="25"/>
      <c r="S1154" s="25"/>
      <c r="T1154" s="25"/>
      <c r="U1154" s="25"/>
      <c r="V1154" s="25"/>
      <c r="W1154" s="25"/>
      <c r="X1154" s="25"/>
      <c r="Y1154" s="25"/>
      <c r="Z1154" s="25"/>
      <c r="AA1154" s="25"/>
      <c r="AB1154" s="25"/>
      <c r="AC1154" s="25"/>
    </row>
    <row r="1155" spans="4:29" x14ac:dyDescent="0.2">
      <c r="D1155" s="25"/>
      <c r="E1155" s="25"/>
      <c r="F1155" s="25"/>
      <c r="G1155" s="25"/>
      <c r="H1155" s="25"/>
      <c r="I1155" s="25"/>
      <c r="J1155" s="25"/>
      <c r="K1155" s="25"/>
      <c r="L1155" s="25"/>
      <c r="M1155" s="25"/>
      <c r="N1155" s="25"/>
      <c r="O1155" s="25"/>
      <c r="P1155" s="25"/>
      <c r="Q1155" s="25"/>
      <c r="R1155" s="25"/>
      <c r="S1155" s="25"/>
      <c r="T1155" s="25"/>
      <c r="U1155" s="25"/>
      <c r="V1155" s="25"/>
      <c r="W1155" s="25"/>
      <c r="X1155" s="25"/>
      <c r="Y1155" s="25"/>
      <c r="Z1155" s="25"/>
      <c r="AA1155" s="25"/>
      <c r="AB1155" s="25"/>
      <c r="AC1155" s="25"/>
    </row>
    <row r="1156" spans="4:29" x14ac:dyDescent="0.2">
      <c r="D1156" s="25"/>
      <c r="E1156" s="25"/>
      <c r="F1156" s="25"/>
      <c r="G1156" s="25"/>
      <c r="H1156" s="25"/>
      <c r="I1156" s="25"/>
      <c r="J1156" s="25"/>
      <c r="K1156" s="25"/>
      <c r="L1156" s="25"/>
      <c r="M1156" s="25"/>
      <c r="N1156" s="25"/>
      <c r="O1156" s="25"/>
      <c r="P1156" s="25"/>
      <c r="Q1156" s="25"/>
      <c r="R1156" s="25"/>
      <c r="S1156" s="25"/>
      <c r="T1156" s="25"/>
      <c r="U1156" s="25"/>
      <c r="V1156" s="25"/>
      <c r="W1156" s="25"/>
      <c r="X1156" s="25"/>
      <c r="Y1156" s="25"/>
      <c r="Z1156" s="25"/>
      <c r="AA1156" s="25"/>
      <c r="AB1156" s="25"/>
      <c r="AC1156" s="25"/>
    </row>
    <row r="1157" spans="4:29" x14ac:dyDescent="0.2">
      <c r="D1157" s="25"/>
      <c r="E1157" s="25"/>
      <c r="F1157" s="25"/>
      <c r="G1157" s="25"/>
      <c r="H1157" s="25"/>
      <c r="I1157" s="25"/>
      <c r="J1157" s="25"/>
      <c r="K1157" s="25"/>
      <c r="L1157" s="25"/>
      <c r="M1157" s="25"/>
      <c r="N1157" s="25"/>
      <c r="O1157" s="25"/>
      <c r="P1157" s="25"/>
      <c r="Q1157" s="25"/>
      <c r="R1157" s="25"/>
      <c r="S1157" s="25"/>
      <c r="T1157" s="25"/>
      <c r="U1157" s="25"/>
      <c r="V1157" s="25"/>
      <c r="W1157" s="25"/>
      <c r="X1157" s="25"/>
      <c r="Y1157" s="25"/>
      <c r="Z1157" s="25"/>
      <c r="AA1157" s="25"/>
      <c r="AB1157" s="25"/>
      <c r="AC1157" s="25"/>
    </row>
    <row r="1158" spans="4:29" x14ac:dyDescent="0.2">
      <c r="D1158" s="25"/>
      <c r="E1158" s="25"/>
      <c r="F1158" s="25"/>
      <c r="G1158" s="25"/>
      <c r="H1158" s="25"/>
      <c r="I1158" s="25"/>
      <c r="J1158" s="25"/>
      <c r="K1158" s="25"/>
      <c r="L1158" s="25"/>
      <c r="M1158" s="25"/>
      <c r="N1158" s="25"/>
      <c r="O1158" s="25"/>
      <c r="P1158" s="25"/>
      <c r="Q1158" s="25"/>
      <c r="R1158" s="25"/>
      <c r="S1158" s="25"/>
      <c r="T1158" s="25"/>
      <c r="U1158" s="25"/>
      <c r="V1158" s="25"/>
      <c r="W1158" s="25"/>
      <c r="X1158" s="25"/>
      <c r="Y1158" s="25"/>
      <c r="Z1158" s="25"/>
      <c r="AA1158" s="25"/>
      <c r="AB1158" s="25"/>
      <c r="AC1158" s="25"/>
    </row>
    <row r="1159" spans="4:29" x14ac:dyDescent="0.2">
      <c r="D1159" s="25"/>
      <c r="E1159" s="25"/>
      <c r="F1159" s="25"/>
      <c r="G1159" s="25"/>
      <c r="H1159" s="25"/>
      <c r="I1159" s="25"/>
      <c r="J1159" s="25"/>
      <c r="K1159" s="25"/>
      <c r="L1159" s="25"/>
      <c r="M1159" s="25"/>
      <c r="N1159" s="25"/>
      <c r="O1159" s="25"/>
      <c r="P1159" s="25"/>
      <c r="Q1159" s="25"/>
      <c r="R1159" s="25"/>
      <c r="S1159" s="25"/>
      <c r="T1159" s="25"/>
      <c r="U1159" s="25"/>
      <c r="V1159" s="25"/>
      <c r="W1159" s="25"/>
      <c r="X1159" s="25"/>
      <c r="Y1159" s="25"/>
      <c r="Z1159" s="25"/>
      <c r="AA1159" s="25"/>
      <c r="AB1159" s="25"/>
      <c r="AC1159" s="25"/>
    </row>
    <row r="1160" spans="4:29" x14ac:dyDescent="0.2">
      <c r="D1160" s="25"/>
      <c r="E1160" s="25"/>
      <c r="F1160" s="25"/>
      <c r="G1160" s="25"/>
      <c r="H1160" s="25"/>
      <c r="I1160" s="25"/>
      <c r="J1160" s="25"/>
      <c r="K1160" s="25"/>
      <c r="L1160" s="25"/>
      <c r="M1160" s="25"/>
      <c r="N1160" s="25"/>
      <c r="O1160" s="25"/>
      <c r="P1160" s="25"/>
      <c r="Q1160" s="25"/>
      <c r="R1160" s="25"/>
      <c r="S1160" s="25"/>
      <c r="T1160" s="25"/>
      <c r="U1160" s="25"/>
      <c r="V1160" s="25"/>
      <c r="W1160" s="25"/>
      <c r="X1160" s="25"/>
      <c r="Y1160" s="25"/>
      <c r="Z1160" s="25"/>
      <c r="AA1160" s="25"/>
      <c r="AB1160" s="25"/>
      <c r="AC1160" s="25"/>
    </row>
    <row r="1161" spans="4:29" x14ac:dyDescent="0.2">
      <c r="D1161" s="25"/>
      <c r="E1161" s="25"/>
      <c r="F1161" s="25"/>
      <c r="G1161" s="25"/>
      <c r="H1161" s="25"/>
      <c r="I1161" s="25"/>
      <c r="J1161" s="25"/>
      <c r="K1161" s="25"/>
      <c r="L1161" s="25"/>
      <c r="M1161" s="25"/>
      <c r="N1161" s="25"/>
      <c r="O1161" s="25"/>
      <c r="P1161" s="25"/>
      <c r="Q1161" s="25"/>
      <c r="R1161" s="25"/>
      <c r="S1161" s="25"/>
      <c r="T1161" s="25"/>
      <c r="U1161" s="25"/>
      <c r="V1161" s="25"/>
      <c r="W1161" s="25"/>
      <c r="X1161" s="25"/>
      <c r="Y1161" s="25"/>
      <c r="Z1161" s="25"/>
      <c r="AA1161" s="25"/>
      <c r="AB1161" s="25"/>
      <c r="AC1161" s="25"/>
    </row>
    <row r="1162" spans="4:29" x14ac:dyDescent="0.2">
      <c r="D1162" s="25"/>
      <c r="E1162" s="25"/>
      <c r="F1162" s="25"/>
      <c r="G1162" s="25"/>
      <c r="H1162" s="25"/>
      <c r="I1162" s="25"/>
      <c r="J1162" s="25"/>
      <c r="K1162" s="25"/>
      <c r="L1162" s="25"/>
      <c r="M1162" s="25"/>
      <c r="N1162" s="25"/>
      <c r="O1162" s="25"/>
      <c r="P1162" s="25"/>
      <c r="Q1162" s="25"/>
      <c r="R1162" s="25"/>
      <c r="S1162" s="25"/>
      <c r="T1162" s="25"/>
      <c r="U1162" s="25"/>
      <c r="V1162" s="25"/>
      <c r="W1162" s="25"/>
      <c r="X1162" s="25"/>
      <c r="Y1162" s="25"/>
      <c r="Z1162" s="25"/>
      <c r="AA1162" s="25"/>
      <c r="AB1162" s="25"/>
      <c r="AC1162" s="25"/>
    </row>
    <row r="1163" spans="4:29" x14ac:dyDescent="0.2">
      <c r="D1163" s="25"/>
      <c r="E1163" s="25"/>
      <c r="F1163" s="25"/>
      <c r="G1163" s="25"/>
      <c r="H1163" s="25"/>
      <c r="I1163" s="25"/>
      <c r="J1163" s="25"/>
      <c r="K1163" s="25"/>
      <c r="L1163" s="25"/>
      <c r="M1163" s="25"/>
      <c r="N1163" s="25"/>
      <c r="O1163" s="25"/>
      <c r="P1163" s="25"/>
      <c r="Q1163" s="25"/>
      <c r="R1163" s="25"/>
      <c r="S1163" s="25"/>
      <c r="T1163" s="25"/>
      <c r="U1163" s="25"/>
      <c r="V1163" s="25"/>
      <c r="W1163" s="25"/>
      <c r="X1163" s="25"/>
      <c r="Y1163" s="25"/>
      <c r="Z1163" s="25"/>
      <c r="AA1163" s="25"/>
      <c r="AB1163" s="25"/>
      <c r="AC1163" s="25"/>
    </row>
    <row r="1164" spans="4:29" x14ac:dyDescent="0.2">
      <c r="D1164" s="25"/>
      <c r="E1164" s="25"/>
      <c r="F1164" s="25"/>
      <c r="G1164" s="25"/>
      <c r="H1164" s="25"/>
      <c r="I1164" s="25"/>
      <c r="J1164" s="25"/>
      <c r="K1164" s="25"/>
      <c r="L1164" s="25"/>
      <c r="M1164" s="25"/>
      <c r="N1164" s="25"/>
      <c r="O1164" s="25"/>
      <c r="P1164" s="25"/>
      <c r="Q1164" s="25"/>
      <c r="R1164" s="25"/>
      <c r="S1164" s="25"/>
      <c r="T1164" s="25"/>
      <c r="U1164" s="25"/>
      <c r="V1164" s="25"/>
      <c r="W1164" s="25"/>
      <c r="X1164" s="25"/>
      <c r="Y1164" s="25"/>
      <c r="Z1164" s="25"/>
      <c r="AA1164" s="25"/>
      <c r="AB1164" s="25"/>
      <c r="AC1164" s="25"/>
    </row>
    <row r="1165" spans="4:29" x14ac:dyDescent="0.2">
      <c r="D1165" s="25"/>
      <c r="E1165" s="25"/>
      <c r="F1165" s="25"/>
      <c r="G1165" s="25"/>
      <c r="H1165" s="25"/>
      <c r="I1165" s="25"/>
      <c r="J1165" s="25"/>
      <c r="K1165" s="25"/>
      <c r="L1165" s="25"/>
      <c r="M1165" s="25"/>
      <c r="N1165" s="25"/>
      <c r="O1165" s="25"/>
      <c r="P1165" s="25"/>
      <c r="Q1165" s="25"/>
      <c r="R1165" s="25"/>
      <c r="S1165" s="25"/>
      <c r="T1165" s="25"/>
      <c r="U1165" s="25"/>
      <c r="V1165" s="25"/>
      <c r="W1165" s="25"/>
      <c r="X1165" s="25"/>
      <c r="Y1165" s="25"/>
      <c r="Z1165" s="25"/>
      <c r="AA1165" s="25"/>
      <c r="AB1165" s="25"/>
      <c r="AC1165" s="25"/>
    </row>
    <row r="1166" spans="4:29" x14ac:dyDescent="0.2">
      <c r="D1166" s="25"/>
      <c r="E1166" s="25"/>
      <c r="F1166" s="25"/>
      <c r="G1166" s="25"/>
      <c r="H1166" s="25"/>
      <c r="I1166" s="25"/>
      <c r="J1166" s="25"/>
      <c r="K1166" s="25"/>
      <c r="L1166" s="25"/>
      <c r="M1166" s="25"/>
      <c r="N1166" s="25"/>
      <c r="O1166" s="25"/>
      <c r="P1166" s="25"/>
      <c r="Q1166" s="25"/>
      <c r="R1166" s="25"/>
      <c r="S1166" s="25"/>
      <c r="T1166" s="25"/>
      <c r="U1166" s="25"/>
      <c r="V1166" s="25"/>
      <c r="W1166" s="25"/>
      <c r="X1166" s="25"/>
      <c r="Y1166" s="25"/>
      <c r="Z1166" s="25"/>
      <c r="AA1166" s="25"/>
      <c r="AB1166" s="25"/>
      <c r="AC1166" s="25"/>
    </row>
    <row r="1167" spans="4:29" x14ac:dyDescent="0.2">
      <c r="D1167" s="25"/>
      <c r="E1167" s="25"/>
      <c r="F1167" s="25"/>
      <c r="G1167" s="25"/>
      <c r="H1167" s="25"/>
      <c r="I1167" s="25"/>
      <c r="J1167" s="25"/>
      <c r="K1167" s="25"/>
      <c r="L1167" s="25"/>
      <c r="M1167" s="25"/>
      <c r="N1167" s="25"/>
      <c r="O1167" s="25"/>
      <c r="P1167" s="25"/>
      <c r="Q1167" s="25"/>
      <c r="R1167" s="25"/>
      <c r="S1167" s="25"/>
      <c r="T1167" s="25"/>
      <c r="U1167" s="25"/>
      <c r="V1167" s="25"/>
      <c r="W1167" s="25"/>
      <c r="X1167" s="25"/>
      <c r="Y1167" s="25"/>
      <c r="Z1167" s="25"/>
      <c r="AA1167" s="25"/>
      <c r="AB1167" s="25"/>
      <c r="AC1167" s="25"/>
    </row>
    <row r="1168" spans="4:29" x14ac:dyDescent="0.2">
      <c r="D1168" s="25"/>
      <c r="E1168" s="25"/>
      <c r="F1168" s="25"/>
      <c r="G1168" s="25"/>
      <c r="H1168" s="25"/>
      <c r="I1168" s="25"/>
      <c r="J1168" s="25"/>
      <c r="K1168" s="25"/>
      <c r="L1168" s="25"/>
      <c r="M1168" s="25"/>
      <c r="N1168" s="25"/>
      <c r="O1168" s="25"/>
      <c r="P1168" s="25"/>
      <c r="Q1168" s="25"/>
      <c r="R1168" s="25"/>
      <c r="S1168" s="25"/>
      <c r="T1168" s="25"/>
      <c r="U1168" s="25"/>
      <c r="V1168" s="25"/>
      <c r="W1168" s="25"/>
      <c r="X1168" s="25"/>
      <c r="Y1168" s="25"/>
      <c r="Z1168" s="25"/>
      <c r="AA1168" s="25"/>
      <c r="AB1168" s="25"/>
      <c r="AC1168" s="25"/>
    </row>
    <row r="1169" spans="4:29" x14ac:dyDescent="0.2">
      <c r="D1169" s="25"/>
      <c r="E1169" s="25"/>
      <c r="F1169" s="25"/>
      <c r="G1169" s="25"/>
      <c r="H1169" s="25"/>
      <c r="I1169" s="25"/>
      <c r="J1169" s="25"/>
      <c r="K1169" s="25"/>
      <c r="L1169" s="25"/>
      <c r="M1169" s="25"/>
      <c r="N1169" s="25"/>
      <c r="O1169" s="25"/>
      <c r="P1169" s="25"/>
      <c r="Q1169" s="25"/>
      <c r="R1169" s="25"/>
      <c r="S1169" s="25"/>
      <c r="T1169" s="25"/>
      <c r="U1169" s="25"/>
      <c r="V1169" s="25"/>
      <c r="W1169" s="25"/>
      <c r="X1169" s="25"/>
      <c r="Y1169" s="25"/>
      <c r="Z1169" s="25"/>
      <c r="AA1169" s="25"/>
      <c r="AB1169" s="25"/>
      <c r="AC1169" s="25"/>
    </row>
    <row r="1170" spans="4:29" x14ac:dyDescent="0.2">
      <c r="D1170" s="25"/>
      <c r="E1170" s="25"/>
      <c r="F1170" s="25"/>
      <c r="G1170" s="25"/>
      <c r="H1170" s="25"/>
      <c r="I1170" s="25"/>
      <c r="J1170" s="25"/>
      <c r="K1170" s="25"/>
      <c r="L1170" s="25"/>
      <c r="M1170" s="25"/>
      <c r="N1170" s="25"/>
      <c r="O1170" s="25"/>
      <c r="P1170" s="25"/>
      <c r="Q1170" s="25"/>
      <c r="R1170" s="25"/>
      <c r="S1170" s="25"/>
      <c r="T1170" s="25"/>
      <c r="U1170" s="25"/>
      <c r="V1170" s="25"/>
      <c r="W1170" s="25"/>
      <c r="X1170" s="25"/>
      <c r="Y1170" s="25"/>
      <c r="Z1170" s="25"/>
      <c r="AA1170" s="25"/>
      <c r="AB1170" s="25"/>
      <c r="AC1170" s="25"/>
    </row>
    <row r="1171" spans="4:29" x14ac:dyDescent="0.2">
      <c r="D1171" s="25"/>
      <c r="E1171" s="25"/>
      <c r="F1171" s="25"/>
      <c r="G1171" s="25"/>
      <c r="H1171" s="25"/>
      <c r="I1171" s="25"/>
      <c r="J1171" s="25"/>
      <c r="K1171" s="25"/>
      <c r="L1171" s="25"/>
      <c r="M1171" s="25"/>
      <c r="N1171" s="25"/>
      <c r="O1171" s="25"/>
      <c r="P1171" s="25"/>
      <c r="Q1171" s="25"/>
      <c r="R1171" s="25"/>
      <c r="S1171" s="25"/>
      <c r="T1171" s="25"/>
      <c r="U1171" s="25"/>
      <c r="V1171" s="25"/>
      <c r="W1171" s="25"/>
      <c r="X1171" s="25"/>
      <c r="Y1171" s="25"/>
      <c r="Z1171" s="25"/>
      <c r="AA1171" s="25"/>
      <c r="AB1171" s="25"/>
      <c r="AC1171" s="25"/>
    </row>
    <row r="1172" spans="4:29" x14ac:dyDescent="0.2">
      <c r="D1172" s="25"/>
      <c r="E1172" s="25"/>
      <c r="F1172" s="25"/>
      <c r="G1172" s="25"/>
      <c r="H1172" s="25"/>
      <c r="I1172" s="25"/>
      <c r="J1172" s="25"/>
      <c r="K1172" s="25"/>
      <c r="L1172" s="25"/>
      <c r="M1172" s="25"/>
      <c r="N1172" s="25"/>
      <c r="O1172" s="25"/>
      <c r="P1172" s="25"/>
      <c r="Q1172" s="25"/>
      <c r="R1172" s="25"/>
      <c r="S1172" s="25"/>
      <c r="T1172" s="25"/>
      <c r="U1172" s="25"/>
      <c r="V1172" s="25"/>
      <c r="W1172" s="25"/>
      <c r="X1172" s="25"/>
      <c r="Y1172" s="25"/>
      <c r="Z1172" s="25"/>
      <c r="AA1172" s="25"/>
      <c r="AB1172" s="25"/>
      <c r="AC1172" s="25"/>
    </row>
    <row r="1173" spans="4:29" x14ac:dyDescent="0.2">
      <c r="D1173" s="25"/>
      <c r="E1173" s="25"/>
      <c r="F1173" s="25"/>
      <c r="G1173" s="25"/>
      <c r="H1173" s="25"/>
      <c r="I1173" s="25"/>
      <c r="J1173" s="25"/>
      <c r="K1173" s="25"/>
      <c r="L1173" s="25"/>
      <c r="M1173" s="25"/>
      <c r="N1173" s="25"/>
      <c r="O1173" s="25"/>
      <c r="P1173" s="25"/>
      <c r="Q1173" s="25"/>
      <c r="R1173" s="25"/>
      <c r="S1173" s="25"/>
      <c r="T1173" s="25"/>
      <c r="U1173" s="25"/>
      <c r="V1173" s="25"/>
      <c r="W1173" s="25"/>
      <c r="X1173" s="25"/>
      <c r="Y1173" s="25"/>
      <c r="Z1173" s="25"/>
      <c r="AA1173" s="25"/>
      <c r="AB1173" s="25"/>
      <c r="AC1173" s="25"/>
    </row>
    <row r="1174" spans="4:29" x14ac:dyDescent="0.2">
      <c r="D1174" s="25"/>
      <c r="E1174" s="25"/>
      <c r="F1174" s="25"/>
      <c r="G1174" s="25"/>
      <c r="H1174" s="25"/>
      <c r="I1174" s="25"/>
      <c r="J1174" s="25"/>
      <c r="K1174" s="25"/>
      <c r="L1174" s="25"/>
      <c r="M1174" s="25"/>
      <c r="N1174" s="25"/>
      <c r="O1174" s="25"/>
      <c r="P1174" s="25"/>
      <c r="Q1174" s="25"/>
      <c r="R1174" s="25"/>
      <c r="S1174" s="25"/>
      <c r="T1174" s="25"/>
      <c r="U1174" s="25"/>
      <c r="V1174" s="25"/>
      <c r="W1174" s="25"/>
      <c r="X1174" s="25"/>
      <c r="Y1174" s="25"/>
      <c r="Z1174" s="25"/>
      <c r="AA1174" s="25"/>
      <c r="AB1174" s="25"/>
      <c r="AC1174" s="25"/>
    </row>
    <row r="1175" spans="4:29" x14ac:dyDescent="0.2">
      <c r="D1175" s="25"/>
      <c r="E1175" s="25"/>
      <c r="F1175" s="25"/>
      <c r="G1175" s="25"/>
      <c r="H1175" s="25"/>
      <c r="I1175" s="25"/>
      <c r="J1175" s="25"/>
      <c r="K1175" s="25"/>
      <c r="L1175" s="25"/>
      <c r="M1175" s="25"/>
      <c r="N1175" s="25"/>
      <c r="O1175" s="25"/>
      <c r="P1175" s="25"/>
      <c r="Q1175" s="25"/>
      <c r="R1175" s="25"/>
      <c r="S1175" s="25"/>
      <c r="T1175" s="25"/>
      <c r="U1175" s="25"/>
      <c r="V1175" s="25"/>
      <c r="W1175" s="25"/>
      <c r="X1175" s="25"/>
      <c r="Y1175" s="25"/>
      <c r="Z1175" s="25"/>
      <c r="AA1175" s="25"/>
      <c r="AB1175" s="25"/>
      <c r="AC1175" s="25"/>
    </row>
    <row r="1176" spans="4:29" x14ac:dyDescent="0.2">
      <c r="D1176" s="25"/>
      <c r="E1176" s="25"/>
      <c r="F1176" s="25"/>
      <c r="G1176" s="25"/>
      <c r="H1176" s="25"/>
      <c r="I1176" s="25"/>
      <c r="J1176" s="25"/>
      <c r="K1176" s="25"/>
      <c r="L1176" s="25"/>
      <c r="M1176" s="25"/>
      <c r="N1176" s="25"/>
      <c r="O1176" s="25"/>
      <c r="P1176" s="25"/>
      <c r="Q1176" s="25"/>
      <c r="R1176" s="25"/>
      <c r="S1176" s="25"/>
      <c r="T1176" s="25"/>
      <c r="U1176" s="25"/>
      <c r="V1176" s="25"/>
      <c r="W1176" s="25"/>
      <c r="X1176" s="25"/>
      <c r="Y1176" s="25"/>
      <c r="Z1176" s="25"/>
      <c r="AA1176" s="25"/>
      <c r="AB1176" s="25"/>
      <c r="AC1176" s="25"/>
    </row>
    <row r="1177" spans="4:29" x14ac:dyDescent="0.2">
      <c r="D1177" s="25"/>
      <c r="E1177" s="25"/>
      <c r="F1177" s="25"/>
      <c r="G1177" s="25"/>
      <c r="H1177" s="25"/>
      <c r="I1177" s="25"/>
      <c r="J1177" s="25"/>
      <c r="K1177" s="25"/>
      <c r="L1177" s="25"/>
      <c r="M1177" s="25"/>
      <c r="N1177" s="25"/>
      <c r="O1177" s="25"/>
      <c r="P1177" s="25"/>
      <c r="Q1177" s="25"/>
      <c r="R1177" s="25"/>
      <c r="S1177" s="25"/>
      <c r="T1177" s="25"/>
      <c r="U1177" s="25"/>
      <c r="V1177" s="25"/>
      <c r="W1177" s="25"/>
      <c r="X1177" s="25"/>
      <c r="Y1177" s="25"/>
      <c r="Z1177" s="25"/>
      <c r="AA1177" s="25"/>
      <c r="AB1177" s="25"/>
      <c r="AC1177" s="25"/>
    </row>
  </sheetData>
  <sheetProtection algorithmName="SHA-512" hashValue="vFR1q0vvKsTLcwtDk6qj3HQZXslzMxr8EAXm/vl2wFh4CIqk9a77RVnln/qFJa5JyrbBzATda8vmhl5eT8m1Vg==" saltValue="TwW6cn+R4t5HivedqqO3bw==" spinCount="100000" sheet="1" objects="1" scenarios="1"/>
  <mergeCells count="1">
    <mergeCell ref="F11:G11"/>
  </mergeCells>
  <phoneticPr fontId="0" type="noConversion"/>
  <dataValidations count="1">
    <dataValidation type="list" allowBlank="1" showInputMessage="1" showErrorMessage="1" sqref="F56:J56">
      <formula1>"ja, nee"</formula1>
    </dataValidation>
  </dataValidations>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ignoredErrors>
    <ignoredError sqref="G56:J56"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B1:AE1407"/>
  <sheetViews>
    <sheetView showGridLines="0" zoomScale="85" zoomScaleNormal="85" workbookViewId="0">
      <pane ySplit="11" topLeftCell="A12" activePane="bottomLeft" state="frozen"/>
      <selection activeCell="A4" sqref="A4:XFD4"/>
      <selection pane="bottomLeft" activeCell="B2" sqref="B2"/>
    </sheetView>
  </sheetViews>
  <sheetFormatPr defaultColWidth="9.140625" defaultRowHeight="12.75" x14ac:dyDescent="0.2"/>
  <cols>
    <col min="1" max="1" width="3.7109375" style="13" customWidth="1"/>
    <col min="2" max="3" width="2.7109375" style="13" customWidth="1"/>
    <col min="4" max="4" width="45.7109375" style="13" customWidth="1"/>
    <col min="5" max="5" width="1.7109375" style="13" customWidth="1"/>
    <col min="6" max="6" width="8.7109375" style="13" customWidth="1"/>
    <col min="7" max="7" width="1.7109375" style="13" customWidth="1"/>
    <col min="8" max="12" width="14.7109375" style="13" customWidth="1"/>
    <col min="13" max="14" width="2.7109375" style="13" customWidth="1"/>
    <col min="15" max="15" width="14.7109375" style="13" customWidth="1"/>
    <col min="16" max="16" width="9.140625" style="499"/>
    <col min="17" max="16384" width="9.140625" style="13"/>
  </cols>
  <sheetData>
    <row r="1" spans="2:20" ht="12.75" customHeight="1" x14ac:dyDescent="0.2"/>
    <row r="2" spans="2:20" s="14" customFormat="1" x14ac:dyDescent="0.2">
      <c r="B2" s="62" t="s">
        <v>171</v>
      </c>
      <c r="C2" s="63"/>
      <c r="D2" s="63"/>
      <c r="E2" s="63"/>
      <c r="F2" s="63"/>
      <c r="G2" s="63"/>
      <c r="H2" s="63"/>
      <c r="I2" s="63"/>
      <c r="J2" s="63"/>
      <c r="K2" s="63"/>
      <c r="L2" s="63"/>
      <c r="M2" s="63"/>
      <c r="N2" s="66"/>
      <c r="P2" s="454"/>
    </row>
    <row r="3" spans="2:20" s="14" customFormat="1" x14ac:dyDescent="0.2">
      <c r="B3" s="67"/>
      <c r="C3" s="68"/>
      <c r="D3" s="68"/>
      <c r="E3" s="68"/>
      <c r="F3" s="68"/>
      <c r="G3" s="68"/>
      <c r="H3" s="68"/>
      <c r="I3" s="68"/>
      <c r="J3" s="68"/>
      <c r="K3" s="68"/>
      <c r="L3" s="68"/>
      <c r="M3" s="68"/>
      <c r="N3" s="71"/>
      <c r="P3" s="454"/>
    </row>
    <row r="4" spans="2:20" s="152" customFormat="1" ht="18.75" x14ac:dyDescent="0.3">
      <c r="B4" s="997"/>
      <c r="C4" s="971" t="s">
        <v>95</v>
      </c>
      <c r="D4" s="1033"/>
      <c r="E4" s="145"/>
      <c r="F4" s="145"/>
      <c r="G4" s="145"/>
      <c r="H4" s="145"/>
      <c r="I4" s="145"/>
      <c r="J4" s="145"/>
      <c r="K4" s="145"/>
      <c r="L4" s="145"/>
      <c r="M4" s="145"/>
      <c r="N4" s="151"/>
    </row>
    <row r="5" spans="2:20" ht="18.75" x14ac:dyDescent="0.3">
      <c r="B5" s="206"/>
      <c r="C5" s="74" t="str">
        <f>geg!F11</f>
        <v>Voorbeeld SBO</v>
      </c>
      <c r="D5" s="74"/>
      <c r="E5" s="68"/>
      <c r="F5" s="68"/>
      <c r="G5" s="68"/>
      <c r="H5" s="68"/>
      <c r="I5" s="68"/>
      <c r="J5" s="68"/>
      <c r="K5" s="68"/>
      <c r="L5" s="68"/>
      <c r="M5" s="68"/>
      <c r="N5" s="71"/>
    </row>
    <row r="6" spans="2:20" x14ac:dyDescent="0.2">
      <c r="B6" s="67"/>
      <c r="C6" s="68"/>
      <c r="D6" s="75"/>
      <c r="E6" s="75"/>
      <c r="F6" s="75"/>
      <c r="G6" s="75"/>
      <c r="H6" s="68"/>
      <c r="I6" s="68"/>
      <c r="J6" s="68"/>
      <c r="K6" s="68"/>
      <c r="L6" s="68"/>
      <c r="M6" s="68"/>
      <c r="N6" s="71"/>
    </row>
    <row r="7" spans="2:20" x14ac:dyDescent="0.2">
      <c r="B7" s="67"/>
      <c r="C7" s="68"/>
      <c r="D7" s="75"/>
      <c r="E7" s="75"/>
      <c r="F7" s="75"/>
      <c r="G7" s="75"/>
      <c r="H7" s="68"/>
      <c r="I7" s="68"/>
      <c r="J7" s="68"/>
      <c r="K7" s="68"/>
      <c r="L7" s="68"/>
      <c r="M7" s="68"/>
      <c r="N7" s="71"/>
    </row>
    <row r="8" spans="2:20" s="152" customFormat="1" x14ac:dyDescent="0.2">
      <c r="B8" s="150"/>
      <c r="C8" s="145"/>
      <c r="D8" s="1023" t="s">
        <v>200</v>
      </c>
      <c r="E8" s="1023"/>
      <c r="F8" s="1023"/>
      <c r="G8" s="1023"/>
      <c r="H8" s="1024" t="str">
        <f>tab!D2</f>
        <v>2015/16</v>
      </c>
      <c r="I8" s="1024" t="str">
        <f>tab!E2</f>
        <v>2016/17</v>
      </c>
      <c r="J8" s="1024" t="str">
        <f>tab!F2</f>
        <v>2017/18</v>
      </c>
      <c r="K8" s="1024" t="str">
        <f>tab!G2</f>
        <v>2018/19</v>
      </c>
      <c r="L8" s="1024" t="str">
        <f>tab!H2</f>
        <v>2019/20</v>
      </c>
      <c r="M8" s="146"/>
      <c r="N8" s="151"/>
    </row>
    <row r="9" spans="2:20" s="152" customFormat="1" x14ac:dyDescent="0.2">
      <c r="B9" s="150"/>
      <c r="C9" s="145"/>
      <c r="D9" s="1023" t="s">
        <v>111</v>
      </c>
      <c r="E9" s="1023"/>
      <c r="F9" s="1023"/>
      <c r="G9" s="1023"/>
      <c r="H9" s="1024">
        <f>tab!C4</f>
        <v>2014</v>
      </c>
      <c r="I9" s="1024">
        <f>H9+1</f>
        <v>2015</v>
      </c>
      <c r="J9" s="1024">
        <f>I9+1</f>
        <v>2016</v>
      </c>
      <c r="K9" s="1024">
        <f>J9+1</f>
        <v>2017</v>
      </c>
      <c r="L9" s="1024">
        <f>K9+1</f>
        <v>2018</v>
      </c>
      <c r="M9" s="146"/>
      <c r="N9" s="151"/>
      <c r="O9" s="144"/>
      <c r="P9" s="144"/>
      <c r="Q9" s="144"/>
      <c r="R9" s="144"/>
      <c r="S9" s="144"/>
      <c r="T9" s="144"/>
    </row>
    <row r="10" spans="2:20" s="152" customFormat="1" x14ac:dyDescent="0.2">
      <c r="B10" s="150"/>
      <c r="C10" s="145"/>
      <c r="D10" s="1023" t="s">
        <v>520</v>
      </c>
      <c r="E10" s="1023"/>
      <c r="F10" s="1023"/>
      <c r="G10" s="1023"/>
      <c r="H10" s="1024">
        <f>H9+1</f>
        <v>2015</v>
      </c>
      <c r="I10" s="1024">
        <f>I9+1</f>
        <v>2016</v>
      </c>
      <c r="J10" s="1024">
        <f>J9+1</f>
        <v>2017</v>
      </c>
      <c r="K10" s="1024">
        <f>K9+1</f>
        <v>2018</v>
      </c>
      <c r="L10" s="1024">
        <f>L9+1</f>
        <v>2019</v>
      </c>
      <c r="M10" s="146"/>
      <c r="N10" s="151"/>
      <c r="O10" s="144"/>
      <c r="P10" s="144"/>
      <c r="Q10" s="144"/>
      <c r="R10" s="144"/>
      <c r="S10" s="144"/>
      <c r="T10" s="144"/>
    </row>
    <row r="11" spans="2:20" x14ac:dyDescent="0.2">
      <c r="B11" s="67"/>
      <c r="C11" s="68"/>
      <c r="D11" s="80"/>
      <c r="E11" s="80"/>
      <c r="F11" s="80"/>
      <c r="G11" s="80"/>
      <c r="H11" s="81"/>
      <c r="I11" s="81"/>
      <c r="J11" s="81"/>
      <c r="K11" s="81"/>
      <c r="L11" s="81"/>
      <c r="M11" s="70"/>
      <c r="N11" s="71"/>
    </row>
    <row r="12" spans="2:20" x14ac:dyDescent="0.2">
      <c r="B12" s="67"/>
      <c r="C12" s="184"/>
      <c r="D12" s="120"/>
      <c r="E12" s="120"/>
      <c r="F12" s="120"/>
      <c r="G12" s="120"/>
      <c r="H12" s="120"/>
      <c r="I12" s="120"/>
      <c r="J12" s="120"/>
      <c r="K12" s="120"/>
      <c r="L12" s="120"/>
      <c r="M12" s="121"/>
      <c r="N12" s="71"/>
    </row>
    <row r="13" spans="2:20" s="152" customFormat="1" x14ac:dyDescent="0.2">
      <c r="B13" s="150"/>
      <c r="C13" s="139"/>
      <c r="D13" s="1025" t="s">
        <v>138</v>
      </c>
      <c r="E13" s="1026"/>
      <c r="F13" s="1034" t="s">
        <v>393</v>
      </c>
      <c r="G13" s="140"/>
      <c r="H13" s="140"/>
      <c r="I13" s="140"/>
      <c r="J13" s="140"/>
      <c r="K13" s="140"/>
      <c r="L13" s="140"/>
      <c r="M13" s="187"/>
      <c r="N13" s="151"/>
    </row>
    <row r="14" spans="2:20" x14ac:dyDescent="0.2">
      <c r="B14" s="67"/>
      <c r="C14" s="126"/>
      <c r="D14" s="124"/>
      <c r="E14" s="124"/>
      <c r="F14" s="124"/>
      <c r="G14" s="124"/>
      <c r="H14" s="124"/>
      <c r="I14" s="124"/>
      <c r="J14" s="124"/>
      <c r="K14" s="124"/>
      <c r="L14" s="124"/>
      <c r="M14" s="125"/>
      <c r="N14" s="71"/>
    </row>
    <row r="15" spans="2:20" x14ac:dyDescent="0.2">
      <c r="B15" s="67"/>
      <c r="C15" s="126"/>
      <c r="D15" s="531" t="s">
        <v>54</v>
      </c>
      <c r="E15" s="124"/>
      <c r="F15" s="124"/>
      <c r="G15" s="125"/>
      <c r="H15" s="224">
        <f>+I15</f>
        <v>42</v>
      </c>
      <c r="I15" s="224">
        <f>ROUND(IF((SUM(op!AM16:AM70)/(SUM(op!J16:J70)))&lt;30,30,(SUM(op!AM16:AM70)/((SUM(SUM(op!J16:J70)))))),2)</f>
        <v>42</v>
      </c>
      <c r="J15" s="224">
        <f>ROUND(IF((SUM(op!AM84:AM138)/((SUM(op!J84:J138))))&lt;30,30,(SUM(op!AM84:AM138)/((SUM(op!J84:J138))))),2)</f>
        <v>43</v>
      </c>
      <c r="K15" s="224">
        <f>ROUND(IF((SUM(op!AM152:AM206)/((SUM(op!J152:J206))))&lt;30,30,(SUM(op!AM152:AM206)/((SUM(SUM(op!J152:J206)))))),2)</f>
        <v>44</v>
      </c>
      <c r="L15" s="224">
        <f>ROUND(IF((SUM(op!AM219:AM273)/((SUM(op!J219:J273))))&lt;30,30,(SUM(op!AM219:AM273)/((SUM(op!J219:J273))))),2)</f>
        <v>45</v>
      </c>
      <c r="M15" s="874"/>
      <c r="N15" s="71"/>
    </row>
    <row r="16" spans="2:20" x14ac:dyDescent="0.2">
      <c r="B16" s="67"/>
      <c r="C16" s="126"/>
      <c r="D16" s="531" t="s">
        <v>519</v>
      </c>
      <c r="E16" s="124"/>
      <c r="F16" s="124"/>
      <c r="G16" s="125"/>
      <c r="H16" s="969" t="s">
        <v>427</v>
      </c>
      <c r="I16" s="969" t="str">
        <f>H16</f>
        <v>ja</v>
      </c>
      <c r="J16" s="969" t="str">
        <f>I16</f>
        <v>ja</v>
      </c>
      <c r="K16" s="969" t="str">
        <f>J16</f>
        <v>ja</v>
      </c>
      <c r="L16" s="969" t="str">
        <f>K16</f>
        <v>ja</v>
      </c>
      <c r="M16" s="874"/>
      <c r="N16" s="71"/>
    </row>
    <row r="17" spans="2:16" s="152" customFormat="1" x14ac:dyDescent="0.2">
      <c r="B17" s="150"/>
      <c r="C17" s="139"/>
      <c r="D17" s="136"/>
      <c r="E17" s="149"/>
      <c r="F17" s="149"/>
      <c r="G17" s="149"/>
      <c r="H17" s="967"/>
      <c r="I17" s="967"/>
      <c r="J17" s="967"/>
      <c r="K17" s="967"/>
      <c r="L17" s="968"/>
      <c r="M17" s="229"/>
      <c r="N17" s="151"/>
    </row>
    <row r="18" spans="2:16" s="152" customFormat="1" x14ac:dyDescent="0.2">
      <c r="B18" s="150"/>
      <c r="C18" s="139"/>
      <c r="D18" s="528" t="s">
        <v>495</v>
      </c>
      <c r="E18" s="149"/>
      <c r="F18" s="149"/>
      <c r="G18" s="149"/>
      <c r="H18" s="967"/>
      <c r="I18" s="967"/>
      <c r="J18" s="967"/>
      <c r="K18" s="967"/>
      <c r="L18" s="968"/>
      <c r="M18" s="229"/>
      <c r="N18" s="151"/>
    </row>
    <row r="19" spans="2:16" x14ac:dyDescent="0.2">
      <c r="B19" s="67"/>
      <c r="C19" s="126"/>
      <c r="D19" s="136" t="s">
        <v>490</v>
      </c>
      <c r="E19" s="124"/>
      <c r="F19" s="1011">
        <v>0</v>
      </c>
      <c r="G19" s="124"/>
      <c r="H19" s="992">
        <f>geg!F25*(tab!$D$22+ROUND((tab!$D$23*pers!H15),2))</f>
        <v>435532.5</v>
      </c>
      <c r="I19" s="992">
        <f>geg!G25*(tab!$E$22+ROUND((tab!$E$23*pers!I15),2))</f>
        <v>450050.25</v>
      </c>
      <c r="J19" s="992">
        <f>geg!H25*(tab!$E$22+ROUND((tab!$E$23*pers!J15),2))</f>
        <v>456225.44999999995</v>
      </c>
      <c r="K19" s="992">
        <f>geg!I25*(tab!$E$22+ROUND((tab!$E$23*pers!K15),2))</f>
        <v>462400.65</v>
      </c>
      <c r="L19" s="992">
        <f>geg!J25*(tab!$E$22+ROUND((tab!$E$23*pers!L15),2))</f>
        <v>468575.85</v>
      </c>
      <c r="M19" s="231"/>
      <c r="N19" s="71"/>
    </row>
    <row r="20" spans="2:16" x14ac:dyDescent="0.2">
      <c r="B20" s="67"/>
      <c r="C20" s="126"/>
      <c r="D20" s="962" t="s">
        <v>491</v>
      </c>
      <c r="E20" s="124"/>
      <c r="F20" s="1011">
        <v>0</v>
      </c>
      <c r="G20" s="124"/>
      <c r="H20" s="992">
        <f>geg!F27*(tab!$D$24+ROUND((tab!$D$25*pers!H15),2))</f>
        <v>497924.39999999997</v>
      </c>
      <c r="I20" s="992">
        <f>geg!G27*(tab!$E$24+ROUND((tab!$E$25*pers!I15),2))</f>
        <v>502073.76999999996</v>
      </c>
      <c r="J20" s="992">
        <f>geg!H27*(tab!$E$24+ROUND((tab!$E$25*pers!J15),2))</f>
        <v>508962.29999999993</v>
      </c>
      <c r="K20" s="992">
        <f>geg!I27*(tab!$E$24+ROUND((tab!$E$25*pers!K15),2))</f>
        <v>515850.82999999996</v>
      </c>
      <c r="L20" s="992">
        <f>geg!J27*(tab!$E$24+ROUND((tab!$E$25*pers!L15),2))</f>
        <v>522739.36</v>
      </c>
      <c r="M20" s="231"/>
      <c r="N20" s="71"/>
    </row>
    <row r="21" spans="2:16" s="195" customFormat="1" x14ac:dyDescent="0.2">
      <c r="B21" s="207"/>
      <c r="C21" s="232"/>
      <c r="D21" s="136" t="s">
        <v>492</v>
      </c>
      <c r="E21" s="123"/>
      <c r="F21" s="1011">
        <v>0</v>
      </c>
      <c r="G21" s="123"/>
      <c r="H21" s="992">
        <f>IF((geg!F26-4)&lt;0,0,(geg!F26-4)*(tab!$D$26+ROUND((tab!$D$27*pers!H15),2)))</f>
        <v>12878.699999999999</v>
      </c>
      <c r="I21" s="992">
        <f>IF((geg!G26-4)&lt;0,0,(geg!G26-4)*(tab!$E$26+ROUND((tab!$E$27*pers!I15),2)))</f>
        <v>7727.2199999999993</v>
      </c>
      <c r="J21" s="992">
        <f>IF((geg!H26-4)&lt;0,0,(geg!H26-4)*(tab!$E$26+ROUND((tab!$E$27*pers!J15),2)))</f>
        <v>7833.24</v>
      </c>
      <c r="K21" s="992">
        <f>IF((geg!I26-4)&lt;0,0,(geg!I26-4)*(tab!$E$26+ROUND((tab!$E$27*pers!K15),2)))</f>
        <v>7939.26</v>
      </c>
      <c r="L21" s="992">
        <f>IF((geg!J26-4)&lt;0,0,(geg!J26-4)*(tab!$E$26+ROUND((tab!$E$27*pers!L15),2)))</f>
        <v>8045.2800000000007</v>
      </c>
      <c r="M21" s="233"/>
      <c r="N21" s="208"/>
      <c r="P21" s="499"/>
    </row>
    <row r="22" spans="2:16" s="195" customFormat="1" x14ac:dyDescent="0.2">
      <c r="B22" s="207"/>
      <c r="C22" s="232"/>
      <c r="D22" s="518" t="s">
        <v>87</v>
      </c>
      <c r="E22" s="234"/>
      <c r="F22" s="1011">
        <v>0</v>
      </c>
      <c r="G22" s="234"/>
      <c r="H22" s="992">
        <f>IF(geg!F25&lt;=tab!$D$28,tab!D19,IF(geg!F25&gt;tab!$D$28,tab!D20))</f>
        <v>36304.660000000003</v>
      </c>
      <c r="I22" s="992">
        <f>IF(geg!G25&lt;=tab!$E$28,tab!$E$19,IF(geg!G25&gt;tab!$E$28,tab!$E$20))</f>
        <v>36304.660000000003</v>
      </c>
      <c r="J22" s="992">
        <f>IF(geg!H25&lt;=tab!$E$28,tab!$E$19,IF(geg!H25&gt;tab!$E$28,tab!$E$20))</f>
        <v>36304.660000000003</v>
      </c>
      <c r="K22" s="992">
        <f>IF(geg!I25&lt;=tab!$E$28,tab!$E$19,IF(geg!I25&gt;tab!$E$28,tab!$E$20))</f>
        <v>36304.660000000003</v>
      </c>
      <c r="L22" s="992">
        <f>IF(geg!J25&lt;=tab!$E$28,tab!$E$19,IF(geg!J25&gt;tab!$E$28,tab!$E$20))</f>
        <v>36304.660000000003</v>
      </c>
      <c r="M22" s="233"/>
      <c r="N22" s="208"/>
      <c r="P22" s="499"/>
    </row>
    <row r="23" spans="2:16" s="195" customFormat="1" x14ac:dyDescent="0.2">
      <c r="B23" s="207"/>
      <c r="C23" s="232"/>
      <c r="D23" s="235"/>
      <c r="E23" s="234"/>
      <c r="F23" s="1012"/>
      <c r="G23" s="234"/>
      <c r="H23" s="1049">
        <f>SUM(H19:H22)</f>
        <v>982640.25999999989</v>
      </c>
      <c r="I23" s="1049">
        <f>SUM(I19:I22)</f>
        <v>996155.9</v>
      </c>
      <c r="J23" s="1049">
        <f>SUM(J19:J22)</f>
        <v>1009325.6499999999</v>
      </c>
      <c r="K23" s="1049">
        <f>SUM(K19:K22)</f>
        <v>1022495.4</v>
      </c>
      <c r="L23" s="1049">
        <f>SUM(L19:L22)</f>
        <v>1035665.15</v>
      </c>
      <c r="M23" s="233"/>
      <c r="N23" s="208"/>
      <c r="P23" s="499"/>
    </row>
    <row r="24" spans="2:16" s="195" customFormat="1" x14ac:dyDescent="0.2">
      <c r="B24" s="207"/>
      <c r="C24" s="237"/>
      <c r="D24" s="576" t="s">
        <v>336</v>
      </c>
      <c r="E24" s="238"/>
      <c r="F24" s="1013"/>
      <c r="G24" s="238"/>
      <c r="H24" s="235"/>
      <c r="I24" s="235"/>
      <c r="J24" s="235"/>
      <c r="K24" s="235"/>
      <c r="L24" s="235"/>
      <c r="M24" s="138"/>
      <c r="N24" s="208"/>
      <c r="P24" s="499"/>
    </row>
    <row r="25" spans="2:16" s="195" customFormat="1" x14ac:dyDescent="0.2">
      <c r="B25" s="207"/>
      <c r="C25" s="237"/>
      <c r="D25" s="518" t="s">
        <v>145</v>
      </c>
      <c r="E25" s="238"/>
      <c r="F25" s="1011">
        <v>0</v>
      </c>
      <c r="G25" s="238"/>
      <c r="H25" s="992">
        <f>tab!D38</f>
        <v>11727.52</v>
      </c>
      <c r="I25" s="992">
        <f>tab!$E$38</f>
        <v>11727.52</v>
      </c>
      <c r="J25" s="992">
        <f>tab!$E$38</f>
        <v>11727.52</v>
      </c>
      <c r="K25" s="992">
        <f>tab!$E$38</f>
        <v>11727.52</v>
      </c>
      <c r="L25" s="992">
        <f>tab!$E$38</f>
        <v>11727.52</v>
      </c>
      <c r="M25" s="138"/>
      <c r="N25" s="208"/>
      <c r="P25" s="499"/>
    </row>
    <row r="26" spans="2:16" s="195" customFormat="1" x14ac:dyDescent="0.2">
      <c r="B26" s="207"/>
      <c r="C26" s="126"/>
      <c r="D26" s="518" t="s">
        <v>214</v>
      </c>
      <c r="E26" s="127"/>
      <c r="F26" s="1011">
        <v>0</v>
      </c>
      <c r="G26" s="127"/>
      <c r="H26" s="1050">
        <f>geg!F25*tab!D39</f>
        <v>97297.5</v>
      </c>
      <c r="I26" s="1050">
        <f>geg!G25*tab!$E$39</f>
        <v>100540.75</v>
      </c>
      <c r="J26" s="1050">
        <f>geg!H25*tab!$E$39</f>
        <v>100540.75</v>
      </c>
      <c r="K26" s="1050">
        <f>geg!I25*tab!$E$39</f>
        <v>100540.75</v>
      </c>
      <c r="L26" s="1050">
        <f>geg!J25*tab!$E$39</f>
        <v>100540.75</v>
      </c>
      <c r="M26" s="125"/>
      <c r="N26" s="208"/>
      <c r="P26" s="499"/>
    </row>
    <row r="27" spans="2:16" s="195" customFormat="1" x14ac:dyDescent="0.2">
      <c r="B27" s="207"/>
      <c r="C27" s="126"/>
      <c r="D27" s="518" t="s">
        <v>477</v>
      </c>
      <c r="E27" s="239"/>
      <c r="F27" s="1011">
        <v>0</v>
      </c>
      <c r="G27" s="239"/>
      <c r="H27" s="1050">
        <f>geg!F26*tab!D40</f>
        <v>1478.97</v>
      </c>
      <c r="I27" s="1050">
        <f>geg!G26*tab!$E$40</f>
        <v>1150.3100000000002</v>
      </c>
      <c r="J27" s="1050">
        <f>geg!H26*tab!$E$40</f>
        <v>1150.3100000000002</v>
      </c>
      <c r="K27" s="1050">
        <f>geg!I26*tab!$E$40</f>
        <v>1150.3100000000002</v>
      </c>
      <c r="L27" s="1050">
        <f>geg!J26*tab!$E$40</f>
        <v>1150.3100000000002</v>
      </c>
      <c r="M27" s="125"/>
      <c r="N27" s="208"/>
      <c r="P27" s="499"/>
    </row>
    <row r="28" spans="2:16" s="195" customFormat="1" x14ac:dyDescent="0.2">
      <c r="B28" s="207"/>
      <c r="C28" s="122"/>
      <c r="D28" s="235"/>
      <c r="E28" s="240"/>
      <c r="F28" s="1014"/>
      <c r="G28" s="240"/>
      <c r="H28" s="1052">
        <f>SUM(H25:H27)</f>
        <v>110503.99</v>
      </c>
      <c r="I28" s="1052">
        <f>SUM(I25:I27)</f>
        <v>113418.58</v>
      </c>
      <c r="J28" s="1052">
        <f>SUM(J25:J27)</f>
        <v>113418.58</v>
      </c>
      <c r="K28" s="1052">
        <f>SUM(K25:K27)</f>
        <v>113418.58</v>
      </c>
      <c r="L28" s="1052">
        <f>SUM(L25:L27)</f>
        <v>113418.58</v>
      </c>
      <c r="M28" s="241"/>
      <c r="N28" s="208"/>
      <c r="P28" s="499"/>
    </row>
    <row r="29" spans="2:16" s="204" customFormat="1" x14ac:dyDescent="0.2">
      <c r="B29" s="209"/>
      <c r="C29" s="242"/>
      <c r="D29" s="1343" t="s">
        <v>603</v>
      </c>
      <c r="E29" s="244"/>
      <c r="F29" s="1015"/>
      <c r="G29" s="244"/>
      <c r="H29" s="244"/>
      <c r="I29" s="244"/>
      <c r="J29" s="244"/>
      <c r="K29" s="244"/>
      <c r="L29" s="244"/>
      <c r="M29" s="245"/>
      <c r="N29" s="210"/>
      <c r="P29" s="152"/>
    </row>
    <row r="30" spans="2:16" s="195" customFormat="1" x14ac:dyDescent="0.2">
      <c r="B30" s="207"/>
      <c r="C30" s="232"/>
      <c r="D30" s="904" t="s">
        <v>469</v>
      </c>
      <c r="E30" s="234"/>
      <c r="F30" s="895">
        <v>0</v>
      </c>
      <c r="G30" s="234"/>
      <c r="H30" s="992">
        <f>tab!D45+(tab!D44*geg!F25)</f>
        <v>11766</v>
      </c>
      <c r="I30" s="992">
        <f>tab!$E$45+(tab!$E$44*geg!G25)</f>
        <v>12158.199999999999</v>
      </c>
      <c r="J30" s="1051">
        <f>tab!$E$45+(tab!$E$44*geg!H25)</f>
        <v>12158.199999999999</v>
      </c>
      <c r="K30" s="1051">
        <f>tab!$E$45+(tab!$E$44*geg!I25)</f>
        <v>12158.199999999999</v>
      </c>
      <c r="L30" s="1051">
        <f>tab!$E$45+(tab!$E$44*geg!J25)</f>
        <v>12158.199999999999</v>
      </c>
      <c r="M30" s="233"/>
      <c r="N30" s="208"/>
      <c r="P30" s="499"/>
    </row>
    <row r="31" spans="2:16" s="195" customFormat="1" x14ac:dyDescent="0.2">
      <c r="B31" s="207"/>
      <c r="C31" s="232"/>
      <c r="D31" s="432"/>
      <c r="E31" s="136"/>
      <c r="F31" s="895">
        <v>0</v>
      </c>
      <c r="G31" s="136"/>
      <c r="H31" s="519">
        <v>0</v>
      </c>
      <c r="I31" s="226">
        <f t="shared" ref="I31:L33" si="0">H31</f>
        <v>0</v>
      </c>
      <c r="J31" s="226">
        <f t="shared" si="0"/>
        <v>0</v>
      </c>
      <c r="K31" s="226">
        <f t="shared" si="0"/>
        <v>0</v>
      </c>
      <c r="L31" s="226">
        <f t="shared" si="0"/>
        <v>0</v>
      </c>
      <c r="M31" s="233"/>
      <c r="N31" s="208"/>
      <c r="P31" s="499"/>
    </row>
    <row r="32" spans="2:16" s="195" customFormat="1" x14ac:dyDescent="0.2">
      <c r="B32" s="207"/>
      <c r="C32" s="232"/>
      <c r="D32" s="432"/>
      <c r="E32" s="234"/>
      <c r="F32" s="895">
        <v>0</v>
      </c>
      <c r="G32" s="234"/>
      <c r="H32" s="226">
        <v>0</v>
      </c>
      <c r="I32" s="226">
        <f t="shared" si="0"/>
        <v>0</v>
      </c>
      <c r="J32" s="226">
        <f t="shared" si="0"/>
        <v>0</v>
      </c>
      <c r="K32" s="226">
        <f t="shared" si="0"/>
        <v>0</v>
      </c>
      <c r="L32" s="226">
        <f t="shared" si="0"/>
        <v>0</v>
      </c>
      <c r="M32" s="233"/>
      <c r="N32" s="208"/>
      <c r="P32" s="499"/>
    </row>
    <row r="33" spans="2:28" s="195" customFormat="1" x14ac:dyDescent="0.2">
      <c r="B33" s="207"/>
      <c r="C33" s="232"/>
      <c r="D33" s="432"/>
      <c r="E33" s="234"/>
      <c r="F33" s="895">
        <v>0</v>
      </c>
      <c r="G33" s="234"/>
      <c r="H33" s="226">
        <v>0</v>
      </c>
      <c r="I33" s="226">
        <f t="shared" si="0"/>
        <v>0</v>
      </c>
      <c r="J33" s="226">
        <f t="shared" si="0"/>
        <v>0</v>
      </c>
      <c r="K33" s="226">
        <f t="shared" si="0"/>
        <v>0</v>
      </c>
      <c r="L33" s="226">
        <f t="shared" si="0"/>
        <v>0</v>
      </c>
      <c r="M33" s="233"/>
      <c r="N33" s="208"/>
      <c r="P33" s="499"/>
    </row>
    <row r="34" spans="2:28" s="195" customFormat="1" x14ac:dyDescent="0.2">
      <c r="B34" s="207"/>
      <c r="C34" s="232"/>
      <c r="D34" s="518"/>
      <c r="E34" s="234"/>
      <c r="F34" s="234"/>
      <c r="G34" s="234"/>
      <c r="H34" s="1049">
        <f>SUM(H30:H33)</f>
        <v>11766</v>
      </c>
      <c r="I34" s="1049">
        <f>SUM(I30:I33)</f>
        <v>12158.199999999999</v>
      </c>
      <c r="J34" s="1049">
        <f>SUM(J30:J33)</f>
        <v>12158.199999999999</v>
      </c>
      <c r="K34" s="1049">
        <f>SUM(K30:K33)</f>
        <v>12158.199999999999</v>
      </c>
      <c r="L34" s="1049">
        <f>SUM(L30:L33)</f>
        <v>12158.199999999999</v>
      </c>
      <c r="M34" s="233"/>
      <c r="N34" s="208"/>
      <c r="P34" s="499"/>
    </row>
    <row r="35" spans="2:28" s="195" customFormat="1" x14ac:dyDescent="0.2">
      <c r="B35" s="207"/>
      <c r="C35" s="232"/>
      <c r="D35" s="576" t="s">
        <v>486</v>
      </c>
      <c r="E35" s="244"/>
      <c r="F35" s="1015"/>
      <c r="G35" s="244"/>
      <c r="H35" s="244"/>
      <c r="I35" s="244"/>
      <c r="J35" s="244"/>
      <c r="K35" s="244"/>
      <c r="L35" s="244"/>
      <c r="M35" s="233"/>
      <c r="N35" s="208"/>
      <c r="P35" s="499"/>
    </row>
    <row r="36" spans="2:28" s="195" customFormat="1" x14ac:dyDescent="0.2">
      <c r="B36" s="207"/>
      <c r="C36" s="232"/>
      <c r="D36" s="136" t="s">
        <v>493</v>
      </c>
      <c r="E36" s="234"/>
      <c r="F36" s="140"/>
      <c r="G36" s="124"/>
      <c r="H36" s="992">
        <f>IF(geg!F30&lt;=geg!F25,0,(geg!F30-geg!F25)*IF(H16="ja",tab!D31,(tab!$D$22+ROUND((tab!$D$23*pers!H15),2))))</f>
        <v>14455.1</v>
      </c>
      <c r="I36" s="992">
        <f>IF(geg!G30&lt;=geg!G25,0,(geg!G30-geg!G25)*IF(I16="ja",tab!$E$31,(tab!$E$22+ROUND((tab!$E$23*pers!I15),2))))</f>
        <v>8673.06</v>
      </c>
      <c r="J36" s="992">
        <f>IF(geg!H30&lt;=geg!H25,0,(geg!H30-geg!H25)*IF(J16="ja",tab!$E$31,(tab!$E$22+ROUND((tab!$E$23*pers!J15),2))))</f>
        <v>8673.06</v>
      </c>
      <c r="K36" s="992">
        <f>IF(geg!I30&lt;=geg!I25,0,(geg!I30-geg!I25)*IF(K16="ja",tab!$E$31,(tab!$E$22+ROUND((tab!$E$23*pers!K15),2))))</f>
        <v>8673.06</v>
      </c>
      <c r="L36" s="992">
        <f>IF(geg!J30&lt;=geg!J25,0,(geg!J30-geg!J25)*IF(L16="ja",tab!$E$31,(tab!$E$22+ROUND((tab!$E$23*pers!L15),2))))</f>
        <v>8673.06</v>
      </c>
      <c r="M36" s="233"/>
      <c r="N36" s="208"/>
      <c r="P36" s="499"/>
    </row>
    <row r="37" spans="2:28" s="195" customFormat="1" x14ac:dyDescent="0.2">
      <c r="B37" s="207"/>
      <c r="C37" s="232"/>
      <c r="D37" s="136" t="s">
        <v>494</v>
      </c>
      <c r="E37" s="124"/>
      <c r="F37" s="140"/>
      <c r="G37" s="124"/>
      <c r="H37" s="992">
        <f>IF(geg!F30=0,0,(geg!F30-geg!F27)*IF(H16="ja",tab!D32,(tab!$D$24+ROUND((tab!$D$25*pers!H15),2))))</f>
        <v>144614.75</v>
      </c>
      <c r="I37" s="992">
        <f>IF(geg!G30=0,0,(geg!G30-geg!G27)*IF(I16="ja",tab!$E$32,(tab!$E$24+ROUND((tab!$E$25*pers!I15),2))))</f>
        <v>152878.45000000001</v>
      </c>
      <c r="J37" s="992">
        <f>IF(geg!H30=0,0,(geg!H30-geg!H27)*IF(J16="ja",tab!$E$32,(tab!$E$24+ROUND((tab!$E$25*pers!J15),2))))</f>
        <v>152878.45000000001</v>
      </c>
      <c r="K37" s="992">
        <f>IF(geg!I30=0,0,(geg!I30-geg!I27)*IF(K16="ja",tab!$E$32,(tab!$E$24+ROUND((tab!$E$25*pers!K15),2))))</f>
        <v>152878.45000000001</v>
      </c>
      <c r="L37" s="992">
        <f>IF(geg!J30=0,0,(geg!J30-geg!J27)*IF(L16="ja",tab!$E$32,(tab!$E$24+ROUND((tab!$E$25*pers!L15),2))))</f>
        <v>152878.45000000001</v>
      </c>
      <c r="M37" s="233"/>
      <c r="N37" s="208"/>
      <c r="P37" s="499"/>
    </row>
    <row r="38" spans="2:28" s="195" customFormat="1" x14ac:dyDescent="0.2">
      <c r="B38" s="207"/>
      <c r="C38" s="232"/>
      <c r="D38" s="518" t="s">
        <v>345</v>
      </c>
      <c r="E38" s="124"/>
      <c r="F38" s="140"/>
      <c r="G38" s="127"/>
      <c r="H38" s="992">
        <f>geg!F31*ROUND(((tab!$D$9+tab!$D$10)*tab!$D$15),2)</f>
        <v>0</v>
      </c>
      <c r="I38" s="992">
        <f>geg!G31*ROUND(((tab!$E$9+tab!$E$10)*tab!$E$15),2)</f>
        <v>0</v>
      </c>
      <c r="J38" s="992">
        <f>geg!H31*ROUND(((tab!$E$9+tab!$E$10)*tab!$E$15),2)</f>
        <v>0</v>
      </c>
      <c r="K38" s="992">
        <f>geg!I31*ROUND(((tab!$E$9+tab!$E$10)*tab!$E$15),2)</f>
        <v>0</v>
      </c>
      <c r="L38" s="992">
        <f>geg!J31*ROUND(((tab!$E$9+tab!$E$10)*tab!$E$15),2)</f>
        <v>0</v>
      </c>
      <c r="M38" s="233"/>
      <c r="N38" s="208"/>
      <c r="P38" s="499"/>
    </row>
    <row r="39" spans="2:28" s="195" customFormat="1" x14ac:dyDescent="0.2">
      <c r="B39" s="207"/>
      <c r="C39" s="232"/>
      <c r="D39" s="432"/>
      <c r="E39" s="234"/>
      <c r="F39" s="140"/>
      <c r="G39" s="234"/>
      <c r="H39" s="226">
        <v>0</v>
      </c>
      <c r="I39" s="226">
        <f t="shared" ref="I39:L39" si="1">H39</f>
        <v>0</v>
      </c>
      <c r="J39" s="226">
        <f t="shared" si="1"/>
        <v>0</v>
      </c>
      <c r="K39" s="226">
        <f t="shared" si="1"/>
        <v>0</v>
      </c>
      <c r="L39" s="226">
        <f t="shared" si="1"/>
        <v>0</v>
      </c>
      <c r="M39" s="233"/>
      <c r="N39" s="208"/>
      <c r="P39" s="499"/>
    </row>
    <row r="40" spans="2:28" s="195" customFormat="1" x14ac:dyDescent="0.2">
      <c r="B40" s="207"/>
      <c r="C40" s="232"/>
      <c r="D40" s="432"/>
      <c r="E40" s="234"/>
      <c r="F40" s="140"/>
      <c r="G40" s="234"/>
      <c r="H40" s="226">
        <v>0</v>
      </c>
      <c r="I40" s="226">
        <f t="shared" ref="I40:L40" si="2">H40</f>
        <v>0</v>
      </c>
      <c r="J40" s="226">
        <f t="shared" si="2"/>
        <v>0</v>
      </c>
      <c r="K40" s="226">
        <f t="shared" si="2"/>
        <v>0</v>
      </c>
      <c r="L40" s="226">
        <f t="shared" si="2"/>
        <v>0</v>
      </c>
      <c r="M40" s="233"/>
      <c r="N40" s="208"/>
      <c r="P40" s="499"/>
    </row>
    <row r="41" spans="2:28" s="195" customFormat="1" x14ac:dyDescent="0.2">
      <c r="B41" s="207"/>
      <c r="C41" s="232"/>
      <c r="D41" s="432"/>
      <c r="E41" s="234"/>
      <c r="F41" s="140"/>
      <c r="G41" s="234"/>
      <c r="H41" s="226">
        <v>0</v>
      </c>
      <c r="I41" s="226">
        <f t="shared" ref="I41:L41" si="3">H41</f>
        <v>0</v>
      </c>
      <c r="J41" s="226">
        <f t="shared" si="3"/>
        <v>0</v>
      </c>
      <c r="K41" s="226">
        <f t="shared" si="3"/>
        <v>0</v>
      </c>
      <c r="L41" s="226">
        <f t="shared" si="3"/>
        <v>0</v>
      </c>
      <c r="M41" s="233"/>
      <c r="N41" s="208"/>
      <c r="P41" s="499"/>
    </row>
    <row r="42" spans="2:28" s="195" customFormat="1" x14ac:dyDescent="0.2">
      <c r="B42" s="207"/>
      <c r="C42" s="232"/>
      <c r="D42" s="432"/>
      <c r="E42" s="234"/>
      <c r="F42" s="140"/>
      <c r="G42" s="234"/>
      <c r="H42" s="226">
        <v>0</v>
      </c>
      <c r="I42" s="226">
        <f t="shared" ref="I42:L42" si="4">H42</f>
        <v>0</v>
      </c>
      <c r="J42" s="226">
        <f t="shared" si="4"/>
        <v>0</v>
      </c>
      <c r="K42" s="226">
        <f t="shared" si="4"/>
        <v>0</v>
      </c>
      <c r="L42" s="226">
        <f t="shared" si="4"/>
        <v>0</v>
      </c>
      <c r="M42" s="233"/>
      <c r="N42" s="208"/>
      <c r="P42" s="499"/>
    </row>
    <row r="43" spans="2:28" s="195" customFormat="1" x14ac:dyDescent="0.2">
      <c r="B43" s="207"/>
      <c r="C43" s="232"/>
      <c r="D43" s="432"/>
      <c r="E43" s="234"/>
      <c r="F43" s="140"/>
      <c r="G43" s="234"/>
      <c r="H43" s="226">
        <v>0</v>
      </c>
      <c r="I43" s="226">
        <f t="shared" ref="I43:L43" si="5">H43</f>
        <v>0</v>
      </c>
      <c r="J43" s="226">
        <f t="shared" si="5"/>
        <v>0</v>
      </c>
      <c r="K43" s="226">
        <f t="shared" si="5"/>
        <v>0</v>
      </c>
      <c r="L43" s="226">
        <f t="shared" si="5"/>
        <v>0</v>
      </c>
      <c r="M43" s="233"/>
      <c r="N43" s="208"/>
      <c r="P43" s="499"/>
    </row>
    <row r="44" spans="2:28" s="195" customFormat="1" x14ac:dyDescent="0.2">
      <c r="B44" s="207"/>
      <c r="C44" s="232"/>
      <c r="D44" s="518"/>
      <c r="E44" s="127"/>
      <c r="F44" s="1016"/>
      <c r="G44" s="234"/>
      <c r="H44" s="1049">
        <f>SUM(H36:H43)</f>
        <v>159069.85</v>
      </c>
      <c r="I44" s="1049">
        <f>SUM(I36:I43)</f>
        <v>161551.51</v>
      </c>
      <c r="J44" s="1049">
        <f>SUM(J36:J43)</f>
        <v>161551.51</v>
      </c>
      <c r="K44" s="1049">
        <f>SUM(K36:K43)</f>
        <v>161551.51</v>
      </c>
      <c r="L44" s="1049">
        <f>SUM(L36:L43)</f>
        <v>161551.51</v>
      </c>
      <c r="M44" s="233"/>
      <c r="N44" s="208"/>
      <c r="P44" s="499"/>
    </row>
    <row r="45" spans="2:28" s="204" customFormat="1" x14ac:dyDescent="0.2">
      <c r="B45" s="209"/>
      <c r="C45" s="242"/>
      <c r="D45" s="534" t="s">
        <v>88</v>
      </c>
      <c r="E45" s="140"/>
      <c r="F45" s="140"/>
      <c r="G45" s="140"/>
      <c r="H45" s="244"/>
      <c r="I45" s="246"/>
      <c r="J45" s="186"/>
      <c r="K45" s="186"/>
      <c r="L45" s="186"/>
      <c r="M45" s="245"/>
      <c r="N45" s="210"/>
      <c r="P45" s="499"/>
      <c r="Q45" s="13"/>
      <c r="R45" s="13"/>
      <c r="S45" s="13"/>
      <c r="T45" s="13"/>
      <c r="U45" s="13"/>
      <c r="V45" s="13"/>
      <c r="W45" s="13"/>
      <c r="X45" s="13"/>
      <c r="Y45" s="13"/>
      <c r="Z45" s="13"/>
      <c r="AA45" s="13"/>
      <c r="AB45" s="13"/>
    </row>
    <row r="46" spans="2:28" s="204" customFormat="1" x14ac:dyDescent="0.2">
      <c r="B46" s="209"/>
      <c r="C46" s="242"/>
      <c r="D46" s="576" t="s">
        <v>89</v>
      </c>
      <c r="E46" s="247"/>
      <c r="F46" s="140"/>
      <c r="G46" s="140"/>
      <c r="H46" s="248"/>
      <c r="I46" s="248"/>
      <c r="J46" s="248"/>
      <c r="K46" s="248"/>
      <c r="L46" s="248"/>
      <c r="M46" s="245"/>
      <c r="N46" s="210"/>
      <c r="P46" s="499"/>
      <c r="Q46" s="13"/>
      <c r="R46" s="13"/>
      <c r="S46" s="13"/>
      <c r="T46" s="13"/>
      <c r="U46" s="13"/>
      <c r="V46" s="13"/>
      <c r="W46" s="13"/>
      <c r="X46" s="13"/>
      <c r="Y46" s="13"/>
      <c r="Z46" s="13"/>
      <c r="AA46" s="13"/>
      <c r="AB46" s="13"/>
    </row>
    <row r="47" spans="2:28" s="195" customFormat="1" x14ac:dyDescent="0.2">
      <c r="B47" s="207"/>
      <c r="C47" s="232"/>
      <c r="D47" s="518" t="s">
        <v>90</v>
      </c>
      <c r="E47" s="239"/>
      <c r="F47" s="124"/>
      <c r="G47" s="124"/>
      <c r="H47" s="1051">
        <f>$F19*H19+$F20*H20+$F21*H21+$F22*H22+$F25*H25+$F26*H26+$F27*H27+$F30*H30+$F31*H31+$F32*H32+$F33*H33</f>
        <v>0</v>
      </c>
      <c r="I47" s="1051">
        <f>$F19*I19+$F20*I20+$F21*I21+$F22*I22+$F25*I25+$F26*I26+$F27*I27+$F30*I30+$F31*I31+$F32*I32+$F33*I33</f>
        <v>0</v>
      </c>
      <c r="J47" s="1051">
        <f>$F19*J19+$F20*J20+$F21*J21+$F22*J22+$F25*J25+$F26*J26+$F27*J27+$F30*J30+$F31*J31+$F32*J32+$F33*J33</f>
        <v>0</v>
      </c>
      <c r="K47" s="1051">
        <f>$F19*K19+$F20*K20+$F21*K21+$F22*K22+$F25*K25+$F26*K26+$F27*K27+$F30*K30+$F31*K31+$F32*K32+$F33*K33</f>
        <v>0</v>
      </c>
      <c r="L47" s="1051">
        <f>$F19*L19+$F20*L20+$F21*L21+$F22*L22+$F25*L25+$F26*L26+$F27*L27+$F30*L30+$F31*L31+$F32*L32+$F33*L33</f>
        <v>0</v>
      </c>
      <c r="M47" s="233"/>
      <c r="N47" s="208"/>
      <c r="P47" s="499"/>
      <c r="Q47" s="13"/>
      <c r="R47" s="13"/>
      <c r="S47" s="13"/>
      <c r="T47" s="13"/>
      <c r="U47" s="13"/>
      <c r="V47" s="13"/>
      <c r="W47" s="13"/>
      <c r="X47" s="13"/>
      <c r="Y47" s="13"/>
      <c r="Z47" s="13"/>
      <c r="AA47" s="13"/>
      <c r="AB47" s="13"/>
    </row>
    <row r="48" spans="2:28" s="195" customFormat="1" x14ac:dyDescent="0.2">
      <c r="B48" s="207"/>
      <c r="C48" s="232"/>
      <c r="D48" s="1187"/>
      <c r="E48" s="239"/>
      <c r="F48" s="249"/>
      <c r="G48" s="124"/>
      <c r="H48" s="226">
        <v>0</v>
      </c>
      <c r="I48" s="226">
        <v>0</v>
      </c>
      <c r="J48" s="226">
        <v>0</v>
      </c>
      <c r="K48" s="226">
        <v>0</v>
      </c>
      <c r="L48" s="226">
        <v>0</v>
      </c>
      <c r="M48" s="233"/>
      <c r="N48" s="208"/>
      <c r="P48" s="499"/>
      <c r="Q48" s="197"/>
      <c r="R48" s="197"/>
      <c r="S48" s="197"/>
      <c r="T48" s="197"/>
      <c r="U48" s="197"/>
      <c r="V48" s="197"/>
      <c r="W48" s="197"/>
      <c r="X48" s="197"/>
      <c r="Y48" s="197"/>
      <c r="Z48" s="197"/>
      <c r="AA48" s="197"/>
      <c r="AB48" s="197"/>
    </row>
    <row r="49" spans="2:28" s="195" customFormat="1" x14ac:dyDescent="0.2">
      <c r="B49" s="207"/>
      <c r="C49" s="232"/>
      <c r="D49" s="1187"/>
      <c r="E49" s="239"/>
      <c r="F49" s="249"/>
      <c r="G49" s="124"/>
      <c r="H49" s="226">
        <v>0</v>
      </c>
      <c r="I49" s="226">
        <v>0</v>
      </c>
      <c r="J49" s="226">
        <v>0</v>
      </c>
      <c r="K49" s="226">
        <v>0</v>
      </c>
      <c r="L49" s="226">
        <v>0</v>
      </c>
      <c r="M49" s="233"/>
      <c r="N49" s="208"/>
      <c r="P49" s="499"/>
      <c r="Q49" s="197"/>
      <c r="R49" s="197"/>
      <c r="S49" s="197"/>
      <c r="T49" s="197"/>
      <c r="U49" s="197"/>
      <c r="V49" s="197"/>
      <c r="W49" s="197"/>
      <c r="X49" s="197"/>
      <c r="Y49" s="197"/>
      <c r="Z49" s="197"/>
      <c r="AA49" s="197"/>
      <c r="AB49" s="197"/>
    </row>
    <row r="50" spans="2:28" s="195" customFormat="1" x14ac:dyDescent="0.2">
      <c r="B50" s="207"/>
      <c r="C50" s="232"/>
      <c r="D50" s="1187"/>
      <c r="E50" s="239"/>
      <c r="F50" s="249"/>
      <c r="G50" s="124"/>
      <c r="H50" s="226">
        <v>0</v>
      </c>
      <c r="I50" s="226">
        <v>0</v>
      </c>
      <c r="J50" s="226">
        <v>0</v>
      </c>
      <c r="K50" s="226">
        <v>0</v>
      </c>
      <c r="L50" s="226">
        <v>0</v>
      </c>
      <c r="M50" s="233"/>
      <c r="N50" s="208"/>
      <c r="P50" s="499"/>
      <c r="Q50" s="197"/>
      <c r="R50" s="197"/>
      <c r="S50" s="197"/>
      <c r="T50" s="197"/>
      <c r="U50" s="197"/>
      <c r="V50" s="197"/>
      <c r="W50" s="197"/>
      <c r="X50" s="197"/>
      <c r="Y50" s="197"/>
      <c r="Z50" s="197"/>
      <c r="AA50" s="197"/>
      <c r="AB50" s="197"/>
    </row>
    <row r="51" spans="2:28" s="195" customFormat="1" x14ac:dyDescent="0.2">
      <c r="B51" s="207"/>
      <c r="C51" s="232"/>
      <c r="D51" s="1187"/>
      <c r="E51" s="239"/>
      <c r="F51" s="249"/>
      <c r="G51" s="124"/>
      <c r="H51" s="226">
        <v>0</v>
      </c>
      <c r="I51" s="226">
        <v>0</v>
      </c>
      <c r="J51" s="226">
        <v>0</v>
      </c>
      <c r="K51" s="226">
        <v>0</v>
      </c>
      <c r="L51" s="226">
        <v>0</v>
      </c>
      <c r="M51" s="233"/>
      <c r="N51" s="208"/>
      <c r="P51" s="499"/>
      <c r="Q51" s="197"/>
      <c r="R51" s="197"/>
      <c r="S51" s="197"/>
      <c r="T51" s="197"/>
      <c r="U51" s="197"/>
      <c r="V51" s="197"/>
      <c r="W51" s="197"/>
      <c r="X51" s="197"/>
      <c r="Y51" s="197"/>
      <c r="Z51" s="197"/>
      <c r="AA51" s="197"/>
      <c r="AB51" s="197"/>
    </row>
    <row r="52" spans="2:28" s="195" customFormat="1" x14ac:dyDescent="0.2">
      <c r="B52" s="207"/>
      <c r="C52" s="232"/>
      <c r="D52" s="250"/>
      <c r="E52" s="250"/>
      <c r="F52" s="251"/>
      <c r="G52" s="165"/>
      <c r="H52" s="1049">
        <f>SUM(H47:H51)</f>
        <v>0</v>
      </c>
      <c r="I52" s="1049">
        <f>SUM(I47:I51)</f>
        <v>0</v>
      </c>
      <c r="J52" s="1049">
        <f>SUM(J47:J51)</f>
        <v>0</v>
      </c>
      <c r="K52" s="1049">
        <f>SUM(K47:K51)</f>
        <v>0</v>
      </c>
      <c r="L52" s="1049">
        <f>SUM(L47:L51)</f>
        <v>0</v>
      </c>
      <c r="M52" s="233"/>
      <c r="N52" s="208"/>
      <c r="P52" s="499"/>
      <c r="Q52" s="197"/>
      <c r="R52" s="197"/>
      <c r="S52" s="197"/>
      <c r="T52" s="197"/>
      <c r="U52" s="197"/>
      <c r="V52" s="197"/>
      <c r="W52" s="197"/>
      <c r="X52" s="197"/>
      <c r="Y52" s="197"/>
      <c r="Z52" s="197"/>
      <c r="AA52" s="197"/>
      <c r="AB52" s="197"/>
    </row>
    <row r="53" spans="2:28" s="204" customFormat="1" x14ac:dyDescent="0.2">
      <c r="B53" s="209"/>
      <c r="C53" s="242"/>
      <c r="D53" s="528" t="s">
        <v>91</v>
      </c>
      <c r="E53" s="252"/>
      <c r="F53" s="253"/>
      <c r="G53" s="140"/>
      <c r="H53" s="254"/>
      <c r="I53" s="254"/>
      <c r="J53" s="254"/>
      <c r="K53" s="254"/>
      <c r="L53" s="254"/>
      <c r="M53" s="245"/>
      <c r="N53" s="210"/>
      <c r="P53" s="499"/>
      <c r="Q53" s="197"/>
      <c r="R53" s="197"/>
      <c r="S53" s="197"/>
      <c r="T53" s="197"/>
      <c r="U53" s="197"/>
      <c r="V53" s="197"/>
      <c r="W53" s="197"/>
      <c r="X53" s="197"/>
      <c r="Y53" s="197"/>
      <c r="Z53" s="197"/>
      <c r="AA53" s="197"/>
      <c r="AB53" s="197"/>
    </row>
    <row r="54" spans="2:28" s="195" customFormat="1" x14ac:dyDescent="0.2">
      <c r="B54" s="207"/>
      <c r="C54" s="232"/>
      <c r="D54" s="1187"/>
      <c r="E54" s="255"/>
      <c r="F54" s="256"/>
      <c r="G54" s="124"/>
      <c r="H54" s="226">
        <v>0</v>
      </c>
      <c r="I54" s="226">
        <v>0</v>
      </c>
      <c r="J54" s="226">
        <v>0</v>
      </c>
      <c r="K54" s="226">
        <v>0</v>
      </c>
      <c r="L54" s="226">
        <v>0</v>
      </c>
      <c r="M54" s="233"/>
      <c r="N54" s="208"/>
      <c r="P54" s="499"/>
      <c r="Q54" s="13"/>
      <c r="R54" s="13"/>
      <c r="S54" s="13"/>
      <c r="T54" s="13"/>
      <c r="U54" s="13"/>
      <c r="V54" s="13"/>
      <c r="W54" s="13"/>
      <c r="X54" s="13"/>
      <c r="Y54" s="13"/>
      <c r="Z54" s="13"/>
      <c r="AA54" s="13"/>
      <c r="AB54" s="13"/>
    </row>
    <row r="55" spans="2:28" s="195" customFormat="1" x14ac:dyDescent="0.2">
      <c r="B55" s="207"/>
      <c r="C55" s="232"/>
      <c r="D55" s="1187"/>
      <c r="E55" s="239"/>
      <c r="F55" s="249"/>
      <c r="G55" s="124"/>
      <c r="H55" s="226">
        <v>0</v>
      </c>
      <c r="I55" s="226">
        <v>0</v>
      </c>
      <c r="J55" s="226">
        <v>0</v>
      </c>
      <c r="K55" s="226">
        <v>0</v>
      </c>
      <c r="L55" s="226">
        <v>0</v>
      </c>
      <c r="M55" s="233"/>
      <c r="N55" s="208"/>
      <c r="P55" s="499"/>
      <c r="Q55" s="13"/>
      <c r="R55" s="13"/>
      <c r="S55" s="13"/>
      <c r="T55" s="13"/>
      <c r="U55" s="13"/>
      <c r="V55" s="13"/>
      <c r="W55" s="13"/>
      <c r="X55" s="13"/>
      <c r="Y55" s="13"/>
      <c r="Z55" s="13"/>
      <c r="AA55" s="13"/>
      <c r="AB55" s="13"/>
    </row>
    <row r="56" spans="2:28" s="195" customFormat="1" x14ac:dyDescent="0.2">
      <c r="B56" s="207"/>
      <c r="C56" s="232"/>
      <c r="D56" s="1187"/>
      <c r="E56" s="255"/>
      <c r="F56" s="256"/>
      <c r="G56" s="124"/>
      <c r="H56" s="226">
        <v>0</v>
      </c>
      <c r="I56" s="226">
        <v>0</v>
      </c>
      <c r="J56" s="226">
        <v>0</v>
      </c>
      <c r="K56" s="226">
        <v>0</v>
      </c>
      <c r="L56" s="226">
        <v>0</v>
      </c>
      <c r="M56" s="233"/>
      <c r="N56" s="208"/>
      <c r="P56" s="499"/>
      <c r="Q56" s="13"/>
      <c r="R56" s="13"/>
      <c r="S56" s="13"/>
      <c r="T56" s="13"/>
      <c r="U56" s="13"/>
      <c r="V56" s="13"/>
      <c r="W56" s="13"/>
      <c r="X56" s="13"/>
      <c r="Y56" s="13"/>
      <c r="Z56" s="13"/>
      <c r="AA56" s="13"/>
      <c r="AB56" s="13"/>
    </row>
    <row r="57" spans="2:28" s="195" customFormat="1" x14ac:dyDescent="0.2">
      <c r="B57" s="207"/>
      <c r="C57" s="232"/>
      <c r="D57" s="1187"/>
      <c r="E57" s="239"/>
      <c r="F57" s="249"/>
      <c r="G57" s="124"/>
      <c r="H57" s="226">
        <v>0</v>
      </c>
      <c r="I57" s="226">
        <v>0</v>
      </c>
      <c r="J57" s="226">
        <v>0</v>
      </c>
      <c r="K57" s="226">
        <v>0</v>
      </c>
      <c r="L57" s="226">
        <v>0</v>
      </c>
      <c r="M57" s="233"/>
      <c r="N57" s="208"/>
      <c r="P57" s="499"/>
      <c r="Q57" s="13"/>
      <c r="R57" s="13"/>
      <c r="S57" s="13"/>
      <c r="T57" s="13"/>
      <c r="U57" s="13"/>
      <c r="V57" s="13"/>
      <c r="W57" s="13"/>
      <c r="X57" s="13"/>
      <c r="Y57" s="13"/>
      <c r="Z57" s="13"/>
      <c r="AA57" s="13"/>
      <c r="AB57" s="13"/>
    </row>
    <row r="58" spans="2:28" s="195" customFormat="1" x14ac:dyDescent="0.2">
      <c r="B58" s="207"/>
      <c r="C58" s="232"/>
      <c r="D58" s="1187"/>
      <c r="E58" s="255"/>
      <c r="F58" s="256"/>
      <c r="G58" s="124"/>
      <c r="H58" s="226">
        <v>0</v>
      </c>
      <c r="I58" s="226">
        <v>0</v>
      </c>
      <c r="J58" s="226">
        <v>0</v>
      </c>
      <c r="K58" s="226">
        <v>0</v>
      </c>
      <c r="L58" s="226">
        <v>0</v>
      </c>
      <c r="M58" s="233"/>
      <c r="N58" s="208"/>
      <c r="P58" s="499"/>
      <c r="Q58" s="13"/>
      <c r="R58" s="13"/>
      <c r="S58" s="13"/>
      <c r="T58" s="13"/>
      <c r="U58" s="13"/>
      <c r="V58" s="13"/>
      <c r="W58" s="13"/>
      <c r="X58" s="13"/>
      <c r="Y58" s="13"/>
      <c r="Z58" s="13"/>
      <c r="AA58" s="13"/>
      <c r="AB58" s="13"/>
    </row>
    <row r="59" spans="2:28" s="195" customFormat="1" x14ac:dyDescent="0.2">
      <c r="B59" s="207"/>
      <c r="C59" s="232"/>
      <c r="D59" s="257"/>
      <c r="E59" s="258"/>
      <c r="F59" s="257"/>
      <c r="G59" s="165"/>
      <c r="H59" s="1049">
        <f>SUM(H54:H58)</f>
        <v>0</v>
      </c>
      <c r="I59" s="1049">
        <f>SUM(I54:I58)</f>
        <v>0</v>
      </c>
      <c r="J59" s="1049">
        <f>SUM(J54:J58)</f>
        <v>0</v>
      </c>
      <c r="K59" s="1049">
        <f>SUM(K54:K58)</f>
        <v>0</v>
      </c>
      <c r="L59" s="1049">
        <f>SUM(L54:L58)</f>
        <v>0</v>
      </c>
      <c r="M59" s="233"/>
      <c r="N59" s="208"/>
      <c r="P59" s="499"/>
      <c r="Q59" s="13"/>
      <c r="R59" s="13"/>
      <c r="S59" s="13"/>
      <c r="T59" s="13"/>
      <c r="U59" s="13"/>
      <c r="V59" s="13"/>
      <c r="W59" s="13"/>
      <c r="X59" s="13"/>
      <c r="Y59" s="13"/>
      <c r="Z59" s="13"/>
      <c r="AA59" s="13"/>
      <c r="AB59" s="13"/>
    </row>
    <row r="60" spans="2:28" s="195" customFormat="1" x14ac:dyDescent="0.2">
      <c r="B60" s="207"/>
      <c r="C60" s="232"/>
      <c r="D60" s="136"/>
      <c r="E60" s="124"/>
      <c r="F60" s="124"/>
      <c r="G60" s="124"/>
      <c r="H60" s="127"/>
      <c r="I60" s="259"/>
      <c r="J60" s="240"/>
      <c r="K60" s="240"/>
      <c r="L60" s="240"/>
      <c r="M60" s="233"/>
      <c r="N60" s="208"/>
      <c r="P60" s="152"/>
      <c r="Q60" s="152"/>
      <c r="R60" s="152"/>
      <c r="S60" s="152"/>
      <c r="T60" s="152"/>
      <c r="U60" s="152"/>
      <c r="V60" s="152"/>
      <c r="W60" s="152"/>
      <c r="X60" s="152"/>
      <c r="Y60" s="152"/>
      <c r="Z60" s="152"/>
      <c r="AA60" s="152"/>
      <c r="AB60" s="152"/>
    </row>
    <row r="61" spans="2:28" s="195" customFormat="1" x14ac:dyDescent="0.2">
      <c r="B61" s="207"/>
      <c r="C61" s="232"/>
      <c r="D61" s="528" t="s">
        <v>92</v>
      </c>
      <c r="E61" s="1053"/>
      <c r="F61" s="1054"/>
      <c r="G61" s="528"/>
      <c r="H61" s="1049">
        <f>H52-H59</f>
        <v>0</v>
      </c>
      <c r="I61" s="1049">
        <f>I52-I59</f>
        <v>0</v>
      </c>
      <c r="J61" s="1049">
        <f>J52-J59</f>
        <v>0</v>
      </c>
      <c r="K61" s="1049">
        <f>K52-K59</f>
        <v>0</v>
      </c>
      <c r="L61" s="1049">
        <f>L52-L59</f>
        <v>0</v>
      </c>
      <c r="M61" s="233"/>
      <c r="N61" s="208"/>
      <c r="P61" s="499"/>
      <c r="Q61" s="13"/>
      <c r="R61" s="13"/>
      <c r="S61" s="13"/>
      <c r="T61" s="13"/>
      <c r="U61" s="13"/>
      <c r="V61" s="13"/>
      <c r="W61" s="13"/>
      <c r="X61" s="13"/>
      <c r="Y61" s="13"/>
      <c r="Z61" s="13"/>
      <c r="AA61" s="13"/>
      <c r="AB61" s="13"/>
    </row>
    <row r="62" spans="2:28" s="195" customFormat="1" x14ac:dyDescent="0.2">
      <c r="B62" s="207"/>
      <c r="C62" s="232"/>
      <c r="D62" s="518"/>
      <c r="E62" s="234"/>
      <c r="F62" s="234"/>
      <c r="G62" s="234"/>
      <c r="H62" s="234"/>
      <c r="I62" s="234"/>
      <c r="J62" s="234"/>
      <c r="K62" s="234"/>
      <c r="L62" s="234"/>
      <c r="M62" s="233"/>
      <c r="N62" s="208"/>
      <c r="P62" s="499"/>
      <c r="Q62" s="13"/>
      <c r="R62" s="13"/>
      <c r="S62" s="13"/>
      <c r="T62" s="13"/>
      <c r="U62" s="13"/>
      <c r="V62" s="13"/>
      <c r="W62" s="13"/>
      <c r="X62" s="13"/>
      <c r="Y62" s="13"/>
      <c r="Z62" s="13"/>
      <c r="AA62" s="13"/>
      <c r="AB62" s="13"/>
    </row>
    <row r="63" spans="2:28" s="195" customFormat="1" x14ac:dyDescent="0.2">
      <c r="B63" s="207"/>
      <c r="C63" s="232"/>
      <c r="D63" s="518"/>
      <c r="E63" s="234"/>
      <c r="F63" s="234"/>
      <c r="G63" s="234"/>
      <c r="H63" s="234"/>
      <c r="I63" s="234"/>
      <c r="J63" s="234"/>
      <c r="K63" s="234"/>
      <c r="L63" s="234"/>
      <c r="M63" s="233"/>
      <c r="N63" s="208"/>
      <c r="P63" s="152"/>
      <c r="Q63" s="152"/>
      <c r="R63" s="152"/>
      <c r="S63" s="152"/>
      <c r="T63" s="152"/>
      <c r="U63" s="152"/>
      <c r="V63" s="152"/>
      <c r="W63" s="152"/>
      <c r="X63" s="152"/>
      <c r="Y63" s="152"/>
      <c r="Z63" s="152"/>
      <c r="AA63" s="152"/>
      <c r="AB63" s="152"/>
    </row>
    <row r="64" spans="2:28" s="173" customFormat="1" x14ac:dyDescent="0.2">
      <c r="B64" s="95"/>
      <c r="C64" s="122"/>
      <c r="D64" s="130" t="s">
        <v>291</v>
      </c>
      <c r="E64" s="124"/>
      <c r="F64" s="124"/>
      <c r="G64" s="124"/>
      <c r="H64" s="1046">
        <f>H23+H28+H34+H44-H61</f>
        <v>1263980.1000000001</v>
      </c>
      <c r="I64" s="1046">
        <f>I23+I28+I34+I44-I61</f>
        <v>1283284.19</v>
      </c>
      <c r="J64" s="1046">
        <f>J23+J28+J34+J44-J61</f>
        <v>1296453.94</v>
      </c>
      <c r="K64" s="1046">
        <f>K23+K28+K34+K44-K61</f>
        <v>1309623.69</v>
      </c>
      <c r="L64" s="1046">
        <f>L23+L28+L34+L44-L61</f>
        <v>1322793.44</v>
      </c>
      <c r="M64" s="260"/>
      <c r="N64" s="211"/>
      <c r="P64" s="499"/>
      <c r="Q64" s="13"/>
      <c r="R64" s="13"/>
      <c r="S64" s="13"/>
      <c r="T64" s="13"/>
      <c r="U64" s="13"/>
      <c r="V64" s="13"/>
      <c r="W64" s="13"/>
      <c r="X64" s="13"/>
      <c r="Y64" s="13"/>
      <c r="Z64" s="13"/>
      <c r="AA64" s="13"/>
      <c r="AB64" s="13"/>
    </row>
    <row r="65" spans="2:28" s="195" customFormat="1" x14ac:dyDescent="0.2">
      <c r="B65" s="207"/>
      <c r="C65" s="289"/>
      <c r="D65" s="290"/>
      <c r="E65" s="290"/>
      <c r="F65" s="290"/>
      <c r="G65" s="290"/>
      <c r="H65" s="291"/>
      <c r="I65" s="291"/>
      <c r="J65" s="291"/>
      <c r="K65" s="291"/>
      <c r="L65" s="291"/>
      <c r="M65" s="292"/>
      <c r="N65" s="208"/>
      <c r="P65" s="499"/>
      <c r="Q65" s="13"/>
      <c r="R65" s="13"/>
      <c r="S65" s="13"/>
      <c r="T65" s="13"/>
      <c r="U65" s="13"/>
      <c r="V65" s="13"/>
      <c r="W65" s="13"/>
      <c r="X65" s="13"/>
      <c r="Y65" s="13"/>
      <c r="Z65" s="13"/>
      <c r="AA65" s="13"/>
      <c r="AB65" s="13"/>
    </row>
    <row r="66" spans="2:28" s="195" customFormat="1" x14ac:dyDescent="0.2">
      <c r="B66" s="207"/>
      <c r="C66" s="212"/>
      <c r="D66" s="83"/>
      <c r="E66" s="83"/>
      <c r="F66" s="83"/>
      <c r="G66" s="83"/>
      <c r="H66" s="96"/>
      <c r="I66" s="96"/>
      <c r="J66" s="96"/>
      <c r="K66" s="96"/>
      <c r="L66" s="96"/>
      <c r="M66" s="213"/>
      <c r="N66" s="208"/>
      <c r="P66" s="499"/>
      <c r="Q66" s="13"/>
      <c r="R66" s="13"/>
      <c r="S66" s="13"/>
      <c r="T66" s="13"/>
      <c r="U66" s="13"/>
      <c r="V66" s="13"/>
      <c r="W66" s="13"/>
      <c r="X66" s="13"/>
      <c r="Y66" s="13"/>
      <c r="Z66" s="13"/>
      <c r="AA66" s="13"/>
      <c r="AB66" s="13"/>
    </row>
    <row r="67" spans="2:28" s="195" customFormat="1" x14ac:dyDescent="0.2">
      <c r="B67" s="207"/>
      <c r="C67" s="293"/>
      <c r="D67" s="294"/>
      <c r="E67" s="294"/>
      <c r="F67" s="294"/>
      <c r="G67" s="294"/>
      <c r="H67" s="295"/>
      <c r="I67" s="295"/>
      <c r="J67" s="295"/>
      <c r="K67" s="295"/>
      <c r="L67" s="295"/>
      <c r="M67" s="296"/>
      <c r="N67" s="208"/>
      <c r="P67" s="499"/>
      <c r="Q67" s="13"/>
      <c r="R67" s="13"/>
      <c r="S67" s="13"/>
      <c r="T67" s="13"/>
      <c r="U67" s="13"/>
      <c r="V67" s="13"/>
      <c r="W67" s="13"/>
      <c r="X67" s="13"/>
      <c r="Y67" s="13"/>
      <c r="Z67" s="13"/>
      <c r="AA67" s="13"/>
      <c r="AB67" s="13"/>
    </row>
    <row r="68" spans="2:28" s="204" customFormat="1" x14ac:dyDescent="0.2">
      <c r="B68" s="209"/>
      <c r="C68" s="242"/>
      <c r="D68" s="1025" t="s">
        <v>93</v>
      </c>
      <c r="E68" s="149"/>
      <c r="F68" s="149"/>
      <c r="G68" s="149"/>
      <c r="H68" s="243"/>
      <c r="I68" s="243"/>
      <c r="J68" s="243"/>
      <c r="K68" s="243"/>
      <c r="L68" s="243"/>
      <c r="M68" s="245"/>
      <c r="N68" s="210"/>
      <c r="P68" s="152"/>
      <c r="Q68" s="152"/>
      <c r="R68" s="152"/>
      <c r="S68" s="152"/>
      <c r="T68" s="152"/>
      <c r="U68" s="152"/>
      <c r="V68" s="152"/>
      <c r="W68" s="152"/>
      <c r="X68" s="152"/>
      <c r="Y68" s="152"/>
      <c r="Z68" s="152"/>
      <c r="AA68" s="152"/>
      <c r="AB68" s="152"/>
    </row>
    <row r="69" spans="2:28" s="195" customFormat="1" x14ac:dyDescent="0.2">
      <c r="B69" s="207"/>
      <c r="C69" s="232"/>
      <c r="D69" s="130"/>
      <c r="E69" s="123"/>
      <c r="F69" s="123"/>
      <c r="G69" s="123"/>
      <c r="H69" s="238"/>
      <c r="I69" s="238"/>
      <c r="J69" s="238"/>
      <c r="K69" s="238"/>
      <c r="L69" s="238"/>
      <c r="M69" s="233"/>
      <c r="N69" s="208"/>
      <c r="P69" s="499"/>
      <c r="Q69" s="13"/>
      <c r="R69" s="13"/>
      <c r="S69" s="13"/>
      <c r="T69" s="13"/>
      <c r="U69" s="13"/>
      <c r="V69" s="13"/>
      <c r="W69" s="13"/>
      <c r="X69" s="13"/>
      <c r="Y69" s="13"/>
      <c r="Z69" s="13"/>
      <c r="AA69" s="13"/>
      <c r="AB69" s="13"/>
    </row>
    <row r="70" spans="2:28" s="195" customFormat="1" x14ac:dyDescent="0.2">
      <c r="B70" s="207"/>
      <c r="C70" s="232"/>
      <c r="D70" s="228"/>
      <c r="E70" s="123"/>
      <c r="F70" s="123"/>
      <c r="G70" s="123"/>
      <c r="H70" s="226">
        <v>0</v>
      </c>
      <c r="I70" s="226">
        <f t="shared" ref="I70:I75" si="6">H70</f>
        <v>0</v>
      </c>
      <c r="J70" s="226">
        <f t="shared" ref="J70:L75" si="7">I70</f>
        <v>0</v>
      </c>
      <c r="K70" s="226">
        <f t="shared" si="7"/>
        <v>0</v>
      </c>
      <c r="L70" s="226">
        <f t="shared" si="7"/>
        <v>0</v>
      </c>
      <c r="M70" s="233"/>
      <c r="N70" s="208"/>
      <c r="P70" s="499"/>
      <c r="Q70" s="13"/>
      <c r="R70" s="13"/>
      <c r="S70" s="13"/>
      <c r="T70" s="13"/>
      <c r="U70" s="13"/>
      <c r="V70" s="13"/>
      <c r="W70" s="13"/>
      <c r="X70" s="13"/>
      <c r="Y70" s="13"/>
      <c r="Z70" s="13"/>
      <c r="AA70" s="13"/>
      <c r="AB70" s="13"/>
    </row>
    <row r="71" spans="2:28" s="195" customFormat="1" x14ac:dyDescent="0.2">
      <c r="B71" s="207"/>
      <c r="C71" s="232"/>
      <c r="D71" s="228"/>
      <c r="E71" s="123"/>
      <c r="F71" s="123"/>
      <c r="G71" s="123"/>
      <c r="H71" s="226">
        <v>0</v>
      </c>
      <c r="I71" s="226">
        <f t="shared" si="6"/>
        <v>0</v>
      </c>
      <c r="J71" s="226">
        <f t="shared" ref="J71" si="8">I71</f>
        <v>0</v>
      </c>
      <c r="K71" s="226">
        <f t="shared" ref="K71" si="9">J71</f>
        <v>0</v>
      </c>
      <c r="L71" s="226">
        <f t="shared" ref="L71" si="10">K71</f>
        <v>0</v>
      </c>
      <c r="M71" s="233"/>
      <c r="N71" s="208"/>
      <c r="P71" s="499"/>
      <c r="Q71" s="13"/>
      <c r="R71" s="13"/>
      <c r="S71" s="13"/>
      <c r="T71" s="13"/>
      <c r="U71" s="13"/>
      <c r="V71" s="13"/>
      <c r="W71" s="13"/>
      <c r="X71" s="13"/>
      <c r="Y71" s="13"/>
      <c r="Z71" s="13"/>
      <c r="AA71" s="13"/>
      <c r="AB71" s="13"/>
    </row>
    <row r="72" spans="2:28" s="195" customFormat="1" x14ac:dyDescent="0.2">
      <c r="B72" s="207"/>
      <c r="C72" s="232"/>
      <c r="D72" s="228"/>
      <c r="E72" s="123"/>
      <c r="F72" s="123"/>
      <c r="G72" s="123"/>
      <c r="H72" s="226">
        <v>0</v>
      </c>
      <c r="I72" s="226">
        <f t="shared" si="6"/>
        <v>0</v>
      </c>
      <c r="J72" s="226">
        <f t="shared" si="7"/>
        <v>0</v>
      </c>
      <c r="K72" s="226">
        <f t="shared" si="7"/>
        <v>0</v>
      </c>
      <c r="L72" s="226">
        <f t="shared" si="7"/>
        <v>0</v>
      </c>
      <c r="M72" s="233"/>
      <c r="N72" s="208"/>
      <c r="P72" s="499"/>
      <c r="Q72" s="13"/>
      <c r="R72" s="13"/>
      <c r="S72" s="13"/>
      <c r="T72" s="13"/>
      <c r="U72" s="13"/>
      <c r="V72" s="13"/>
      <c r="W72" s="13"/>
      <c r="X72" s="13"/>
      <c r="Y72" s="13"/>
      <c r="Z72" s="13"/>
      <c r="AA72" s="13"/>
      <c r="AB72" s="13"/>
    </row>
    <row r="73" spans="2:28" s="195" customFormat="1" x14ac:dyDescent="0.2">
      <c r="B73" s="207"/>
      <c r="C73" s="232"/>
      <c r="D73" s="228"/>
      <c r="E73" s="123"/>
      <c r="F73" s="123"/>
      <c r="G73" s="123"/>
      <c r="H73" s="226">
        <v>0</v>
      </c>
      <c r="I73" s="226">
        <f t="shared" si="6"/>
        <v>0</v>
      </c>
      <c r="J73" s="226">
        <f t="shared" ref="J73:L74" si="11">I73</f>
        <v>0</v>
      </c>
      <c r="K73" s="226">
        <f t="shared" si="11"/>
        <v>0</v>
      </c>
      <c r="L73" s="226">
        <f t="shared" si="11"/>
        <v>0</v>
      </c>
      <c r="M73" s="233"/>
      <c r="N73" s="208"/>
      <c r="P73" s="499"/>
      <c r="Q73" s="13"/>
      <c r="R73" s="13"/>
      <c r="S73" s="13"/>
      <c r="T73" s="13"/>
      <c r="U73" s="13"/>
      <c r="V73" s="13"/>
      <c r="W73" s="13"/>
      <c r="X73" s="13"/>
      <c r="Y73" s="13"/>
      <c r="Z73" s="13"/>
      <c r="AA73" s="13"/>
      <c r="AB73" s="13"/>
    </row>
    <row r="74" spans="2:28" s="195" customFormat="1" x14ac:dyDescent="0.2">
      <c r="B74" s="207"/>
      <c r="C74" s="232"/>
      <c r="D74" s="228"/>
      <c r="E74" s="123"/>
      <c r="F74" s="123"/>
      <c r="G74" s="123"/>
      <c r="H74" s="226">
        <v>0</v>
      </c>
      <c r="I74" s="226">
        <f t="shared" si="6"/>
        <v>0</v>
      </c>
      <c r="J74" s="226">
        <f t="shared" si="11"/>
        <v>0</v>
      </c>
      <c r="K74" s="226">
        <f t="shared" si="11"/>
        <v>0</v>
      </c>
      <c r="L74" s="226">
        <f t="shared" si="11"/>
        <v>0</v>
      </c>
      <c r="M74" s="233"/>
      <c r="N74" s="208"/>
      <c r="P74" s="499"/>
      <c r="Q74" s="13"/>
      <c r="R74" s="13"/>
      <c r="S74" s="13"/>
      <c r="T74" s="13"/>
      <c r="U74" s="13"/>
      <c r="V74" s="13"/>
      <c r="W74" s="13"/>
      <c r="X74" s="13"/>
      <c r="Y74" s="13"/>
      <c r="Z74" s="13"/>
      <c r="AA74" s="13"/>
      <c r="AB74" s="13"/>
    </row>
    <row r="75" spans="2:28" s="195" customFormat="1" x14ac:dyDescent="0.2">
      <c r="B75" s="207"/>
      <c r="C75" s="232"/>
      <c r="D75" s="261"/>
      <c r="E75" s="123"/>
      <c r="F75" s="123"/>
      <c r="G75" s="123"/>
      <c r="H75" s="226">
        <v>0</v>
      </c>
      <c r="I75" s="226">
        <f t="shared" si="6"/>
        <v>0</v>
      </c>
      <c r="J75" s="226">
        <f t="shared" si="7"/>
        <v>0</v>
      </c>
      <c r="K75" s="226">
        <f t="shared" si="7"/>
        <v>0</v>
      </c>
      <c r="L75" s="226">
        <f t="shared" si="7"/>
        <v>0</v>
      </c>
      <c r="M75" s="233"/>
      <c r="N75" s="208"/>
      <c r="P75" s="499"/>
      <c r="Q75" s="13"/>
      <c r="R75" s="13"/>
      <c r="S75" s="13"/>
      <c r="T75" s="13"/>
      <c r="U75" s="13"/>
      <c r="V75" s="13"/>
      <c r="W75" s="13"/>
      <c r="X75" s="13"/>
      <c r="Y75" s="13"/>
      <c r="Z75" s="13"/>
      <c r="AA75" s="13"/>
      <c r="AB75" s="13"/>
    </row>
    <row r="76" spans="2:28" s="195" customFormat="1" x14ac:dyDescent="0.2">
      <c r="B76" s="207"/>
      <c r="C76" s="232"/>
      <c r="D76" s="262"/>
      <c r="E76" s="123"/>
      <c r="F76" s="123"/>
      <c r="G76" s="123"/>
      <c r="H76" s="230"/>
      <c r="I76" s="230"/>
      <c r="J76" s="230"/>
      <c r="K76" s="230"/>
      <c r="L76" s="230"/>
      <c r="M76" s="233"/>
      <c r="N76" s="208"/>
      <c r="P76" s="499"/>
      <c r="Q76" s="13"/>
      <c r="R76" s="13"/>
      <c r="S76" s="13"/>
      <c r="T76" s="13"/>
      <c r="U76" s="13"/>
      <c r="V76" s="13"/>
      <c r="W76" s="13"/>
      <c r="X76" s="13"/>
      <c r="Y76" s="13"/>
      <c r="Z76" s="13"/>
      <c r="AA76" s="13"/>
      <c r="AB76" s="13"/>
    </row>
    <row r="77" spans="2:28" s="173" customFormat="1" x14ac:dyDescent="0.2">
      <c r="B77" s="95"/>
      <c r="C77" s="122"/>
      <c r="D77" s="130" t="s">
        <v>291</v>
      </c>
      <c r="E77" s="130"/>
      <c r="F77" s="130"/>
      <c r="G77" s="130"/>
      <c r="H77" s="1046">
        <f>SUM(H70:H75)</f>
        <v>0</v>
      </c>
      <c r="I77" s="1046">
        <f>SUM(I70:I75)</f>
        <v>0</v>
      </c>
      <c r="J77" s="1046">
        <f>SUM(J70:J75)</f>
        <v>0</v>
      </c>
      <c r="K77" s="1046">
        <f>SUM(K70:K75)</f>
        <v>0</v>
      </c>
      <c r="L77" s="1046">
        <f>SUM(L70:L75)</f>
        <v>0</v>
      </c>
      <c r="M77" s="260"/>
      <c r="N77" s="211"/>
      <c r="P77" s="499"/>
      <c r="Q77" s="13"/>
      <c r="R77" s="13"/>
      <c r="S77" s="13"/>
      <c r="T77" s="13"/>
      <c r="U77" s="13"/>
      <c r="V77" s="13"/>
      <c r="W77" s="13"/>
      <c r="X77" s="13"/>
      <c r="Y77" s="13"/>
      <c r="Z77" s="13"/>
      <c r="AA77" s="13"/>
      <c r="AB77" s="13"/>
    </row>
    <row r="78" spans="2:28" s="195" customFormat="1" x14ac:dyDescent="0.2">
      <c r="B78" s="207"/>
      <c r="C78" s="289"/>
      <c r="D78" s="290"/>
      <c r="E78" s="290"/>
      <c r="F78" s="290"/>
      <c r="G78" s="290"/>
      <c r="H78" s="291"/>
      <c r="I78" s="291"/>
      <c r="J78" s="291"/>
      <c r="K78" s="291"/>
      <c r="L78" s="291"/>
      <c r="M78" s="292"/>
      <c r="N78" s="208"/>
      <c r="P78" s="499"/>
      <c r="Q78" s="13"/>
      <c r="R78" s="13"/>
      <c r="S78" s="13"/>
      <c r="T78" s="13"/>
      <c r="U78" s="13"/>
      <c r="V78" s="13"/>
      <c r="W78" s="13"/>
      <c r="X78" s="13"/>
      <c r="Y78" s="13"/>
      <c r="Z78" s="13"/>
      <c r="AA78" s="13"/>
      <c r="AB78" s="13"/>
    </row>
    <row r="79" spans="2:28" s="195" customFormat="1" x14ac:dyDescent="0.2">
      <c r="B79" s="207"/>
      <c r="C79" s="212"/>
      <c r="D79" s="83"/>
      <c r="E79" s="83"/>
      <c r="F79" s="83"/>
      <c r="G79" s="83"/>
      <c r="H79" s="96"/>
      <c r="I79" s="96"/>
      <c r="J79" s="96"/>
      <c r="K79" s="96"/>
      <c r="L79" s="96"/>
      <c r="M79" s="213"/>
      <c r="N79" s="208"/>
      <c r="P79" s="499"/>
      <c r="Q79" s="13"/>
      <c r="R79" s="13"/>
      <c r="S79" s="13"/>
      <c r="T79" s="13"/>
      <c r="U79" s="13"/>
      <c r="V79" s="13"/>
      <c r="W79" s="13"/>
      <c r="X79" s="13"/>
      <c r="Y79" s="13"/>
      <c r="Z79" s="13"/>
      <c r="AA79" s="13"/>
      <c r="AB79" s="13"/>
    </row>
    <row r="80" spans="2:28" ht="15" x14ac:dyDescent="0.25">
      <c r="B80" s="86"/>
      <c r="C80" s="87"/>
      <c r="D80" s="87"/>
      <c r="E80" s="87"/>
      <c r="F80" s="87"/>
      <c r="G80" s="87"/>
      <c r="H80" s="182"/>
      <c r="I80" s="182"/>
      <c r="J80" s="182"/>
      <c r="K80" s="182"/>
      <c r="L80" s="182"/>
      <c r="M80" s="89" t="s">
        <v>410</v>
      </c>
      <c r="N80" s="90"/>
    </row>
    <row r="81" spans="2:14" x14ac:dyDescent="0.2">
      <c r="B81" s="62"/>
      <c r="C81" s="63"/>
      <c r="D81" s="63"/>
      <c r="E81" s="63"/>
      <c r="F81" s="63"/>
      <c r="G81" s="63"/>
      <c r="H81" s="92"/>
      <c r="I81" s="92"/>
      <c r="J81" s="92"/>
      <c r="K81" s="92"/>
      <c r="L81" s="92"/>
      <c r="M81" s="63"/>
      <c r="N81" s="66"/>
    </row>
    <row r="82" spans="2:14" x14ac:dyDescent="0.2">
      <c r="B82" s="67"/>
      <c r="C82" s="68"/>
      <c r="D82" s="68"/>
      <c r="E82" s="68"/>
      <c r="F82" s="68"/>
      <c r="G82" s="68"/>
      <c r="H82" s="85"/>
      <c r="I82" s="85"/>
      <c r="J82" s="85"/>
      <c r="K82" s="85"/>
      <c r="L82" s="85"/>
      <c r="M82" s="68"/>
      <c r="N82" s="71"/>
    </row>
    <row r="83" spans="2:14" x14ac:dyDescent="0.2">
      <c r="B83" s="67"/>
      <c r="C83" s="68"/>
      <c r="D83" s="69"/>
      <c r="E83" s="68"/>
      <c r="F83" s="68"/>
      <c r="G83" s="68"/>
      <c r="H83" s="1024" t="str">
        <f>H8</f>
        <v>2015/16</v>
      </c>
      <c r="I83" s="1024" t="str">
        <f>I8</f>
        <v>2016/17</v>
      </c>
      <c r="J83" s="1024" t="str">
        <f>J8</f>
        <v>2017/18</v>
      </c>
      <c r="K83" s="1024" t="str">
        <f>K8</f>
        <v>2018/19</v>
      </c>
      <c r="L83" s="1024" t="str">
        <f>L8</f>
        <v>2019/20</v>
      </c>
      <c r="M83" s="70"/>
      <c r="N83" s="71"/>
    </row>
    <row r="84" spans="2:14" x14ac:dyDescent="0.2">
      <c r="B84" s="67"/>
      <c r="C84" s="68"/>
      <c r="D84" s="68"/>
      <c r="E84" s="68"/>
      <c r="F84" s="68"/>
      <c r="G84" s="68"/>
      <c r="H84" s="85"/>
      <c r="I84" s="85"/>
      <c r="J84" s="85"/>
      <c r="K84" s="85"/>
      <c r="L84" s="85"/>
      <c r="M84" s="68"/>
      <c r="N84" s="71"/>
    </row>
    <row r="85" spans="2:14" x14ac:dyDescent="0.2">
      <c r="B85" s="67"/>
      <c r="C85" s="293"/>
      <c r="D85" s="294"/>
      <c r="E85" s="294"/>
      <c r="F85" s="294"/>
      <c r="G85" s="294"/>
      <c r="H85" s="295"/>
      <c r="I85" s="295"/>
      <c r="J85" s="295"/>
      <c r="K85" s="295"/>
      <c r="L85" s="295"/>
      <c r="M85" s="296"/>
      <c r="N85" s="71"/>
    </row>
    <row r="86" spans="2:14" x14ac:dyDescent="0.2">
      <c r="B86" s="67"/>
      <c r="C86" s="242"/>
      <c r="D86" s="1035" t="s">
        <v>264</v>
      </c>
      <c r="E86" s="149"/>
      <c r="F86" s="149"/>
      <c r="G86" s="149"/>
      <c r="H86" s="243"/>
      <c r="I86" s="243"/>
      <c r="J86" s="243"/>
      <c r="K86" s="243"/>
      <c r="L86" s="243"/>
      <c r="M86" s="245"/>
      <c r="N86" s="71"/>
    </row>
    <row r="87" spans="2:14" x14ac:dyDescent="0.2">
      <c r="B87" s="67"/>
      <c r="C87" s="232"/>
      <c r="D87" s="124"/>
      <c r="E87" s="123"/>
      <c r="F87" s="123"/>
      <c r="G87" s="123"/>
      <c r="H87" s="238"/>
      <c r="I87" s="238"/>
      <c r="J87" s="238"/>
      <c r="K87" s="238"/>
      <c r="L87" s="238"/>
      <c r="M87" s="233"/>
      <c r="N87" s="71"/>
    </row>
    <row r="88" spans="2:14" x14ac:dyDescent="0.2">
      <c r="B88" s="67"/>
      <c r="C88" s="126"/>
      <c r="D88" s="127" t="s">
        <v>94</v>
      </c>
      <c r="E88" s="127"/>
      <c r="F88" s="127"/>
      <c r="G88" s="127"/>
      <c r="H88" s="226">
        <v>0</v>
      </c>
      <c r="I88" s="226">
        <f t="shared" ref="I88:I91" si="12">H88</f>
        <v>0</v>
      </c>
      <c r="J88" s="226">
        <f t="shared" ref="J88:L91" si="13">I88</f>
        <v>0</v>
      </c>
      <c r="K88" s="226">
        <f t="shared" ref="K88:L91" si="14">J88</f>
        <v>0</v>
      </c>
      <c r="L88" s="226">
        <f t="shared" si="14"/>
        <v>0</v>
      </c>
      <c r="M88" s="231"/>
      <c r="N88" s="71"/>
    </row>
    <row r="89" spans="2:14" x14ac:dyDescent="0.2">
      <c r="B89" s="67"/>
      <c r="C89" s="126"/>
      <c r="D89" s="124" t="s">
        <v>10</v>
      </c>
      <c r="E89" s="127"/>
      <c r="F89" s="127"/>
      <c r="G89" s="127"/>
      <c r="H89" s="226">
        <v>0</v>
      </c>
      <c r="I89" s="226">
        <f t="shared" si="12"/>
        <v>0</v>
      </c>
      <c r="J89" s="226">
        <f t="shared" si="13"/>
        <v>0</v>
      </c>
      <c r="K89" s="226">
        <f t="shared" si="13"/>
        <v>0</v>
      </c>
      <c r="L89" s="226">
        <f t="shared" si="13"/>
        <v>0</v>
      </c>
      <c r="M89" s="231"/>
      <c r="N89" s="71"/>
    </row>
    <row r="90" spans="2:14" x14ac:dyDescent="0.2">
      <c r="B90" s="67"/>
      <c r="C90" s="126"/>
      <c r="D90" s="133" t="s">
        <v>359</v>
      </c>
      <c r="E90" s="127"/>
      <c r="F90" s="127"/>
      <c r="G90" s="127"/>
      <c r="H90" s="226">
        <v>0</v>
      </c>
      <c r="I90" s="226">
        <f t="shared" si="12"/>
        <v>0</v>
      </c>
      <c r="J90" s="226">
        <f t="shared" si="13"/>
        <v>0</v>
      </c>
      <c r="K90" s="226">
        <f t="shared" si="13"/>
        <v>0</v>
      </c>
      <c r="L90" s="226">
        <f t="shared" si="13"/>
        <v>0</v>
      </c>
      <c r="M90" s="231"/>
      <c r="N90" s="71"/>
    </row>
    <row r="91" spans="2:14" x14ac:dyDescent="0.2">
      <c r="B91" s="67"/>
      <c r="C91" s="126"/>
      <c r="D91" s="875"/>
      <c r="E91" s="127"/>
      <c r="F91" s="127"/>
      <c r="G91" s="127"/>
      <c r="H91" s="226">
        <v>0</v>
      </c>
      <c r="I91" s="226">
        <f t="shared" si="12"/>
        <v>0</v>
      </c>
      <c r="J91" s="226">
        <f t="shared" si="13"/>
        <v>0</v>
      </c>
      <c r="K91" s="226">
        <f t="shared" si="14"/>
        <v>0</v>
      </c>
      <c r="L91" s="226">
        <f t="shared" si="14"/>
        <v>0</v>
      </c>
      <c r="M91" s="231"/>
      <c r="N91" s="71"/>
    </row>
    <row r="92" spans="2:14" x14ac:dyDescent="0.2">
      <c r="B92" s="67"/>
      <c r="C92" s="126"/>
      <c r="D92" s="875"/>
      <c r="E92" s="127"/>
      <c r="F92" s="127"/>
      <c r="G92" s="127"/>
      <c r="H92" s="226">
        <v>0</v>
      </c>
      <c r="I92" s="226">
        <f t="shared" ref="I92:I95" si="15">H92</f>
        <v>0</v>
      </c>
      <c r="J92" s="226">
        <f t="shared" ref="J92:J95" si="16">I92</f>
        <v>0</v>
      </c>
      <c r="K92" s="226">
        <f t="shared" ref="K92:K95" si="17">J92</f>
        <v>0</v>
      </c>
      <c r="L92" s="226">
        <f t="shared" ref="L92:L95" si="18">K92</f>
        <v>0</v>
      </c>
      <c r="M92" s="231"/>
      <c r="N92" s="71"/>
    </row>
    <row r="93" spans="2:14" x14ac:dyDescent="0.2">
      <c r="B93" s="67"/>
      <c r="C93" s="126"/>
      <c r="D93" s="875"/>
      <c r="E93" s="127"/>
      <c r="F93" s="127"/>
      <c r="G93" s="127"/>
      <c r="H93" s="226">
        <v>0</v>
      </c>
      <c r="I93" s="226">
        <f t="shared" si="15"/>
        <v>0</v>
      </c>
      <c r="J93" s="226">
        <f t="shared" si="16"/>
        <v>0</v>
      </c>
      <c r="K93" s="226">
        <f t="shared" si="17"/>
        <v>0</v>
      </c>
      <c r="L93" s="226">
        <f t="shared" si="18"/>
        <v>0</v>
      </c>
      <c r="M93" s="231"/>
      <c r="N93" s="71"/>
    </row>
    <row r="94" spans="2:14" x14ac:dyDescent="0.2">
      <c r="B94" s="67"/>
      <c r="C94" s="126"/>
      <c r="D94" s="875"/>
      <c r="E94" s="127"/>
      <c r="F94" s="127"/>
      <c r="G94" s="127"/>
      <c r="H94" s="226">
        <v>0</v>
      </c>
      <c r="I94" s="226">
        <f t="shared" si="15"/>
        <v>0</v>
      </c>
      <c r="J94" s="226">
        <f t="shared" si="16"/>
        <v>0</v>
      </c>
      <c r="K94" s="226">
        <f t="shared" si="17"/>
        <v>0</v>
      </c>
      <c r="L94" s="226">
        <f t="shared" si="18"/>
        <v>0</v>
      </c>
      <c r="M94" s="231"/>
      <c r="N94" s="71"/>
    </row>
    <row r="95" spans="2:14" x14ac:dyDescent="0.2">
      <c r="B95" s="67"/>
      <c r="C95" s="126"/>
      <c r="D95" s="226"/>
      <c r="E95" s="127"/>
      <c r="F95" s="127"/>
      <c r="G95" s="127"/>
      <c r="H95" s="226">
        <v>0</v>
      </c>
      <c r="I95" s="226">
        <f t="shared" si="15"/>
        <v>0</v>
      </c>
      <c r="J95" s="226">
        <f t="shared" si="16"/>
        <v>0</v>
      </c>
      <c r="K95" s="226">
        <f t="shared" si="17"/>
        <v>0</v>
      </c>
      <c r="L95" s="226">
        <f t="shared" si="18"/>
        <v>0</v>
      </c>
      <c r="M95" s="231"/>
      <c r="N95" s="71"/>
    </row>
    <row r="96" spans="2:14" x14ac:dyDescent="0.2">
      <c r="B96" s="67"/>
      <c r="C96" s="126"/>
      <c r="D96" s="124"/>
      <c r="E96" s="127"/>
      <c r="F96" s="127"/>
      <c r="G96" s="127"/>
      <c r="H96" s="230"/>
      <c r="I96" s="230"/>
      <c r="J96" s="230"/>
      <c r="K96" s="230"/>
      <c r="L96" s="230"/>
      <c r="M96" s="231"/>
      <c r="N96" s="71"/>
    </row>
    <row r="97" spans="2:28" x14ac:dyDescent="0.2">
      <c r="B97" s="67"/>
      <c r="C97" s="126"/>
      <c r="D97" s="130" t="s">
        <v>291</v>
      </c>
      <c r="E97" s="127"/>
      <c r="F97" s="127"/>
      <c r="G97" s="127"/>
      <c r="H97" s="1046">
        <f>SUM(H88:H95)</f>
        <v>0</v>
      </c>
      <c r="I97" s="1046">
        <f>SUM(I88:I95)</f>
        <v>0</v>
      </c>
      <c r="J97" s="1046">
        <f>SUM(J88:J95)</f>
        <v>0</v>
      </c>
      <c r="K97" s="1046">
        <f>SUM(K88:K95)</f>
        <v>0</v>
      </c>
      <c r="L97" s="1046">
        <f>SUM(L88:L95)</f>
        <v>0</v>
      </c>
      <c r="M97" s="231"/>
      <c r="N97" s="71"/>
    </row>
    <row r="98" spans="2:28" x14ac:dyDescent="0.2">
      <c r="B98" s="67"/>
      <c r="C98" s="265"/>
      <c r="D98" s="132"/>
      <c r="E98" s="132"/>
      <c r="F98" s="132"/>
      <c r="G98" s="132"/>
      <c r="H98" s="297"/>
      <c r="I98" s="297"/>
      <c r="J98" s="297"/>
      <c r="K98" s="297"/>
      <c r="L98" s="298"/>
      <c r="M98" s="299"/>
      <c r="N98" s="71"/>
    </row>
    <row r="99" spans="2:28" x14ac:dyDescent="0.2">
      <c r="B99" s="67"/>
      <c r="C99" s="83"/>
      <c r="D99" s="75"/>
      <c r="E99" s="75"/>
      <c r="F99" s="75"/>
      <c r="G99" s="75"/>
      <c r="H99" s="214"/>
      <c r="I99" s="214"/>
      <c r="J99" s="214"/>
      <c r="K99" s="214"/>
      <c r="L99" s="215"/>
      <c r="M99" s="216"/>
      <c r="N99" s="71"/>
    </row>
    <row r="100" spans="2:28" x14ac:dyDescent="0.2">
      <c r="B100" s="67"/>
      <c r="C100" s="300"/>
      <c r="D100" s="119"/>
      <c r="E100" s="119"/>
      <c r="F100" s="119"/>
      <c r="G100" s="119"/>
      <c r="H100" s="301"/>
      <c r="I100" s="301"/>
      <c r="J100" s="301"/>
      <c r="K100" s="301"/>
      <c r="L100" s="302"/>
      <c r="M100" s="303"/>
      <c r="N100" s="71"/>
    </row>
    <row r="101" spans="2:28" x14ac:dyDescent="0.2">
      <c r="B101" s="67"/>
      <c r="C101" s="263"/>
      <c r="D101" s="240" t="s">
        <v>97</v>
      </c>
      <c r="E101" s="240"/>
      <c r="F101" s="240"/>
      <c r="G101" s="240"/>
      <c r="H101" s="1048">
        <f>H64+H77+H97</f>
        <v>1263980.1000000001</v>
      </c>
      <c r="I101" s="1048">
        <f>I64+I77+I97</f>
        <v>1283284.19</v>
      </c>
      <c r="J101" s="1048">
        <f>J64+J77+J97</f>
        <v>1296453.94</v>
      </c>
      <c r="K101" s="1048">
        <f>K64+K77+K97</f>
        <v>1309623.69</v>
      </c>
      <c r="L101" s="1048">
        <f>L64+L77+L97</f>
        <v>1322793.44</v>
      </c>
      <c r="M101" s="264"/>
      <c r="N101" s="71"/>
    </row>
    <row r="102" spans="2:28" x14ac:dyDescent="0.2">
      <c r="B102" s="67"/>
      <c r="C102" s="265"/>
      <c r="D102" s="266"/>
      <c r="E102" s="266"/>
      <c r="F102" s="266"/>
      <c r="G102" s="266"/>
      <c r="H102" s="267"/>
      <c r="I102" s="267"/>
      <c r="J102" s="267"/>
      <c r="K102" s="267"/>
      <c r="L102" s="267"/>
      <c r="M102" s="268"/>
      <c r="N102" s="71"/>
    </row>
    <row r="103" spans="2:28" x14ac:dyDescent="0.2">
      <c r="B103" s="67"/>
      <c r="C103" s="68"/>
      <c r="D103" s="68"/>
      <c r="E103" s="68"/>
      <c r="F103" s="68"/>
      <c r="G103" s="68"/>
      <c r="H103" s="85"/>
      <c r="I103" s="85"/>
      <c r="J103" s="85"/>
      <c r="K103" s="85"/>
      <c r="L103" s="85"/>
      <c r="M103" s="68"/>
      <c r="N103" s="71"/>
    </row>
    <row r="104" spans="2:28" x14ac:dyDescent="0.2">
      <c r="B104" s="67"/>
      <c r="C104" s="68"/>
      <c r="D104" s="68"/>
      <c r="E104" s="68"/>
      <c r="F104" s="68"/>
      <c r="G104" s="68"/>
      <c r="H104" s="85"/>
      <c r="I104" s="85"/>
      <c r="J104" s="85"/>
      <c r="K104" s="85"/>
      <c r="L104" s="85"/>
      <c r="M104" s="68"/>
      <c r="N104" s="71"/>
    </row>
    <row r="105" spans="2:28" x14ac:dyDescent="0.2">
      <c r="B105" s="67"/>
      <c r="C105" s="184"/>
      <c r="D105" s="120"/>
      <c r="E105" s="120"/>
      <c r="F105" s="120"/>
      <c r="G105" s="120"/>
      <c r="H105" s="185"/>
      <c r="I105" s="185"/>
      <c r="J105" s="185"/>
      <c r="K105" s="185"/>
      <c r="L105" s="185"/>
      <c r="M105" s="121"/>
      <c r="N105" s="71"/>
    </row>
    <row r="106" spans="2:28" s="152" customFormat="1" x14ac:dyDescent="0.2">
      <c r="B106" s="150"/>
      <c r="C106" s="139"/>
      <c r="D106" s="1025" t="s">
        <v>265</v>
      </c>
      <c r="E106" s="1026"/>
      <c r="F106" s="1026"/>
      <c r="G106" s="140"/>
      <c r="H106" s="273"/>
      <c r="I106" s="273"/>
      <c r="J106" s="273"/>
      <c r="K106" s="273"/>
      <c r="L106" s="273"/>
      <c r="M106" s="187"/>
      <c r="N106" s="151"/>
      <c r="P106" s="499"/>
      <c r="Q106" s="13"/>
      <c r="R106" s="13"/>
      <c r="S106" s="13"/>
      <c r="T106" s="13"/>
      <c r="U106" s="13"/>
      <c r="V106" s="13"/>
      <c r="W106" s="13"/>
      <c r="X106" s="13"/>
      <c r="Y106" s="13"/>
      <c r="Z106" s="13"/>
      <c r="AA106" s="13"/>
      <c r="AB106" s="13"/>
    </row>
    <row r="107" spans="2:28" x14ac:dyDescent="0.2">
      <c r="B107" s="67"/>
      <c r="C107" s="126"/>
      <c r="D107" s="1036"/>
      <c r="E107" s="1036"/>
      <c r="F107" s="1034" t="s">
        <v>351</v>
      </c>
      <c r="G107" s="127"/>
      <c r="H107" s="256"/>
      <c r="I107" s="256"/>
      <c r="J107" s="256"/>
      <c r="K107" s="137"/>
      <c r="L107" s="274"/>
      <c r="M107" s="275"/>
      <c r="N107" s="71"/>
    </row>
    <row r="108" spans="2:28" s="152" customFormat="1" x14ac:dyDescent="0.2">
      <c r="B108" s="150"/>
      <c r="C108" s="139"/>
      <c r="D108" s="528" t="s">
        <v>554</v>
      </c>
      <c r="E108" s="1037"/>
      <c r="F108" s="1034"/>
      <c r="G108" s="276"/>
      <c r="H108" s="277"/>
      <c r="I108" s="277"/>
      <c r="J108" s="277"/>
      <c r="K108" s="277"/>
      <c r="L108" s="278"/>
      <c r="M108" s="279"/>
      <c r="N108" s="151"/>
      <c r="P108" s="499"/>
      <c r="Q108" s="13"/>
      <c r="R108" s="13"/>
      <c r="S108" s="13"/>
      <c r="T108" s="13"/>
      <c r="U108" s="13"/>
      <c r="V108" s="13"/>
      <c r="W108" s="13"/>
      <c r="X108" s="13"/>
      <c r="Y108" s="13"/>
      <c r="Z108" s="13"/>
      <c r="AA108" s="13"/>
      <c r="AB108" s="13"/>
    </row>
    <row r="109" spans="2:28" x14ac:dyDescent="0.2">
      <c r="B109" s="67"/>
      <c r="C109" s="126"/>
      <c r="D109" s="563" t="s">
        <v>190</v>
      </c>
      <c r="E109" s="280"/>
      <c r="F109" s="288"/>
      <c r="G109" s="280"/>
      <c r="H109" s="1051">
        <f>dir!T26</f>
        <v>57910.053526220618</v>
      </c>
      <c r="I109" s="1051">
        <f>dir!T48</f>
        <v>59818.974466546126</v>
      </c>
      <c r="J109" s="1051">
        <f>dir!T71</f>
        <v>61727.895406871612</v>
      </c>
      <c r="K109" s="1051">
        <f>dir!T93</f>
        <v>63600.106329113936</v>
      </c>
      <c r="L109" s="1051">
        <f>dir!T115</f>
        <v>65509.027269439423</v>
      </c>
      <c r="M109" s="231"/>
      <c r="N109" s="71"/>
    </row>
    <row r="110" spans="2:28" x14ac:dyDescent="0.2">
      <c r="B110" s="67"/>
      <c r="C110" s="126"/>
      <c r="D110" s="563" t="s">
        <v>202</v>
      </c>
      <c r="E110" s="280"/>
      <c r="F110" s="288"/>
      <c r="G110" s="280"/>
      <c r="H110" s="1051">
        <f>op!T71</f>
        <v>60050.16</v>
      </c>
      <c r="I110" s="1051">
        <f>op!T139</f>
        <v>62149.68</v>
      </c>
      <c r="J110" s="1051">
        <f>op!T207</f>
        <v>64307.520000000004</v>
      </c>
      <c r="K110" s="1051">
        <f>op!T274</f>
        <v>66582</v>
      </c>
      <c r="L110" s="1051">
        <f>op!T341</f>
        <v>68934.240000000005</v>
      </c>
      <c r="M110" s="231"/>
      <c r="N110" s="71"/>
    </row>
    <row r="111" spans="2:28" x14ac:dyDescent="0.2">
      <c r="B111" s="67"/>
      <c r="C111" s="126"/>
      <c r="D111" s="531" t="s">
        <v>487</v>
      </c>
      <c r="E111" s="280"/>
      <c r="F111" s="288"/>
      <c r="G111" s="280"/>
      <c r="H111" s="1051">
        <f>obp!T46</f>
        <v>51554.880000000005</v>
      </c>
      <c r="I111" s="1051">
        <f>obp!T89</f>
        <v>52624.08</v>
      </c>
      <c r="J111" s="1051">
        <f>obp!T132</f>
        <v>53771.040000000001</v>
      </c>
      <c r="K111" s="1051">
        <f>obp!T174</f>
        <v>54898.560000000005</v>
      </c>
      <c r="L111" s="1051">
        <f>obp!T216</f>
        <v>55967.76</v>
      </c>
      <c r="M111" s="231"/>
      <c r="N111" s="71"/>
    </row>
    <row r="112" spans="2:28" x14ac:dyDescent="0.2">
      <c r="B112" s="67"/>
      <c r="C112" s="126"/>
      <c r="D112" s="1188"/>
      <c r="E112" s="282"/>
      <c r="F112" s="283"/>
      <c r="G112" s="282"/>
      <c r="H112" s="1046">
        <f>SUM(H109:H111)</f>
        <v>169515.09352622062</v>
      </c>
      <c r="I112" s="1046">
        <f>SUM(I109:I111)</f>
        <v>174592.73446654613</v>
      </c>
      <c r="J112" s="1046">
        <f>SUM(J109:J111)</f>
        <v>179806.45540687162</v>
      </c>
      <c r="K112" s="1046">
        <f>SUM(K109:K111)</f>
        <v>185080.66632911394</v>
      </c>
      <c r="L112" s="1046">
        <f>SUM(L109:L111)</f>
        <v>190411.02726943942</v>
      </c>
      <c r="M112" s="260"/>
      <c r="N112" s="71"/>
    </row>
    <row r="113" spans="2:28" s="152" customFormat="1" x14ac:dyDescent="0.2">
      <c r="B113" s="150"/>
      <c r="C113" s="284"/>
      <c r="D113" s="528" t="s">
        <v>358</v>
      </c>
      <c r="E113" s="140"/>
      <c r="F113" s="285"/>
      <c r="G113" s="140"/>
      <c r="H113" s="148"/>
      <c r="I113" s="148"/>
      <c r="J113" s="148"/>
      <c r="K113" s="148"/>
      <c r="L113" s="148"/>
      <c r="M113" s="187"/>
      <c r="N113" s="151"/>
      <c r="P113" s="499"/>
      <c r="Q113" s="13"/>
      <c r="R113" s="13"/>
      <c r="S113" s="13"/>
      <c r="T113" s="13"/>
      <c r="U113" s="13"/>
      <c r="V113" s="13"/>
      <c r="W113" s="13"/>
      <c r="X113" s="13"/>
      <c r="Y113" s="13"/>
      <c r="Z113" s="13"/>
      <c r="AA113" s="13"/>
      <c r="AB113" s="13"/>
    </row>
    <row r="114" spans="2:28" x14ac:dyDescent="0.2">
      <c r="B114" s="67"/>
      <c r="C114" s="126"/>
      <c r="D114" s="136" t="s">
        <v>173</v>
      </c>
      <c r="E114" s="124"/>
      <c r="F114" s="288"/>
      <c r="G114" s="124"/>
      <c r="H114" s="226">
        <v>0</v>
      </c>
      <c r="I114" s="306">
        <f t="shared" ref="I114:L115" si="19">H114</f>
        <v>0</v>
      </c>
      <c r="J114" s="306">
        <f t="shared" si="19"/>
        <v>0</v>
      </c>
      <c r="K114" s="306">
        <f t="shared" si="19"/>
        <v>0</v>
      </c>
      <c r="L114" s="306">
        <f t="shared" si="19"/>
        <v>0</v>
      </c>
      <c r="M114" s="286"/>
      <c r="N114" s="71"/>
    </row>
    <row r="115" spans="2:28" x14ac:dyDescent="0.2">
      <c r="B115" s="67"/>
      <c r="C115" s="126"/>
      <c r="D115" s="308"/>
      <c r="E115" s="124"/>
      <c r="F115" s="288"/>
      <c r="G115" s="124"/>
      <c r="H115" s="226">
        <v>0</v>
      </c>
      <c r="I115" s="306">
        <f t="shared" si="19"/>
        <v>0</v>
      </c>
      <c r="J115" s="306">
        <f t="shared" si="19"/>
        <v>0</v>
      </c>
      <c r="K115" s="306">
        <f t="shared" si="19"/>
        <v>0</v>
      </c>
      <c r="L115" s="306">
        <f t="shared" si="19"/>
        <v>0</v>
      </c>
      <c r="M115" s="286"/>
      <c r="N115" s="71"/>
    </row>
    <row r="116" spans="2:28" x14ac:dyDescent="0.2">
      <c r="B116" s="67"/>
      <c r="C116" s="126"/>
      <c r="D116" s="308"/>
      <c r="E116" s="124"/>
      <c r="F116" s="288"/>
      <c r="G116" s="124"/>
      <c r="H116" s="226">
        <v>0</v>
      </c>
      <c r="I116" s="306">
        <f t="shared" ref="I116:I135" si="20">H116</f>
        <v>0</v>
      </c>
      <c r="J116" s="306">
        <f t="shared" ref="J116:L135" si="21">I116</f>
        <v>0</v>
      </c>
      <c r="K116" s="306">
        <f t="shared" si="21"/>
        <v>0</v>
      </c>
      <c r="L116" s="306">
        <f t="shared" si="21"/>
        <v>0</v>
      </c>
      <c r="M116" s="286"/>
      <c r="N116" s="71"/>
    </row>
    <row r="117" spans="2:28" x14ac:dyDescent="0.2">
      <c r="B117" s="67"/>
      <c r="C117" s="126"/>
      <c r="D117" s="308"/>
      <c r="E117" s="123"/>
      <c r="F117" s="288"/>
      <c r="G117" s="123"/>
      <c r="H117" s="226">
        <v>0</v>
      </c>
      <c r="I117" s="306">
        <f t="shared" si="20"/>
        <v>0</v>
      </c>
      <c r="J117" s="306">
        <f t="shared" si="21"/>
        <v>0</v>
      </c>
      <c r="K117" s="306">
        <f t="shared" si="21"/>
        <v>0</v>
      </c>
      <c r="L117" s="306">
        <f t="shared" si="21"/>
        <v>0</v>
      </c>
      <c r="M117" s="286"/>
      <c r="N117" s="71"/>
    </row>
    <row r="118" spans="2:28" x14ac:dyDescent="0.2">
      <c r="B118" s="67"/>
      <c r="C118" s="126"/>
      <c r="D118" s="308"/>
      <c r="E118" s="124"/>
      <c r="F118" s="288"/>
      <c r="G118" s="124"/>
      <c r="H118" s="307">
        <v>0</v>
      </c>
      <c r="I118" s="306">
        <f t="shared" si="20"/>
        <v>0</v>
      </c>
      <c r="J118" s="306">
        <f t="shared" si="21"/>
        <v>0</v>
      </c>
      <c r="K118" s="306">
        <f t="shared" si="21"/>
        <v>0</v>
      </c>
      <c r="L118" s="306">
        <f t="shared" si="21"/>
        <v>0</v>
      </c>
      <c r="M118" s="286"/>
      <c r="N118" s="71"/>
    </row>
    <row r="119" spans="2:28" x14ac:dyDescent="0.2">
      <c r="B119" s="67"/>
      <c r="C119" s="126"/>
      <c r="D119" s="308"/>
      <c r="E119" s="124"/>
      <c r="F119" s="288"/>
      <c r="G119" s="124"/>
      <c r="H119" s="307">
        <v>0</v>
      </c>
      <c r="I119" s="306">
        <f t="shared" si="20"/>
        <v>0</v>
      </c>
      <c r="J119" s="306">
        <f t="shared" si="21"/>
        <v>0</v>
      </c>
      <c r="K119" s="306">
        <f t="shared" si="21"/>
        <v>0</v>
      </c>
      <c r="L119" s="306">
        <f t="shared" si="21"/>
        <v>0</v>
      </c>
      <c r="M119" s="286"/>
      <c r="N119" s="71"/>
    </row>
    <row r="120" spans="2:28" x14ac:dyDescent="0.2">
      <c r="B120" s="67"/>
      <c r="C120" s="126"/>
      <c r="D120" s="308"/>
      <c r="E120" s="124"/>
      <c r="F120" s="288"/>
      <c r="G120" s="124"/>
      <c r="H120" s="307">
        <v>0</v>
      </c>
      <c r="I120" s="306">
        <f t="shared" si="20"/>
        <v>0</v>
      </c>
      <c r="J120" s="306">
        <f t="shared" si="21"/>
        <v>0</v>
      </c>
      <c r="K120" s="306">
        <f t="shared" si="21"/>
        <v>0</v>
      </c>
      <c r="L120" s="306">
        <f t="shared" si="21"/>
        <v>0</v>
      </c>
      <c r="M120" s="286"/>
      <c r="N120" s="71"/>
    </row>
    <row r="121" spans="2:28" x14ac:dyDescent="0.2">
      <c r="B121" s="67"/>
      <c r="C121" s="126"/>
      <c r="D121" s="308"/>
      <c r="E121" s="124"/>
      <c r="F121" s="288"/>
      <c r="G121" s="124"/>
      <c r="H121" s="307">
        <v>0</v>
      </c>
      <c r="I121" s="306">
        <f t="shared" si="20"/>
        <v>0</v>
      </c>
      <c r="J121" s="306">
        <f t="shared" si="21"/>
        <v>0</v>
      </c>
      <c r="K121" s="306">
        <f t="shared" si="21"/>
        <v>0</v>
      </c>
      <c r="L121" s="306">
        <f t="shared" si="21"/>
        <v>0</v>
      </c>
      <c r="M121" s="286"/>
      <c r="N121" s="71"/>
    </row>
    <row r="122" spans="2:28" x14ac:dyDescent="0.2">
      <c r="B122" s="67"/>
      <c r="C122" s="126"/>
      <c r="D122" s="308"/>
      <c r="E122" s="124"/>
      <c r="F122" s="288"/>
      <c r="G122" s="124"/>
      <c r="H122" s="307">
        <v>0</v>
      </c>
      <c r="I122" s="306">
        <f t="shared" si="20"/>
        <v>0</v>
      </c>
      <c r="J122" s="306">
        <f t="shared" si="21"/>
        <v>0</v>
      </c>
      <c r="K122" s="306">
        <f t="shared" si="21"/>
        <v>0</v>
      </c>
      <c r="L122" s="306">
        <f t="shared" si="21"/>
        <v>0</v>
      </c>
      <c r="M122" s="286"/>
      <c r="N122" s="71"/>
    </row>
    <row r="123" spans="2:28" x14ac:dyDescent="0.2">
      <c r="B123" s="67"/>
      <c r="C123" s="126"/>
      <c r="D123" s="308"/>
      <c r="E123" s="124"/>
      <c r="F123" s="288"/>
      <c r="G123" s="124"/>
      <c r="H123" s="307">
        <v>0</v>
      </c>
      <c r="I123" s="306">
        <f t="shared" si="20"/>
        <v>0</v>
      </c>
      <c r="J123" s="306">
        <f t="shared" si="21"/>
        <v>0</v>
      </c>
      <c r="K123" s="306">
        <f t="shared" si="21"/>
        <v>0</v>
      </c>
      <c r="L123" s="306">
        <f t="shared" si="21"/>
        <v>0</v>
      </c>
      <c r="M123" s="286"/>
      <c r="N123" s="71"/>
    </row>
    <row r="124" spans="2:28" x14ac:dyDescent="0.2">
      <c r="B124" s="67"/>
      <c r="C124" s="126"/>
      <c r="D124" s="308"/>
      <c r="E124" s="124"/>
      <c r="F124" s="288"/>
      <c r="G124" s="124"/>
      <c r="H124" s="307">
        <v>0</v>
      </c>
      <c r="I124" s="306">
        <f t="shared" si="20"/>
        <v>0</v>
      </c>
      <c r="J124" s="306">
        <f t="shared" si="21"/>
        <v>0</v>
      </c>
      <c r="K124" s="306">
        <f t="shared" si="21"/>
        <v>0</v>
      </c>
      <c r="L124" s="306">
        <f t="shared" si="21"/>
        <v>0</v>
      </c>
      <c r="M124" s="286"/>
      <c r="N124" s="71"/>
    </row>
    <row r="125" spans="2:28" x14ac:dyDescent="0.2">
      <c r="B125" s="67"/>
      <c r="C125" s="126"/>
      <c r="D125" s="308"/>
      <c r="E125" s="124"/>
      <c r="F125" s="288"/>
      <c r="G125" s="124"/>
      <c r="H125" s="307">
        <v>0</v>
      </c>
      <c r="I125" s="306">
        <f t="shared" si="20"/>
        <v>0</v>
      </c>
      <c r="J125" s="306">
        <f t="shared" si="21"/>
        <v>0</v>
      </c>
      <c r="K125" s="306">
        <f t="shared" si="21"/>
        <v>0</v>
      </c>
      <c r="L125" s="306">
        <f t="shared" si="21"/>
        <v>0</v>
      </c>
      <c r="M125" s="286"/>
      <c r="N125" s="71"/>
    </row>
    <row r="126" spans="2:28" x14ac:dyDescent="0.2">
      <c r="B126" s="67"/>
      <c r="C126" s="126"/>
      <c r="D126" s="308"/>
      <c r="E126" s="124"/>
      <c r="F126" s="288"/>
      <c r="G126" s="124"/>
      <c r="H126" s="307">
        <v>0</v>
      </c>
      <c r="I126" s="306">
        <f t="shared" si="20"/>
        <v>0</v>
      </c>
      <c r="J126" s="306">
        <f t="shared" si="21"/>
        <v>0</v>
      </c>
      <c r="K126" s="306">
        <f t="shared" si="21"/>
        <v>0</v>
      </c>
      <c r="L126" s="306">
        <f t="shared" si="21"/>
        <v>0</v>
      </c>
      <c r="M126" s="286"/>
      <c r="N126" s="71"/>
    </row>
    <row r="127" spans="2:28" x14ac:dyDescent="0.2">
      <c r="B127" s="67"/>
      <c r="C127" s="126"/>
      <c r="D127" s="308"/>
      <c r="E127" s="124"/>
      <c r="F127" s="288"/>
      <c r="G127" s="124"/>
      <c r="H127" s="307">
        <v>0</v>
      </c>
      <c r="I127" s="306">
        <f t="shared" si="20"/>
        <v>0</v>
      </c>
      <c r="J127" s="306">
        <f t="shared" si="21"/>
        <v>0</v>
      </c>
      <c r="K127" s="306">
        <f t="shared" si="21"/>
        <v>0</v>
      </c>
      <c r="L127" s="306">
        <f t="shared" si="21"/>
        <v>0</v>
      </c>
      <c r="M127" s="286"/>
      <c r="N127" s="71"/>
    </row>
    <row r="128" spans="2:28" x14ac:dyDescent="0.2">
      <c r="B128" s="67"/>
      <c r="C128" s="126"/>
      <c r="D128" s="308"/>
      <c r="E128" s="124"/>
      <c r="F128" s="288"/>
      <c r="G128" s="124"/>
      <c r="H128" s="307">
        <v>0</v>
      </c>
      <c r="I128" s="306">
        <f t="shared" si="20"/>
        <v>0</v>
      </c>
      <c r="J128" s="306">
        <f t="shared" si="21"/>
        <v>0</v>
      </c>
      <c r="K128" s="306">
        <f t="shared" si="21"/>
        <v>0</v>
      </c>
      <c r="L128" s="306">
        <f t="shared" si="21"/>
        <v>0</v>
      </c>
      <c r="M128" s="286"/>
      <c r="N128" s="71"/>
    </row>
    <row r="129" spans="2:14" x14ac:dyDescent="0.2">
      <c r="B129" s="67"/>
      <c r="C129" s="126"/>
      <c r="D129" s="308"/>
      <c r="E129" s="124"/>
      <c r="F129" s="288"/>
      <c r="G129" s="124"/>
      <c r="H129" s="307">
        <v>0</v>
      </c>
      <c r="I129" s="306">
        <f t="shared" si="20"/>
        <v>0</v>
      </c>
      <c r="J129" s="306">
        <f t="shared" si="21"/>
        <v>0</v>
      </c>
      <c r="K129" s="306">
        <f t="shared" si="21"/>
        <v>0</v>
      </c>
      <c r="L129" s="306">
        <f t="shared" si="21"/>
        <v>0</v>
      </c>
      <c r="M129" s="286"/>
      <c r="N129" s="71"/>
    </row>
    <row r="130" spans="2:14" x14ac:dyDescent="0.2">
      <c r="B130" s="67"/>
      <c r="C130" s="126"/>
      <c r="D130" s="308"/>
      <c r="E130" s="124"/>
      <c r="F130" s="288"/>
      <c r="G130" s="124"/>
      <c r="H130" s="307">
        <v>0</v>
      </c>
      <c r="I130" s="306">
        <f t="shared" si="20"/>
        <v>0</v>
      </c>
      <c r="J130" s="306">
        <f t="shared" si="21"/>
        <v>0</v>
      </c>
      <c r="K130" s="306">
        <f t="shared" si="21"/>
        <v>0</v>
      </c>
      <c r="L130" s="306">
        <f t="shared" si="21"/>
        <v>0</v>
      </c>
      <c r="M130" s="286"/>
      <c r="N130" s="71"/>
    </row>
    <row r="131" spans="2:14" x14ac:dyDescent="0.2">
      <c r="B131" s="67"/>
      <c r="C131" s="126"/>
      <c r="D131" s="308"/>
      <c r="E131" s="124"/>
      <c r="F131" s="288"/>
      <c r="G131" s="124"/>
      <c r="H131" s="307">
        <v>0</v>
      </c>
      <c r="I131" s="306">
        <f t="shared" si="20"/>
        <v>0</v>
      </c>
      <c r="J131" s="306">
        <f t="shared" si="21"/>
        <v>0</v>
      </c>
      <c r="K131" s="306">
        <f t="shared" si="21"/>
        <v>0</v>
      </c>
      <c r="L131" s="306">
        <f t="shared" si="21"/>
        <v>0</v>
      </c>
      <c r="M131" s="286"/>
      <c r="N131" s="71"/>
    </row>
    <row r="132" spans="2:14" x14ac:dyDescent="0.2">
      <c r="B132" s="67"/>
      <c r="C132" s="126"/>
      <c r="D132" s="308"/>
      <c r="E132" s="124"/>
      <c r="F132" s="288"/>
      <c r="G132" s="124"/>
      <c r="H132" s="307">
        <v>0</v>
      </c>
      <c r="I132" s="306">
        <f t="shared" si="20"/>
        <v>0</v>
      </c>
      <c r="J132" s="306">
        <f t="shared" si="21"/>
        <v>0</v>
      </c>
      <c r="K132" s="306">
        <f t="shared" si="21"/>
        <v>0</v>
      </c>
      <c r="L132" s="306">
        <f t="shared" si="21"/>
        <v>0</v>
      </c>
      <c r="M132" s="286"/>
      <c r="N132" s="71"/>
    </row>
    <row r="133" spans="2:14" x14ac:dyDescent="0.2">
      <c r="B133" s="67"/>
      <c r="C133" s="126"/>
      <c r="D133" s="308"/>
      <c r="E133" s="124"/>
      <c r="F133" s="288"/>
      <c r="G133" s="124"/>
      <c r="H133" s="307">
        <v>0</v>
      </c>
      <c r="I133" s="306">
        <f t="shared" si="20"/>
        <v>0</v>
      </c>
      <c r="J133" s="306">
        <f t="shared" si="21"/>
        <v>0</v>
      </c>
      <c r="K133" s="306">
        <f t="shared" si="21"/>
        <v>0</v>
      </c>
      <c r="L133" s="306">
        <f t="shared" si="21"/>
        <v>0</v>
      </c>
      <c r="M133" s="286"/>
      <c r="N133" s="71"/>
    </row>
    <row r="134" spans="2:14" x14ac:dyDescent="0.2">
      <c r="B134" s="67"/>
      <c r="C134" s="126"/>
      <c r="D134" s="308"/>
      <c r="E134" s="124"/>
      <c r="F134" s="288"/>
      <c r="G134" s="124"/>
      <c r="H134" s="307">
        <v>0</v>
      </c>
      <c r="I134" s="306">
        <f t="shared" si="20"/>
        <v>0</v>
      </c>
      <c r="J134" s="306">
        <f t="shared" si="21"/>
        <v>0</v>
      </c>
      <c r="K134" s="306">
        <f t="shared" si="21"/>
        <v>0</v>
      </c>
      <c r="L134" s="306">
        <f t="shared" si="21"/>
        <v>0</v>
      </c>
      <c r="M134" s="286"/>
      <c r="N134" s="71"/>
    </row>
    <row r="135" spans="2:14" x14ac:dyDescent="0.2">
      <c r="B135" s="67"/>
      <c r="C135" s="126"/>
      <c r="D135" s="308"/>
      <c r="E135" s="124"/>
      <c r="F135" s="288"/>
      <c r="G135" s="124"/>
      <c r="H135" s="307">
        <v>0</v>
      </c>
      <c r="I135" s="306">
        <f t="shared" si="20"/>
        <v>0</v>
      </c>
      <c r="J135" s="306">
        <f t="shared" si="21"/>
        <v>0</v>
      </c>
      <c r="K135" s="306">
        <f t="shared" si="21"/>
        <v>0</v>
      </c>
      <c r="L135" s="306">
        <f t="shared" si="21"/>
        <v>0</v>
      </c>
      <c r="M135" s="286"/>
      <c r="N135" s="71"/>
    </row>
    <row r="136" spans="2:14" x14ac:dyDescent="0.2">
      <c r="B136" s="67"/>
      <c r="C136" s="126"/>
      <c r="D136" s="281"/>
      <c r="E136" s="282"/>
      <c r="F136" s="283"/>
      <c r="G136" s="282"/>
      <c r="H136" s="1046">
        <f>SUM(H114:H134)</f>
        <v>0</v>
      </c>
      <c r="I136" s="1046">
        <f>SUM(I114:I134)</f>
        <v>0</v>
      </c>
      <c r="J136" s="1046">
        <f>SUM(J114:J134)</f>
        <v>0</v>
      </c>
      <c r="K136" s="1046">
        <f>SUM(K114:K134)</f>
        <v>0</v>
      </c>
      <c r="L136" s="1046">
        <f>SUM(L114:L134)</f>
        <v>0</v>
      </c>
      <c r="M136" s="125"/>
      <c r="N136" s="71"/>
    </row>
    <row r="137" spans="2:14" x14ac:dyDescent="0.2">
      <c r="B137" s="67"/>
      <c r="C137" s="126"/>
      <c r="D137" s="124"/>
      <c r="E137" s="124"/>
      <c r="F137" s="124"/>
      <c r="G137" s="124"/>
      <c r="H137" s="127"/>
      <c r="I137" s="127"/>
      <c r="J137" s="127"/>
      <c r="K137" s="127"/>
      <c r="L137" s="127"/>
      <c r="M137" s="125"/>
      <c r="N137" s="71"/>
    </row>
    <row r="138" spans="2:14" x14ac:dyDescent="0.2">
      <c r="B138" s="67"/>
      <c r="C138" s="126"/>
      <c r="D138" s="130" t="s">
        <v>98</v>
      </c>
      <c r="E138" s="124"/>
      <c r="F138" s="124"/>
      <c r="G138" s="124"/>
      <c r="H138" s="1047">
        <f>H112+H136</f>
        <v>169515.09352622062</v>
      </c>
      <c r="I138" s="1047">
        <f>I112+I136</f>
        <v>174592.73446654613</v>
      </c>
      <c r="J138" s="1047">
        <f>J112+J136</f>
        <v>179806.45540687162</v>
      </c>
      <c r="K138" s="1047">
        <f>K112+K136</f>
        <v>185080.66632911394</v>
      </c>
      <c r="L138" s="1047">
        <f>L112+L136</f>
        <v>190411.02726943942</v>
      </c>
      <c r="M138" s="125"/>
      <c r="N138" s="71"/>
    </row>
    <row r="139" spans="2:14" x14ac:dyDescent="0.2">
      <c r="B139" s="67"/>
      <c r="C139" s="191"/>
      <c r="D139" s="133"/>
      <c r="E139" s="133"/>
      <c r="F139" s="133"/>
      <c r="G139" s="133"/>
      <c r="H139" s="287"/>
      <c r="I139" s="287"/>
      <c r="J139" s="287"/>
      <c r="K139" s="287"/>
      <c r="L139" s="287"/>
      <c r="M139" s="134"/>
      <c r="N139" s="71"/>
    </row>
    <row r="140" spans="2:14" x14ac:dyDescent="0.2">
      <c r="B140" s="67"/>
      <c r="C140" s="68"/>
      <c r="D140" s="68"/>
      <c r="E140" s="68"/>
      <c r="F140" s="68"/>
      <c r="G140" s="68"/>
      <c r="H140" s="84"/>
      <c r="I140" s="84"/>
      <c r="J140" s="84"/>
      <c r="K140" s="84"/>
      <c r="L140" s="84"/>
      <c r="M140" s="213"/>
      <c r="N140" s="71"/>
    </row>
    <row r="141" spans="2:14" x14ac:dyDescent="0.2">
      <c r="B141" s="67"/>
      <c r="C141" s="68"/>
      <c r="D141" s="68"/>
      <c r="E141" s="68"/>
      <c r="F141" s="68"/>
      <c r="G141" s="68"/>
      <c r="H141" s="84"/>
      <c r="I141" s="84"/>
      <c r="J141" s="84"/>
      <c r="K141" s="84"/>
      <c r="L141" s="84"/>
      <c r="M141" s="213"/>
      <c r="N141" s="71"/>
    </row>
    <row r="142" spans="2:14" x14ac:dyDescent="0.2">
      <c r="B142" s="67"/>
      <c r="C142" s="184"/>
      <c r="D142" s="304"/>
      <c r="E142" s="304"/>
      <c r="F142" s="304"/>
      <c r="G142" s="304"/>
      <c r="H142" s="305"/>
      <c r="I142" s="305"/>
      <c r="J142" s="305"/>
      <c r="K142" s="305"/>
      <c r="L142" s="305"/>
      <c r="M142" s="296"/>
      <c r="N142" s="71"/>
    </row>
    <row r="143" spans="2:14" x14ac:dyDescent="0.2">
      <c r="B143" s="67"/>
      <c r="C143" s="126"/>
      <c r="D143" s="281" t="s">
        <v>96</v>
      </c>
      <c r="E143" s="281"/>
      <c r="F143" s="281"/>
      <c r="G143" s="281"/>
      <c r="H143" s="1046">
        <f>H101-H138</f>
        <v>1094465.0064737794</v>
      </c>
      <c r="I143" s="1046">
        <f>I101-I138</f>
        <v>1108691.4555334537</v>
      </c>
      <c r="J143" s="1046">
        <f>J101-J138</f>
        <v>1116647.4845931283</v>
      </c>
      <c r="K143" s="1046">
        <f>K101-K138</f>
        <v>1124543.0236708859</v>
      </c>
      <c r="L143" s="1046">
        <f>L101-L138</f>
        <v>1132382.4127305606</v>
      </c>
      <c r="M143" s="260"/>
      <c r="N143" s="71"/>
    </row>
    <row r="144" spans="2:14" x14ac:dyDescent="0.2">
      <c r="B144" s="67"/>
      <c r="C144" s="191"/>
      <c r="D144" s="133"/>
      <c r="E144" s="133"/>
      <c r="F144" s="133"/>
      <c r="G144" s="133"/>
      <c r="H144" s="287"/>
      <c r="I144" s="287"/>
      <c r="J144" s="287"/>
      <c r="K144" s="287"/>
      <c r="L144" s="287"/>
      <c r="M144" s="134"/>
      <c r="N144" s="71"/>
    </row>
    <row r="145" spans="2:31" x14ac:dyDescent="0.2">
      <c r="B145" s="67"/>
      <c r="C145" s="68"/>
      <c r="D145" s="68"/>
      <c r="E145" s="68"/>
      <c r="F145" s="68"/>
      <c r="G145" s="68"/>
      <c r="H145" s="84"/>
      <c r="I145" s="84"/>
      <c r="J145" s="84"/>
      <c r="K145" s="84"/>
      <c r="L145" s="84"/>
      <c r="M145" s="213"/>
      <c r="N145" s="71"/>
    </row>
    <row r="146" spans="2:31" ht="13.5" customHeight="1" x14ac:dyDescent="0.25">
      <c r="B146" s="86"/>
      <c r="C146" s="87"/>
      <c r="D146" s="217"/>
      <c r="E146" s="217"/>
      <c r="F146" s="217"/>
      <c r="G146" s="217"/>
      <c r="H146" s="218"/>
      <c r="I146" s="218"/>
      <c r="J146" s="218"/>
      <c r="K146" s="218"/>
      <c r="L146" s="218"/>
      <c r="M146" s="89" t="s">
        <v>410</v>
      </c>
      <c r="N146" s="90"/>
    </row>
    <row r="147" spans="2:31" ht="13.5" customHeight="1" x14ac:dyDescent="0.2">
      <c r="B147" s="14"/>
      <c r="C147" s="14"/>
      <c r="D147" s="199"/>
      <c r="E147" s="199"/>
      <c r="F147" s="199"/>
      <c r="G147" s="199"/>
      <c r="H147" s="200"/>
      <c r="I147" s="200"/>
      <c r="J147" s="200"/>
      <c r="K147" s="200"/>
      <c r="L147" s="201"/>
      <c r="M147" s="202"/>
      <c r="N147" s="14"/>
    </row>
    <row r="148" spans="2:31" ht="13.5" customHeight="1" x14ac:dyDescent="0.2">
      <c r="B148" s="14"/>
      <c r="C148" s="14"/>
      <c r="D148" s="199"/>
      <c r="E148" s="199"/>
      <c r="F148" s="199"/>
      <c r="G148" s="199"/>
      <c r="H148" s="200"/>
      <c r="I148" s="200"/>
      <c r="J148" s="200"/>
      <c r="K148" s="200"/>
      <c r="L148" s="201"/>
      <c r="M148" s="202"/>
      <c r="N148" s="14"/>
    </row>
    <row r="149" spans="2:31" ht="13.5" customHeight="1" x14ac:dyDescent="0.2">
      <c r="B149" s="14"/>
      <c r="C149" s="14"/>
      <c r="D149" s="199"/>
      <c r="E149" s="199"/>
      <c r="F149" s="199"/>
      <c r="G149" s="199"/>
      <c r="H149" s="200"/>
      <c r="I149" s="200"/>
      <c r="J149" s="200"/>
      <c r="K149" s="200"/>
      <c r="L149" s="201"/>
      <c r="M149" s="202"/>
      <c r="N149" s="14"/>
    </row>
    <row r="150" spans="2:31" ht="13.5" customHeight="1" x14ac:dyDescent="0.2">
      <c r="B150" s="14"/>
      <c r="C150" s="14"/>
      <c r="D150" s="199"/>
      <c r="E150" s="199"/>
      <c r="F150" s="199"/>
      <c r="G150" s="199"/>
      <c r="H150" s="200"/>
      <c r="I150" s="200"/>
      <c r="J150" s="200"/>
      <c r="K150" s="200"/>
      <c r="L150" s="201"/>
      <c r="M150" s="202"/>
      <c r="N150" s="14"/>
    </row>
    <row r="151" spans="2:31" ht="13.5" customHeight="1" x14ac:dyDescent="0.2">
      <c r="B151" s="14"/>
      <c r="C151" s="14"/>
      <c r="D151" s="199"/>
      <c r="E151" s="199"/>
      <c r="F151" s="199"/>
      <c r="G151" s="199"/>
      <c r="H151" s="200"/>
      <c r="I151" s="200"/>
      <c r="J151" s="200"/>
      <c r="K151" s="200"/>
      <c r="L151" s="201"/>
      <c r="M151" s="202"/>
      <c r="N151" s="14"/>
    </row>
    <row r="152" spans="2:31" ht="12.75" customHeight="1" x14ac:dyDescent="0.2">
      <c r="B152" s="17"/>
      <c r="C152" s="17"/>
      <c r="D152" s="1028" t="s">
        <v>229</v>
      </c>
      <c r="E152" s="1028"/>
      <c r="F152" s="1028"/>
      <c r="G152" s="1028"/>
      <c r="H152" s="1038"/>
      <c r="I152" s="1039">
        <f>J9</f>
        <v>2016</v>
      </c>
      <c r="J152" s="1039">
        <f>I152+1</f>
        <v>2017</v>
      </c>
      <c r="K152" s="1039">
        <f>J152+1</f>
        <v>2018</v>
      </c>
      <c r="L152" s="1039">
        <f>K152+1</f>
        <v>2019</v>
      </c>
      <c r="M152" s="15"/>
      <c r="N152" s="203"/>
      <c r="AC152" s="25"/>
      <c r="AD152" s="25"/>
      <c r="AE152" s="25"/>
    </row>
    <row r="153" spans="2:31" x14ac:dyDescent="0.2">
      <c r="D153" s="1040" t="s">
        <v>99</v>
      </c>
      <c r="E153" s="1041"/>
      <c r="F153" s="1041"/>
      <c r="G153" s="1041"/>
      <c r="H153" s="1042"/>
      <c r="I153" s="1043">
        <f>7/12*H64+5/12*I64</f>
        <v>1272023.4708333334</v>
      </c>
      <c r="J153" s="1043">
        <f>7/12*I64+5/12*J64</f>
        <v>1288771.5858333334</v>
      </c>
      <c r="K153" s="1043">
        <f>7/12*J64+5/12*K64</f>
        <v>1301941.3358333334</v>
      </c>
      <c r="L153" s="1043">
        <f>7/12*K64+5/12*L64</f>
        <v>1315111.0858333334</v>
      </c>
    </row>
    <row r="154" spans="2:31" x14ac:dyDescent="0.2">
      <c r="D154" s="1040" t="s">
        <v>93</v>
      </c>
      <c r="E154" s="1041"/>
      <c r="F154" s="1041"/>
      <c r="G154" s="1041"/>
      <c r="H154" s="1042"/>
      <c r="I154" s="1043">
        <f>(7/12*H77)+(5/12*I77)</f>
        <v>0</v>
      </c>
      <c r="J154" s="1043">
        <f>(7/12*I77)+(5/12*J77)</f>
        <v>0</v>
      </c>
      <c r="K154" s="1043">
        <f>(7/12*J77)+(5/12*K77)</f>
        <v>0</v>
      </c>
      <c r="L154" s="1043">
        <f>(7/12*K77)+(5/12*L77)</f>
        <v>0</v>
      </c>
    </row>
    <row r="155" spans="2:31" x14ac:dyDescent="0.2">
      <c r="D155" s="1040" t="s">
        <v>100</v>
      </c>
      <c r="E155" s="1041"/>
      <c r="F155" s="1041"/>
      <c r="G155" s="1041"/>
      <c r="H155" s="1042"/>
      <c r="I155" s="1043">
        <f t="shared" ref="I155:L157" si="22">(7/12*H88)+(5/12*I88)</f>
        <v>0</v>
      </c>
      <c r="J155" s="1043">
        <f t="shared" si="22"/>
        <v>0</v>
      </c>
      <c r="K155" s="1043">
        <f t="shared" si="22"/>
        <v>0</v>
      </c>
      <c r="L155" s="1043">
        <f t="shared" si="22"/>
        <v>0</v>
      </c>
    </row>
    <row r="156" spans="2:31" x14ac:dyDescent="0.2">
      <c r="D156" s="1040" t="s">
        <v>11</v>
      </c>
      <c r="E156" s="1041"/>
      <c r="F156" s="1041"/>
      <c r="G156" s="1041"/>
      <c r="H156" s="1042"/>
      <c r="I156" s="1043">
        <f t="shared" si="22"/>
        <v>0</v>
      </c>
      <c r="J156" s="1043">
        <f t="shared" si="22"/>
        <v>0</v>
      </c>
      <c r="K156" s="1043">
        <f t="shared" si="22"/>
        <v>0</v>
      </c>
      <c r="L156" s="1043">
        <f t="shared" si="22"/>
        <v>0</v>
      </c>
    </row>
    <row r="157" spans="2:31" x14ac:dyDescent="0.2">
      <c r="D157" s="1040" t="s">
        <v>12</v>
      </c>
      <c r="E157" s="1041"/>
      <c r="F157" s="1041"/>
      <c r="G157" s="1041"/>
      <c r="H157" s="1042"/>
      <c r="I157" s="1043">
        <f t="shared" si="22"/>
        <v>0</v>
      </c>
      <c r="J157" s="1043">
        <f t="shared" si="22"/>
        <v>0</v>
      </c>
      <c r="K157" s="1043">
        <f t="shared" si="22"/>
        <v>0</v>
      </c>
      <c r="L157" s="1043">
        <f t="shared" si="22"/>
        <v>0</v>
      </c>
    </row>
    <row r="158" spans="2:31" x14ac:dyDescent="0.2">
      <c r="D158" s="1040" t="s">
        <v>264</v>
      </c>
      <c r="E158" s="1041"/>
      <c r="F158" s="1041"/>
      <c r="G158" s="1041"/>
      <c r="H158" s="1042"/>
      <c r="I158" s="1043">
        <f>(7/12*H97)+(5/12*I97)-I155</f>
        <v>0</v>
      </c>
      <c r="J158" s="1043">
        <f>(7/12*I97)+(5/12*J97)-J155</f>
        <v>0</v>
      </c>
      <c r="K158" s="1043">
        <f>(7/12*J97)+(5/12*K97)-K155</f>
        <v>0</v>
      </c>
      <c r="L158" s="1043">
        <f>(7/12*K97)+(5/12*L97)-L155</f>
        <v>0</v>
      </c>
    </row>
    <row r="159" spans="2:31" x14ac:dyDescent="0.2">
      <c r="D159" s="1040" t="s">
        <v>101</v>
      </c>
      <c r="E159" s="1041"/>
      <c r="F159" s="1041"/>
      <c r="G159" s="1041"/>
      <c r="H159" s="1042"/>
      <c r="I159" s="1043">
        <f>(7/12*H61)+(5/12*I61)</f>
        <v>0</v>
      </c>
      <c r="J159" s="1043">
        <f>(7/12*I61)+(5/12*J61)</f>
        <v>0</v>
      </c>
      <c r="K159" s="1043">
        <f>(7/12*J61)+(5/12*K61)</f>
        <v>0</v>
      </c>
      <c r="L159" s="1043">
        <f>(7/12*K61)+(5/12*L61)</f>
        <v>0</v>
      </c>
    </row>
    <row r="160" spans="2:31" x14ac:dyDescent="0.2">
      <c r="D160" s="1040" t="s">
        <v>223</v>
      </c>
      <c r="E160" s="1041"/>
      <c r="F160" s="1041"/>
      <c r="G160" s="1041"/>
      <c r="H160" s="1042"/>
      <c r="I160" s="1044">
        <f t="shared" ref="I160:L162" si="23">(7/12*H109)+(5/12*I109)</f>
        <v>58705.437251356248</v>
      </c>
      <c r="J160" s="1044">
        <f t="shared" si="23"/>
        <v>60614.358191681749</v>
      </c>
      <c r="K160" s="1044">
        <f t="shared" si="23"/>
        <v>62507.983291139244</v>
      </c>
      <c r="L160" s="1044">
        <f t="shared" si="23"/>
        <v>64395.49005424956</v>
      </c>
    </row>
    <row r="161" spans="4:12" x14ac:dyDescent="0.2">
      <c r="D161" s="1040" t="s">
        <v>222</v>
      </c>
      <c r="E161" s="1041"/>
      <c r="F161" s="1041"/>
      <c r="G161" s="1041"/>
      <c r="H161" s="1042"/>
      <c r="I161" s="1044">
        <f t="shared" si="23"/>
        <v>60924.960000000006</v>
      </c>
      <c r="J161" s="1044">
        <f t="shared" si="23"/>
        <v>63048.780000000006</v>
      </c>
      <c r="K161" s="1044">
        <f t="shared" si="23"/>
        <v>65255.22</v>
      </c>
      <c r="L161" s="1044">
        <f t="shared" si="23"/>
        <v>67562.100000000006</v>
      </c>
    </row>
    <row r="162" spans="4:12" x14ac:dyDescent="0.2">
      <c r="D162" s="1040" t="s">
        <v>488</v>
      </c>
      <c r="E162" s="1041"/>
      <c r="F162" s="1041"/>
      <c r="G162" s="1041"/>
      <c r="H162" s="1042"/>
      <c r="I162" s="1044">
        <f t="shared" si="23"/>
        <v>52000.380000000005</v>
      </c>
      <c r="J162" s="1044">
        <f t="shared" si="23"/>
        <v>53101.98000000001</v>
      </c>
      <c r="K162" s="1044">
        <f t="shared" si="23"/>
        <v>54240.840000000004</v>
      </c>
      <c r="L162" s="1044">
        <f t="shared" si="23"/>
        <v>55344.060000000005</v>
      </c>
    </row>
    <row r="163" spans="4:12" x14ac:dyDescent="0.2">
      <c r="D163" s="1040" t="s">
        <v>102</v>
      </c>
      <c r="E163" s="1041"/>
      <c r="F163" s="1041"/>
      <c r="G163" s="1041"/>
      <c r="H163" s="1042"/>
      <c r="I163" s="1044">
        <f>(7/12*H112)+(5/12*I112)</f>
        <v>171630.77725135625</v>
      </c>
      <c r="J163" s="1044">
        <f>(7/12*I112)+(5/12*J112)</f>
        <v>176765.11819168177</v>
      </c>
      <c r="K163" s="1044">
        <f>(7/12*J112)+(5/12*K112)</f>
        <v>182004.04329113927</v>
      </c>
      <c r="L163" s="1044">
        <f>(7/12*K112)+(5/12*L112)</f>
        <v>187301.65005424956</v>
      </c>
    </row>
    <row r="164" spans="4:12" x14ac:dyDescent="0.2">
      <c r="D164" s="1040" t="s">
        <v>103</v>
      </c>
      <c r="E164" s="1041"/>
      <c r="F164" s="1041"/>
      <c r="G164" s="1041"/>
      <c r="H164" s="1042"/>
      <c r="I164" s="1044">
        <f>(7/12*pers!H136)+(5/12*pers!I136)</f>
        <v>0</v>
      </c>
      <c r="J164" s="1043">
        <f>(7/12*pers!I136)+(5/12*pers!J136)</f>
        <v>0</v>
      </c>
      <c r="K164" s="1043">
        <f>(7/12*pers!J136)+(5/12*pers!K136)</f>
        <v>0</v>
      </c>
      <c r="L164" s="1043">
        <f>(7/12*pers!K136)+(5/12*pers!L136)</f>
        <v>0</v>
      </c>
    </row>
    <row r="165" spans="4:12" x14ac:dyDescent="0.2">
      <c r="D165" s="1040" t="s">
        <v>116</v>
      </c>
      <c r="E165" s="1041"/>
      <c r="F165" s="1041"/>
      <c r="G165" s="1041"/>
      <c r="H165" s="1042"/>
      <c r="I165" s="1043">
        <f>7/12*(dir!AH26+op!AH71+obp!AH46)+5/12*(dir!AH48+op!AH139+obp!AH89)</f>
        <v>0</v>
      </c>
      <c r="J165" s="1043">
        <f>7/12*(dir!AH48+op!AH139+obp!AH89)+5/12*(dir!AH71+op!AH207+obp!AH132)</f>
        <v>0</v>
      </c>
      <c r="K165" s="1043">
        <f>7/12*(dir!AH71+op!AH207+obp!AH132)+5/12*(dir!AH93+op!AH274+obp!AH174)</f>
        <v>0</v>
      </c>
      <c r="L165" s="1043">
        <f>7/12*(dir!AH93+op!AH274+obp!AH174)+5/12*(dir!AH115+op!AH341+obp!AH216)</f>
        <v>0</v>
      </c>
    </row>
    <row r="166" spans="4:12" x14ac:dyDescent="0.2">
      <c r="D166" s="1040" t="s">
        <v>115</v>
      </c>
      <c r="E166" s="1041"/>
      <c r="F166" s="1041"/>
      <c r="G166" s="1041"/>
      <c r="H166" s="1042"/>
      <c r="I166" s="1043">
        <f>(7/12*H114)+(5/12*I114)</f>
        <v>0</v>
      </c>
      <c r="J166" s="1043">
        <f>(7/12*I114)+(5/12*J114)</f>
        <v>0</v>
      </c>
      <c r="K166" s="1043">
        <f>(7/12*J114)+(5/12*K114)</f>
        <v>0</v>
      </c>
      <c r="L166" s="1043">
        <f>(7/12*K114)+(5/12*L114)</f>
        <v>0</v>
      </c>
    </row>
    <row r="167" spans="4:12" x14ac:dyDescent="0.2">
      <c r="D167" s="1041" t="s">
        <v>360</v>
      </c>
      <c r="E167" s="1041"/>
      <c r="F167" s="1041"/>
      <c r="G167" s="1041"/>
      <c r="H167" s="1042"/>
      <c r="I167" s="1043">
        <f>(7/12*H101)+(5/12*I101)</f>
        <v>1272023.4708333334</v>
      </c>
      <c r="J167" s="1043">
        <f>(7/12*I101)+(5/12*J101)</f>
        <v>1288771.5858333334</v>
      </c>
      <c r="K167" s="1043">
        <f>(7/12*J101)+(5/12*K101)</f>
        <v>1301941.3358333334</v>
      </c>
      <c r="L167" s="1043">
        <f>(7/12*K101)+(5/12*L101)</f>
        <v>1315111.0858333334</v>
      </c>
    </row>
    <row r="168" spans="4:12" x14ac:dyDescent="0.2">
      <c r="D168" s="1041" t="s">
        <v>361</v>
      </c>
      <c r="E168" s="1041"/>
      <c r="F168" s="1041"/>
      <c r="G168" s="1041"/>
      <c r="H168" s="1042"/>
      <c r="I168" s="1043">
        <f>(7/12*H138)+(5/12*I138)</f>
        <v>171630.77725135625</v>
      </c>
      <c r="J168" s="1043">
        <f>(7/12*I138)+(5/12*J138)</f>
        <v>176765.11819168177</v>
      </c>
      <c r="K168" s="1043">
        <f>(7/12*J138)+(5/12*K138)</f>
        <v>182004.04329113927</v>
      </c>
      <c r="L168" s="1043">
        <f>(7/12*K138)+(5/12*L138)</f>
        <v>187301.65005424956</v>
      </c>
    </row>
    <row r="169" spans="4:12" x14ac:dyDescent="0.2">
      <c r="D169" s="1041" t="s">
        <v>522</v>
      </c>
      <c r="E169" s="1041"/>
      <c r="F169" s="1041"/>
      <c r="G169" s="1041"/>
      <c r="H169" s="1041"/>
      <c r="I169" s="1045">
        <f>(5/12*H44)+(7/12*I44)</f>
        <v>160517.48500000002</v>
      </c>
      <c r="J169" s="1045">
        <f>(5/12*I44)+(7/12*J44)</f>
        <v>161551.51</v>
      </c>
      <c r="K169" s="1045">
        <f>(5/12*J44)+(7/12*K44)</f>
        <v>161551.51</v>
      </c>
      <c r="L169" s="1045">
        <f>(5/12*K44)+(7/12*L44)</f>
        <v>161551.51</v>
      </c>
    </row>
    <row r="1195" spans="16:28" x14ac:dyDescent="0.2">
      <c r="P1195" s="25"/>
      <c r="Q1195" s="25"/>
      <c r="R1195" s="25"/>
      <c r="S1195" s="25"/>
      <c r="T1195" s="25"/>
      <c r="U1195" s="25"/>
      <c r="V1195" s="25"/>
      <c r="W1195" s="25"/>
      <c r="X1195" s="25"/>
      <c r="Y1195" s="25"/>
      <c r="Z1195" s="25"/>
      <c r="AA1195" s="25"/>
      <c r="AB1195" s="25"/>
    </row>
    <row r="1196" spans="16:28" x14ac:dyDescent="0.2">
      <c r="P1196" s="25"/>
      <c r="Q1196" s="25"/>
      <c r="R1196" s="25"/>
      <c r="S1196" s="25"/>
      <c r="T1196" s="25"/>
      <c r="U1196" s="25"/>
      <c r="V1196" s="25"/>
      <c r="W1196" s="25"/>
      <c r="X1196" s="25"/>
      <c r="Y1196" s="25"/>
      <c r="Z1196" s="25"/>
      <c r="AA1196" s="25"/>
      <c r="AB1196" s="25"/>
    </row>
    <row r="1197" spans="16:28" x14ac:dyDescent="0.2">
      <c r="P1197" s="25"/>
      <c r="Q1197" s="25"/>
      <c r="R1197" s="25"/>
      <c r="S1197" s="25"/>
      <c r="T1197" s="25"/>
      <c r="U1197" s="25"/>
      <c r="V1197" s="25"/>
      <c r="W1197" s="25"/>
      <c r="X1197" s="25"/>
      <c r="Y1197" s="25"/>
      <c r="Z1197" s="25"/>
      <c r="AA1197" s="25"/>
      <c r="AB1197" s="25"/>
    </row>
    <row r="1198" spans="16:28" x14ac:dyDescent="0.2">
      <c r="P1198" s="25"/>
      <c r="Q1198" s="25"/>
      <c r="R1198" s="25"/>
      <c r="S1198" s="25"/>
      <c r="T1198" s="25"/>
      <c r="U1198" s="25"/>
      <c r="V1198" s="25"/>
      <c r="W1198" s="25"/>
      <c r="X1198" s="25"/>
      <c r="Y1198" s="25"/>
      <c r="Z1198" s="25"/>
      <c r="AA1198" s="25"/>
      <c r="AB1198" s="25"/>
    </row>
    <row r="1199" spans="16:28" x14ac:dyDescent="0.2">
      <c r="P1199" s="25"/>
      <c r="Q1199" s="25"/>
      <c r="R1199" s="25"/>
      <c r="S1199" s="25"/>
      <c r="T1199" s="25"/>
      <c r="U1199" s="25"/>
      <c r="V1199" s="25"/>
      <c r="W1199" s="25"/>
      <c r="X1199" s="25"/>
      <c r="Y1199" s="25"/>
      <c r="Z1199" s="25"/>
      <c r="AA1199" s="25"/>
      <c r="AB1199" s="25"/>
    </row>
    <row r="1200" spans="16:28" x14ac:dyDescent="0.2">
      <c r="P1200" s="25"/>
      <c r="Q1200" s="25"/>
      <c r="R1200" s="25"/>
      <c r="S1200" s="25"/>
      <c r="T1200" s="25"/>
      <c r="U1200" s="25"/>
      <c r="V1200" s="25"/>
      <c r="W1200" s="25"/>
      <c r="X1200" s="25"/>
      <c r="Y1200" s="25"/>
      <c r="Z1200" s="25"/>
      <c r="AA1200" s="25"/>
      <c r="AB1200" s="25"/>
    </row>
    <row r="1201" spans="16:28" x14ac:dyDescent="0.2">
      <c r="P1201" s="25"/>
      <c r="Q1201" s="25"/>
      <c r="R1201" s="25"/>
      <c r="S1201" s="25"/>
      <c r="T1201" s="25"/>
      <c r="U1201" s="25"/>
      <c r="V1201" s="25"/>
      <c r="W1201" s="25"/>
      <c r="X1201" s="25"/>
      <c r="Y1201" s="25"/>
      <c r="Z1201" s="25"/>
      <c r="AA1201" s="25"/>
      <c r="AB1201" s="25"/>
    </row>
    <row r="1202" spans="16:28" x14ac:dyDescent="0.2">
      <c r="P1202" s="25"/>
      <c r="Q1202" s="25"/>
      <c r="R1202" s="25"/>
      <c r="S1202" s="25"/>
      <c r="T1202" s="25"/>
      <c r="U1202" s="25"/>
      <c r="V1202" s="25"/>
      <c r="W1202" s="25"/>
      <c r="X1202" s="25"/>
      <c r="Y1202" s="25"/>
      <c r="Z1202" s="25"/>
      <c r="AA1202" s="25"/>
      <c r="AB1202" s="25"/>
    </row>
    <row r="1203" spans="16:28" x14ac:dyDescent="0.2">
      <c r="P1203" s="25"/>
      <c r="Q1203" s="25"/>
      <c r="R1203" s="25"/>
      <c r="S1203" s="25"/>
      <c r="T1203" s="25"/>
      <c r="U1203" s="25"/>
      <c r="V1203" s="25"/>
      <c r="W1203" s="25"/>
      <c r="X1203" s="25"/>
      <c r="Y1203" s="25"/>
      <c r="Z1203" s="25"/>
      <c r="AA1203" s="25"/>
      <c r="AB1203" s="25"/>
    </row>
    <row r="1204" spans="16:28" x14ac:dyDescent="0.2">
      <c r="P1204" s="25"/>
      <c r="Q1204" s="25"/>
      <c r="R1204" s="25"/>
      <c r="S1204" s="25"/>
      <c r="T1204" s="25"/>
      <c r="U1204" s="25"/>
      <c r="V1204" s="25"/>
      <c r="W1204" s="25"/>
      <c r="X1204" s="25"/>
      <c r="Y1204" s="25"/>
      <c r="Z1204" s="25"/>
      <c r="AA1204" s="25"/>
      <c r="AB1204" s="25"/>
    </row>
    <row r="1205" spans="16:28" x14ac:dyDescent="0.2">
      <c r="P1205" s="25"/>
      <c r="Q1205" s="25"/>
      <c r="R1205" s="25"/>
      <c r="S1205" s="25"/>
      <c r="T1205" s="25"/>
      <c r="U1205" s="25"/>
      <c r="V1205" s="25"/>
      <c r="W1205" s="25"/>
      <c r="X1205" s="25"/>
      <c r="Y1205" s="25"/>
      <c r="Z1205" s="25"/>
      <c r="AA1205" s="25"/>
      <c r="AB1205" s="25"/>
    </row>
    <row r="1206" spans="16:28" x14ac:dyDescent="0.2">
      <c r="P1206" s="25"/>
      <c r="Q1206" s="25"/>
      <c r="R1206" s="25"/>
      <c r="S1206" s="25"/>
      <c r="T1206" s="25"/>
      <c r="U1206" s="25"/>
      <c r="V1206" s="25"/>
      <c r="W1206" s="25"/>
      <c r="X1206" s="25"/>
      <c r="Y1206" s="25"/>
      <c r="Z1206" s="25"/>
      <c r="AA1206" s="25"/>
      <c r="AB1206" s="25"/>
    </row>
    <row r="1207" spans="16:28" x14ac:dyDescent="0.2">
      <c r="P1207" s="25"/>
      <c r="Q1207" s="25"/>
      <c r="R1207" s="25"/>
      <c r="S1207" s="25"/>
      <c r="T1207" s="25"/>
      <c r="U1207" s="25"/>
      <c r="V1207" s="25"/>
      <c r="W1207" s="25"/>
      <c r="X1207" s="25"/>
      <c r="Y1207" s="25"/>
      <c r="Z1207" s="25"/>
      <c r="AA1207" s="25"/>
      <c r="AB1207" s="25"/>
    </row>
    <row r="1208" spans="16:28" x14ac:dyDescent="0.2">
      <c r="P1208" s="25"/>
      <c r="Q1208" s="25"/>
      <c r="R1208" s="25"/>
      <c r="S1208" s="25"/>
      <c r="T1208" s="25"/>
      <c r="U1208" s="25"/>
      <c r="V1208" s="25"/>
      <c r="W1208" s="25"/>
      <c r="X1208" s="25"/>
      <c r="Y1208" s="25"/>
      <c r="Z1208" s="25"/>
      <c r="AA1208" s="25"/>
      <c r="AB1208" s="25"/>
    </row>
    <row r="1209" spans="16:28" x14ac:dyDescent="0.2">
      <c r="P1209" s="25"/>
      <c r="Q1209" s="25"/>
      <c r="R1209" s="25"/>
      <c r="S1209" s="25"/>
      <c r="T1209" s="25"/>
      <c r="U1209" s="25"/>
      <c r="V1209" s="25"/>
      <c r="W1209" s="25"/>
      <c r="X1209" s="25"/>
      <c r="Y1209" s="25"/>
      <c r="Z1209" s="25"/>
      <c r="AA1209" s="25"/>
      <c r="AB1209" s="25"/>
    </row>
    <row r="1210" spans="16:28" x14ac:dyDescent="0.2">
      <c r="P1210" s="25"/>
      <c r="Q1210" s="25"/>
      <c r="R1210" s="25"/>
      <c r="S1210" s="25"/>
      <c r="T1210" s="25"/>
      <c r="U1210" s="25"/>
      <c r="V1210" s="25"/>
      <c r="W1210" s="25"/>
      <c r="X1210" s="25"/>
      <c r="Y1210" s="25"/>
      <c r="Z1210" s="25"/>
      <c r="AA1210" s="25"/>
      <c r="AB1210" s="25"/>
    </row>
    <row r="1211" spans="16:28" x14ac:dyDescent="0.2">
      <c r="P1211" s="25"/>
      <c r="Q1211" s="25"/>
      <c r="R1211" s="25"/>
      <c r="S1211" s="25"/>
      <c r="T1211" s="25"/>
      <c r="U1211" s="25"/>
      <c r="V1211" s="25"/>
      <c r="W1211" s="25"/>
      <c r="X1211" s="25"/>
      <c r="Y1211" s="25"/>
      <c r="Z1211" s="25"/>
      <c r="AA1211" s="25"/>
      <c r="AB1211" s="25"/>
    </row>
    <row r="1212" spans="16:28" x14ac:dyDescent="0.2">
      <c r="P1212" s="25"/>
      <c r="Q1212" s="25"/>
      <c r="R1212" s="25"/>
      <c r="S1212" s="25"/>
      <c r="T1212" s="25"/>
      <c r="U1212" s="25"/>
      <c r="V1212" s="25"/>
      <c r="W1212" s="25"/>
      <c r="X1212" s="25"/>
      <c r="Y1212" s="25"/>
      <c r="Z1212" s="25"/>
      <c r="AA1212" s="25"/>
      <c r="AB1212" s="25"/>
    </row>
    <row r="1213" spans="16:28" x14ac:dyDescent="0.2">
      <c r="P1213" s="25"/>
      <c r="Q1213" s="25"/>
      <c r="R1213" s="25"/>
      <c r="S1213" s="25"/>
      <c r="T1213" s="25"/>
      <c r="U1213" s="25"/>
      <c r="V1213" s="25"/>
      <c r="W1213" s="25"/>
      <c r="X1213" s="25"/>
      <c r="Y1213" s="25"/>
      <c r="Z1213" s="25"/>
      <c r="AA1213" s="25"/>
      <c r="AB1213" s="25"/>
    </row>
    <row r="1214" spans="16:28" x14ac:dyDescent="0.2">
      <c r="P1214" s="25"/>
      <c r="Q1214" s="25"/>
      <c r="R1214" s="25"/>
      <c r="S1214" s="25"/>
      <c r="T1214" s="25"/>
      <c r="U1214" s="25"/>
      <c r="V1214" s="25"/>
      <c r="W1214" s="25"/>
      <c r="X1214" s="25"/>
      <c r="Y1214" s="25"/>
      <c r="Z1214" s="25"/>
      <c r="AA1214" s="25"/>
      <c r="AB1214" s="25"/>
    </row>
    <row r="1215" spans="16:28" x14ac:dyDescent="0.2">
      <c r="P1215" s="25"/>
      <c r="Q1215" s="25"/>
      <c r="R1215" s="25"/>
      <c r="S1215" s="25"/>
      <c r="T1215" s="25"/>
      <c r="U1215" s="25"/>
      <c r="V1215" s="25"/>
      <c r="W1215" s="25"/>
      <c r="X1215" s="25"/>
      <c r="Y1215" s="25"/>
      <c r="Z1215" s="25"/>
      <c r="AA1215" s="25"/>
      <c r="AB1215" s="25"/>
    </row>
    <row r="1216" spans="16:28" x14ac:dyDescent="0.2">
      <c r="P1216" s="25"/>
      <c r="Q1216" s="25"/>
      <c r="R1216" s="25"/>
      <c r="S1216" s="25"/>
      <c r="T1216" s="25"/>
      <c r="U1216" s="25"/>
      <c r="V1216" s="25"/>
      <c r="W1216" s="25"/>
      <c r="X1216" s="25"/>
      <c r="Y1216" s="25"/>
      <c r="Z1216" s="25"/>
      <c r="AA1216" s="25"/>
      <c r="AB1216" s="25"/>
    </row>
    <row r="1217" spans="16:28" x14ac:dyDescent="0.2">
      <c r="P1217" s="25"/>
      <c r="Q1217" s="25"/>
      <c r="R1217" s="25"/>
      <c r="S1217" s="25"/>
      <c r="T1217" s="25"/>
      <c r="U1217" s="25"/>
      <c r="V1217" s="25"/>
      <c r="W1217" s="25"/>
      <c r="X1217" s="25"/>
      <c r="Y1217" s="25"/>
      <c r="Z1217" s="25"/>
      <c r="AA1217" s="25"/>
      <c r="AB1217" s="25"/>
    </row>
    <row r="1218" spans="16:28" x14ac:dyDescent="0.2">
      <c r="P1218" s="25"/>
      <c r="Q1218" s="25"/>
      <c r="R1218" s="25"/>
      <c r="S1218" s="25"/>
      <c r="T1218" s="25"/>
      <c r="U1218" s="25"/>
      <c r="V1218" s="25"/>
      <c r="W1218" s="25"/>
      <c r="X1218" s="25"/>
      <c r="Y1218" s="25"/>
      <c r="Z1218" s="25"/>
      <c r="AA1218" s="25"/>
      <c r="AB1218" s="25"/>
    </row>
    <row r="1219" spans="16:28" x14ac:dyDescent="0.2">
      <c r="P1219" s="25"/>
      <c r="Q1219" s="25"/>
      <c r="R1219" s="25"/>
      <c r="S1219" s="25"/>
      <c r="T1219" s="25"/>
      <c r="U1219" s="25"/>
      <c r="V1219" s="25"/>
      <c r="W1219" s="25"/>
      <c r="X1219" s="25"/>
      <c r="Y1219" s="25"/>
      <c r="Z1219" s="25"/>
      <c r="AA1219" s="25"/>
      <c r="AB1219" s="25"/>
    </row>
    <row r="1220" spans="16:28" x14ac:dyDescent="0.2">
      <c r="P1220" s="25"/>
      <c r="Q1220" s="25"/>
      <c r="R1220" s="25"/>
      <c r="S1220" s="25"/>
      <c r="T1220" s="25"/>
      <c r="U1220" s="25"/>
      <c r="V1220" s="25"/>
      <c r="W1220" s="25"/>
      <c r="X1220" s="25"/>
      <c r="Y1220" s="25"/>
      <c r="Z1220" s="25"/>
      <c r="AA1220" s="25"/>
      <c r="AB1220" s="25"/>
    </row>
    <row r="1221" spans="16:28" x14ac:dyDescent="0.2">
      <c r="P1221" s="25"/>
      <c r="Q1221" s="25"/>
      <c r="R1221" s="25"/>
      <c r="S1221" s="25"/>
      <c r="T1221" s="25"/>
      <c r="U1221" s="25"/>
      <c r="V1221" s="25"/>
      <c r="W1221" s="25"/>
      <c r="X1221" s="25"/>
      <c r="Y1221" s="25"/>
      <c r="Z1221" s="25"/>
      <c r="AA1221" s="25"/>
      <c r="AB1221" s="25"/>
    </row>
    <row r="1222" spans="16:28" x14ac:dyDescent="0.2">
      <c r="P1222" s="25"/>
      <c r="Q1222" s="25"/>
      <c r="R1222" s="25"/>
      <c r="S1222" s="25"/>
      <c r="T1222" s="25"/>
      <c r="U1222" s="25"/>
      <c r="V1222" s="25"/>
      <c r="W1222" s="25"/>
      <c r="X1222" s="25"/>
      <c r="Y1222" s="25"/>
      <c r="Z1222" s="25"/>
      <c r="AA1222" s="25"/>
      <c r="AB1222" s="25"/>
    </row>
    <row r="1223" spans="16:28" x14ac:dyDescent="0.2">
      <c r="P1223" s="25"/>
      <c r="Q1223" s="25"/>
      <c r="R1223" s="25"/>
      <c r="S1223" s="25"/>
      <c r="T1223" s="25"/>
      <c r="U1223" s="25"/>
      <c r="V1223" s="25"/>
      <c r="W1223" s="25"/>
      <c r="X1223" s="25"/>
      <c r="Y1223" s="25"/>
      <c r="Z1223" s="25"/>
      <c r="AA1223" s="25"/>
      <c r="AB1223" s="25"/>
    </row>
    <row r="1224" spans="16:28" x14ac:dyDescent="0.2">
      <c r="P1224" s="25"/>
      <c r="Q1224" s="25"/>
      <c r="R1224" s="25"/>
      <c r="S1224" s="25"/>
      <c r="T1224" s="25"/>
      <c r="U1224" s="25"/>
      <c r="V1224" s="25"/>
      <c r="W1224" s="25"/>
      <c r="X1224" s="25"/>
      <c r="Y1224" s="25"/>
      <c r="Z1224" s="25"/>
      <c r="AA1224" s="25"/>
      <c r="AB1224" s="25"/>
    </row>
    <row r="1225" spans="16:28" x14ac:dyDescent="0.2">
      <c r="P1225" s="25"/>
      <c r="Q1225" s="25"/>
      <c r="R1225" s="25"/>
      <c r="S1225" s="25"/>
      <c r="T1225" s="25"/>
      <c r="U1225" s="25"/>
      <c r="V1225" s="25"/>
      <c r="W1225" s="25"/>
      <c r="X1225" s="25"/>
      <c r="Y1225" s="25"/>
      <c r="Z1225" s="25"/>
      <c r="AA1225" s="25"/>
      <c r="AB1225" s="25"/>
    </row>
    <row r="1226" spans="16:28" x14ac:dyDescent="0.2">
      <c r="P1226" s="25"/>
      <c r="Q1226" s="25"/>
      <c r="R1226" s="25"/>
      <c r="S1226" s="25"/>
      <c r="T1226" s="25"/>
      <c r="U1226" s="25"/>
      <c r="V1226" s="25"/>
      <c r="W1226" s="25"/>
      <c r="X1226" s="25"/>
      <c r="Y1226" s="25"/>
      <c r="Z1226" s="25"/>
      <c r="AA1226" s="25"/>
      <c r="AB1226" s="25"/>
    </row>
    <row r="1227" spans="16:28" x14ac:dyDescent="0.2">
      <c r="P1227" s="25"/>
      <c r="Q1227" s="25"/>
      <c r="R1227" s="25"/>
      <c r="S1227" s="25"/>
      <c r="T1227" s="25"/>
      <c r="U1227" s="25"/>
      <c r="V1227" s="25"/>
      <c r="W1227" s="25"/>
      <c r="X1227" s="25"/>
      <c r="Y1227" s="25"/>
      <c r="Z1227" s="25"/>
      <c r="AA1227" s="25"/>
      <c r="AB1227" s="25"/>
    </row>
    <row r="1228" spans="16:28" x14ac:dyDescent="0.2">
      <c r="P1228" s="25"/>
      <c r="Q1228" s="25"/>
      <c r="R1228" s="25"/>
      <c r="S1228" s="25"/>
      <c r="T1228" s="25"/>
      <c r="U1228" s="25"/>
      <c r="V1228" s="25"/>
      <c r="W1228" s="25"/>
      <c r="X1228" s="25"/>
      <c r="Y1228" s="25"/>
      <c r="Z1228" s="25"/>
      <c r="AA1228" s="25"/>
      <c r="AB1228" s="25"/>
    </row>
    <row r="1229" spans="16:28" x14ac:dyDescent="0.2">
      <c r="P1229" s="25"/>
      <c r="Q1229" s="25"/>
      <c r="R1229" s="25"/>
      <c r="S1229" s="25"/>
      <c r="T1229" s="25"/>
      <c r="U1229" s="25"/>
      <c r="V1229" s="25"/>
      <c r="W1229" s="25"/>
      <c r="X1229" s="25"/>
      <c r="Y1229" s="25"/>
      <c r="Z1229" s="25"/>
      <c r="AA1229" s="25"/>
      <c r="AB1229" s="25"/>
    </row>
    <row r="1230" spans="16:28" x14ac:dyDescent="0.2">
      <c r="P1230" s="25"/>
      <c r="Q1230" s="25"/>
      <c r="R1230" s="25"/>
      <c r="S1230" s="25"/>
      <c r="T1230" s="25"/>
      <c r="U1230" s="25"/>
      <c r="V1230" s="25"/>
      <c r="W1230" s="25"/>
      <c r="X1230" s="25"/>
      <c r="Y1230" s="25"/>
      <c r="Z1230" s="25"/>
      <c r="AA1230" s="25"/>
      <c r="AB1230" s="25"/>
    </row>
    <row r="1231" spans="16:28" x14ac:dyDescent="0.2">
      <c r="P1231" s="25"/>
      <c r="Q1231" s="25"/>
      <c r="R1231" s="25"/>
      <c r="S1231" s="25"/>
      <c r="T1231" s="25"/>
      <c r="U1231" s="25"/>
      <c r="V1231" s="25"/>
      <c r="W1231" s="25"/>
      <c r="X1231" s="25"/>
      <c r="Y1231" s="25"/>
      <c r="Z1231" s="25"/>
      <c r="AA1231" s="25"/>
      <c r="AB1231" s="25"/>
    </row>
    <row r="1232" spans="16:28" x14ac:dyDescent="0.2">
      <c r="P1232" s="25"/>
      <c r="Q1232" s="25"/>
      <c r="R1232" s="25"/>
      <c r="S1232" s="25"/>
      <c r="T1232" s="25"/>
      <c r="U1232" s="25"/>
      <c r="V1232" s="25"/>
      <c r="W1232" s="25"/>
      <c r="X1232" s="25"/>
      <c r="Y1232" s="25"/>
      <c r="Z1232" s="25"/>
      <c r="AA1232" s="25"/>
      <c r="AB1232" s="25"/>
    </row>
    <row r="1233" spans="4:31" x14ac:dyDescent="0.2">
      <c r="P1233" s="25"/>
      <c r="Q1233" s="25"/>
      <c r="R1233" s="25"/>
      <c r="S1233" s="25"/>
      <c r="T1233" s="25"/>
      <c r="U1233" s="25"/>
      <c r="V1233" s="25"/>
      <c r="W1233" s="25"/>
      <c r="X1233" s="25"/>
      <c r="Y1233" s="25"/>
      <c r="Z1233" s="25"/>
      <c r="AA1233" s="25"/>
      <c r="AB1233" s="25"/>
    </row>
    <row r="1234" spans="4:31" x14ac:dyDescent="0.2">
      <c r="P1234" s="25"/>
      <c r="Q1234" s="25"/>
      <c r="R1234" s="25"/>
      <c r="S1234" s="25"/>
      <c r="T1234" s="25"/>
      <c r="U1234" s="25"/>
      <c r="V1234" s="25"/>
      <c r="W1234" s="25"/>
      <c r="X1234" s="25"/>
      <c r="Y1234" s="25"/>
      <c r="Z1234" s="25"/>
      <c r="AA1234" s="25"/>
      <c r="AB1234" s="25"/>
    </row>
    <row r="1235" spans="4:31" x14ac:dyDescent="0.2">
      <c r="P1235" s="25"/>
      <c r="Q1235" s="25"/>
      <c r="R1235" s="25"/>
      <c r="S1235" s="25"/>
      <c r="T1235" s="25"/>
      <c r="U1235" s="25"/>
      <c r="V1235" s="25"/>
      <c r="W1235" s="25"/>
      <c r="X1235" s="25"/>
      <c r="Y1235" s="25"/>
      <c r="Z1235" s="25"/>
      <c r="AA1235" s="25"/>
      <c r="AB1235" s="25"/>
    </row>
    <row r="1236" spans="4:31" x14ac:dyDescent="0.2">
      <c r="P1236" s="25"/>
      <c r="Q1236" s="25"/>
      <c r="R1236" s="25"/>
      <c r="S1236" s="25"/>
      <c r="T1236" s="25"/>
      <c r="U1236" s="25"/>
      <c r="V1236" s="25"/>
      <c r="W1236" s="25"/>
      <c r="X1236" s="25"/>
      <c r="Y1236" s="25"/>
      <c r="Z1236" s="25"/>
      <c r="AA1236" s="25"/>
      <c r="AB1236" s="25"/>
    </row>
    <row r="1237" spans="4:31" x14ac:dyDescent="0.2">
      <c r="P1237" s="25"/>
      <c r="Q1237" s="25"/>
      <c r="R1237" s="25"/>
      <c r="S1237" s="25"/>
      <c r="T1237" s="25"/>
      <c r="U1237" s="25"/>
      <c r="V1237" s="25"/>
      <c r="W1237" s="25"/>
      <c r="X1237" s="25"/>
      <c r="Y1237" s="25"/>
      <c r="Z1237" s="25"/>
      <c r="AA1237" s="25"/>
      <c r="AB1237" s="25"/>
    </row>
    <row r="1238" spans="4:31" x14ac:dyDescent="0.2">
      <c r="P1238" s="25"/>
      <c r="Q1238" s="25"/>
      <c r="R1238" s="25"/>
      <c r="S1238" s="25"/>
      <c r="T1238" s="25"/>
      <c r="U1238" s="25"/>
      <c r="V1238" s="25"/>
      <c r="W1238" s="25"/>
      <c r="X1238" s="25"/>
      <c r="Y1238" s="25"/>
      <c r="Z1238" s="25"/>
      <c r="AA1238" s="25"/>
      <c r="AB1238" s="25"/>
    </row>
    <row r="1239" spans="4:31" x14ac:dyDescent="0.2">
      <c r="P1239" s="25"/>
      <c r="Q1239" s="25"/>
      <c r="R1239" s="25"/>
      <c r="S1239" s="25"/>
      <c r="T1239" s="25"/>
      <c r="U1239" s="25"/>
      <c r="V1239" s="25"/>
      <c r="W1239" s="25"/>
      <c r="X1239" s="25"/>
      <c r="Y1239" s="25"/>
      <c r="Z1239" s="25"/>
      <c r="AA1239" s="25"/>
      <c r="AB1239" s="25"/>
    </row>
    <row r="1240" spans="4:31" x14ac:dyDescent="0.2">
      <c r="P1240" s="25"/>
      <c r="Q1240" s="25"/>
      <c r="R1240" s="25"/>
      <c r="S1240" s="25"/>
      <c r="T1240" s="25"/>
      <c r="U1240" s="25"/>
      <c r="V1240" s="25"/>
      <c r="W1240" s="25"/>
      <c r="X1240" s="25"/>
      <c r="Y1240" s="25"/>
      <c r="Z1240" s="25"/>
      <c r="AA1240" s="25"/>
      <c r="AB1240" s="25"/>
    </row>
    <row r="1241" spans="4:31" x14ac:dyDescent="0.2">
      <c r="D1241" s="25"/>
      <c r="E1241" s="25"/>
      <c r="F1241" s="25"/>
      <c r="G1241" s="25"/>
      <c r="H1241" s="25"/>
      <c r="I1241" s="25"/>
      <c r="J1241" s="25"/>
      <c r="K1241" s="25"/>
      <c r="L1241" s="25"/>
      <c r="M1241" s="25"/>
      <c r="N1241" s="25"/>
      <c r="O1241" s="25"/>
      <c r="P1241" s="25"/>
      <c r="Q1241" s="25"/>
      <c r="R1241" s="25"/>
      <c r="S1241" s="25"/>
      <c r="T1241" s="25"/>
      <c r="U1241" s="25"/>
      <c r="V1241" s="25"/>
      <c r="W1241" s="25"/>
      <c r="X1241" s="25"/>
      <c r="Y1241" s="25"/>
      <c r="Z1241" s="25"/>
      <c r="AA1241" s="25"/>
      <c r="AB1241" s="25"/>
      <c r="AC1241" s="25"/>
      <c r="AD1241" s="25"/>
      <c r="AE1241" s="25"/>
    </row>
    <row r="1242" spans="4:31" x14ac:dyDescent="0.2">
      <c r="D1242" s="25"/>
      <c r="E1242" s="25"/>
      <c r="F1242" s="25"/>
      <c r="G1242" s="25"/>
      <c r="H1242" s="25"/>
      <c r="I1242" s="25"/>
      <c r="J1242" s="25"/>
      <c r="K1242" s="25"/>
      <c r="L1242" s="25"/>
      <c r="M1242" s="25"/>
      <c r="N1242" s="25"/>
      <c r="O1242" s="25"/>
      <c r="P1242" s="25"/>
      <c r="Q1242" s="25"/>
      <c r="R1242" s="25"/>
      <c r="S1242" s="25"/>
      <c r="T1242" s="25"/>
      <c r="U1242" s="25"/>
      <c r="V1242" s="25"/>
      <c r="W1242" s="25"/>
      <c r="X1242" s="25"/>
      <c r="Y1242" s="25"/>
      <c r="Z1242" s="25"/>
      <c r="AA1242" s="25"/>
      <c r="AB1242" s="25"/>
      <c r="AC1242" s="25"/>
      <c r="AD1242" s="25"/>
      <c r="AE1242" s="25"/>
    </row>
    <row r="1243" spans="4:31" x14ac:dyDescent="0.2">
      <c r="D1243" s="25"/>
      <c r="E1243" s="25"/>
      <c r="F1243" s="25"/>
      <c r="G1243" s="25"/>
      <c r="H1243" s="25"/>
      <c r="I1243" s="25"/>
      <c r="J1243" s="25"/>
      <c r="K1243" s="25"/>
      <c r="L1243" s="25"/>
      <c r="M1243" s="25"/>
      <c r="N1243" s="25"/>
      <c r="O1243" s="25"/>
      <c r="P1243" s="25"/>
      <c r="Q1243" s="25"/>
      <c r="R1243" s="25"/>
      <c r="S1243" s="25"/>
      <c r="T1243" s="25"/>
      <c r="U1243" s="25"/>
      <c r="V1243" s="25"/>
      <c r="W1243" s="25"/>
      <c r="X1243" s="25"/>
      <c r="Y1243" s="25"/>
      <c r="Z1243" s="25"/>
      <c r="AA1243" s="25"/>
      <c r="AB1243" s="25"/>
      <c r="AC1243" s="25"/>
      <c r="AD1243" s="25"/>
      <c r="AE1243" s="25"/>
    </row>
    <row r="1244" spans="4:31" x14ac:dyDescent="0.2">
      <c r="D1244" s="25"/>
      <c r="E1244" s="25"/>
      <c r="F1244" s="25"/>
      <c r="G1244" s="25"/>
      <c r="H1244" s="25"/>
      <c r="I1244" s="25"/>
      <c r="J1244" s="25"/>
      <c r="K1244" s="25"/>
      <c r="L1244" s="25"/>
      <c r="M1244" s="25"/>
      <c r="N1244" s="25"/>
      <c r="O1244" s="25"/>
      <c r="P1244" s="25"/>
      <c r="Q1244" s="25"/>
      <c r="R1244" s="25"/>
      <c r="S1244" s="25"/>
      <c r="T1244" s="25"/>
      <c r="U1244" s="25"/>
      <c r="V1244" s="25"/>
      <c r="W1244" s="25"/>
      <c r="X1244" s="25"/>
      <c r="Y1244" s="25"/>
      <c r="Z1244" s="25"/>
      <c r="AA1244" s="25"/>
      <c r="AB1244" s="25"/>
      <c r="AC1244" s="25"/>
      <c r="AD1244" s="25"/>
      <c r="AE1244" s="25"/>
    </row>
    <row r="1245" spans="4:31" x14ac:dyDescent="0.2">
      <c r="D1245" s="25"/>
      <c r="E1245" s="25"/>
      <c r="F1245" s="25"/>
      <c r="G1245" s="25"/>
      <c r="H1245" s="25"/>
      <c r="I1245" s="25"/>
      <c r="J1245" s="25"/>
      <c r="K1245" s="25"/>
      <c r="L1245" s="25"/>
      <c r="M1245" s="25"/>
      <c r="N1245" s="25"/>
      <c r="O1245" s="25"/>
      <c r="P1245" s="25"/>
      <c r="Q1245" s="25"/>
      <c r="R1245" s="25"/>
      <c r="S1245" s="25"/>
      <c r="T1245" s="25"/>
      <c r="U1245" s="25"/>
      <c r="V1245" s="25"/>
      <c r="W1245" s="25"/>
      <c r="X1245" s="25"/>
      <c r="Y1245" s="25"/>
      <c r="Z1245" s="25"/>
      <c r="AA1245" s="25"/>
      <c r="AB1245" s="25"/>
      <c r="AC1245" s="25"/>
      <c r="AD1245" s="25"/>
      <c r="AE1245" s="25"/>
    </row>
    <row r="1246" spans="4:31" x14ac:dyDescent="0.2">
      <c r="D1246" s="25"/>
      <c r="E1246" s="25"/>
      <c r="F1246" s="25"/>
      <c r="G1246" s="25"/>
      <c r="H1246" s="25"/>
      <c r="I1246" s="25"/>
      <c r="J1246" s="25"/>
      <c r="K1246" s="25"/>
      <c r="L1246" s="25"/>
      <c r="M1246" s="25"/>
      <c r="N1246" s="25"/>
      <c r="O1246" s="25"/>
      <c r="P1246" s="25"/>
      <c r="Q1246" s="25"/>
      <c r="R1246" s="25"/>
      <c r="S1246" s="25"/>
      <c r="T1246" s="25"/>
      <c r="U1246" s="25"/>
      <c r="V1246" s="25"/>
      <c r="W1246" s="25"/>
      <c r="X1246" s="25"/>
      <c r="Y1246" s="25"/>
      <c r="Z1246" s="25"/>
      <c r="AA1246" s="25"/>
      <c r="AB1246" s="25"/>
      <c r="AC1246" s="25"/>
      <c r="AD1246" s="25"/>
      <c r="AE1246" s="25"/>
    </row>
    <row r="1247" spans="4:31" x14ac:dyDescent="0.2">
      <c r="D1247" s="25"/>
      <c r="E1247" s="25"/>
      <c r="F1247" s="25"/>
      <c r="G1247" s="25"/>
      <c r="H1247" s="25"/>
      <c r="I1247" s="25"/>
      <c r="J1247" s="25"/>
      <c r="K1247" s="25"/>
      <c r="L1247" s="25"/>
      <c r="M1247" s="25"/>
      <c r="N1247" s="25"/>
      <c r="O1247" s="25"/>
      <c r="P1247" s="25"/>
      <c r="Q1247" s="25"/>
      <c r="R1247" s="25"/>
      <c r="S1247" s="25"/>
      <c r="T1247" s="25"/>
      <c r="U1247" s="25"/>
      <c r="V1247" s="25"/>
      <c r="W1247" s="25"/>
      <c r="X1247" s="25"/>
      <c r="Y1247" s="25"/>
      <c r="Z1247" s="25"/>
      <c r="AA1247" s="25"/>
      <c r="AB1247" s="25"/>
      <c r="AC1247" s="25"/>
      <c r="AD1247" s="25"/>
      <c r="AE1247" s="25"/>
    </row>
    <row r="1248" spans="4:31" x14ac:dyDescent="0.2">
      <c r="D1248" s="25"/>
      <c r="E1248" s="25"/>
      <c r="F1248" s="25"/>
      <c r="G1248" s="25"/>
      <c r="H1248" s="25"/>
      <c r="I1248" s="25"/>
      <c r="J1248" s="25"/>
      <c r="K1248" s="25"/>
      <c r="L1248" s="25"/>
      <c r="M1248" s="25"/>
      <c r="N1248" s="25"/>
      <c r="O1248" s="25"/>
      <c r="P1248" s="25"/>
      <c r="Q1248" s="25"/>
      <c r="R1248" s="25"/>
      <c r="S1248" s="25"/>
      <c r="T1248" s="25"/>
      <c r="U1248" s="25"/>
      <c r="V1248" s="25"/>
      <c r="W1248" s="25"/>
      <c r="X1248" s="25"/>
      <c r="Y1248" s="25"/>
      <c r="Z1248" s="25"/>
      <c r="AA1248" s="25"/>
      <c r="AB1248" s="25"/>
      <c r="AC1248" s="25"/>
      <c r="AD1248" s="25"/>
      <c r="AE1248" s="25"/>
    </row>
    <row r="1249" spans="4:31" x14ac:dyDescent="0.2">
      <c r="D1249" s="25"/>
      <c r="E1249" s="25"/>
      <c r="F1249" s="25"/>
      <c r="G1249" s="25"/>
      <c r="H1249" s="25"/>
      <c r="I1249" s="25"/>
      <c r="J1249" s="25"/>
      <c r="K1249" s="25"/>
      <c r="L1249" s="25"/>
      <c r="M1249" s="25"/>
      <c r="N1249" s="25"/>
      <c r="O1249" s="25"/>
      <c r="P1249" s="25"/>
      <c r="Q1249" s="25"/>
      <c r="R1249" s="25"/>
      <c r="S1249" s="25"/>
      <c r="T1249" s="25"/>
      <c r="U1249" s="25"/>
      <c r="V1249" s="25"/>
      <c r="W1249" s="25"/>
      <c r="X1249" s="25"/>
      <c r="Y1249" s="25"/>
      <c r="Z1249" s="25"/>
      <c r="AA1249" s="25"/>
      <c r="AB1249" s="25"/>
      <c r="AC1249" s="25"/>
      <c r="AD1249" s="25"/>
      <c r="AE1249" s="25"/>
    </row>
    <row r="1250" spans="4:31" x14ac:dyDescent="0.2">
      <c r="D1250" s="25"/>
      <c r="E1250" s="25"/>
      <c r="F1250" s="25"/>
      <c r="G1250" s="25"/>
      <c r="H1250" s="25"/>
      <c r="I1250" s="25"/>
      <c r="J1250" s="25"/>
      <c r="K1250" s="25"/>
      <c r="L1250" s="25"/>
      <c r="M1250" s="25"/>
      <c r="N1250" s="25"/>
      <c r="O1250" s="25"/>
      <c r="P1250" s="25"/>
      <c r="Q1250" s="25"/>
      <c r="R1250" s="25"/>
      <c r="S1250" s="25"/>
      <c r="T1250" s="25"/>
      <c r="U1250" s="25"/>
      <c r="V1250" s="25"/>
      <c r="W1250" s="25"/>
      <c r="X1250" s="25"/>
      <c r="Y1250" s="25"/>
      <c r="Z1250" s="25"/>
      <c r="AA1250" s="25"/>
      <c r="AB1250" s="25"/>
      <c r="AC1250" s="25"/>
      <c r="AD1250" s="25"/>
      <c r="AE1250" s="25"/>
    </row>
    <row r="1251" spans="4:31" x14ac:dyDescent="0.2">
      <c r="D1251" s="25"/>
      <c r="E1251" s="25"/>
      <c r="F1251" s="25"/>
      <c r="G1251" s="25"/>
      <c r="H1251" s="25"/>
      <c r="I1251" s="25"/>
      <c r="J1251" s="25"/>
      <c r="K1251" s="25"/>
      <c r="L1251" s="25"/>
      <c r="M1251" s="25"/>
      <c r="N1251" s="25"/>
      <c r="O1251" s="25"/>
      <c r="P1251" s="25"/>
      <c r="Q1251" s="25"/>
      <c r="R1251" s="25"/>
      <c r="S1251" s="25"/>
      <c r="T1251" s="25"/>
      <c r="U1251" s="25"/>
      <c r="V1251" s="25"/>
      <c r="W1251" s="25"/>
      <c r="X1251" s="25"/>
      <c r="Y1251" s="25"/>
      <c r="Z1251" s="25"/>
      <c r="AA1251" s="25"/>
      <c r="AB1251" s="25"/>
      <c r="AC1251" s="25"/>
      <c r="AD1251" s="25"/>
      <c r="AE1251" s="25"/>
    </row>
    <row r="1252" spans="4:31" x14ac:dyDescent="0.2">
      <c r="D1252" s="25"/>
      <c r="E1252" s="25"/>
      <c r="F1252" s="25"/>
      <c r="G1252" s="25"/>
      <c r="H1252" s="25"/>
      <c r="I1252" s="25"/>
      <c r="J1252" s="25"/>
      <c r="K1252" s="25"/>
      <c r="L1252" s="25"/>
      <c r="M1252" s="25"/>
      <c r="N1252" s="25"/>
      <c r="O1252" s="25"/>
      <c r="P1252" s="25"/>
      <c r="Q1252" s="25"/>
      <c r="R1252" s="25"/>
      <c r="S1252" s="25"/>
      <c r="T1252" s="25"/>
      <c r="U1252" s="25"/>
      <c r="V1252" s="25"/>
      <c r="W1252" s="25"/>
      <c r="X1252" s="25"/>
      <c r="Y1252" s="25"/>
      <c r="Z1252" s="25"/>
      <c r="AA1252" s="25"/>
      <c r="AB1252" s="25"/>
      <c r="AC1252" s="25"/>
      <c r="AD1252" s="25"/>
      <c r="AE1252" s="25"/>
    </row>
    <row r="1253" spans="4:31" x14ac:dyDescent="0.2">
      <c r="D1253" s="25"/>
      <c r="E1253" s="25"/>
      <c r="F1253" s="25"/>
      <c r="G1253" s="25"/>
      <c r="H1253" s="25"/>
      <c r="I1253" s="25"/>
      <c r="J1253" s="25"/>
      <c r="K1253" s="25"/>
      <c r="L1253" s="25"/>
      <c r="M1253" s="25"/>
      <c r="N1253" s="25"/>
      <c r="O1253" s="25"/>
      <c r="P1253" s="25"/>
      <c r="Q1253" s="25"/>
      <c r="R1253" s="25"/>
      <c r="S1253" s="25"/>
      <c r="T1253" s="25"/>
      <c r="U1253" s="25"/>
      <c r="V1253" s="25"/>
      <c r="W1253" s="25"/>
      <c r="X1253" s="25"/>
      <c r="Y1253" s="25"/>
      <c r="Z1253" s="25"/>
      <c r="AA1253" s="25"/>
      <c r="AB1253" s="25"/>
      <c r="AC1253" s="25"/>
      <c r="AD1253" s="25"/>
      <c r="AE1253" s="25"/>
    </row>
    <row r="1254" spans="4:31" x14ac:dyDescent="0.2">
      <c r="D1254" s="25"/>
      <c r="E1254" s="25"/>
      <c r="F1254" s="25"/>
      <c r="G1254" s="25"/>
      <c r="H1254" s="25"/>
      <c r="I1254" s="25"/>
      <c r="J1254" s="25"/>
      <c r="K1254" s="25"/>
      <c r="L1254" s="25"/>
      <c r="M1254" s="25"/>
      <c r="N1254" s="25"/>
      <c r="O1254" s="25"/>
      <c r="P1254" s="25"/>
      <c r="Q1254" s="25"/>
      <c r="R1254" s="25"/>
      <c r="S1254" s="25"/>
      <c r="T1254" s="25"/>
      <c r="U1254" s="25"/>
      <c r="V1254" s="25"/>
      <c r="W1254" s="25"/>
      <c r="X1254" s="25"/>
      <c r="Y1254" s="25"/>
      <c r="Z1254" s="25"/>
      <c r="AA1254" s="25"/>
      <c r="AB1254" s="25"/>
      <c r="AC1254" s="25"/>
      <c r="AD1254" s="25"/>
      <c r="AE1254" s="25"/>
    </row>
    <row r="1255" spans="4:31" x14ac:dyDescent="0.2">
      <c r="D1255" s="25"/>
      <c r="E1255" s="25"/>
      <c r="F1255" s="25"/>
      <c r="G1255" s="25"/>
      <c r="H1255" s="25"/>
      <c r="I1255" s="25"/>
      <c r="J1255" s="25"/>
      <c r="K1255" s="25"/>
      <c r="L1255" s="25"/>
      <c r="M1255" s="25"/>
      <c r="N1255" s="25"/>
      <c r="O1255" s="25"/>
      <c r="P1255" s="25"/>
      <c r="Q1255" s="25"/>
      <c r="R1255" s="25"/>
      <c r="S1255" s="25"/>
      <c r="T1255" s="25"/>
      <c r="U1255" s="25"/>
      <c r="V1255" s="25"/>
      <c r="W1255" s="25"/>
      <c r="X1255" s="25"/>
      <c r="Y1255" s="25"/>
      <c r="Z1255" s="25"/>
      <c r="AA1255" s="25"/>
      <c r="AB1255" s="25"/>
      <c r="AC1255" s="25"/>
      <c r="AD1255" s="25"/>
      <c r="AE1255" s="25"/>
    </row>
    <row r="1256" spans="4:31" x14ac:dyDescent="0.2">
      <c r="D1256" s="25"/>
      <c r="E1256" s="25"/>
      <c r="F1256" s="25"/>
      <c r="G1256" s="25"/>
      <c r="H1256" s="25"/>
      <c r="I1256" s="25"/>
      <c r="J1256" s="25"/>
      <c r="K1256" s="25"/>
      <c r="L1256" s="25"/>
      <c r="M1256" s="25"/>
      <c r="N1256" s="25"/>
      <c r="O1256" s="25"/>
      <c r="P1256" s="25"/>
      <c r="Q1256" s="25"/>
      <c r="R1256" s="25"/>
      <c r="S1256" s="25"/>
      <c r="T1256" s="25"/>
      <c r="U1256" s="25"/>
      <c r="V1256" s="25"/>
      <c r="W1256" s="25"/>
      <c r="X1256" s="25"/>
      <c r="Y1256" s="25"/>
      <c r="Z1256" s="25"/>
      <c r="AA1256" s="25"/>
      <c r="AB1256" s="25"/>
      <c r="AC1256" s="25"/>
      <c r="AD1256" s="25"/>
      <c r="AE1256" s="25"/>
    </row>
    <row r="1257" spans="4:31" x14ac:dyDescent="0.2">
      <c r="D1257" s="25"/>
      <c r="E1257" s="25"/>
      <c r="F1257" s="25"/>
      <c r="G1257" s="25"/>
      <c r="H1257" s="25"/>
      <c r="I1257" s="25"/>
      <c r="J1257" s="25"/>
      <c r="K1257" s="25"/>
      <c r="L1257" s="25"/>
      <c r="M1257" s="25"/>
      <c r="N1257" s="25"/>
      <c r="O1257" s="25"/>
      <c r="P1257" s="25"/>
      <c r="Q1257" s="25"/>
      <c r="R1257" s="25"/>
      <c r="S1257" s="25"/>
      <c r="T1257" s="25"/>
      <c r="U1257" s="25"/>
      <c r="V1257" s="25"/>
      <c r="W1257" s="25"/>
      <c r="X1257" s="25"/>
      <c r="Y1257" s="25"/>
      <c r="Z1257" s="25"/>
      <c r="AA1257" s="25"/>
      <c r="AB1257" s="25"/>
      <c r="AC1257" s="25"/>
      <c r="AD1257" s="25"/>
      <c r="AE1257" s="25"/>
    </row>
    <row r="1258" spans="4:31" x14ac:dyDescent="0.2">
      <c r="D1258" s="25"/>
      <c r="E1258" s="25"/>
      <c r="F1258" s="25"/>
      <c r="G1258" s="25"/>
      <c r="H1258" s="25"/>
      <c r="I1258" s="25"/>
      <c r="J1258" s="25"/>
      <c r="K1258" s="25"/>
      <c r="L1258" s="25"/>
      <c r="M1258" s="25"/>
      <c r="N1258" s="25"/>
      <c r="O1258" s="25"/>
      <c r="P1258" s="25"/>
      <c r="Q1258" s="25"/>
      <c r="R1258" s="25"/>
      <c r="S1258" s="25"/>
      <c r="T1258" s="25"/>
      <c r="U1258" s="25"/>
      <c r="V1258" s="25"/>
      <c r="W1258" s="25"/>
      <c r="X1258" s="25"/>
      <c r="Y1258" s="25"/>
      <c r="Z1258" s="25"/>
      <c r="AA1258" s="25"/>
      <c r="AB1258" s="25"/>
      <c r="AC1258" s="25"/>
      <c r="AD1258" s="25"/>
      <c r="AE1258" s="25"/>
    </row>
    <row r="1259" spans="4:31" x14ac:dyDescent="0.2">
      <c r="D1259" s="25"/>
      <c r="E1259" s="25"/>
      <c r="F1259" s="25"/>
      <c r="G1259" s="25"/>
      <c r="H1259" s="25"/>
      <c r="I1259" s="25"/>
      <c r="J1259" s="25"/>
      <c r="K1259" s="25"/>
      <c r="L1259" s="25"/>
      <c r="M1259" s="25"/>
      <c r="N1259" s="25"/>
      <c r="O1259" s="25"/>
      <c r="P1259" s="25"/>
      <c r="Q1259" s="25"/>
      <c r="R1259" s="25"/>
      <c r="S1259" s="25"/>
      <c r="T1259" s="25"/>
      <c r="U1259" s="25"/>
      <c r="V1259" s="25"/>
      <c r="W1259" s="25"/>
      <c r="X1259" s="25"/>
      <c r="Y1259" s="25"/>
      <c r="Z1259" s="25"/>
      <c r="AA1259" s="25"/>
      <c r="AB1259" s="25"/>
      <c r="AC1259" s="25"/>
      <c r="AD1259" s="25"/>
      <c r="AE1259" s="25"/>
    </row>
    <row r="1260" spans="4:31" x14ac:dyDescent="0.2">
      <c r="D1260" s="25"/>
      <c r="E1260" s="25"/>
      <c r="F1260" s="25"/>
      <c r="G1260" s="25"/>
      <c r="H1260" s="25"/>
      <c r="I1260" s="25"/>
      <c r="J1260" s="25"/>
      <c r="K1260" s="25"/>
      <c r="L1260" s="25"/>
      <c r="M1260" s="25"/>
      <c r="N1260" s="25"/>
      <c r="O1260" s="25"/>
      <c r="P1260" s="25"/>
      <c r="Q1260" s="25"/>
      <c r="R1260" s="25"/>
      <c r="S1260" s="25"/>
      <c r="T1260" s="25"/>
      <c r="U1260" s="25"/>
      <c r="V1260" s="25"/>
      <c r="W1260" s="25"/>
      <c r="X1260" s="25"/>
      <c r="Y1260" s="25"/>
      <c r="Z1260" s="25"/>
      <c r="AA1260" s="25"/>
      <c r="AB1260" s="25"/>
      <c r="AC1260" s="25"/>
      <c r="AD1260" s="25"/>
      <c r="AE1260" s="25"/>
    </row>
    <row r="1261" spans="4:31" x14ac:dyDescent="0.2">
      <c r="D1261" s="25"/>
      <c r="E1261" s="25"/>
      <c r="F1261" s="25"/>
      <c r="G1261" s="25"/>
      <c r="H1261" s="25"/>
      <c r="I1261" s="25"/>
      <c r="J1261" s="25"/>
      <c r="K1261" s="25"/>
      <c r="L1261" s="25"/>
      <c r="M1261" s="25"/>
      <c r="N1261" s="25"/>
      <c r="O1261" s="25"/>
      <c r="P1261" s="25"/>
      <c r="Q1261" s="25"/>
      <c r="R1261" s="25"/>
      <c r="S1261" s="25"/>
      <c r="T1261" s="25"/>
      <c r="U1261" s="25"/>
      <c r="V1261" s="25"/>
      <c r="W1261" s="25"/>
      <c r="X1261" s="25"/>
      <c r="Y1261" s="25"/>
      <c r="Z1261" s="25"/>
      <c r="AA1261" s="25"/>
      <c r="AB1261" s="25"/>
      <c r="AC1261" s="25"/>
      <c r="AD1261" s="25"/>
      <c r="AE1261" s="25"/>
    </row>
    <row r="1262" spans="4:31" x14ac:dyDescent="0.2">
      <c r="D1262" s="25"/>
      <c r="E1262" s="25"/>
      <c r="F1262" s="25"/>
      <c r="G1262" s="25"/>
      <c r="H1262" s="25"/>
      <c r="I1262" s="25"/>
      <c r="J1262" s="25"/>
      <c r="K1262" s="25"/>
      <c r="L1262" s="25"/>
      <c r="M1262" s="25"/>
      <c r="N1262" s="25"/>
      <c r="O1262" s="25"/>
      <c r="P1262" s="25"/>
      <c r="Q1262" s="25"/>
      <c r="R1262" s="25"/>
      <c r="S1262" s="25"/>
      <c r="T1262" s="25"/>
      <c r="U1262" s="25"/>
      <c r="V1262" s="25"/>
      <c r="W1262" s="25"/>
      <c r="X1262" s="25"/>
      <c r="Y1262" s="25"/>
      <c r="Z1262" s="25"/>
      <c r="AA1262" s="25"/>
      <c r="AB1262" s="25"/>
      <c r="AC1262" s="25"/>
      <c r="AD1262" s="25"/>
      <c r="AE1262" s="25"/>
    </row>
    <row r="1263" spans="4:31" x14ac:dyDescent="0.2">
      <c r="D1263" s="25"/>
      <c r="E1263" s="25"/>
      <c r="F1263" s="25"/>
      <c r="G1263" s="25"/>
      <c r="H1263" s="25"/>
      <c r="I1263" s="25"/>
      <c r="J1263" s="25"/>
      <c r="K1263" s="25"/>
      <c r="L1263" s="25"/>
      <c r="M1263" s="25"/>
      <c r="N1263" s="25"/>
      <c r="O1263" s="25"/>
      <c r="P1263" s="25"/>
      <c r="Q1263" s="25"/>
      <c r="R1263" s="25"/>
      <c r="S1263" s="25"/>
      <c r="T1263" s="25"/>
      <c r="U1263" s="25"/>
      <c r="V1263" s="25"/>
      <c r="W1263" s="25"/>
      <c r="X1263" s="25"/>
      <c r="Y1263" s="25"/>
      <c r="Z1263" s="25"/>
      <c r="AA1263" s="25"/>
      <c r="AB1263" s="25"/>
      <c r="AC1263" s="25"/>
      <c r="AD1263" s="25"/>
      <c r="AE1263" s="25"/>
    </row>
    <row r="1264" spans="4:31" x14ac:dyDescent="0.2">
      <c r="D1264" s="25"/>
      <c r="E1264" s="25"/>
      <c r="F1264" s="25"/>
      <c r="G1264" s="25"/>
      <c r="H1264" s="25"/>
      <c r="I1264" s="25"/>
      <c r="J1264" s="25"/>
      <c r="K1264" s="25"/>
      <c r="L1264" s="25"/>
      <c r="M1264" s="25"/>
      <c r="N1264" s="25"/>
      <c r="O1264" s="25"/>
      <c r="P1264" s="25"/>
      <c r="Q1264" s="25"/>
      <c r="R1264" s="25"/>
      <c r="S1264" s="25"/>
      <c r="T1264" s="25"/>
      <c r="U1264" s="25"/>
      <c r="V1264" s="25"/>
      <c r="W1264" s="25"/>
      <c r="X1264" s="25"/>
      <c r="Y1264" s="25"/>
      <c r="Z1264" s="25"/>
      <c r="AA1264" s="25"/>
      <c r="AB1264" s="25"/>
      <c r="AC1264" s="25"/>
      <c r="AD1264" s="25"/>
      <c r="AE1264" s="25"/>
    </row>
    <row r="1265" spans="4:31" x14ac:dyDescent="0.2">
      <c r="D1265" s="25"/>
      <c r="E1265" s="25"/>
      <c r="F1265" s="25"/>
      <c r="G1265" s="25"/>
      <c r="H1265" s="25"/>
      <c r="I1265" s="25"/>
      <c r="J1265" s="25"/>
      <c r="K1265" s="25"/>
      <c r="L1265" s="25"/>
      <c r="M1265" s="25"/>
      <c r="N1265" s="25"/>
      <c r="O1265" s="25"/>
      <c r="P1265" s="25"/>
      <c r="Q1265" s="25"/>
      <c r="R1265" s="25"/>
      <c r="S1265" s="25"/>
      <c r="T1265" s="25"/>
      <c r="U1265" s="25"/>
      <c r="V1265" s="25"/>
      <c r="W1265" s="25"/>
      <c r="X1265" s="25"/>
      <c r="Y1265" s="25"/>
      <c r="Z1265" s="25"/>
      <c r="AA1265" s="25"/>
      <c r="AB1265" s="25"/>
      <c r="AC1265" s="25"/>
      <c r="AD1265" s="25"/>
      <c r="AE1265" s="25"/>
    </row>
    <row r="1266" spans="4:31" x14ac:dyDescent="0.2">
      <c r="D1266" s="25"/>
      <c r="E1266" s="25"/>
      <c r="F1266" s="25"/>
      <c r="G1266" s="25"/>
      <c r="H1266" s="25"/>
      <c r="I1266" s="25"/>
      <c r="J1266" s="25"/>
      <c r="K1266" s="25"/>
      <c r="L1266" s="25"/>
      <c r="M1266" s="25"/>
      <c r="N1266" s="25"/>
      <c r="O1266" s="25"/>
      <c r="P1266" s="25"/>
      <c r="Q1266" s="25"/>
      <c r="R1266" s="25"/>
      <c r="S1266" s="25"/>
      <c r="T1266" s="25"/>
      <c r="U1266" s="25"/>
      <c r="V1266" s="25"/>
      <c r="W1266" s="25"/>
      <c r="X1266" s="25"/>
      <c r="Y1266" s="25"/>
      <c r="Z1266" s="25"/>
      <c r="AA1266" s="25"/>
      <c r="AB1266" s="25"/>
      <c r="AC1266" s="25"/>
      <c r="AD1266" s="25"/>
      <c r="AE1266" s="25"/>
    </row>
    <row r="1267" spans="4:31" x14ac:dyDescent="0.2">
      <c r="D1267" s="25"/>
      <c r="E1267" s="25"/>
      <c r="F1267" s="25"/>
      <c r="G1267" s="25"/>
      <c r="H1267" s="25"/>
      <c r="I1267" s="25"/>
      <c r="J1267" s="25"/>
      <c r="K1267" s="25"/>
      <c r="L1267" s="25"/>
      <c r="M1267" s="25"/>
      <c r="N1267" s="25"/>
      <c r="O1267" s="25"/>
      <c r="P1267" s="25"/>
      <c r="Q1267" s="25"/>
      <c r="R1267" s="25"/>
      <c r="S1267" s="25"/>
      <c r="T1267" s="25"/>
      <c r="U1267" s="25"/>
      <c r="V1267" s="25"/>
      <c r="W1267" s="25"/>
      <c r="X1267" s="25"/>
      <c r="Y1267" s="25"/>
      <c r="Z1267" s="25"/>
      <c r="AA1267" s="25"/>
      <c r="AB1267" s="25"/>
      <c r="AC1267" s="25"/>
      <c r="AD1267" s="25"/>
      <c r="AE1267" s="25"/>
    </row>
    <row r="1268" spans="4:31" x14ac:dyDescent="0.2">
      <c r="D1268" s="25"/>
      <c r="E1268" s="25"/>
      <c r="F1268" s="25"/>
      <c r="G1268" s="25"/>
      <c r="H1268" s="25"/>
      <c r="I1268" s="25"/>
      <c r="J1268" s="25"/>
      <c r="K1268" s="25"/>
      <c r="L1268" s="25"/>
      <c r="M1268" s="25"/>
      <c r="N1268" s="25"/>
      <c r="O1268" s="25"/>
      <c r="P1268" s="25"/>
      <c r="Q1268" s="25"/>
      <c r="R1268" s="25"/>
      <c r="S1268" s="25"/>
      <c r="T1268" s="25"/>
      <c r="U1268" s="25"/>
      <c r="V1268" s="25"/>
      <c r="W1268" s="25"/>
      <c r="X1268" s="25"/>
      <c r="Y1268" s="25"/>
      <c r="Z1268" s="25"/>
      <c r="AA1268" s="25"/>
      <c r="AB1268" s="25"/>
      <c r="AC1268" s="25"/>
      <c r="AD1268" s="25"/>
      <c r="AE1268" s="25"/>
    </row>
    <row r="1269" spans="4:31" x14ac:dyDescent="0.2">
      <c r="D1269" s="25"/>
      <c r="E1269" s="25"/>
      <c r="F1269" s="25"/>
      <c r="G1269" s="25"/>
      <c r="H1269" s="25"/>
      <c r="I1269" s="25"/>
      <c r="J1269" s="25"/>
      <c r="K1269" s="25"/>
      <c r="L1269" s="25"/>
      <c r="M1269" s="25"/>
      <c r="N1269" s="25"/>
      <c r="O1269" s="25"/>
      <c r="P1269" s="25"/>
      <c r="Q1269" s="25"/>
      <c r="R1269" s="25"/>
      <c r="S1269" s="25"/>
      <c r="T1269" s="25"/>
      <c r="U1269" s="25"/>
      <c r="V1269" s="25"/>
      <c r="W1269" s="25"/>
      <c r="X1269" s="25"/>
      <c r="Y1269" s="25"/>
      <c r="Z1269" s="25"/>
      <c r="AA1269" s="25"/>
      <c r="AB1269" s="25"/>
      <c r="AC1269" s="25"/>
      <c r="AD1269" s="25"/>
      <c r="AE1269" s="25"/>
    </row>
    <row r="1270" spans="4:31" x14ac:dyDescent="0.2">
      <c r="D1270" s="25"/>
      <c r="E1270" s="25"/>
      <c r="F1270" s="25"/>
      <c r="G1270" s="25"/>
      <c r="H1270" s="25"/>
      <c r="I1270" s="25"/>
      <c r="J1270" s="25"/>
      <c r="K1270" s="25"/>
      <c r="L1270" s="25"/>
      <c r="M1270" s="25"/>
      <c r="N1270" s="25"/>
      <c r="O1270" s="25"/>
      <c r="P1270" s="25"/>
      <c r="Q1270" s="25"/>
      <c r="R1270" s="25"/>
      <c r="S1270" s="25"/>
      <c r="T1270" s="25"/>
      <c r="U1270" s="25"/>
      <c r="V1270" s="25"/>
      <c r="W1270" s="25"/>
      <c r="X1270" s="25"/>
      <c r="Y1270" s="25"/>
      <c r="Z1270" s="25"/>
      <c r="AA1270" s="25"/>
      <c r="AB1270" s="25"/>
      <c r="AC1270" s="25"/>
      <c r="AD1270" s="25"/>
      <c r="AE1270" s="25"/>
    </row>
    <row r="1271" spans="4:31" x14ac:dyDescent="0.2">
      <c r="D1271" s="25"/>
      <c r="E1271" s="25"/>
      <c r="F1271" s="25"/>
      <c r="G1271" s="25"/>
      <c r="H1271" s="25"/>
      <c r="I1271" s="25"/>
      <c r="J1271" s="25"/>
      <c r="K1271" s="25"/>
      <c r="L1271" s="25"/>
      <c r="M1271" s="25"/>
      <c r="N1271" s="25"/>
      <c r="O1271" s="25"/>
      <c r="P1271" s="25"/>
      <c r="Q1271" s="25"/>
      <c r="R1271" s="25"/>
      <c r="S1271" s="25"/>
      <c r="T1271" s="25"/>
      <c r="U1271" s="25"/>
      <c r="V1271" s="25"/>
      <c r="W1271" s="25"/>
      <c r="X1271" s="25"/>
      <c r="Y1271" s="25"/>
      <c r="Z1271" s="25"/>
      <c r="AA1271" s="25"/>
      <c r="AB1271" s="25"/>
      <c r="AC1271" s="25"/>
      <c r="AD1271" s="25"/>
      <c r="AE1271" s="25"/>
    </row>
    <row r="1272" spans="4:31" x14ac:dyDescent="0.2">
      <c r="D1272" s="25"/>
      <c r="E1272" s="25"/>
      <c r="F1272" s="25"/>
      <c r="G1272" s="25"/>
      <c r="H1272" s="25"/>
      <c r="I1272" s="25"/>
      <c r="J1272" s="25"/>
      <c r="K1272" s="25"/>
      <c r="L1272" s="25"/>
      <c r="M1272" s="25"/>
      <c r="N1272" s="25"/>
      <c r="O1272" s="25"/>
      <c r="P1272" s="25"/>
      <c r="Q1272" s="25"/>
      <c r="R1272" s="25"/>
      <c r="S1272" s="25"/>
      <c r="T1272" s="25"/>
      <c r="U1272" s="25"/>
      <c r="V1272" s="25"/>
      <c r="W1272" s="25"/>
      <c r="X1272" s="25"/>
      <c r="Y1272" s="25"/>
      <c r="Z1272" s="25"/>
      <c r="AA1272" s="25"/>
      <c r="AB1272" s="25"/>
      <c r="AC1272" s="25"/>
      <c r="AD1272" s="25"/>
      <c r="AE1272" s="25"/>
    </row>
    <row r="1273" spans="4:31" x14ac:dyDescent="0.2">
      <c r="D1273" s="25"/>
      <c r="E1273" s="25"/>
      <c r="F1273" s="25"/>
      <c r="G1273" s="25"/>
      <c r="H1273" s="25"/>
      <c r="I1273" s="25"/>
      <c r="J1273" s="25"/>
      <c r="K1273" s="25"/>
      <c r="L1273" s="25"/>
      <c r="M1273" s="25"/>
      <c r="N1273" s="25"/>
      <c r="O1273" s="25"/>
      <c r="P1273" s="25"/>
      <c r="Q1273" s="25"/>
      <c r="R1273" s="25"/>
      <c r="S1273" s="25"/>
      <c r="T1273" s="25"/>
      <c r="U1273" s="25"/>
      <c r="V1273" s="25"/>
      <c r="W1273" s="25"/>
      <c r="X1273" s="25"/>
      <c r="Y1273" s="25"/>
      <c r="Z1273" s="25"/>
      <c r="AA1273" s="25"/>
      <c r="AB1273" s="25"/>
      <c r="AC1273" s="25"/>
      <c r="AD1273" s="25"/>
      <c r="AE1273" s="25"/>
    </row>
    <row r="1274" spans="4:31" x14ac:dyDescent="0.2">
      <c r="D1274" s="25"/>
      <c r="E1274" s="25"/>
      <c r="F1274" s="25"/>
      <c r="G1274" s="25"/>
      <c r="H1274" s="25"/>
      <c r="I1274" s="25"/>
      <c r="J1274" s="25"/>
      <c r="K1274" s="25"/>
      <c r="L1274" s="25"/>
      <c r="M1274" s="25"/>
      <c r="N1274" s="25"/>
      <c r="O1274" s="25"/>
      <c r="P1274" s="25"/>
      <c r="Q1274" s="25"/>
      <c r="R1274" s="25"/>
      <c r="S1274" s="25"/>
      <c r="T1274" s="25"/>
      <c r="U1274" s="25"/>
      <c r="V1274" s="25"/>
      <c r="W1274" s="25"/>
      <c r="X1274" s="25"/>
      <c r="Y1274" s="25"/>
      <c r="Z1274" s="25"/>
      <c r="AA1274" s="25"/>
      <c r="AB1274" s="25"/>
      <c r="AC1274" s="25"/>
      <c r="AD1274" s="25"/>
      <c r="AE1274" s="25"/>
    </row>
    <row r="1275" spans="4:31" x14ac:dyDescent="0.2">
      <c r="D1275" s="25"/>
      <c r="E1275" s="25"/>
      <c r="F1275" s="25"/>
      <c r="G1275" s="25"/>
      <c r="H1275" s="25"/>
      <c r="I1275" s="25"/>
      <c r="J1275" s="25"/>
      <c r="K1275" s="25"/>
      <c r="L1275" s="25"/>
      <c r="M1275" s="25"/>
      <c r="N1275" s="25"/>
      <c r="O1275" s="25"/>
      <c r="P1275" s="25"/>
      <c r="Q1275" s="25"/>
      <c r="R1275" s="25"/>
      <c r="S1275" s="25"/>
      <c r="T1275" s="25"/>
      <c r="U1275" s="25"/>
      <c r="V1275" s="25"/>
      <c r="W1275" s="25"/>
      <c r="X1275" s="25"/>
      <c r="Y1275" s="25"/>
      <c r="Z1275" s="25"/>
      <c r="AA1275" s="25"/>
      <c r="AB1275" s="25"/>
      <c r="AC1275" s="25"/>
      <c r="AD1275" s="25"/>
      <c r="AE1275" s="25"/>
    </row>
    <row r="1276" spans="4:31" x14ac:dyDescent="0.2">
      <c r="D1276" s="25"/>
      <c r="E1276" s="25"/>
      <c r="F1276" s="25"/>
      <c r="G1276" s="25"/>
      <c r="H1276" s="25"/>
      <c r="I1276" s="25"/>
      <c r="J1276" s="25"/>
      <c r="K1276" s="25"/>
      <c r="L1276" s="25"/>
      <c r="M1276" s="25"/>
      <c r="N1276" s="25"/>
      <c r="O1276" s="25"/>
      <c r="P1276" s="25"/>
      <c r="Q1276" s="25"/>
      <c r="R1276" s="25"/>
      <c r="S1276" s="25"/>
      <c r="T1276" s="25"/>
      <c r="U1276" s="25"/>
      <c r="V1276" s="25"/>
      <c r="W1276" s="25"/>
      <c r="X1276" s="25"/>
      <c r="Y1276" s="25"/>
      <c r="Z1276" s="25"/>
      <c r="AA1276" s="25"/>
      <c r="AB1276" s="25"/>
      <c r="AC1276" s="25"/>
      <c r="AD1276" s="25"/>
      <c r="AE1276" s="25"/>
    </row>
    <row r="1277" spans="4:31" x14ac:dyDescent="0.2">
      <c r="D1277" s="25"/>
      <c r="E1277" s="25"/>
      <c r="F1277" s="25"/>
      <c r="G1277" s="25"/>
      <c r="H1277" s="25"/>
      <c r="I1277" s="25"/>
      <c r="J1277" s="25"/>
      <c r="K1277" s="25"/>
      <c r="L1277" s="25"/>
      <c r="M1277" s="25"/>
      <c r="N1277" s="25"/>
      <c r="O1277" s="25"/>
      <c r="P1277" s="25"/>
      <c r="Q1277" s="25"/>
      <c r="R1277" s="25"/>
      <c r="S1277" s="25"/>
      <c r="T1277" s="25"/>
      <c r="U1277" s="25"/>
      <c r="V1277" s="25"/>
      <c r="W1277" s="25"/>
      <c r="X1277" s="25"/>
      <c r="Y1277" s="25"/>
      <c r="Z1277" s="25"/>
      <c r="AA1277" s="25"/>
      <c r="AB1277" s="25"/>
      <c r="AC1277" s="25"/>
      <c r="AD1277" s="25"/>
      <c r="AE1277" s="25"/>
    </row>
    <row r="1278" spans="4:31" x14ac:dyDescent="0.2">
      <c r="D1278" s="25"/>
      <c r="E1278" s="25"/>
      <c r="F1278" s="25"/>
      <c r="G1278" s="25"/>
      <c r="H1278" s="25"/>
      <c r="I1278" s="25"/>
      <c r="J1278" s="25"/>
      <c r="K1278" s="25"/>
      <c r="L1278" s="25"/>
      <c r="M1278" s="25"/>
      <c r="N1278" s="25"/>
      <c r="O1278" s="25"/>
      <c r="P1278" s="25"/>
      <c r="Q1278" s="25"/>
      <c r="R1278" s="25"/>
      <c r="S1278" s="25"/>
      <c r="T1278" s="25"/>
      <c r="U1278" s="25"/>
      <c r="V1278" s="25"/>
      <c r="W1278" s="25"/>
      <c r="X1278" s="25"/>
      <c r="Y1278" s="25"/>
      <c r="Z1278" s="25"/>
      <c r="AA1278" s="25"/>
      <c r="AB1278" s="25"/>
      <c r="AC1278" s="25"/>
      <c r="AD1278" s="25"/>
      <c r="AE1278" s="25"/>
    </row>
    <row r="1279" spans="4:31" x14ac:dyDescent="0.2">
      <c r="D1279" s="25"/>
      <c r="E1279" s="25"/>
      <c r="F1279" s="25"/>
      <c r="G1279" s="25"/>
      <c r="H1279" s="25"/>
      <c r="I1279" s="25"/>
      <c r="J1279" s="25"/>
      <c r="K1279" s="25"/>
      <c r="L1279" s="25"/>
      <c r="M1279" s="25"/>
      <c r="N1279" s="25"/>
      <c r="O1279" s="25"/>
      <c r="P1279" s="25"/>
      <c r="Q1279" s="25"/>
      <c r="R1279" s="25"/>
      <c r="S1279" s="25"/>
      <c r="T1279" s="25"/>
      <c r="U1279" s="25"/>
      <c r="V1279" s="25"/>
      <c r="W1279" s="25"/>
      <c r="X1279" s="25"/>
      <c r="Y1279" s="25"/>
      <c r="Z1279" s="25"/>
      <c r="AA1279" s="25"/>
      <c r="AB1279" s="25"/>
      <c r="AC1279" s="25"/>
      <c r="AD1279" s="25"/>
      <c r="AE1279" s="25"/>
    </row>
    <row r="1280" spans="4:31" x14ac:dyDescent="0.2">
      <c r="D1280" s="25"/>
      <c r="E1280" s="25"/>
      <c r="F1280" s="25"/>
      <c r="G1280" s="25"/>
      <c r="H1280" s="25"/>
      <c r="I1280" s="25"/>
      <c r="J1280" s="25"/>
      <c r="K1280" s="25"/>
      <c r="L1280" s="25"/>
      <c r="M1280" s="25"/>
      <c r="N1280" s="25"/>
      <c r="O1280" s="25"/>
      <c r="P1280" s="25"/>
      <c r="Q1280" s="25"/>
      <c r="R1280" s="25"/>
      <c r="S1280" s="25"/>
      <c r="T1280" s="25"/>
      <c r="U1280" s="25"/>
      <c r="V1280" s="25"/>
      <c r="W1280" s="25"/>
      <c r="X1280" s="25"/>
      <c r="Y1280" s="25"/>
      <c r="Z1280" s="25"/>
      <c r="AA1280" s="25"/>
      <c r="AB1280" s="25"/>
      <c r="AC1280" s="25"/>
      <c r="AD1280" s="25"/>
      <c r="AE1280" s="25"/>
    </row>
    <row r="1281" spans="4:31" x14ac:dyDescent="0.2">
      <c r="D1281" s="25"/>
      <c r="E1281" s="25"/>
      <c r="F1281" s="25"/>
      <c r="G1281" s="25"/>
      <c r="H1281" s="25"/>
      <c r="I1281" s="25"/>
      <c r="J1281" s="25"/>
      <c r="K1281" s="25"/>
      <c r="L1281" s="25"/>
      <c r="M1281" s="25"/>
      <c r="N1281" s="25"/>
      <c r="O1281" s="25"/>
      <c r="P1281" s="25"/>
      <c r="Q1281" s="25"/>
      <c r="R1281" s="25"/>
      <c r="S1281" s="25"/>
      <c r="T1281" s="25"/>
      <c r="U1281" s="25"/>
      <c r="V1281" s="25"/>
      <c r="W1281" s="25"/>
      <c r="X1281" s="25"/>
      <c r="Y1281" s="25"/>
      <c r="Z1281" s="25"/>
      <c r="AA1281" s="25"/>
      <c r="AB1281" s="25"/>
      <c r="AC1281" s="25"/>
      <c r="AD1281" s="25"/>
      <c r="AE1281" s="25"/>
    </row>
    <row r="1282" spans="4:31" x14ac:dyDescent="0.2">
      <c r="D1282" s="25"/>
      <c r="E1282" s="25"/>
      <c r="F1282" s="25"/>
      <c r="G1282" s="25"/>
      <c r="H1282" s="25"/>
      <c r="I1282" s="25"/>
      <c r="J1282" s="25"/>
      <c r="K1282" s="25"/>
      <c r="L1282" s="25"/>
      <c r="M1282" s="25"/>
      <c r="N1282" s="25"/>
      <c r="O1282" s="25"/>
      <c r="P1282" s="25"/>
      <c r="Q1282" s="25"/>
      <c r="R1282" s="25"/>
      <c r="S1282" s="25"/>
      <c r="T1282" s="25"/>
      <c r="U1282" s="25"/>
      <c r="V1282" s="25"/>
      <c r="W1282" s="25"/>
      <c r="X1282" s="25"/>
      <c r="Y1282" s="25"/>
      <c r="Z1282" s="25"/>
      <c r="AA1282" s="25"/>
      <c r="AB1282" s="25"/>
      <c r="AC1282" s="25"/>
      <c r="AD1282" s="25"/>
      <c r="AE1282" s="25"/>
    </row>
    <row r="1283" spans="4:31" x14ac:dyDescent="0.2">
      <c r="D1283" s="25"/>
      <c r="E1283" s="25"/>
      <c r="F1283" s="25"/>
      <c r="G1283" s="25"/>
      <c r="H1283" s="25"/>
      <c r="I1283" s="25"/>
      <c r="J1283" s="25"/>
      <c r="K1283" s="25"/>
      <c r="L1283" s="25"/>
      <c r="M1283" s="25"/>
      <c r="N1283" s="25"/>
      <c r="O1283" s="25"/>
      <c r="P1283" s="25"/>
      <c r="Q1283" s="25"/>
      <c r="R1283" s="25"/>
      <c r="S1283" s="25"/>
      <c r="T1283" s="25"/>
      <c r="U1283" s="25"/>
      <c r="V1283" s="25"/>
      <c r="W1283" s="25"/>
      <c r="X1283" s="25"/>
      <c r="Y1283" s="25"/>
      <c r="Z1283" s="25"/>
      <c r="AA1283" s="25"/>
      <c r="AB1283" s="25"/>
      <c r="AC1283" s="25"/>
      <c r="AD1283" s="25"/>
      <c r="AE1283" s="25"/>
    </row>
    <row r="1284" spans="4:31" x14ac:dyDescent="0.2">
      <c r="D1284" s="25"/>
      <c r="E1284" s="25"/>
      <c r="F1284" s="25"/>
      <c r="G1284" s="25"/>
      <c r="H1284" s="25"/>
      <c r="I1284" s="25"/>
      <c r="J1284" s="25"/>
      <c r="K1284" s="25"/>
      <c r="L1284" s="25"/>
      <c r="M1284" s="25"/>
      <c r="N1284" s="25"/>
      <c r="O1284" s="25"/>
      <c r="P1284" s="25"/>
      <c r="Q1284" s="25"/>
      <c r="R1284" s="25"/>
      <c r="S1284" s="25"/>
      <c r="T1284" s="25"/>
      <c r="U1284" s="25"/>
      <c r="V1284" s="25"/>
      <c r="W1284" s="25"/>
      <c r="X1284" s="25"/>
      <c r="Y1284" s="25"/>
      <c r="Z1284" s="25"/>
      <c r="AA1284" s="25"/>
      <c r="AB1284" s="25"/>
      <c r="AC1284" s="25"/>
      <c r="AD1284" s="25"/>
      <c r="AE1284" s="25"/>
    </row>
    <row r="1285" spans="4:31" x14ac:dyDescent="0.2">
      <c r="D1285" s="25"/>
      <c r="E1285" s="25"/>
      <c r="F1285" s="25"/>
      <c r="G1285" s="25"/>
      <c r="H1285" s="25"/>
      <c r="I1285" s="25"/>
      <c r="J1285" s="25"/>
      <c r="K1285" s="25"/>
      <c r="L1285" s="25"/>
      <c r="M1285" s="25"/>
      <c r="N1285" s="25"/>
      <c r="O1285" s="25"/>
      <c r="P1285" s="25"/>
      <c r="Q1285" s="25"/>
      <c r="R1285" s="25"/>
      <c r="S1285" s="25"/>
      <c r="T1285" s="25"/>
      <c r="U1285" s="25"/>
      <c r="V1285" s="25"/>
      <c r="W1285" s="25"/>
      <c r="X1285" s="25"/>
      <c r="Y1285" s="25"/>
      <c r="Z1285" s="25"/>
      <c r="AA1285" s="25"/>
      <c r="AB1285" s="25"/>
      <c r="AC1285" s="25"/>
      <c r="AD1285" s="25"/>
      <c r="AE1285" s="25"/>
    </row>
    <row r="1286" spans="4:31" x14ac:dyDescent="0.2">
      <c r="D1286" s="25"/>
      <c r="E1286" s="25"/>
      <c r="F1286" s="25"/>
      <c r="G1286" s="25"/>
      <c r="H1286" s="25"/>
      <c r="I1286" s="25"/>
      <c r="J1286" s="25"/>
      <c r="K1286" s="25"/>
      <c r="L1286" s="25"/>
      <c r="M1286" s="25"/>
      <c r="N1286" s="25"/>
      <c r="O1286" s="25"/>
      <c r="P1286" s="25"/>
      <c r="Q1286" s="25"/>
      <c r="R1286" s="25"/>
      <c r="S1286" s="25"/>
      <c r="T1286" s="25"/>
      <c r="U1286" s="25"/>
      <c r="V1286" s="25"/>
      <c r="W1286" s="25"/>
      <c r="X1286" s="25"/>
      <c r="Y1286" s="25"/>
      <c r="Z1286" s="25"/>
      <c r="AA1286" s="25"/>
      <c r="AB1286" s="25"/>
      <c r="AC1286" s="25"/>
      <c r="AD1286" s="25"/>
      <c r="AE1286" s="25"/>
    </row>
    <row r="1287" spans="4:31" x14ac:dyDescent="0.2">
      <c r="D1287" s="25"/>
      <c r="E1287" s="25"/>
      <c r="F1287" s="25"/>
      <c r="G1287" s="25"/>
      <c r="H1287" s="25"/>
      <c r="I1287" s="25"/>
      <c r="J1287" s="25"/>
      <c r="K1287" s="25"/>
      <c r="L1287" s="25"/>
      <c r="M1287" s="25"/>
      <c r="N1287" s="25"/>
      <c r="O1287" s="25"/>
      <c r="P1287" s="25"/>
      <c r="Q1287" s="25"/>
      <c r="R1287" s="25"/>
      <c r="S1287" s="25"/>
      <c r="T1287" s="25"/>
      <c r="U1287" s="25"/>
      <c r="V1287" s="25"/>
      <c r="W1287" s="25"/>
      <c r="X1287" s="25"/>
      <c r="Y1287" s="25"/>
      <c r="Z1287" s="25"/>
      <c r="AA1287" s="25"/>
      <c r="AB1287" s="25"/>
      <c r="AC1287" s="25"/>
      <c r="AD1287" s="25"/>
      <c r="AE1287" s="25"/>
    </row>
    <row r="1288" spans="4:31" x14ac:dyDescent="0.2">
      <c r="D1288" s="25"/>
      <c r="E1288" s="25"/>
      <c r="F1288" s="25"/>
      <c r="G1288" s="25"/>
      <c r="H1288" s="25"/>
      <c r="I1288" s="25"/>
      <c r="J1288" s="25"/>
      <c r="K1288" s="25"/>
      <c r="L1288" s="25"/>
      <c r="M1288" s="25"/>
      <c r="N1288" s="25"/>
      <c r="O1288" s="25"/>
      <c r="P1288" s="25"/>
      <c r="Q1288" s="25"/>
      <c r="R1288" s="25"/>
      <c r="S1288" s="25"/>
      <c r="T1288" s="25"/>
      <c r="U1288" s="25"/>
      <c r="V1288" s="25"/>
      <c r="W1288" s="25"/>
      <c r="X1288" s="25"/>
      <c r="Y1288" s="25"/>
      <c r="Z1288" s="25"/>
      <c r="AA1288" s="25"/>
      <c r="AB1288" s="25"/>
      <c r="AC1288" s="25"/>
      <c r="AD1288" s="25"/>
      <c r="AE1288" s="25"/>
    </row>
    <row r="1289" spans="4:31" x14ac:dyDescent="0.2">
      <c r="D1289" s="25"/>
      <c r="E1289" s="25"/>
      <c r="F1289" s="25"/>
      <c r="G1289" s="25"/>
      <c r="H1289" s="25"/>
      <c r="I1289" s="25"/>
      <c r="J1289" s="25"/>
      <c r="K1289" s="25"/>
      <c r="L1289" s="25"/>
      <c r="M1289" s="25"/>
      <c r="N1289" s="25"/>
      <c r="O1289" s="25"/>
      <c r="P1289" s="25"/>
      <c r="Q1289" s="25"/>
      <c r="R1289" s="25"/>
      <c r="S1289" s="25"/>
      <c r="T1289" s="25"/>
      <c r="U1289" s="25"/>
      <c r="V1289" s="25"/>
      <c r="W1289" s="25"/>
      <c r="X1289" s="25"/>
      <c r="Y1289" s="25"/>
      <c r="Z1289" s="25"/>
      <c r="AA1289" s="25"/>
      <c r="AB1289" s="25"/>
      <c r="AC1289" s="25"/>
      <c r="AD1289" s="25"/>
      <c r="AE1289" s="25"/>
    </row>
    <row r="1290" spans="4:31" x14ac:dyDescent="0.2">
      <c r="D1290" s="25"/>
      <c r="E1290" s="25"/>
      <c r="F1290" s="25"/>
      <c r="G1290" s="25"/>
      <c r="H1290" s="25"/>
      <c r="I1290" s="25"/>
      <c r="J1290" s="25"/>
      <c r="K1290" s="25"/>
      <c r="L1290" s="25"/>
      <c r="M1290" s="25"/>
      <c r="N1290" s="25"/>
      <c r="O1290" s="25"/>
      <c r="P1290" s="25"/>
      <c r="Q1290" s="25"/>
      <c r="R1290" s="25"/>
      <c r="S1290" s="25"/>
      <c r="T1290" s="25"/>
      <c r="U1290" s="25"/>
      <c r="V1290" s="25"/>
      <c r="W1290" s="25"/>
      <c r="X1290" s="25"/>
      <c r="Y1290" s="25"/>
      <c r="Z1290" s="25"/>
      <c r="AA1290" s="25"/>
      <c r="AB1290" s="25"/>
      <c r="AC1290" s="25"/>
      <c r="AD1290" s="25"/>
      <c r="AE1290" s="25"/>
    </row>
    <row r="1291" spans="4:31" x14ac:dyDescent="0.2">
      <c r="D1291" s="25"/>
      <c r="E1291" s="25"/>
      <c r="F1291" s="25"/>
      <c r="G1291" s="25"/>
      <c r="H1291" s="25"/>
      <c r="I1291" s="25"/>
      <c r="J1291" s="25"/>
      <c r="K1291" s="25"/>
      <c r="L1291" s="25"/>
      <c r="M1291" s="25"/>
      <c r="N1291" s="25"/>
      <c r="O1291" s="25"/>
      <c r="P1291" s="25"/>
      <c r="Q1291" s="25"/>
      <c r="R1291" s="25"/>
      <c r="S1291" s="25"/>
      <c r="T1291" s="25"/>
      <c r="U1291" s="25"/>
      <c r="V1291" s="25"/>
      <c r="W1291" s="25"/>
      <c r="X1291" s="25"/>
      <c r="Y1291" s="25"/>
      <c r="Z1291" s="25"/>
      <c r="AA1291" s="25"/>
      <c r="AB1291" s="25"/>
      <c r="AC1291" s="25"/>
      <c r="AD1291" s="25"/>
      <c r="AE1291" s="25"/>
    </row>
    <row r="1292" spans="4:31" x14ac:dyDescent="0.2">
      <c r="D1292" s="25"/>
      <c r="E1292" s="25"/>
      <c r="F1292" s="25"/>
      <c r="G1292" s="25"/>
      <c r="H1292" s="25"/>
      <c r="I1292" s="25"/>
      <c r="J1292" s="25"/>
      <c r="K1292" s="25"/>
      <c r="L1292" s="25"/>
      <c r="M1292" s="25"/>
      <c r="N1292" s="25"/>
      <c r="O1292" s="25"/>
      <c r="P1292" s="25"/>
      <c r="Q1292" s="25"/>
      <c r="R1292" s="25"/>
      <c r="S1292" s="25"/>
      <c r="T1292" s="25"/>
      <c r="U1292" s="25"/>
      <c r="V1292" s="25"/>
      <c r="W1292" s="25"/>
      <c r="X1292" s="25"/>
      <c r="Y1292" s="25"/>
      <c r="Z1292" s="25"/>
      <c r="AA1292" s="25"/>
      <c r="AB1292" s="25"/>
      <c r="AC1292" s="25"/>
      <c r="AD1292" s="25"/>
      <c r="AE1292" s="25"/>
    </row>
    <row r="1293" spans="4:31" x14ac:dyDescent="0.2">
      <c r="D1293" s="25"/>
      <c r="E1293" s="25"/>
      <c r="F1293" s="25"/>
      <c r="G1293" s="25"/>
      <c r="H1293" s="25"/>
      <c r="I1293" s="25"/>
      <c r="J1293" s="25"/>
      <c r="K1293" s="25"/>
      <c r="L1293" s="25"/>
      <c r="M1293" s="25"/>
      <c r="N1293" s="25"/>
      <c r="O1293" s="25"/>
      <c r="P1293" s="25"/>
      <c r="Q1293" s="25"/>
      <c r="R1293" s="25"/>
      <c r="S1293" s="25"/>
      <c r="T1293" s="25"/>
      <c r="U1293" s="25"/>
      <c r="V1293" s="25"/>
      <c r="W1293" s="25"/>
      <c r="X1293" s="25"/>
      <c r="Y1293" s="25"/>
      <c r="Z1293" s="25"/>
      <c r="AA1293" s="25"/>
      <c r="AB1293" s="25"/>
      <c r="AC1293" s="25"/>
      <c r="AD1293" s="25"/>
      <c r="AE1293" s="25"/>
    </row>
    <row r="1294" spans="4:31" x14ac:dyDescent="0.2">
      <c r="D1294" s="25"/>
      <c r="E1294" s="25"/>
      <c r="F1294" s="25"/>
      <c r="G1294" s="25"/>
      <c r="H1294" s="25"/>
      <c r="I1294" s="25"/>
      <c r="J1294" s="25"/>
      <c r="K1294" s="25"/>
      <c r="L1294" s="25"/>
      <c r="M1294" s="25"/>
      <c r="N1294" s="25"/>
      <c r="O1294" s="25"/>
      <c r="P1294" s="25"/>
      <c r="Q1294" s="25"/>
      <c r="R1294" s="25"/>
      <c r="S1294" s="25"/>
      <c r="T1294" s="25"/>
      <c r="U1294" s="25"/>
      <c r="V1294" s="25"/>
      <c r="W1294" s="25"/>
      <c r="X1294" s="25"/>
      <c r="Y1294" s="25"/>
      <c r="Z1294" s="25"/>
      <c r="AA1294" s="25"/>
      <c r="AB1294" s="25"/>
      <c r="AC1294" s="25"/>
      <c r="AD1294" s="25"/>
      <c r="AE1294" s="25"/>
    </row>
    <row r="1295" spans="4:31" x14ac:dyDescent="0.2">
      <c r="D1295" s="25"/>
      <c r="E1295" s="25"/>
      <c r="F1295" s="25"/>
      <c r="G1295" s="25"/>
      <c r="H1295" s="25"/>
      <c r="I1295" s="25"/>
      <c r="J1295" s="25"/>
      <c r="K1295" s="25"/>
      <c r="L1295" s="25"/>
      <c r="M1295" s="25"/>
      <c r="N1295" s="25"/>
      <c r="O1295" s="25"/>
      <c r="P1295" s="25"/>
      <c r="Q1295" s="25"/>
      <c r="R1295" s="25"/>
      <c r="S1295" s="25"/>
      <c r="T1295" s="25"/>
      <c r="U1295" s="25"/>
      <c r="V1295" s="25"/>
      <c r="W1295" s="25"/>
      <c r="X1295" s="25"/>
      <c r="Y1295" s="25"/>
      <c r="Z1295" s="25"/>
      <c r="AA1295" s="25"/>
      <c r="AB1295" s="25"/>
      <c r="AC1295" s="25"/>
      <c r="AD1295" s="25"/>
      <c r="AE1295" s="25"/>
    </row>
    <row r="1296" spans="4:31" x14ac:dyDescent="0.2">
      <c r="D1296" s="25"/>
      <c r="E1296" s="25"/>
      <c r="F1296" s="25"/>
      <c r="G1296" s="25"/>
      <c r="H1296" s="25"/>
      <c r="I1296" s="25"/>
      <c r="J1296" s="25"/>
      <c r="K1296" s="25"/>
      <c r="L1296" s="25"/>
      <c r="M1296" s="25"/>
      <c r="N1296" s="25"/>
      <c r="O1296" s="25"/>
      <c r="P1296" s="25"/>
      <c r="Q1296" s="25"/>
      <c r="R1296" s="25"/>
      <c r="S1296" s="25"/>
      <c r="T1296" s="25"/>
      <c r="U1296" s="25"/>
      <c r="V1296" s="25"/>
      <c r="W1296" s="25"/>
      <c r="X1296" s="25"/>
      <c r="Y1296" s="25"/>
      <c r="Z1296" s="25"/>
      <c r="AA1296" s="25"/>
      <c r="AB1296" s="25"/>
      <c r="AC1296" s="25"/>
      <c r="AD1296" s="25"/>
      <c r="AE1296" s="25"/>
    </row>
    <row r="1297" spans="4:31" x14ac:dyDescent="0.2">
      <c r="D1297" s="25"/>
      <c r="E1297" s="25"/>
      <c r="F1297" s="25"/>
      <c r="G1297" s="25"/>
      <c r="H1297" s="25"/>
      <c r="I1297" s="25"/>
      <c r="J1297" s="25"/>
      <c r="K1297" s="25"/>
      <c r="L1297" s="25"/>
      <c r="M1297" s="25"/>
      <c r="N1297" s="25"/>
      <c r="O1297" s="25"/>
      <c r="P1297" s="25"/>
      <c r="Q1297" s="25"/>
      <c r="R1297" s="25"/>
      <c r="S1297" s="25"/>
      <c r="T1297" s="25"/>
      <c r="U1297" s="25"/>
      <c r="V1297" s="25"/>
      <c r="W1297" s="25"/>
      <c r="X1297" s="25"/>
      <c r="Y1297" s="25"/>
      <c r="Z1297" s="25"/>
      <c r="AA1297" s="25"/>
      <c r="AB1297" s="25"/>
      <c r="AC1297" s="25"/>
      <c r="AD1297" s="25"/>
      <c r="AE1297" s="25"/>
    </row>
    <row r="1298" spans="4:31" x14ac:dyDescent="0.2">
      <c r="D1298" s="25"/>
      <c r="E1298" s="25"/>
      <c r="F1298" s="25"/>
      <c r="G1298" s="25"/>
      <c r="H1298" s="25"/>
      <c r="I1298" s="25"/>
      <c r="J1298" s="25"/>
      <c r="K1298" s="25"/>
      <c r="L1298" s="25"/>
      <c r="M1298" s="25"/>
      <c r="N1298" s="25"/>
      <c r="O1298" s="25"/>
      <c r="P1298" s="25"/>
      <c r="Q1298" s="25"/>
      <c r="R1298" s="25"/>
      <c r="S1298" s="25"/>
      <c r="T1298" s="25"/>
      <c r="U1298" s="25"/>
      <c r="V1298" s="25"/>
      <c r="W1298" s="25"/>
      <c r="X1298" s="25"/>
      <c r="Y1298" s="25"/>
      <c r="Z1298" s="25"/>
      <c r="AA1298" s="25"/>
      <c r="AB1298" s="25"/>
      <c r="AC1298" s="25"/>
      <c r="AD1298" s="25"/>
      <c r="AE1298" s="25"/>
    </row>
    <row r="1299" spans="4:31" x14ac:dyDescent="0.2">
      <c r="D1299" s="25"/>
      <c r="E1299" s="25"/>
      <c r="F1299" s="25"/>
      <c r="G1299" s="25"/>
      <c r="H1299" s="25"/>
      <c r="I1299" s="25"/>
      <c r="J1299" s="25"/>
      <c r="K1299" s="25"/>
      <c r="L1299" s="25"/>
      <c r="M1299" s="25"/>
      <c r="N1299" s="25"/>
      <c r="O1299" s="25"/>
      <c r="P1299" s="25"/>
      <c r="Q1299" s="25"/>
      <c r="R1299" s="25"/>
      <c r="S1299" s="25"/>
      <c r="T1299" s="25"/>
      <c r="U1299" s="25"/>
      <c r="V1299" s="25"/>
      <c r="W1299" s="25"/>
      <c r="X1299" s="25"/>
      <c r="Y1299" s="25"/>
      <c r="Z1299" s="25"/>
      <c r="AA1299" s="25"/>
      <c r="AB1299" s="25"/>
      <c r="AC1299" s="25"/>
      <c r="AD1299" s="25"/>
      <c r="AE1299" s="25"/>
    </row>
    <row r="1300" spans="4:31" x14ac:dyDescent="0.2">
      <c r="D1300" s="25"/>
      <c r="E1300" s="25"/>
      <c r="F1300" s="25"/>
      <c r="G1300" s="25"/>
      <c r="H1300" s="25"/>
      <c r="I1300" s="25"/>
      <c r="J1300" s="25"/>
      <c r="K1300" s="25"/>
      <c r="L1300" s="25"/>
      <c r="M1300" s="25"/>
      <c r="N1300" s="25"/>
      <c r="O1300" s="25"/>
      <c r="P1300" s="25"/>
      <c r="Q1300" s="25"/>
      <c r="R1300" s="25"/>
      <c r="S1300" s="25"/>
      <c r="T1300" s="25"/>
      <c r="U1300" s="25"/>
      <c r="V1300" s="25"/>
      <c r="W1300" s="25"/>
      <c r="X1300" s="25"/>
      <c r="Y1300" s="25"/>
      <c r="Z1300" s="25"/>
      <c r="AA1300" s="25"/>
      <c r="AB1300" s="25"/>
      <c r="AC1300" s="25"/>
      <c r="AD1300" s="25"/>
      <c r="AE1300" s="25"/>
    </row>
    <row r="1301" spans="4:31" x14ac:dyDescent="0.2">
      <c r="D1301" s="25"/>
      <c r="E1301" s="25"/>
      <c r="F1301" s="25"/>
      <c r="G1301" s="25"/>
      <c r="H1301" s="25"/>
      <c r="I1301" s="25"/>
      <c r="J1301" s="25"/>
      <c r="K1301" s="25"/>
      <c r="L1301" s="25"/>
      <c r="M1301" s="25"/>
      <c r="N1301" s="25"/>
      <c r="O1301" s="25"/>
      <c r="P1301" s="25"/>
      <c r="Q1301" s="25"/>
      <c r="R1301" s="25"/>
      <c r="S1301" s="25"/>
      <c r="T1301" s="25"/>
      <c r="U1301" s="25"/>
      <c r="V1301" s="25"/>
      <c r="W1301" s="25"/>
      <c r="X1301" s="25"/>
      <c r="Y1301" s="25"/>
      <c r="Z1301" s="25"/>
      <c r="AA1301" s="25"/>
      <c r="AB1301" s="25"/>
      <c r="AC1301" s="25"/>
      <c r="AD1301" s="25"/>
      <c r="AE1301" s="25"/>
    </row>
    <row r="1302" spans="4:31" x14ac:dyDescent="0.2">
      <c r="D1302" s="25"/>
      <c r="E1302" s="25"/>
      <c r="F1302" s="25"/>
      <c r="G1302" s="25"/>
      <c r="H1302" s="25"/>
      <c r="I1302" s="25"/>
      <c r="J1302" s="25"/>
      <c r="K1302" s="25"/>
      <c r="L1302" s="25"/>
      <c r="M1302" s="25"/>
      <c r="N1302" s="25"/>
      <c r="O1302" s="25"/>
      <c r="P1302" s="25"/>
      <c r="Q1302" s="25"/>
      <c r="R1302" s="25"/>
      <c r="S1302" s="25"/>
      <c r="T1302" s="25"/>
      <c r="U1302" s="25"/>
      <c r="V1302" s="25"/>
      <c r="W1302" s="25"/>
      <c r="X1302" s="25"/>
      <c r="Y1302" s="25"/>
      <c r="Z1302" s="25"/>
      <c r="AA1302" s="25"/>
      <c r="AB1302" s="25"/>
      <c r="AC1302" s="25"/>
      <c r="AD1302" s="25"/>
      <c r="AE1302" s="25"/>
    </row>
    <row r="1303" spans="4:31" x14ac:dyDescent="0.2">
      <c r="D1303" s="25"/>
      <c r="E1303" s="25"/>
      <c r="F1303" s="25"/>
      <c r="G1303" s="25"/>
      <c r="H1303" s="25"/>
      <c r="I1303" s="25"/>
      <c r="J1303" s="25"/>
      <c r="K1303" s="25"/>
      <c r="L1303" s="25"/>
      <c r="M1303" s="25"/>
      <c r="N1303" s="25"/>
      <c r="O1303" s="25"/>
      <c r="P1303" s="25"/>
      <c r="Q1303" s="25"/>
      <c r="R1303" s="25"/>
      <c r="S1303" s="25"/>
      <c r="T1303" s="25"/>
      <c r="U1303" s="25"/>
      <c r="V1303" s="25"/>
      <c r="W1303" s="25"/>
      <c r="X1303" s="25"/>
      <c r="Y1303" s="25"/>
      <c r="Z1303" s="25"/>
      <c r="AA1303" s="25"/>
      <c r="AB1303" s="25"/>
      <c r="AC1303" s="25"/>
      <c r="AD1303" s="25"/>
      <c r="AE1303" s="25"/>
    </row>
    <row r="1304" spans="4:31" x14ac:dyDescent="0.2">
      <c r="D1304" s="25"/>
      <c r="E1304" s="25"/>
      <c r="F1304" s="25"/>
      <c r="G1304" s="25"/>
      <c r="H1304" s="25"/>
      <c r="I1304" s="25"/>
      <c r="J1304" s="25"/>
      <c r="K1304" s="25"/>
      <c r="L1304" s="25"/>
      <c r="M1304" s="25"/>
      <c r="N1304" s="25"/>
      <c r="O1304" s="25"/>
      <c r="P1304" s="25"/>
      <c r="Q1304" s="25"/>
      <c r="R1304" s="25"/>
      <c r="S1304" s="25"/>
      <c r="T1304" s="25"/>
      <c r="U1304" s="25"/>
      <c r="V1304" s="25"/>
      <c r="W1304" s="25"/>
      <c r="X1304" s="25"/>
      <c r="Y1304" s="25"/>
      <c r="Z1304" s="25"/>
      <c r="AA1304" s="25"/>
      <c r="AB1304" s="25"/>
      <c r="AC1304" s="25"/>
      <c r="AD1304" s="25"/>
      <c r="AE1304" s="25"/>
    </row>
    <row r="1305" spans="4:31" x14ac:dyDescent="0.2">
      <c r="D1305" s="25"/>
      <c r="E1305" s="25"/>
      <c r="F1305" s="25"/>
      <c r="G1305" s="25"/>
      <c r="H1305" s="25"/>
      <c r="I1305" s="25"/>
      <c r="J1305" s="25"/>
      <c r="K1305" s="25"/>
      <c r="L1305" s="25"/>
      <c r="M1305" s="25"/>
      <c r="N1305" s="25"/>
      <c r="O1305" s="25"/>
      <c r="P1305" s="25"/>
      <c r="Q1305" s="25"/>
      <c r="R1305" s="25"/>
      <c r="S1305" s="25"/>
      <c r="T1305" s="25"/>
      <c r="U1305" s="25"/>
      <c r="V1305" s="25"/>
      <c r="W1305" s="25"/>
      <c r="X1305" s="25"/>
      <c r="Y1305" s="25"/>
      <c r="Z1305" s="25"/>
      <c r="AA1305" s="25"/>
      <c r="AB1305" s="25"/>
      <c r="AC1305" s="25"/>
      <c r="AD1305" s="25"/>
      <c r="AE1305" s="25"/>
    </row>
    <row r="1306" spans="4:31" x14ac:dyDescent="0.2">
      <c r="D1306" s="25"/>
      <c r="E1306" s="25"/>
      <c r="F1306" s="25"/>
      <c r="G1306" s="25"/>
      <c r="H1306" s="25"/>
      <c r="I1306" s="25"/>
      <c r="J1306" s="25"/>
      <c r="K1306" s="25"/>
      <c r="L1306" s="25"/>
      <c r="M1306" s="25"/>
      <c r="N1306" s="25"/>
      <c r="O1306" s="25"/>
      <c r="P1306" s="25"/>
      <c r="Q1306" s="25"/>
      <c r="R1306" s="25"/>
      <c r="S1306" s="25"/>
      <c r="T1306" s="25"/>
      <c r="U1306" s="25"/>
      <c r="V1306" s="25"/>
      <c r="W1306" s="25"/>
      <c r="X1306" s="25"/>
      <c r="Y1306" s="25"/>
      <c r="Z1306" s="25"/>
      <c r="AA1306" s="25"/>
      <c r="AB1306" s="25"/>
      <c r="AC1306" s="25"/>
      <c r="AD1306" s="25"/>
      <c r="AE1306" s="25"/>
    </row>
    <row r="1307" spans="4:31" x14ac:dyDescent="0.2">
      <c r="D1307" s="25"/>
      <c r="E1307" s="25"/>
      <c r="F1307" s="25"/>
      <c r="G1307" s="25"/>
      <c r="H1307" s="25"/>
      <c r="I1307" s="25"/>
      <c r="J1307" s="25"/>
      <c r="K1307" s="25"/>
      <c r="L1307" s="25"/>
      <c r="M1307" s="25"/>
      <c r="N1307" s="25"/>
      <c r="O1307" s="25"/>
      <c r="P1307" s="25"/>
      <c r="Q1307" s="25"/>
      <c r="R1307" s="25"/>
      <c r="S1307" s="25"/>
      <c r="T1307" s="25"/>
      <c r="U1307" s="25"/>
      <c r="V1307" s="25"/>
      <c r="W1307" s="25"/>
      <c r="X1307" s="25"/>
      <c r="Y1307" s="25"/>
      <c r="Z1307" s="25"/>
      <c r="AA1307" s="25"/>
      <c r="AB1307" s="25"/>
      <c r="AC1307" s="25"/>
      <c r="AD1307" s="25"/>
      <c r="AE1307" s="25"/>
    </row>
    <row r="1308" spans="4:31" x14ac:dyDescent="0.2">
      <c r="D1308" s="25"/>
      <c r="E1308" s="25"/>
      <c r="F1308" s="25"/>
      <c r="G1308" s="25"/>
      <c r="H1308" s="25"/>
      <c r="I1308" s="25"/>
      <c r="J1308" s="25"/>
      <c r="K1308" s="25"/>
      <c r="L1308" s="25"/>
      <c r="M1308" s="25"/>
      <c r="N1308" s="25"/>
      <c r="O1308" s="25"/>
      <c r="P1308" s="25"/>
      <c r="Q1308" s="25"/>
      <c r="R1308" s="25"/>
      <c r="S1308" s="25"/>
      <c r="T1308" s="25"/>
      <c r="U1308" s="25"/>
      <c r="V1308" s="25"/>
      <c r="W1308" s="25"/>
      <c r="X1308" s="25"/>
      <c r="Y1308" s="25"/>
      <c r="Z1308" s="25"/>
      <c r="AA1308" s="25"/>
      <c r="AB1308" s="25"/>
      <c r="AC1308" s="25"/>
      <c r="AD1308" s="25"/>
      <c r="AE1308" s="25"/>
    </row>
    <row r="1309" spans="4:31" x14ac:dyDescent="0.2">
      <c r="D1309" s="25"/>
      <c r="E1309" s="25"/>
      <c r="F1309" s="25"/>
      <c r="G1309" s="25"/>
      <c r="H1309" s="25"/>
      <c r="I1309" s="25"/>
      <c r="J1309" s="25"/>
      <c r="K1309" s="25"/>
      <c r="L1309" s="25"/>
      <c r="M1309" s="25"/>
      <c r="N1309" s="25"/>
      <c r="O1309" s="25"/>
      <c r="P1309" s="25"/>
      <c r="Q1309" s="25"/>
      <c r="R1309" s="25"/>
      <c r="S1309" s="25"/>
      <c r="T1309" s="25"/>
      <c r="U1309" s="25"/>
      <c r="V1309" s="25"/>
      <c r="W1309" s="25"/>
      <c r="X1309" s="25"/>
      <c r="Y1309" s="25"/>
      <c r="Z1309" s="25"/>
      <c r="AA1309" s="25"/>
      <c r="AB1309" s="25"/>
      <c r="AC1309" s="25"/>
      <c r="AD1309" s="25"/>
      <c r="AE1309" s="25"/>
    </row>
    <row r="1310" spans="4:31" x14ac:dyDescent="0.2">
      <c r="D1310" s="25"/>
      <c r="E1310" s="25"/>
      <c r="F1310" s="25"/>
      <c r="G1310" s="25"/>
      <c r="H1310" s="25"/>
      <c r="I1310" s="25"/>
      <c r="J1310" s="25"/>
      <c r="K1310" s="25"/>
      <c r="L1310" s="25"/>
      <c r="M1310" s="25"/>
      <c r="N1310" s="25"/>
      <c r="O1310" s="25"/>
      <c r="P1310" s="25"/>
      <c r="Q1310" s="25"/>
      <c r="R1310" s="25"/>
      <c r="S1310" s="25"/>
      <c r="T1310" s="25"/>
      <c r="U1310" s="25"/>
      <c r="V1310" s="25"/>
      <c r="W1310" s="25"/>
      <c r="X1310" s="25"/>
      <c r="Y1310" s="25"/>
      <c r="Z1310" s="25"/>
      <c r="AA1310" s="25"/>
      <c r="AB1310" s="25"/>
      <c r="AC1310" s="25"/>
      <c r="AD1310" s="25"/>
      <c r="AE1310" s="25"/>
    </row>
    <row r="1311" spans="4:31" x14ac:dyDescent="0.2">
      <c r="D1311" s="25"/>
      <c r="E1311" s="25"/>
      <c r="F1311" s="25"/>
      <c r="G1311" s="25"/>
      <c r="H1311" s="25"/>
      <c r="I1311" s="25"/>
      <c r="J1311" s="25"/>
      <c r="K1311" s="25"/>
      <c r="L1311" s="25"/>
      <c r="M1311" s="25"/>
      <c r="N1311" s="25"/>
      <c r="O1311" s="25"/>
      <c r="P1311" s="25"/>
      <c r="Q1311" s="25"/>
      <c r="R1311" s="25"/>
      <c r="S1311" s="25"/>
      <c r="T1311" s="25"/>
      <c r="U1311" s="25"/>
      <c r="V1311" s="25"/>
      <c r="W1311" s="25"/>
      <c r="X1311" s="25"/>
      <c r="Y1311" s="25"/>
      <c r="Z1311" s="25"/>
      <c r="AA1311" s="25"/>
      <c r="AB1311" s="25"/>
      <c r="AC1311" s="25"/>
      <c r="AD1311" s="25"/>
      <c r="AE1311" s="25"/>
    </row>
    <row r="1312" spans="4:31" x14ac:dyDescent="0.2">
      <c r="D1312" s="25"/>
      <c r="E1312" s="25"/>
      <c r="F1312" s="25"/>
      <c r="G1312" s="25"/>
      <c r="H1312" s="25"/>
      <c r="I1312" s="25"/>
      <c r="J1312" s="25"/>
      <c r="K1312" s="25"/>
      <c r="L1312" s="25"/>
      <c r="M1312" s="25"/>
      <c r="N1312" s="25"/>
      <c r="O1312" s="25"/>
      <c r="P1312" s="25"/>
      <c r="Q1312" s="25"/>
      <c r="R1312" s="25"/>
      <c r="S1312" s="25"/>
      <c r="T1312" s="25"/>
      <c r="U1312" s="25"/>
      <c r="V1312" s="25"/>
      <c r="W1312" s="25"/>
      <c r="X1312" s="25"/>
      <c r="Y1312" s="25"/>
      <c r="Z1312" s="25"/>
      <c r="AA1312" s="25"/>
      <c r="AB1312" s="25"/>
      <c r="AC1312" s="25"/>
      <c r="AD1312" s="25"/>
      <c r="AE1312" s="25"/>
    </row>
    <row r="1313" spans="4:31" x14ac:dyDescent="0.2">
      <c r="D1313" s="25"/>
      <c r="E1313" s="25"/>
      <c r="F1313" s="25"/>
      <c r="G1313" s="25"/>
      <c r="H1313" s="25"/>
      <c r="I1313" s="25"/>
      <c r="J1313" s="25"/>
      <c r="K1313" s="25"/>
      <c r="L1313" s="25"/>
      <c r="M1313" s="25"/>
      <c r="N1313" s="25"/>
      <c r="O1313" s="25"/>
      <c r="P1313" s="25"/>
      <c r="Q1313" s="25"/>
      <c r="R1313" s="25"/>
      <c r="S1313" s="25"/>
      <c r="T1313" s="25"/>
      <c r="U1313" s="25"/>
      <c r="V1313" s="25"/>
      <c r="W1313" s="25"/>
      <c r="X1313" s="25"/>
      <c r="Y1313" s="25"/>
      <c r="Z1313" s="25"/>
      <c r="AA1313" s="25"/>
      <c r="AB1313" s="25"/>
      <c r="AC1313" s="25"/>
      <c r="AD1313" s="25"/>
      <c r="AE1313" s="25"/>
    </row>
    <row r="1314" spans="4:31" x14ac:dyDescent="0.2">
      <c r="D1314" s="25"/>
      <c r="E1314" s="25"/>
      <c r="F1314" s="25"/>
      <c r="G1314" s="25"/>
      <c r="H1314" s="25"/>
      <c r="I1314" s="25"/>
      <c r="J1314" s="25"/>
      <c r="K1314" s="25"/>
      <c r="L1314" s="25"/>
      <c r="M1314" s="25"/>
      <c r="N1314" s="25"/>
      <c r="O1314" s="25"/>
      <c r="P1314" s="25"/>
      <c r="Q1314" s="25"/>
      <c r="R1314" s="25"/>
      <c r="S1314" s="25"/>
      <c r="T1314" s="25"/>
      <c r="U1314" s="25"/>
      <c r="V1314" s="25"/>
      <c r="W1314" s="25"/>
      <c r="X1314" s="25"/>
      <c r="Y1314" s="25"/>
      <c r="Z1314" s="25"/>
      <c r="AA1314" s="25"/>
      <c r="AB1314" s="25"/>
      <c r="AC1314" s="25"/>
      <c r="AD1314" s="25"/>
      <c r="AE1314" s="25"/>
    </row>
    <row r="1315" spans="4:31" x14ac:dyDescent="0.2">
      <c r="D1315" s="25"/>
      <c r="E1315" s="25"/>
      <c r="F1315" s="25"/>
      <c r="G1315" s="25"/>
      <c r="H1315" s="25"/>
      <c r="I1315" s="25"/>
      <c r="J1315" s="25"/>
      <c r="K1315" s="25"/>
      <c r="L1315" s="25"/>
      <c r="M1315" s="25"/>
      <c r="N1315" s="25"/>
      <c r="O1315" s="25"/>
      <c r="P1315" s="25"/>
      <c r="Q1315" s="25"/>
      <c r="R1315" s="25"/>
      <c r="S1315" s="25"/>
      <c r="T1315" s="25"/>
      <c r="U1315" s="25"/>
      <c r="V1315" s="25"/>
      <c r="W1315" s="25"/>
      <c r="X1315" s="25"/>
      <c r="Y1315" s="25"/>
      <c r="Z1315" s="25"/>
      <c r="AA1315" s="25"/>
      <c r="AB1315" s="25"/>
      <c r="AC1315" s="25"/>
      <c r="AD1315" s="25"/>
      <c r="AE1315" s="25"/>
    </row>
    <row r="1316" spans="4:31" x14ac:dyDescent="0.2">
      <c r="D1316" s="25"/>
      <c r="E1316" s="25"/>
      <c r="F1316" s="25"/>
      <c r="G1316" s="25"/>
      <c r="H1316" s="25"/>
      <c r="I1316" s="25"/>
      <c r="J1316" s="25"/>
      <c r="K1316" s="25"/>
      <c r="L1316" s="25"/>
      <c r="M1316" s="25"/>
      <c r="N1316" s="25"/>
      <c r="O1316" s="25"/>
      <c r="P1316" s="25"/>
      <c r="Q1316" s="25"/>
      <c r="R1316" s="25"/>
      <c r="S1316" s="25"/>
      <c r="T1316" s="25"/>
      <c r="U1316" s="25"/>
      <c r="V1316" s="25"/>
      <c r="W1316" s="25"/>
      <c r="X1316" s="25"/>
      <c r="Y1316" s="25"/>
      <c r="Z1316" s="25"/>
      <c r="AA1316" s="25"/>
      <c r="AB1316" s="25"/>
      <c r="AC1316" s="25"/>
      <c r="AD1316" s="25"/>
      <c r="AE1316" s="25"/>
    </row>
    <row r="1317" spans="4:31" x14ac:dyDescent="0.2">
      <c r="D1317" s="25"/>
      <c r="E1317" s="25"/>
      <c r="F1317" s="25"/>
      <c r="G1317" s="25"/>
      <c r="H1317" s="25"/>
      <c r="I1317" s="25"/>
      <c r="J1317" s="25"/>
      <c r="K1317" s="25"/>
      <c r="L1317" s="25"/>
      <c r="M1317" s="25"/>
      <c r="N1317" s="25"/>
      <c r="O1317" s="25"/>
      <c r="P1317" s="25"/>
      <c r="Q1317" s="25"/>
      <c r="R1317" s="25"/>
      <c r="S1317" s="25"/>
      <c r="T1317" s="25"/>
      <c r="U1317" s="25"/>
      <c r="V1317" s="25"/>
      <c r="W1317" s="25"/>
      <c r="X1317" s="25"/>
      <c r="Y1317" s="25"/>
      <c r="Z1317" s="25"/>
      <c r="AA1317" s="25"/>
      <c r="AB1317" s="25"/>
      <c r="AC1317" s="25"/>
      <c r="AD1317" s="25"/>
      <c r="AE1317" s="25"/>
    </row>
    <row r="1318" spans="4:31" x14ac:dyDescent="0.2">
      <c r="D1318" s="25"/>
      <c r="E1318" s="25"/>
      <c r="F1318" s="25"/>
      <c r="G1318" s="25"/>
      <c r="H1318" s="25"/>
      <c r="I1318" s="25"/>
      <c r="J1318" s="25"/>
      <c r="K1318" s="25"/>
      <c r="L1318" s="25"/>
      <c r="M1318" s="25"/>
      <c r="N1318" s="25"/>
      <c r="O1318" s="25"/>
      <c r="P1318" s="25"/>
      <c r="Q1318" s="25"/>
      <c r="R1318" s="25"/>
      <c r="S1318" s="25"/>
      <c r="T1318" s="25"/>
      <c r="U1318" s="25"/>
      <c r="V1318" s="25"/>
      <c r="W1318" s="25"/>
      <c r="X1318" s="25"/>
      <c r="Y1318" s="25"/>
      <c r="Z1318" s="25"/>
      <c r="AA1318" s="25"/>
      <c r="AB1318" s="25"/>
      <c r="AC1318" s="25"/>
      <c r="AD1318" s="25"/>
      <c r="AE1318" s="25"/>
    </row>
    <row r="1319" spans="4:31" x14ac:dyDescent="0.2">
      <c r="D1319" s="25"/>
      <c r="E1319" s="25"/>
      <c r="F1319" s="25"/>
      <c r="G1319" s="25"/>
      <c r="H1319" s="25"/>
      <c r="I1319" s="25"/>
      <c r="J1319" s="25"/>
      <c r="K1319" s="25"/>
      <c r="L1319" s="25"/>
      <c r="M1319" s="25"/>
      <c r="N1319" s="25"/>
      <c r="O1319" s="25"/>
      <c r="P1319" s="25"/>
      <c r="Q1319" s="25"/>
      <c r="R1319" s="25"/>
      <c r="S1319" s="25"/>
      <c r="T1319" s="25"/>
      <c r="U1319" s="25"/>
      <c r="V1319" s="25"/>
      <c r="W1319" s="25"/>
      <c r="X1319" s="25"/>
      <c r="Y1319" s="25"/>
      <c r="Z1319" s="25"/>
      <c r="AA1319" s="25"/>
      <c r="AB1319" s="25"/>
      <c r="AC1319" s="25"/>
      <c r="AD1319" s="25"/>
      <c r="AE1319" s="25"/>
    </row>
    <row r="1320" spans="4:31" x14ac:dyDescent="0.2">
      <c r="D1320" s="25"/>
      <c r="E1320" s="25"/>
      <c r="F1320" s="25"/>
      <c r="G1320" s="25"/>
      <c r="H1320" s="25"/>
      <c r="I1320" s="25"/>
      <c r="J1320" s="25"/>
      <c r="K1320" s="25"/>
      <c r="L1320" s="25"/>
      <c r="M1320" s="25"/>
      <c r="N1320" s="25"/>
      <c r="O1320" s="25"/>
      <c r="P1320" s="25"/>
      <c r="Q1320" s="25"/>
      <c r="R1320" s="25"/>
      <c r="S1320" s="25"/>
      <c r="T1320" s="25"/>
      <c r="U1320" s="25"/>
      <c r="V1320" s="25"/>
      <c r="W1320" s="25"/>
      <c r="X1320" s="25"/>
      <c r="Y1320" s="25"/>
      <c r="Z1320" s="25"/>
      <c r="AA1320" s="25"/>
      <c r="AB1320" s="25"/>
      <c r="AC1320" s="25"/>
      <c r="AD1320" s="25"/>
      <c r="AE1320" s="25"/>
    </row>
    <row r="1321" spans="4:31" x14ac:dyDescent="0.2">
      <c r="D1321" s="25"/>
      <c r="E1321" s="25"/>
      <c r="F1321" s="25"/>
      <c r="G1321" s="25"/>
      <c r="H1321" s="25"/>
      <c r="I1321" s="25"/>
      <c r="J1321" s="25"/>
      <c r="K1321" s="25"/>
      <c r="L1321" s="25"/>
      <c r="M1321" s="25"/>
      <c r="N1321" s="25"/>
      <c r="O1321" s="25"/>
      <c r="P1321" s="25"/>
      <c r="Q1321" s="25"/>
      <c r="R1321" s="25"/>
      <c r="S1321" s="25"/>
      <c r="T1321" s="25"/>
      <c r="U1321" s="25"/>
      <c r="V1321" s="25"/>
      <c r="W1321" s="25"/>
      <c r="X1321" s="25"/>
      <c r="Y1321" s="25"/>
      <c r="Z1321" s="25"/>
      <c r="AA1321" s="25"/>
      <c r="AB1321" s="25"/>
      <c r="AC1321" s="25"/>
      <c r="AD1321" s="25"/>
      <c r="AE1321" s="25"/>
    </row>
    <row r="1322" spans="4:31" x14ac:dyDescent="0.2">
      <c r="D1322" s="25"/>
      <c r="E1322" s="25"/>
      <c r="F1322" s="25"/>
      <c r="G1322" s="25"/>
      <c r="H1322" s="25"/>
      <c r="I1322" s="25"/>
      <c r="J1322" s="25"/>
      <c r="K1322" s="25"/>
      <c r="L1322" s="25"/>
      <c r="M1322" s="25"/>
      <c r="N1322" s="25"/>
      <c r="O1322" s="25"/>
      <c r="P1322" s="25"/>
      <c r="Q1322" s="25"/>
      <c r="R1322" s="25"/>
      <c r="S1322" s="25"/>
      <c r="T1322" s="25"/>
      <c r="U1322" s="25"/>
      <c r="V1322" s="25"/>
      <c r="W1322" s="25"/>
      <c r="X1322" s="25"/>
      <c r="Y1322" s="25"/>
      <c r="Z1322" s="25"/>
      <c r="AA1322" s="25"/>
      <c r="AB1322" s="25"/>
      <c r="AC1322" s="25"/>
      <c r="AD1322" s="25"/>
      <c r="AE1322" s="25"/>
    </row>
    <row r="1323" spans="4:31" x14ac:dyDescent="0.2">
      <c r="D1323" s="25"/>
      <c r="E1323" s="25"/>
      <c r="F1323" s="25"/>
      <c r="G1323" s="25"/>
      <c r="H1323" s="25"/>
      <c r="I1323" s="25"/>
      <c r="J1323" s="25"/>
      <c r="K1323" s="25"/>
      <c r="L1323" s="25"/>
      <c r="M1323" s="25"/>
      <c r="N1323" s="25"/>
      <c r="O1323" s="25"/>
      <c r="P1323" s="25"/>
      <c r="Q1323" s="25"/>
      <c r="R1323" s="25"/>
      <c r="S1323" s="25"/>
      <c r="T1323" s="25"/>
      <c r="U1323" s="25"/>
      <c r="V1323" s="25"/>
      <c r="W1323" s="25"/>
      <c r="X1323" s="25"/>
      <c r="Y1323" s="25"/>
      <c r="Z1323" s="25"/>
      <c r="AA1323" s="25"/>
      <c r="AB1323" s="25"/>
      <c r="AC1323" s="25"/>
      <c r="AD1323" s="25"/>
      <c r="AE1323" s="25"/>
    </row>
    <row r="1324" spans="4:31" x14ac:dyDescent="0.2">
      <c r="D1324" s="25"/>
      <c r="E1324" s="25"/>
      <c r="F1324" s="25"/>
      <c r="G1324" s="25"/>
      <c r="H1324" s="25"/>
      <c r="I1324" s="25"/>
      <c r="J1324" s="25"/>
      <c r="K1324" s="25"/>
      <c r="L1324" s="25"/>
      <c r="M1324" s="25"/>
      <c r="N1324" s="25"/>
      <c r="O1324" s="25"/>
      <c r="P1324" s="25"/>
      <c r="Q1324" s="25"/>
      <c r="R1324" s="25"/>
      <c r="S1324" s="25"/>
      <c r="T1324" s="25"/>
      <c r="U1324" s="25"/>
      <c r="V1324" s="25"/>
      <c r="W1324" s="25"/>
      <c r="X1324" s="25"/>
      <c r="Y1324" s="25"/>
      <c r="Z1324" s="25"/>
      <c r="AA1324" s="25"/>
      <c r="AB1324" s="25"/>
      <c r="AC1324" s="25"/>
      <c r="AD1324" s="25"/>
      <c r="AE1324" s="25"/>
    </row>
    <row r="1325" spans="4:31" x14ac:dyDescent="0.2">
      <c r="D1325" s="25"/>
      <c r="E1325" s="25"/>
      <c r="F1325" s="25"/>
      <c r="G1325" s="25"/>
      <c r="H1325" s="25"/>
      <c r="I1325" s="25"/>
      <c r="J1325" s="25"/>
      <c r="K1325" s="25"/>
      <c r="L1325" s="25"/>
      <c r="M1325" s="25"/>
      <c r="N1325" s="25"/>
      <c r="O1325" s="25"/>
      <c r="P1325" s="25"/>
      <c r="Q1325" s="25"/>
      <c r="R1325" s="25"/>
      <c r="S1325" s="25"/>
      <c r="T1325" s="25"/>
      <c r="U1325" s="25"/>
      <c r="V1325" s="25"/>
      <c r="W1325" s="25"/>
      <c r="X1325" s="25"/>
      <c r="Y1325" s="25"/>
      <c r="Z1325" s="25"/>
      <c r="AA1325" s="25"/>
      <c r="AB1325" s="25"/>
      <c r="AC1325" s="25"/>
      <c r="AD1325" s="25"/>
      <c r="AE1325" s="25"/>
    </row>
    <row r="1326" spans="4:31" x14ac:dyDescent="0.2">
      <c r="D1326" s="25"/>
      <c r="E1326" s="25"/>
      <c r="F1326" s="25"/>
      <c r="G1326" s="25"/>
      <c r="H1326" s="25"/>
      <c r="I1326" s="25"/>
      <c r="J1326" s="25"/>
      <c r="K1326" s="25"/>
      <c r="L1326" s="25"/>
      <c r="M1326" s="25"/>
      <c r="N1326" s="25"/>
      <c r="O1326" s="25"/>
      <c r="P1326" s="25"/>
      <c r="Q1326" s="25"/>
      <c r="R1326" s="25"/>
      <c r="S1326" s="25"/>
      <c r="T1326" s="25"/>
      <c r="U1326" s="25"/>
      <c r="V1326" s="25"/>
      <c r="W1326" s="25"/>
      <c r="X1326" s="25"/>
      <c r="Y1326" s="25"/>
      <c r="Z1326" s="25"/>
      <c r="AA1326" s="25"/>
      <c r="AB1326" s="25"/>
      <c r="AC1326" s="25"/>
      <c r="AD1326" s="25"/>
      <c r="AE1326" s="25"/>
    </row>
    <row r="1327" spans="4:31" x14ac:dyDescent="0.2">
      <c r="D1327" s="25"/>
      <c r="E1327" s="25"/>
      <c r="F1327" s="25"/>
      <c r="G1327" s="25"/>
      <c r="H1327" s="25"/>
      <c r="I1327" s="25"/>
      <c r="J1327" s="25"/>
      <c r="K1327" s="25"/>
      <c r="L1327" s="25"/>
      <c r="M1327" s="25"/>
      <c r="N1327" s="25"/>
      <c r="O1327" s="25"/>
      <c r="P1327" s="25"/>
      <c r="Q1327" s="25"/>
      <c r="R1327" s="25"/>
      <c r="S1327" s="25"/>
      <c r="T1327" s="25"/>
      <c r="U1327" s="25"/>
      <c r="V1327" s="25"/>
      <c r="W1327" s="25"/>
      <c r="X1327" s="25"/>
      <c r="Y1327" s="25"/>
      <c r="Z1327" s="25"/>
      <c r="AA1327" s="25"/>
      <c r="AB1327" s="25"/>
      <c r="AC1327" s="25"/>
      <c r="AD1327" s="25"/>
      <c r="AE1327" s="25"/>
    </row>
    <row r="1328" spans="4:31" x14ac:dyDescent="0.2">
      <c r="D1328" s="25"/>
      <c r="E1328" s="25"/>
      <c r="F1328" s="25"/>
      <c r="G1328" s="25"/>
      <c r="H1328" s="25"/>
      <c r="I1328" s="25"/>
      <c r="J1328" s="25"/>
      <c r="K1328" s="25"/>
      <c r="L1328" s="25"/>
      <c r="M1328" s="25"/>
      <c r="N1328" s="25"/>
      <c r="O1328" s="25"/>
      <c r="P1328" s="25"/>
      <c r="Q1328" s="25"/>
      <c r="R1328" s="25"/>
      <c r="S1328" s="25"/>
      <c r="T1328" s="25"/>
      <c r="U1328" s="25"/>
      <c r="V1328" s="25"/>
      <c r="W1328" s="25"/>
      <c r="X1328" s="25"/>
      <c r="Y1328" s="25"/>
      <c r="Z1328" s="25"/>
      <c r="AA1328" s="25"/>
      <c r="AB1328" s="25"/>
      <c r="AC1328" s="25"/>
      <c r="AD1328" s="25"/>
      <c r="AE1328" s="25"/>
    </row>
    <row r="1329" spans="4:31" x14ac:dyDescent="0.2">
      <c r="D1329" s="25"/>
      <c r="E1329" s="25"/>
      <c r="F1329" s="25"/>
      <c r="G1329" s="25"/>
      <c r="H1329" s="25"/>
      <c r="I1329" s="25"/>
      <c r="J1329" s="25"/>
      <c r="K1329" s="25"/>
      <c r="L1329" s="25"/>
      <c r="M1329" s="25"/>
      <c r="N1329" s="25"/>
      <c r="O1329" s="25"/>
      <c r="P1329" s="25"/>
      <c r="Q1329" s="25"/>
      <c r="R1329" s="25"/>
      <c r="S1329" s="25"/>
      <c r="T1329" s="25"/>
      <c r="U1329" s="25"/>
      <c r="V1329" s="25"/>
      <c r="W1329" s="25"/>
      <c r="X1329" s="25"/>
      <c r="Y1329" s="25"/>
      <c r="Z1329" s="25"/>
      <c r="AA1329" s="25"/>
      <c r="AB1329" s="25"/>
      <c r="AC1329" s="25"/>
      <c r="AD1329" s="25"/>
      <c r="AE1329" s="25"/>
    </row>
    <row r="1330" spans="4:31" x14ac:dyDescent="0.2">
      <c r="D1330" s="25"/>
      <c r="E1330" s="25"/>
      <c r="F1330" s="25"/>
      <c r="G1330" s="25"/>
      <c r="H1330" s="25"/>
      <c r="I1330" s="25"/>
      <c r="J1330" s="25"/>
      <c r="K1330" s="25"/>
      <c r="L1330" s="25"/>
      <c r="M1330" s="25"/>
      <c r="N1330" s="25"/>
      <c r="O1330" s="25"/>
      <c r="P1330" s="25"/>
      <c r="Q1330" s="25"/>
      <c r="R1330" s="25"/>
      <c r="S1330" s="25"/>
      <c r="T1330" s="25"/>
      <c r="U1330" s="25"/>
      <c r="V1330" s="25"/>
      <c r="W1330" s="25"/>
      <c r="X1330" s="25"/>
      <c r="Y1330" s="25"/>
      <c r="Z1330" s="25"/>
      <c r="AA1330" s="25"/>
      <c r="AB1330" s="25"/>
      <c r="AC1330" s="25"/>
      <c r="AD1330" s="25"/>
      <c r="AE1330" s="25"/>
    </row>
    <row r="1331" spans="4:31" x14ac:dyDescent="0.2">
      <c r="D1331" s="25"/>
      <c r="E1331" s="25"/>
      <c r="F1331" s="25"/>
      <c r="G1331" s="25"/>
      <c r="H1331" s="25"/>
      <c r="I1331" s="25"/>
      <c r="J1331" s="25"/>
      <c r="K1331" s="25"/>
      <c r="L1331" s="25"/>
      <c r="M1331" s="25"/>
      <c r="N1331" s="25"/>
      <c r="O1331" s="25"/>
      <c r="P1331" s="25"/>
      <c r="Q1331" s="25"/>
      <c r="R1331" s="25"/>
      <c r="S1331" s="25"/>
      <c r="T1331" s="25"/>
      <c r="U1331" s="25"/>
      <c r="V1331" s="25"/>
      <c r="W1331" s="25"/>
      <c r="X1331" s="25"/>
      <c r="Y1331" s="25"/>
      <c r="Z1331" s="25"/>
      <c r="AA1331" s="25"/>
      <c r="AB1331" s="25"/>
      <c r="AC1331" s="25"/>
      <c r="AD1331" s="25"/>
      <c r="AE1331" s="25"/>
    </row>
    <row r="1332" spans="4:31" x14ac:dyDescent="0.2">
      <c r="D1332" s="25"/>
      <c r="E1332" s="25"/>
      <c r="F1332" s="25"/>
      <c r="G1332" s="25"/>
      <c r="H1332" s="25"/>
      <c r="I1332" s="25"/>
      <c r="J1332" s="25"/>
      <c r="K1332" s="25"/>
      <c r="L1332" s="25"/>
      <c r="M1332" s="25"/>
      <c r="N1332" s="25"/>
      <c r="O1332" s="25"/>
      <c r="P1332" s="25"/>
      <c r="Q1332" s="25"/>
      <c r="R1332" s="25"/>
      <c r="S1332" s="25"/>
      <c r="T1332" s="25"/>
      <c r="U1332" s="25"/>
      <c r="V1332" s="25"/>
      <c r="W1332" s="25"/>
      <c r="X1332" s="25"/>
      <c r="Y1332" s="25"/>
      <c r="Z1332" s="25"/>
      <c r="AA1332" s="25"/>
      <c r="AB1332" s="25"/>
      <c r="AC1332" s="25"/>
      <c r="AD1332" s="25"/>
      <c r="AE1332" s="25"/>
    </row>
    <row r="1333" spans="4:31" x14ac:dyDescent="0.2">
      <c r="D1333" s="25"/>
      <c r="E1333" s="25"/>
      <c r="F1333" s="25"/>
      <c r="G1333" s="25"/>
      <c r="H1333" s="25"/>
      <c r="I1333" s="25"/>
      <c r="J1333" s="25"/>
      <c r="K1333" s="25"/>
      <c r="L1333" s="25"/>
      <c r="M1333" s="25"/>
      <c r="N1333" s="25"/>
      <c r="O1333" s="25"/>
      <c r="P1333" s="25"/>
      <c r="Q1333" s="25"/>
      <c r="R1333" s="25"/>
      <c r="S1333" s="25"/>
      <c r="T1333" s="25"/>
      <c r="U1333" s="25"/>
      <c r="V1333" s="25"/>
      <c r="W1333" s="25"/>
      <c r="X1333" s="25"/>
      <c r="Y1333" s="25"/>
      <c r="Z1333" s="25"/>
      <c r="AA1333" s="25"/>
      <c r="AB1333" s="25"/>
      <c r="AC1333" s="25"/>
      <c r="AD1333" s="25"/>
      <c r="AE1333" s="25"/>
    </row>
    <row r="1334" spans="4:31" x14ac:dyDescent="0.2">
      <c r="D1334" s="25"/>
      <c r="E1334" s="25"/>
      <c r="F1334" s="25"/>
      <c r="G1334" s="25"/>
      <c r="H1334" s="25"/>
      <c r="I1334" s="25"/>
      <c r="J1334" s="25"/>
      <c r="K1334" s="25"/>
      <c r="L1334" s="25"/>
      <c r="M1334" s="25"/>
      <c r="N1334" s="25"/>
      <c r="O1334" s="25"/>
      <c r="P1334" s="25"/>
      <c r="Q1334" s="25"/>
      <c r="R1334" s="25"/>
      <c r="S1334" s="25"/>
      <c r="T1334" s="25"/>
      <c r="U1334" s="25"/>
      <c r="V1334" s="25"/>
      <c r="W1334" s="25"/>
      <c r="X1334" s="25"/>
      <c r="Y1334" s="25"/>
      <c r="Z1334" s="25"/>
      <c r="AA1334" s="25"/>
      <c r="AB1334" s="25"/>
      <c r="AC1334" s="25"/>
      <c r="AD1334" s="25"/>
      <c r="AE1334" s="25"/>
    </row>
    <row r="1335" spans="4:31" x14ac:dyDescent="0.2">
      <c r="D1335" s="25"/>
      <c r="E1335" s="25"/>
      <c r="F1335" s="25"/>
      <c r="G1335" s="25"/>
      <c r="H1335" s="25"/>
      <c r="I1335" s="25"/>
      <c r="J1335" s="25"/>
      <c r="K1335" s="25"/>
      <c r="L1335" s="25"/>
      <c r="M1335" s="25"/>
      <c r="N1335" s="25"/>
      <c r="O1335" s="25"/>
      <c r="P1335" s="25"/>
      <c r="Q1335" s="25"/>
      <c r="R1335" s="25"/>
      <c r="S1335" s="25"/>
      <c r="T1335" s="25"/>
      <c r="U1335" s="25"/>
      <c r="V1335" s="25"/>
      <c r="W1335" s="25"/>
      <c r="X1335" s="25"/>
      <c r="Y1335" s="25"/>
      <c r="Z1335" s="25"/>
      <c r="AA1335" s="25"/>
      <c r="AB1335" s="25"/>
      <c r="AC1335" s="25"/>
      <c r="AD1335" s="25"/>
      <c r="AE1335" s="25"/>
    </row>
    <row r="1336" spans="4:31" x14ac:dyDescent="0.2">
      <c r="D1336" s="25"/>
      <c r="E1336" s="25"/>
      <c r="F1336" s="25"/>
      <c r="G1336" s="25"/>
      <c r="H1336" s="25"/>
      <c r="I1336" s="25"/>
      <c r="J1336" s="25"/>
      <c r="K1336" s="25"/>
      <c r="L1336" s="25"/>
      <c r="M1336" s="25"/>
      <c r="N1336" s="25"/>
      <c r="O1336" s="25"/>
      <c r="P1336" s="25"/>
      <c r="Q1336" s="25"/>
      <c r="R1336" s="25"/>
      <c r="S1336" s="25"/>
      <c r="T1336" s="25"/>
      <c r="U1336" s="25"/>
      <c r="V1336" s="25"/>
      <c r="W1336" s="25"/>
      <c r="X1336" s="25"/>
      <c r="Y1336" s="25"/>
      <c r="Z1336" s="25"/>
      <c r="AA1336" s="25"/>
      <c r="AB1336" s="25"/>
      <c r="AC1336" s="25"/>
      <c r="AD1336" s="25"/>
      <c r="AE1336" s="25"/>
    </row>
    <row r="1337" spans="4:31" x14ac:dyDescent="0.2">
      <c r="D1337" s="25"/>
      <c r="E1337" s="25"/>
      <c r="F1337" s="25"/>
      <c r="G1337" s="25"/>
      <c r="H1337" s="25"/>
      <c r="I1337" s="25"/>
      <c r="J1337" s="25"/>
      <c r="K1337" s="25"/>
      <c r="L1337" s="25"/>
      <c r="M1337" s="25"/>
      <c r="N1337" s="25"/>
      <c r="O1337" s="25"/>
      <c r="P1337" s="25"/>
      <c r="Q1337" s="25"/>
      <c r="R1337" s="25"/>
      <c r="S1337" s="25"/>
      <c r="T1337" s="25"/>
      <c r="U1337" s="25"/>
      <c r="V1337" s="25"/>
      <c r="W1337" s="25"/>
      <c r="X1337" s="25"/>
      <c r="Y1337" s="25"/>
      <c r="Z1337" s="25"/>
      <c r="AA1337" s="25"/>
      <c r="AB1337" s="25"/>
      <c r="AC1337" s="25"/>
      <c r="AD1337" s="25"/>
      <c r="AE1337" s="25"/>
    </row>
    <row r="1338" spans="4:31" x14ac:dyDescent="0.2">
      <c r="D1338" s="25"/>
      <c r="E1338" s="25"/>
      <c r="F1338" s="25"/>
      <c r="G1338" s="25"/>
      <c r="H1338" s="25"/>
      <c r="I1338" s="25"/>
      <c r="J1338" s="25"/>
      <c r="K1338" s="25"/>
      <c r="L1338" s="25"/>
      <c r="M1338" s="25"/>
      <c r="N1338" s="25"/>
      <c r="O1338" s="25"/>
      <c r="P1338" s="25"/>
      <c r="Q1338" s="25"/>
      <c r="R1338" s="25"/>
      <c r="S1338" s="25"/>
      <c r="T1338" s="25"/>
      <c r="U1338" s="25"/>
      <c r="V1338" s="25"/>
      <c r="W1338" s="25"/>
      <c r="X1338" s="25"/>
      <c r="Y1338" s="25"/>
      <c r="Z1338" s="25"/>
      <c r="AA1338" s="25"/>
      <c r="AB1338" s="25"/>
      <c r="AC1338" s="25"/>
      <c r="AD1338" s="25"/>
      <c r="AE1338" s="25"/>
    </row>
    <row r="1339" spans="4:31" x14ac:dyDescent="0.2">
      <c r="D1339" s="25"/>
      <c r="E1339" s="25"/>
      <c r="F1339" s="25"/>
      <c r="G1339" s="25"/>
      <c r="H1339" s="25"/>
      <c r="I1339" s="25"/>
      <c r="J1339" s="25"/>
      <c r="K1339" s="25"/>
      <c r="L1339" s="25"/>
      <c r="M1339" s="25"/>
      <c r="N1339" s="25"/>
      <c r="O1339" s="25"/>
      <c r="P1339" s="25"/>
      <c r="Q1339" s="25"/>
      <c r="R1339" s="25"/>
      <c r="S1339" s="25"/>
      <c r="T1339" s="25"/>
      <c r="U1339" s="25"/>
      <c r="V1339" s="25"/>
      <c r="W1339" s="25"/>
      <c r="X1339" s="25"/>
      <c r="Y1339" s="25"/>
      <c r="Z1339" s="25"/>
      <c r="AA1339" s="25"/>
      <c r="AB1339" s="25"/>
      <c r="AC1339" s="25"/>
      <c r="AD1339" s="25"/>
      <c r="AE1339" s="25"/>
    </row>
    <row r="1340" spans="4:31" x14ac:dyDescent="0.2">
      <c r="D1340" s="25"/>
      <c r="E1340" s="25"/>
      <c r="F1340" s="25"/>
      <c r="G1340" s="25"/>
      <c r="H1340" s="25"/>
      <c r="I1340" s="25"/>
      <c r="J1340" s="25"/>
      <c r="K1340" s="25"/>
      <c r="L1340" s="25"/>
      <c r="M1340" s="25"/>
      <c r="N1340" s="25"/>
      <c r="O1340" s="25"/>
      <c r="P1340" s="25"/>
      <c r="Q1340" s="25"/>
      <c r="R1340" s="25"/>
      <c r="S1340" s="25"/>
      <c r="T1340" s="25"/>
      <c r="U1340" s="25"/>
      <c r="V1340" s="25"/>
      <c r="W1340" s="25"/>
      <c r="X1340" s="25"/>
      <c r="Y1340" s="25"/>
      <c r="Z1340" s="25"/>
      <c r="AA1340" s="25"/>
      <c r="AB1340" s="25"/>
      <c r="AC1340" s="25"/>
      <c r="AD1340" s="25"/>
      <c r="AE1340" s="25"/>
    </row>
    <row r="1341" spans="4:31" x14ac:dyDescent="0.2">
      <c r="D1341" s="25"/>
      <c r="E1341" s="25"/>
      <c r="F1341" s="25"/>
      <c r="G1341" s="25"/>
      <c r="H1341" s="25"/>
      <c r="I1341" s="25"/>
      <c r="J1341" s="25"/>
      <c r="K1341" s="25"/>
      <c r="L1341" s="25"/>
      <c r="M1341" s="25"/>
      <c r="N1341" s="25"/>
      <c r="O1341" s="25"/>
      <c r="P1341" s="25"/>
      <c r="Q1341" s="25"/>
      <c r="R1341" s="25"/>
      <c r="S1341" s="25"/>
      <c r="T1341" s="25"/>
      <c r="U1341" s="25"/>
      <c r="V1341" s="25"/>
      <c r="W1341" s="25"/>
      <c r="X1341" s="25"/>
      <c r="Y1341" s="25"/>
      <c r="Z1341" s="25"/>
      <c r="AA1341" s="25"/>
      <c r="AB1341" s="25"/>
      <c r="AC1341" s="25"/>
      <c r="AD1341" s="25"/>
      <c r="AE1341" s="25"/>
    </row>
    <row r="1342" spans="4:31" x14ac:dyDescent="0.2">
      <c r="D1342" s="25"/>
      <c r="E1342" s="25"/>
      <c r="F1342" s="25"/>
      <c r="G1342" s="25"/>
      <c r="H1342" s="25"/>
      <c r="I1342" s="25"/>
      <c r="J1342" s="25"/>
      <c r="K1342" s="25"/>
      <c r="L1342" s="25"/>
      <c r="M1342" s="25"/>
      <c r="N1342" s="25"/>
      <c r="O1342" s="25"/>
      <c r="P1342" s="25"/>
      <c r="Q1342" s="25"/>
      <c r="R1342" s="25"/>
      <c r="S1342" s="25"/>
      <c r="T1342" s="25"/>
      <c r="U1342" s="25"/>
      <c r="V1342" s="25"/>
      <c r="W1342" s="25"/>
      <c r="X1342" s="25"/>
      <c r="Y1342" s="25"/>
      <c r="Z1342" s="25"/>
      <c r="AA1342" s="25"/>
      <c r="AB1342" s="25"/>
      <c r="AC1342" s="25"/>
      <c r="AD1342" s="25"/>
      <c r="AE1342" s="25"/>
    </row>
    <row r="1343" spans="4:31" x14ac:dyDescent="0.2">
      <c r="D1343" s="25"/>
      <c r="E1343" s="25"/>
      <c r="F1343" s="25"/>
      <c r="G1343" s="25"/>
      <c r="H1343" s="25"/>
      <c r="I1343" s="25"/>
      <c r="J1343" s="25"/>
      <c r="K1343" s="25"/>
      <c r="L1343" s="25"/>
      <c r="M1343" s="25"/>
      <c r="N1343" s="25"/>
      <c r="O1343" s="25"/>
      <c r="P1343" s="25"/>
      <c r="Q1343" s="25"/>
      <c r="R1343" s="25"/>
      <c r="S1343" s="25"/>
      <c r="T1343" s="25"/>
      <c r="U1343" s="25"/>
      <c r="V1343" s="25"/>
      <c r="W1343" s="25"/>
      <c r="X1343" s="25"/>
      <c r="Y1343" s="25"/>
      <c r="Z1343" s="25"/>
      <c r="AA1343" s="25"/>
      <c r="AB1343" s="25"/>
      <c r="AC1343" s="25"/>
      <c r="AD1343" s="25"/>
      <c r="AE1343" s="25"/>
    </row>
    <row r="1344" spans="4:31" x14ac:dyDescent="0.2">
      <c r="D1344" s="25"/>
      <c r="E1344" s="25"/>
      <c r="F1344" s="25"/>
      <c r="G1344" s="25"/>
      <c r="H1344" s="25"/>
      <c r="I1344" s="25"/>
      <c r="J1344" s="25"/>
      <c r="K1344" s="25"/>
      <c r="L1344" s="25"/>
      <c r="M1344" s="25"/>
      <c r="N1344" s="25"/>
      <c r="O1344" s="25"/>
      <c r="P1344" s="25"/>
      <c r="Q1344" s="25"/>
      <c r="R1344" s="25"/>
      <c r="S1344" s="25"/>
      <c r="T1344" s="25"/>
      <c r="U1344" s="25"/>
      <c r="V1344" s="25"/>
      <c r="W1344" s="25"/>
      <c r="X1344" s="25"/>
      <c r="Y1344" s="25"/>
      <c r="Z1344" s="25"/>
      <c r="AA1344" s="25"/>
      <c r="AB1344" s="25"/>
      <c r="AC1344" s="25"/>
      <c r="AD1344" s="25"/>
      <c r="AE1344" s="25"/>
    </row>
    <row r="1345" spans="4:31" x14ac:dyDescent="0.2">
      <c r="D1345" s="25"/>
      <c r="E1345" s="25"/>
      <c r="F1345" s="25"/>
      <c r="G1345" s="25"/>
      <c r="H1345" s="25"/>
      <c r="I1345" s="25"/>
      <c r="J1345" s="25"/>
      <c r="K1345" s="25"/>
      <c r="L1345" s="25"/>
      <c r="M1345" s="25"/>
      <c r="N1345" s="25"/>
      <c r="O1345" s="25"/>
      <c r="P1345" s="25"/>
      <c r="Q1345" s="25"/>
      <c r="R1345" s="25"/>
      <c r="S1345" s="25"/>
      <c r="T1345" s="25"/>
      <c r="U1345" s="25"/>
      <c r="V1345" s="25"/>
      <c r="W1345" s="25"/>
      <c r="X1345" s="25"/>
      <c r="Y1345" s="25"/>
      <c r="Z1345" s="25"/>
      <c r="AA1345" s="25"/>
      <c r="AB1345" s="25"/>
      <c r="AC1345" s="25"/>
      <c r="AD1345" s="25"/>
      <c r="AE1345" s="25"/>
    </row>
    <row r="1346" spans="4:31" x14ac:dyDescent="0.2">
      <c r="D1346" s="25"/>
      <c r="E1346" s="25"/>
      <c r="F1346" s="25"/>
      <c r="G1346" s="25"/>
      <c r="H1346" s="25"/>
      <c r="I1346" s="25"/>
      <c r="J1346" s="25"/>
      <c r="K1346" s="25"/>
      <c r="L1346" s="25"/>
      <c r="M1346" s="25"/>
      <c r="N1346" s="25"/>
      <c r="O1346" s="25"/>
      <c r="P1346" s="25"/>
      <c r="Q1346" s="25"/>
      <c r="R1346" s="25"/>
      <c r="S1346" s="25"/>
      <c r="T1346" s="25"/>
      <c r="U1346" s="25"/>
      <c r="V1346" s="25"/>
      <c r="W1346" s="25"/>
      <c r="X1346" s="25"/>
      <c r="Y1346" s="25"/>
      <c r="Z1346" s="25"/>
      <c r="AA1346" s="25"/>
      <c r="AB1346" s="25"/>
      <c r="AC1346" s="25"/>
      <c r="AD1346" s="25"/>
      <c r="AE1346" s="25"/>
    </row>
    <row r="1347" spans="4:31" x14ac:dyDescent="0.2">
      <c r="D1347" s="25"/>
      <c r="E1347" s="25"/>
      <c r="F1347" s="25"/>
      <c r="G1347" s="25"/>
      <c r="H1347" s="25"/>
      <c r="I1347" s="25"/>
      <c r="J1347" s="25"/>
      <c r="K1347" s="25"/>
      <c r="L1347" s="25"/>
      <c r="M1347" s="25"/>
      <c r="N1347" s="25"/>
      <c r="O1347" s="25"/>
      <c r="P1347" s="25"/>
      <c r="Q1347" s="25"/>
      <c r="R1347" s="25"/>
      <c r="S1347" s="25"/>
      <c r="T1347" s="25"/>
      <c r="U1347" s="25"/>
      <c r="V1347" s="25"/>
      <c r="W1347" s="25"/>
      <c r="X1347" s="25"/>
      <c r="Y1347" s="25"/>
      <c r="Z1347" s="25"/>
      <c r="AA1347" s="25"/>
      <c r="AB1347" s="25"/>
      <c r="AC1347" s="25"/>
      <c r="AD1347" s="25"/>
      <c r="AE1347" s="25"/>
    </row>
    <row r="1348" spans="4:31" x14ac:dyDescent="0.2">
      <c r="D1348" s="25"/>
      <c r="E1348" s="25"/>
      <c r="F1348" s="25"/>
      <c r="G1348" s="25"/>
      <c r="H1348" s="25"/>
      <c r="I1348" s="25"/>
      <c r="J1348" s="25"/>
      <c r="K1348" s="25"/>
      <c r="L1348" s="25"/>
      <c r="M1348" s="25"/>
      <c r="N1348" s="25"/>
      <c r="O1348" s="25"/>
      <c r="P1348" s="25"/>
      <c r="Q1348" s="25"/>
      <c r="R1348" s="25"/>
      <c r="S1348" s="25"/>
      <c r="T1348" s="25"/>
      <c r="U1348" s="25"/>
      <c r="V1348" s="25"/>
      <c r="W1348" s="25"/>
      <c r="X1348" s="25"/>
      <c r="Y1348" s="25"/>
      <c r="Z1348" s="25"/>
      <c r="AA1348" s="25"/>
      <c r="AB1348" s="25"/>
      <c r="AC1348" s="25"/>
      <c r="AD1348" s="25"/>
      <c r="AE1348" s="25"/>
    </row>
    <row r="1349" spans="4:31" x14ac:dyDescent="0.2">
      <c r="D1349" s="25"/>
      <c r="E1349" s="25"/>
      <c r="F1349" s="25"/>
      <c r="G1349" s="25"/>
      <c r="H1349" s="25"/>
      <c r="I1349" s="25"/>
      <c r="J1349" s="25"/>
      <c r="K1349" s="25"/>
      <c r="L1349" s="25"/>
      <c r="M1349" s="25"/>
      <c r="N1349" s="25"/>
      <c r="O1349" s="25"/>
      <c r="P1349" s="25"/>
      <c r="Q1349" s="25"/>
      <c r="R1349" s="25"/>
      <c r="S1349" s="25"/>
      <c r="T1349" s="25"/>
      <c r="U1349" s="25"/>
      <c r="V1349" s="25"/>
      <c r="W1349" s="25"/>
      <c r="X1349" s="25"/>
      <c r="Y1349" s="25"/>
      <c r="Z1349" s="25"/>
      <c r="AA1349" s="25"/>
      <c r="AB1349" s="25"/>
      <c r="AC1349" s="25"/>
      <c r="AD1349" s="25"/>
      <c r="AE1349" s="25"/>
    </row>
    <row r="1350" spans="4:31" x14ac:dyDescent="0.2">
      <c r="D1350" s="25"/>
      <c r="E1350" s="25"/>
      <c r="F1350" s="25"/>
      <c r="G1350" s="25"/>
      <c r="H1350" s="25"/>
      <c r="I1350" s="25"/>
      <c r="J1350" s="25"/>
      <c r="K1350" s="25"/>
      <c r="L1350" s="25"/>
      <c r="M1350" s="25"/>
      <c r="N1350" s="25"/>
      <c r="O1350" s="25"/>
      <c r="P1350" s="25"/>
      <c r="Q1350" s="25"/>
      <c r="R1350" s="25"/>
      <c r="S1350" s="25"/>
      <c r="T1350" s="25"/>
      <c r="U1350" s="25"/>
      <c r="V1350" s="25"/>
      <c r="W1350" s="25"/>
      <c r="X1350" s="25"/>
      <c r="Y1350" s="25"/>
      <c r="Z1350" s="25"/>
      <c r="AA1350" s="25"/>
      <c r="AB1350" s="25"/>
      <c r="AC1350" s="25"/>
      <c r="AD1350" s="25"/>
      <c r="AE1350" s="25"/>
    </row>
    <row r="1351" spans="4:31" x14ac:dyDescent="0.2">
      <c r="D1351" s="25"/>
      <c r="E1351" s="25"/>
      <c r="F1351" s="25"/>
      <c r="G1351" s="25"/>
      <c r="H1351" s="25"/>
      <c r="I1351" s="25"/>
      <c r="J1351" s="25"/>
      <c r="K1351" s="25"/>
      <c r="L1351" s="25"/>
      <c r="M1351" s="25"/>
      <c r="N1351" s="25"/>
      <c r="O1351" s="25"/>
      <c r="P1351" s="25"/>
      <c r="Q1351" s="25"/>
      <c r="R1351" s="25"/>
      <c r="S1351" s="25"/>
      <c r="T1351" s="25"/>
      <c r="U1351" s="25"/>
      <c r="V1351" s="25"/>
      <c r="W1351" s="25"/>
      <c r="X1351" s="25"/>
      <c r="Y1351" s="25"/>
      <c r="Z1351" s="25"/>
      <c r="AA1351" s="25"/>
      <c r="AB1351" s="25"/>
      <c r="AC1351" s="25"/>
      <c r="AD1351" s="25"/>
      <c r="AE1351" s="25"/>
    </row>
    <row r="1352" spans="4:31" x14ac:dyDescent="0.2">
      <c r="D1352" s="25"/>
      <c r="E1352" s="25"/>
      <c r="F1352" s="25"/>
      <c r="G1352" s="25"/>
      <c r="H1352" s="25"/>
      <c r="I1352" s="25"/>
      <c r="J1352" s="25"/>
      <c r="K1352" s="25"/>
      <c r="L1352" s="25"/>
      <c r="M1352" s="25"/>
      <c r="N1352" s="25"/>
      <c r="O1352" s="25"/>
      <c r="P1352" s="25"/>
      <c r="Q1352" s="25"/>
      <c r="R1352" s="25"/>
      <c r="S1352" s="25"/>
      <c r="T1352" s="25"/>
      <c r="U1352" s="25"/>
      <c r="V1352" s="25"/>
      <c r="W1352" s="25"/>
      <c r="X1352" s="25"/>
      <c r="Y1352" s="25"/>
      <c r="Z1352" s="25"/>
      <c r="AA1352" s="25"/>
      <c r="AB1352" s="25"/>
      <c r="AC1352" s="25"/>
      <c r="AD1352" s="25"/>
      <c r="AE1352" s="25"/>
    </row>
    <row r="1353" spans="4:31" x14ac:dyDescent="0.2">
      <c r="D1353" s="25"/>
      <c r="E1353" s="25"/>
      <c r="F1353" s="25"/>
      <c r="G1353" s="25"/>
      <c r="H1353" s="25"/>
      <c r="I1353" s="25"/>
      <c r="J1353" s="25"/>
      <c r="K1353" s="25"/>
      <c r="L1353" s="25"/>
      <c r="M1353" s="25"/>
      <c r="N1353" s="25"/>
      <c r="O1353" s="25"/>
      <c r="P1353" s="25"/>
      <c r="Q1353" s="25"/>
      <c r="R1353" s="25"/>
      <c r="S1353" s="25"/>
      <c r="T1353" s="25"/>
      <c r="U1353" s="25"/>
      <c r="V1353" s="25"/>
      <c r="W1353" s="25"/>
      <c r="X1353" s="25"/>
      <c r="Y1353" s="25"/>
      <c r="Z1353" s="25"/>
      <c r="AA1353" s="25"/>
      <c r="AB1353" s="25"/>
      <c r="AC1353" s="25"/>
      <c r="AD1353" s="25"/>
      <c r="AE1353" s="25"/>
    </row>
    <row r="1354" spans="4:31" x14ac:dyDescent="0.2">
      <c r="D1354" s="25"/>
      <c r="E1354" s="25"/>
      <c r="F1354" s="25"/>
      <c r="G1354" s="25"/>
      <c r="H1354" s="25"/>
      <c r="I1354" s="25"/>
      <c r="J1354" s="25"/>
      <c r="K1354" s="25"/>
      <c r="L1354" s="25"/>
      <c r="M1354" s="25"/>
      <c r="N1354" s="25"/>
      <c r="O1354" s="25"/>
      <c r="P1354" s="25"/>
      <c r="Q1354" s="25"/>
      <c r="R1354" s="25"/>
      <c r="S1354" s="25"/>
      <c r="T1354" s="25"/>
      <c r="U1354" s="25"/>
      <c r="V1354" s="25"/>
      <c r="W1354" s="25"/>
      <c r="X1354" s="25"/>
      <c r="Y1354" s="25"/>
      <c r="Z1354" s="25"/>
      <c r="AA1354" s="25"/>
      <c r="AB1354" s="25"/>
      <c r="AC1354" s="25"/>
      <c r="AD1354" s="25"/>
      <c r="AE1354" s="25"/>
    </row>
    <row r="1355" spans="4:31" x14ac:dyDescent="0.2">
      <c r="D1355" s="25"/>
      <c r="E1355" s="25"/>
      <c r="F1355" s="25"/>
      <c r="G1355" s="25"/>
      <c r="H1355" s="25"/>
      <c r="I1355" s="25"/>
      <c r="J1355" s="25"/>
      <c r="K1355" s="25"/>
      <c r="L1355" s="25"/>
      <c r="M1355" s="25"/>
      <c r="N1355" s="25"/>
      <c r="O1355" s="25"/>
      <c r="P1355" s="25"/>
      <c r="Q1355" s="25"/>
      <c r="R1355" s="25"/>
      <c r="S1355" s="25"/>
      <c r="T1355" s="25"/>
      <c r="U1355" s="25"/>
      <c r="V1355" s="25"/>
      <c r="W1355" s="25"/>
      <c r="X1355" s="25"/>
      <c r="Y1355" s="25"/>
      <c r="Z1355" s="25"/>
      <c r="AA1355" s="25"/>
      <c r="AB1355" s="25"/>
      <c r="AC1355" s="25"/>
      <c r="AD1355" s="25"/>
      <c r="AE1355" s="25"/>
    </row>
    <row r="1356" spans="4:31" x14ac:dyDescent="0.2">
      <c r="D1356" s="25"/>
      <c r="E1356" s="25"/>
      <c r="F1356" s="25"/>
      <c r="G1356" s="25"/>
      <c r="H1356" s="25"/>
      <c r="I1356" s="25"/>
      <c r="J1356" s="25"/>
      <c r="K1356" s="25"/>
      <c r="L1356" s="25"/>
      <c r="M1356" s="25"/>
      <c r="N1356" s="25"/>
      <c r="O1356" s="25"/>
      <c r="P1356" s="25"/>
      <c r="Q1356" s="25"/>
      <c r="R1356" s="25"/>
      <c r="S1356" s="25"/>
      <c r="T1356" s="25"/>
      <c r="U1356" s="25"/>
      <c r="V1356" s="25"/>
      <c r="W1356" s="25"/>
      <c r="X1356" s="25"/>
      <c r="Y1356" s="25"/>
      <c r="Z1356" s="25"/>
      <c r="AA1356" s="25"/>
      <c r="AB1356" s="25"/>
      <c r="AC1356" s="25"/>
      <c r="AD1356" s="25"/>
      <c r="AE1356" s="25"/>
    </row>
    <row r="1357" spans="4:31" x14ac:dyDescent="0.2">
      <c r="D1357" s="25"/>
      <c r="E1357" s="25"/>
      <c r="F1357" s="25"/>
      <c r="G1357" s="25"/>
      <c r="H1357" s="25"/>
      <c r="I1357" s="25"/>
      <c r="J1357" s="25"/>
      <c r="K1357" s="25"/>
      <c r="L1357" s="25"/>
      <c r="M1357" s="25"/>
      <c r="N1357" s="25"/>
      <c r="O1357" s="25"/>
      <c r="P1357" s="25"/>
      <c r="Q1357" s="25"/>
      <c r="R1357" s="25"/>
      <c r="S1357" s="25"/>
      <c r="T1357" s="25"/>
      <c r="U1357" s="25"/>
      <c r="V1357" s="25"/>
      <c r="W1357" s="25"/>
      <c r="X1357" s="25"/>
      <c r="Y1357" s="25"/>
      <c r="Z1357" s="25"/>
      <c r="AA1357" s="25"/>
      <c r="AB1357" s="25"/>
      <c r="AC1357" s="25"/>
      <c r="AD1357" s="25"/>
      <c r="AE1357" s="25"/>
    </row>
    <row r="1358" spans="4:31" x14ac:dyDescent="0.2">
      <c r="D1358" s="25"/>
      <c r="E1358" s="25"/>
      <c r="F1358" s="25"/>
      <c r="G1358" s="25"/>
      <c r="H1358" s="25"/>
      <c r="I1358" s="25"/>
      <c r="J1358" s="25"/>
      <c r="K1358" s="25"/>
      <c r="L1358" s="25"/>
      <c r="M1358" s="25"/>
      <c r="N1358" s="25"/>
      <c r="O1358" s="25"/>
      <c r="P1358" s="25"/>
      <c r="Q1358" s="25"/>
      <c r="R1358" s="25"/>
      <c r="S1358" s="25"/>
      <c r="T1358" s="25"/>
      <c r="U1358" s="25"/>
      <c r="V1358" s="25"/>
      <c r="W1358" s="25"/>
      <c r="X1358" s="25"/>
      <c r="Y1358" s="25"/>
      <c r="Z1358" s="25"/>
      <c r="AA1358" s="25"/>
      <c r="AB1358" s="25"/>
      <c r="AC1358" s="25"/>
      <c r="AD1358" s="25"/>
      <c r="AE1358" s="25"/>
    </row>
    <row r="1359" spans="4:31" x14ac:dyDescent="0.2">
      <c r="D1359" s="25"/>
      <c r="E1359" s="25"/>
      <c r="F1359" s="25"/>
      <c r="G1359" s="25"/>
      <c r="H1359" s="25"/>
      <c r="I1359" s="25"/>
      <c r="J1359" s="25"/>
      <c r="K1359" s="25"/>
      <c r="L1359" s="25"/>
      <c r="M1359" s="25"/>
      <c r="N1359" s="25"/>
      <c r="O1359" s="25"/>
      <c r="P1359" s="25"/>
      <c r="Q1359" s="25"/>
      <c r="R1359" s="25"/>
      <c r="S1359" s="25"/>
      <c r="T1359" s="25"/>
      <c r="U1359" s="25"/>
      <c r="V1359" s="25"/>
      <c r="W1359" s="25"/>
      <c r="X1359" s="25"/>
      <c r="Y1359" s="25"/>
      <c r="Z1359" s="25"/>
      <c r="AA1359" s="25"/>
      <c r="AB1359" s="25"/>
      <c r="AC1359" s="25"/>
      <c r="AD1359" s="25"/>
      <c r="AE1359" s="25"/>
    </row>
    <row r="1360" spans="4:31" x14ac:dyDescent="0.2">
      <c r="D1360" s="25"/>
      <c r="E1360" s="25"/>
      <c r="F1360" s="25"/>
      <c r="G1360" s="25"/>
      <c r="H1360" s="25"/>
      <c r="I1360" s="25"/>
      <c r="J1360" s="25"/>
      <c r="K1360" s="25"/>
      <c r="L1360" s="25"/>
      <c r="M1360" s="25"/>
      <c r="N1360" s="25"/>
      <c r="O1360" s="25"/>
      <c r="P1360" s="25"/>
      <c r="Q1360" s="25"/>
      <c r="R1360" s="25"/>
      <c r="S1360" s="25"/>
      <c r="T1360" s="25"/>
      <c r="U1360" s="25"/>
      <c r="V1360" s="25"/>
      <c r="W1360" s="25"/>
      <c r="X1360" s="25"/>
      <c r="Y1360" s="25"/>
      <c r="Z1360" s="25"/>
      <c r="AA1360" s="25"/>
      <c r="AB1360" s="25"/>
      <c r="AC1360" s="25"/>
      <c r="AD1360" s="25"/>
      <c r="AE1360" s="25"/>
    </row>
    <row r="1361" spans="4:31" x14ac:dyDescent="0.2">
      <c r="D1361" s="25"/>
      <c r="E1361" s="25"/>
      <c r="F1361" s="25"/>
      <c r="G1361" s="25"/>
      <c r="H1361" s="25"/>
      <c r="I1361" s="25"/>
      <c r="J1361" s="25"/>
      <c r="K1361" s="25"/>
      <c r="L1361" s="25"/>
      <c r="M1361" s="25"/>
      <c r="N1361" s="25"/>
      <c r="O1361" s="25"/>
      <c r="P1361" s="25"/>
      <c r="Q1361" s="25"/>
      <c r="R1361" s="25"/>
      <c r="S1361" s="25"/>
      <c r="T1361" s="25"/>
      <c r="U1361" s="25"/>
      <c r="V1361" s="25"/>
      <c r="W1361" s="25"/>
      <c r="X1361" s="25"/>
      <c r="Y1361" s="25"/>
      <c r="Z1361" s="25"/>
      <c r="AA1361" s="25"/>
      <c r="AB1361" s="25"/>
      <c r="AC1361" s="25"/>
      <c r="AD1361" s="25"/>
      <c r="AE1361" s="25"/>
    </row>
    <row r="1362" spans="4:31" x14ac:dyDescent="0.2">
      <c r="D1362" s="25"/>
      <c r="E1362" s="25"/>
      <c r="F1362" s="25"/>
      <c r="G1362" s="25"/>
      <c r="H1362" s="25"/>
      <c r="I1362" s="25"/>
      <c r="J1362" s="25"/>
      <c r="K1362" s="25"/>
      <c r="L1362" s="25"/>
      <c r="M1362" s="25"/>
      <c r="N1362" s="25"/>
      <c r="O1362" s="25"/>
      <c r="AC1362" s="25"/>
      <c r="AD1362" s="25"/>
      <c r="AE1362" s="25"/>
    </row>
    <row r="1363" spans="4:31" x14ac:dyDescent="0.2">
      <c r="D1363" s="25"/>
      <c r="E1363" s="25"/>
      <c r="F1363" s="25"/>
      <c r="G1363" s="25"/>
      <c r="H1363" s="25"/>
      <c r="I1363" s="25"/>
      <c r="J1363" s="25"/>
      <c r="K1363" s="25"/>
      <c r="L1363" s="25"/>
      <c r="M1363" s="25"/>
      <c r="N1363" s="25"/>
      <c r="O1363" s="25"/>
      <c r="AC1363" s="25"/>
      <c r="AD1363" s="25"/>
      <c r="AE1363" s="25"/>
    </row>
    <row r="1364" spans="4:31" x14ac:dyDescent="0.2">
      <c r="D1364" s="25"/>
      <c r="E1364" s="25"/>
      <c r="F1364" s="25"/>
      <c r="G1364" s="25"/>
      <c r="H1364" s="25"/>
      <c r="I1364" s="25"/>
      <c r="J1364" s="25"/>
      <c r="K1364" s="25"/>
      <c r="L1364" s="25"/>
      <c r="M1364" s="25"/>
      <c r="N1364" s="25"/>
      <c r="O1364" s="25"/>
      <c r="AC1364" s="25"/>
      <c r="AD1364" s="25"/>
      <c r="AE1364" s="25"/>
    </row>
    <row r="1365" spans="4:31" x14ac:dyDescent="0.2">
      <c r="D1365" s="25"/>
      <c r="E1365" s="25"/>
      <c r="F1365" s="25"/>
      <c r="G1365" s="25"/>
      <c r="H1365" s="25"/>
      <c r="I1365" s="25"/>
      <c r="J1365" s="25"/>
      <c r="K1365" s="25"/>
      <c r="L1365" s="25"/>
      <c r="M1365" s="25"/>
      <c r="N1365" s="25"/>
      <c r="O1365" s="25"/>
      <c r="AC1365" s="25"/>
      <c r="AD1365" s="25"/>
      <c r="AE1365" s="25"/>
    </row>
    <row r="1366" spans="4:31" x14ac:dyDescent="0.2">
      <c r="D1366" s="25"/>
      <c r="E1366" s="25"/>
      <c r="F1366" s="25"/>
      <c r="G1366" s="25"/>
      <c r="H1366" s="25"/>
      <c r="I1366" s="25"/>
      <c r="J1366" s="25"/>
      <c r="K1366" s="25"/>
      <c r="L1366" s="25"/>
      <c r="M1366" s="25"/>
      <c r="N1366" s="25"/>
      <c r="O1366" s="25"/>
      <c r="AC1366" s="25"/>
      <c r="AD1366" s="25"/>
      <c r="AE1366" s="25"/>
    </row>
    <row r="1367" spans="4:31" x14ac:dyDescent="0.2">
      <c r="D1367" s="25"/>
      <c r="E1367" s="25"/>
      <c r="F1367" s="25"/>
      <c r="G1367" s="25"/>
      <c r="H1367" s="25"/>
      <c r="I1367" s="25"/>
      <c r="J1367" s="25"/>
      <c r="K1367" s="25"/>
      <c r="L1367" s="25"/>
      <c r="M1367" s="25"/>
      <c r="N1367" s="25"/>
      <c r="O1367" s="25"/>
      <c r="AC1367" s="25"/>
      <c r="AD1367" s="25"/>
      <c r="AE1367" s="25"/>
    </row>
    <row r="1368" spans="4:31" x14ac:dyDescent="0.2">
      <c r="D1368" s="25"/>
      <c r="E1368" s="25"/>
      <c r="F1368" s="25"/>
      <c r="G1368" s="25"/>
      <c r="H1368" s="25"/>
      <c r="I1368" s="25"/>
      <c r="J1368" s="25"/>
      <c r="K1368" s="25"/>
      <c r="L1368" s="25"/>
      <c r="M1368" s="25"/>
      <c r="N1368" s="25"/>
      <c r="O1368" s="25"/>
      <c r="AC1368" s="25"/>
      <c r="AD1368" s="25"/>
      <c r="AE1368" s="25"/>
    </row>
    <row r="1369" spans="4:31" x14ac:dyDescent="0.2">
      <c r="D1369" s="25"/>
      <c r="E1369" s="25"/>
      <c r="F1369" s="25"/>
      <c r="G1369" s="25"/>
      <c r="H1369" s="25"/>
      <c r="I1369" s="25"/>
      <c r="J1369" s="25"/>
      <c r="K1369" s="25"/>
      <c r="L1369" s="25"/>
      <c r="M1369" s="25"/>
      <c r="N1369" s="25"/>
      <c r="O1369" s="25"/>
      <c r="AC1369" s="25"/>
      <c r="AD1369" s="25"/>
      <c r="AE1369" s="25"/>
    </row>
    <row r="1370" spans="4:31" x14ac:dyDescent="0.2">
      <c r="D1370" s="25"/>
      <c r="E1370" s="25"/>
      <c r="F1370" s="25"/>
      <c r="G1370" s="25"/>
      <c r="H1370" s="25"/>
      <c r="I1370" s="25"/>
      <c r="J1370" s="25"/>
      <c r="K1370" s="25"/>
      <c r="L1370" s="25"/>
      <c r="M1370" s="25"/>
      <c r="N1370" s="25"/>
      <c r="O1370" s="25"/>
      <c r="AC1370" s="25"/>
      <c r="AD1370" s="25"/>
      <c r="AE1370" s="25"/>
    </row>
    <row r="1371" spans="4:31" x14ac:dyDescent="0.2">
      <c r="D1371" s="25"/>
      <c r="E1371" s="25"/>
      <c r="F1371" s="25"/>
      <c r="G1371" s="25"/>
      <c r="H1371" s="25"/>
      <c r="I1371" s="25"/>
      <c r="J1371" s="25"/>
      <c r="K1371" s="25"/>
      <c r="L1371" s="25"/>
      <c r="M1371" s="25"/>
      <c r="N1371" s="25"/>
      <c r="O1371" s="25"/>
      <c r="AC1371" s="25"/>
      <c r="AD1371" s="25"/>
      <c r="AE1371" s="25"/>
    </row>
    <row r="1372" spans="4:31" x14ac:dyDescent="0.2">
      <c r="D1372" s="25"/>
      <c r="E1372" s="25"/>
      <c r="F1372" s="25"/>
      <c r="G1372" s="25"/>
      <c r="H1372" s="25"/>
      <c r="I1372" s="25"/>
      <c r="J1372" s="25"/>
      <c r="K1372" s="25"/>
      <c r="L1372" s="25"/>
      <c r="M1372" s="25"/>
      <c r="N1372" s="25"/>
      <c r="O1372" s="25"/>
      <c r="AC1372" s="25"/>
      <c r="AD1372" s="25"/>
      <c r="AE1372" s="25"/>
    </row>
    <row r="1373" spans="4:31" x14ac:dyDescent="0.2">
      <c r="D1373" s="25"/>
      <c r="E1373" s="25"/>
      <c r="F1373" s="25"/>
      <c r="G1373" s="25"/>
      <c r="H1373" s="25"/>
      <c r="I1373" s="25"/>
      <c r="J1373" s="25"/>
      <c r="K1373" s="25"/>
      <c r="L1373" s="25"/>
      <c r="M1373" s="25"/>
      <c r="N1373" s="25"/>
      <c r="O1373" s="25"/>
      <c r="AC1373" s="25"/>
      <c r="AD1373" s="25"/>
      <c r="AE1373" s="25"/>
    </row>
    <row r="1374" spans="4:31" x14ac:dyDescent="0.2">
      <c r="D1374" s="25"/>
      <c r="E1374" s="25"/>
      <c r="F1374" s="25"/>
      <c r="G1374" s="25"/>
      <c r="H1374" s="25"/>
      <c r="I1374" s="25"/>
      <c r="J1374" s="25"/>
      <c r="K1374" s="25"/>
      <c r="L1374" s="25"/>
      <c r="M1374" s="25"/>
      <c r="N1374" s="25"/>
      <c r="O1374" s="25"/>
      <c r="AC1374" s="25"/>
      <c r="AD1374" s="25"/>
      <c r="AE1374" s="25"/>
    </row>
    <row r="1375" spans="4:31" x14ac:dyDescent="0.2">
      <c r="D1375" s="25"/>
      <c r="E1375" s="25"/>
      <c r="F1375" s="25"/>
      <c r="G1375" s="25"/>
      <c r="H1375" s="25"/>
      <c r="I1375" s="25"/>
      <c r="J1375" s="25"/>
      <c r="K1375" s="25"/>
      <c r="L1375" s="25"/>
      <c r="M1375" s="25"/>
      <c r="N1375" s="25"/>
      <c r="O1375" s="25"/>
      <c r="AC1375" s="25"/>
      <c r="AD1375" s="25"/>
      <c r="AE1375" s="25"/>
    </row>
    <row r="1376" spans="4:31" x14ac:dyDescent="0.2">
      <c r="D1376" s="25"/>
      <c r="E1376" s="25"/>
      <c r="F1376" s="25"/>
      <c r="G1376" s="25"/>
      <c r="H1376" s="25"/>
      <c r="I1376" s="25"/>
      <c r="J1376" s="25"/>
      <c r="K1376" s="25"/>
      <c r="L1376" s="25"/>
      <c r="M1376" s="25"/>
      <c r="N1376" s="25"/>
      <c r="O1376" s="25"/>
      <c r="AC1376" s="25"/>
      <c r="AD1376" s="25"/>
      <c r="AE1376" s="25"/>
    </row>
    <row r="1377" spans="4:31" x14ac:dyDescent="0.2">
      <c r="D1377" s="25"/>
      <c r="E1377" s="25"/>
      <c r="F1377" s="25"/>
      <c r="G1377" s="25"/>
      <c r="H1377" s="25"/>
      <c r="I1377" s="25"/>
      <c r="J1377" s="25"/>
      <c r="K1377" s="25"/>
      <c r="L1377" s="25"/>
      <c r="M1377" s="25"/>
      <c r="N1377" s="25"/>
      <c r="O1377" s="25"/>
      <c r="AC1377" s="25"/>
      <c r="AD1377" s="25"/>
      <c r="AE1377" s="25"/>
    </row>
    <row r="1378" spans="4:31" x14ac:dyDescent="0.2">
      <c r="D1378" s="25"/>
      <c r="E1378" s="25"/>
      <c r="F1378" s="25"/>
      <c r="G1378" s="25"/>
      <c r="H1378" s="25"/>
      <c r="I1378" s="25"/>
      <c r="J1378" s="25"/>
      <c r="K1378" s="25"/>
      <c r="L1378" s="25"/>
      <c r="M1378" s="25"/>
      <c r="N1378" s="25"/>
      <c r="O1378" s="25"/>
      <c r="AC1378" s="25"/>
      <c r="AD1378" s="25"/>
      <c r="AE1378" s="25"/>
    </row>
    <row r="1379" spans="4:31" x14ac:dyDescent="0.2">
      <c r="D1379" s="25"/>
      <c r="E1379" s="25"/>
      <c r="F1379" s="25"/>
      <c r="G1379" s="25"/>
      <c r="H1379" s="25"/>
      <c r="I1379" s="25"/>
      <c r="J1379" s="25"/>
      <c r="K1379" s="25"/>
      <c r="L1379" s="25"/>
      <c r="M1379" s="25"/>
      <c r="N1379" s="25"/>
      <c r="O1379" s="25"/>
      <c r="AC1379" s="25"/>
      <c r="AD1379" s="25"/>
      <c r="AE1379" s="25"/>
    </row>
    <row r="1380" spans="4:31" x14ac:dyDescent="0.2">
      <c r="D1380" s="25"/>
      <c r="E1380" s="25"/>
      <c r="F1380" s="25"/>
      <c r="G1380" s="25"/>
      <c r="H1380" s="25"/>
      <c r="I1380" s="25"/>
      <c r="J1380" s="25"/>
      <c r="K1380" s="25"/>
      <c r="L1380" s="25"/>
      <c r="M1380" s="25"/>
      <c r="N1380" s="25"/>
      <c r="O1380" s="25"/>
      <c r="AC1380" s="25"/>
      <c r="AD1380" s="25"/>
      <c r="AE1380" s="25"/>
    </row>
    <row r="1381" spans="4:31" x14ac:dyDescent="0.2">
      <c r="D1381" s="25"/>
      <c r="E1381" s="25"/>
      <c r="F1381" s="25"/>
      <c r="G1381" s="25"/>
      <c r="H1381" s="25"/>
      <c r="I1381" s="25"/>
      <c r="J1381" s="25"/>
      <c r="K1381" s="25"/>
      <c r="L1381" s="25"/>
      <c r="M1381" s="25"/>
      <c r="N1381" s="25"/>
      <c r="O1381" s="25"/>
      <c r="AC1381" s="25"/>
      <c r="AD1381" s="25"/>
      <c r="AE1381" s="25"/>
    </row>
    <row r="1382" spans="4:31" x14ac:dyDescent="0.2">
      <c r="D1382" s="25"/>
      <c r="E1382" s="25"/>
      <c r="F1382" s="25"/>
      <c r="G1382" s="25"/>
      <c r="H1382" s="25"/>
      <c r="I1382" s="25"/>
      <c r="J1382" s="25"/>
      <c r="K1382" s="25"/>
      <c r="L1382" s="25"/>
      <c r="M1382" s="25"/>
      <c r="N1382" s="25"/>
      <c r="O1382" s="25"/>
      <c r="AC1382" s="25"/>
      <c r="AD1382" s="25"/>
      <c r="AE1382" s="25"/>
    </row>
    <row r="1383" spans="4:31" x14ac:dyDescent="0.2">
      <c r="D1383" s="25"/>
      <c r="E1383" s="25"/>
      <c r="F1383" s="25"/>
      <c r="G1383" s="25"/>
      <c r="H1383" s="25"/>
      <c r="I1383" s="25"/>
      <c r="J1383" s="25"/>
      <c r="K1383" s="25"/>
      <c r="L1383" s="25"/>
      <c r="M1383" s="25"/>
      <c r="N1383" s="25"/>
      <c r="O1383" s="25"/>
      <c r="AC1383" s="25"/>
      <c r="AD1383" s="25"/>
      <c r="AE1383" s="25"/>
    </row>
    <row r="1384" spans="4:31" x14ac:dyDescent="0.2">
      <c r="D1384" s="25"/>
      <c r="E1384" s="25"/>
      <c r="F1384" s="25"/>
      <c r="G1384" s="25"/>
      <c r="H1384" s="25"/>
      <c r="I1384" s="25"/>
      <c r="J1384" s="25"/>
      <c r="K1384" s="25"/>
      <c r="L1384" s="25"/>
      <c r="M1384" s="25"/>
      <c r="N1384" s="25"/>
      <c r="O1384" s="25"/>
      <c r="AC1384" s="25"/>
      <c r="AD1384" s="25"/>
      <c r="AE1384" s="25"/>
    </row>
    <row r="1385" spans="4:31" x14ac:dyDescent="0.2">
      <c r="D1385" s="25"/>
      <c r="E1385" s="25"/>
      <c r="F1385" s="25"/>
      <c r="G1385" s="25"/>
      <c r="H1385" s="25"/>
      <c r="I1385" s="25"/>
      <c r="J1385" s="25"/>
      <c r="K1385" s="25"/>
      <c r="L1385" s="25"/>
      <c r="M1385" s="25"/>
      <c r="N1385" s="25"/>
      <c r="O1385" s="25"/>
      <c r="AC1385" s="25"/>
      <c r="AD1385" s="25"/>
      <c r="AE1385" s="25"/>
    </row>
    <row r="1386" spans="4:31" x14ac:dyDescent="0.2">
      <c r="D1386" s="25"/>
      <c r="E1386" s="25"/>
      <c r="F1386" s="25"/>
      <c r="G1386" s="25"/>
      <c r="H1386" s="25"/>
      <c r="I1386" s="25"/>
      <c r="J1386" s="25"/>
      <c r="K1386" s="25"/>
      <c r="L1386" s="25"/>
      <c r="M1386" s="25"/>
      <c r="N1386" s="25"/>
      <c r="O1386" s="25"/>
      <c r="AC1386" s="25"/>
      <c r="AD1386" s="25"/>
      <c r="AE1386" s="25"/>
    </row>
    <row r="1387" spans="4:31" x14ac:dyDescent="0.2">
      <c r="D1387" s="25"/>
      <c r="E1387" s="25"/>
      <c r="F1387" s="25"/>
      <c r="G1387" s="25"/>
      <c r="H1387" s="25"/>
      <c r="I1387" s="25"/>
      <c r="J1387" s="25"/>
      <c r="K1387" s="25"/>
      <c r="L1387" s="25"/>
      <c r="M1387" s="25"/>
      <c r="N1387" s="25"/>
      <c r="O1387" s="25"/>
      <c r="AC1387" s="25"/>
      <c r="AD1387" s="25"/>
      <c r="AE1387" s="25"/>
    </row>
    <row r="1388" spans="4:31" x14ac:dyDescent="0.2">
      <c r="D1388" s="25"/>
      <c r="E1388" s="25"/>
      <c r="F1388" s="25"/>
      <c r="G1388" s="25"/>
      <c r="H1388" s="25"/>
      <c r="I1388" s="25"/>
      <c r="J1388" s="25"/>
      <c r="K1388" s="25"/>
      <c r="L1388" s="25"/>
      <c r="M1388" s="25"/>
      <c r="N1388" s="25"/>
      <c r="O1388" s="25"/>
      <c r="AC1388" s="25"/>
      <c r="AD1388" s="25"/>
      <c r="AE1388" s="25"/>
    </row>
    <row r="1389" spans="4:31" x14ac:dyDescent="0.2">
      <c r="D1389" s="25"/>
      <c r="E1389" s="25"/>
      <c r="F1389" s="25"/>
      <c r="G1389" s="25"/>
      <c r="H1389" s="25"/>
      <c r="I1389" s="25"/>
      <c r="J1389" s="25"/>
      <c r="K1389" s="25"/>
      <c r="L1389" s="25"/>
      <c r="M1389" s="25"/>
      <c r="N1389" s="25"/>
      <c r="O1389" s="25"/>
      <c r="AC1389" s="25"/>
      <c r="AD1389" s="25"/>
      <c r="AE1389" s="25"/>
    </row>
    <row r="1390" spans="4:31" x14ac:dyDescent="0.2">
      <c r="D1390" s="25"/>
      <c r="E1390" s="25"/>
      <c r="F1390" s="25"/>
      <c r="G1390" s="25"/>
      <c r="H1390" s="25"/>
      <c r="I1390" s="25"/>
      <c r="J1390" s="25"/>
      <c r="K1390" s="25"/>
      <c r="L1390" s="25"/>
      <c r="M1390" s="25"/>
      <c r="N1390" s="25"/>
      <c r="O1390" s="25"/>
      <c r="AC1390" s="25"/>
      <c r="AD1390" s="25"/>
      <c r="AE1390" s="25"/>
    </row>
    <row r="1391" spans="4:31" x14ac:dyDescent="0.2">
      <c r="D1391" s="25"/>
      <c r="E1391" s="25"/>
      <c r="F1391" s="25"/>
      <c r="G1391" s="25"/>
      <c r="H1391" s="25"/>
      <c r="I1391" s="25"/>
      <c r="J1391" s="25"/>
      <c r="K1391" s="25"/>
      <c r="L1391" s="25"/>
      <c r="M1391" s="25"/>
      <c r="N1391" s="25"/>
      <c r="O1391" s="25"/>
      <c r="AC1391" s="25"/>
      <c r="AD1391" s="25"/>
      <c r="AE1391" s="25"/>
    </row>
    <row r="1392" spans="4:31" x14ac:dyDescent="0.2">
      <c r="D1392" s="25"/>
      <c r="E1392" s="25"/>
      <c r="F1392" s="25"/>
      <c r="G1392" s="25"/>
      <c r="H1392" s="25"/>
      <c r="I1392" s="25"/>
      <c r="J1392" s="25"/>
      <c r="K1392" s="25"/>
      <c r="L1392" s="25"/>
      <c r="M1392" s="25"/>
      <c r="N1392" s="25"/>
      <c r="O1392" s="25"/>
      <c r="AC1392" s="25"/>
      <c r="AD1392" s="25"/>
      <c r="AE1392" s="25"/>
    </row>
    <row r="1393" spans="4:31" x14ac:dyDescent="0.2">
      <c r="D1393" s="25"/>
      <c r="E1393" s="25"/>
      <c r="F1393" s="25"/>
      <c r="G1393" s="25"/>
      <c r="H1393" s="25"/>
      <c r="I1393" s="25"/>
      <c r="J1393" s="25"/>
      <c r="K1393" s="25"/>
      <c r="L1393" s="25"/>
      <c r="M1393" s="25"/>
      <c r="N1393" s="25"/>
      <c r="O1393" s="25"/>
      <c r="AC1393" s="25"/>
      <c r="AD1393" s="25"/>
      <c r="AE1393" s="25"/>
    </row>
    <row r="1394" spans="4:31" x14ac:dyDescent="0.2">
      <c r="D1394" s="25"/>
      <c r="E1394" s="25"/>
      <c r="F1394" s="25"/>
      <c r="G1394" s="25"/>
      <c r="H1394" s="25"/>
      <c r="I1394" s="25"/>
      <c r="J1394" s="25"/>
      <c r="K1394" s="25"/>
      <c r="L1394" s="25"/>
      <c r="M1394" s="25"/>
      <c r="N1394" s="25"/>
      <c r="O1394" s="25"/>
      <c r="AC1394" s="25"/>
      <c r="AD1394" s="25"/>
      <c r="AE1394" s="25"/>
    </row>
    <row r="1395" spans="4:31" x14ac:dyDescent="0.2">
      <c r="D1395" s="25"/>
      <c r="E1395" s="25"/>
      <c r="F1395" s="25"/>
      <c r="G1395" s="25"/>
      <c r="H1395" s="25"/>
      <c r="I1395" s="25"/>
      <c r="J1395" s="25"/>
      <c r="K1395" s="25"/>
      <c r="L1395" s="25"/>
      <c r="M1395" s="25"/>
      <c r="N1395" s="25"/>
      <c r="O1395" s="25"/>
      <c r="AC1395" s="25"/>
      <c r="AD1395" s="25"/>
      <c r="AE1395" s="25"/>
    </row>
    <row r="1396" spans="4:31" x14ac:dyDescent="0.2">
      <c r="D1396" s="25"/>
      <c r="E1396" s="25"/>
      <c r="F1396" s="25"/>
      <c r="G1396" s="25"/>
      <c r="H1396" s="25"/>
      <c r="I1396" s="25"/>
      <c r="J1396" s="25"/>
      <c r="K1396" s="25"/>
      <c r="L1396" s="25"/>
      <c r="M1396" s="25"/>
      <c r="N1396" s="25"/>
      <c r="O1396" s="25"/>
      <c r="AC1396" s="25"/>
      <c r="AD1396" s="25"/>
      <c r="AE1396" s="25"/>
    </row>
    <row r="1397" spans="4:31" x14ac:dyDescent="0.2">
      <c r="D1397" s="25"/>
      <c r="E1397" s="25"/>
      <c r="F1397" s="25"/>
      <c r="G1397" s="25"/>
      <c r="H1397" s="25"/>
      <c r="I1397" s="25"/>
      <c r="J1397" s="25"/>
      <c r="K1397" s="25"/>
      <c r="L1397" s="25"/>
      <c r="M1397" s="25"/>
      <c r="N1397" s="25"/>
      <c r="O1397" s="25"/>
      <c r="AC1397" s="25"/>
      <c r="AD1397" s="25"/>
      <c r="AE1397" s="25"/>
    </row>
    <row r="1398" spans="4:31" x14ac:dyDescent="0.2">
      <c r="D1398" s="25"/>
      <c r="E1398" s="25"/>
      <c r="F1398" s="25"/>
      <c r="G1398" s="25"/>
      <c r="H1398" s="25"/>
      <c r="I1398" s="25"/>
      <c r="J1398" s="25"/>
      <c r="K1398" s="25"/>
      <c r="L1398" s="25"/>
      <c r="M1398" s="25"/>
      <c r="N1398" s="25"/>
      <c r="O1398" s="25"/>
      <c r="AC1398" s="25"/>
      <c r="AD1398" s="25"/>
      <c r="AE1398" s="25"/>
    </row>
    <row r="1399" spans="4:31" x14ac:dyDescent="0.2">
      <c r="D1399" s="25"/>
      <c r="E1399" s="25"/>
      <c r="F1399" s="25"/>
      <c r="G1399" s="25"/>
      <c r="H1399" s="25"/>
      <c r="I1399" s="25"/>
      <c r="J1399" s="25"/>
      <c r="K1399" s="25"/>
      <c r="L1399" s="25"/>
      <c r="M1399" s="25"/>
      <c r="N1399" s="25"/>
      <c r="O1399" s="25"/>
      <c r="AC1399" s="25"/>
      <c r="AD1399" s="25"/>
      <c r="AE1399" s="25"/>
    </row>
    <row r="1400" spans="4:31" x14ac:dyDescent="0.2">
      <c r="D1400" s="25"/>
      <c r="E1400" s="25"/>
      <c r="F1400" s="25"/>
      <c r="G1400" s="25"/>
      <c r="H1400" s="25"/>
      <c r="I1400" s="25"/>
      <c r="J1400" s="25"/>
      <c r="K1400" s="25"/>
      <c r="L1400" s="25"/>
      <c r="M1400" s="25"/>
      <c r="N1400" s="25"/>
      <c r="O1400" s="25"/>
      <c r="AC1400" s="25"/>
      <c r="AD1400" s="25"/>
      <c r="AE1400" s="25"/>
    </row>
    <row r="1401" spans="4:31" x14ac:dyDescent="0.2">
      <c r="D1401" s="25"/>
      <c r="E1401" s="25"/>
      <c r="F1401" s="25"/>
      <c r="G1401" s="25"/>
      <c r="H1401" s="25"/>
      <c r="I1401" s="25"/>
      <c r="J1401" s="25"/>
      <c r="K1401" s="25"/>
      <c r="L1401" s="25"/>
      <c r="M1401" s="25"/>
      <c r="N1401" s="25"/>
      <c r="O1401" s="25"/>
      <c r="AC1401" s="25"/>
      <c r="AD1401" s="25"/>
      <c r="AE1401" s="25"/>
    </row>
    <row r="1402" spans="4:31" x14ac:dyDescent="0.2">
      <c r="D1402" s="25"/>
      <c r="E1402" s="25"/>
      <c r="F1402" s="25"/>
      <c r="G1402" s="25"/>
      <c r="H1402" s="25"/>
      <c r="I1402" s="25"/>
      <c r="J1402" s="25"/>
      <c r="K1402" s="25"/>
      <c r="L1402" s="25"/>
      <c r="M1402" s="25"/>
      <c r="N1402" s="25"/>
      <c r="O1402" s="25"/>
      <c r="AC1402" s="25"/>
      <c r="AD1402" s="25"/>
      <c r="AE1402" s="25"/>
    </row>
    <row r="1403" spans="4:31" x14ac:dyDescent="0.2">
      <c r="D1403" s="25"/>
      <c r="E1403" s="25"/>
      <c r="F1403" s="25"/>
      <c r="G1403" s="25"/>
      <c r="H1403" s="25"/>
      <c r="I1403" s="25"/>
      <c r="J1403" s="25"/>
      <c r="K1403" s="25"/>
      <c r="L1403" s="25"/>
      <c r="M1403" s="25"/>
      <c r="N1403" s="25"/>
      <c r="O1403" s="25"/>
      <c r="AC1403" s="25"/>
      <c r="AD1403" s="25"/>
      <c r="AE1403" s="25"/>
    </row>
    <row r="1404" spans="4:31" x14ac:dyDescent="0.2">
      <c r="D1404" s="25"/>
      <c r="E1404" s="25"/>
      <c r="F1404" s="25"/>
      <c r="G1404" s="25"/>
      <c r="H1404" s="25"/>
      <c r="I1404" s="25"/>
      <c r="J1404" s="25"/>
      <c r="K1404" s="25"/>
      <c r="L1404" s="25"/>
      <c r="M1404" s="25"/>
      <c r="N1404" s="25"/>
      <c r="O1404" s="25"/>
      <c r="AC1404" s="25"/>
      <c r="AD1404" s="25"/>
      <c r="AE1404" s="25"/>
    </row>
    <row r="1405" spans="4:31" x14ac:dyDescent="0.2">
      <c r="D1405" s="25"/>
      <c r="E1405" s="25"/>
      <c r="F1405" s="25"/>
      <c r="G1405" s="25"/>
      <c r="H1405" s="25"/>
      <c r="I1405" s="25"/>
      <c r="J1405" s="25"/>
      <c r="K1405" s="25"/>
      <c r="L1405" s="25"/>
      <c r="M1405" s="25"/>
      <c r="N1405" s="25"/>
      <c r="O1405" s="25"/>
      <c r="AC1405" s="25"/>
      <c r="AD1405" s="25"/>
      <c r="AE1405" s="25"/>
    </row>
    <row r="1406" spans="4:31" x14ac:dyDescent="0.2">
      <c r="D1406" s="25"/>
      <c r="E1406" s="25"/>
      <c r="F1406" s="25"/>
      <c r="G1406" s="25"/>
      <c r="H1406" s="25"/>
      <c r="I1406" s="25"/>
      <c r="J1406" s="25"/>
      <c r="K1406" s="25"/>
      <c r="L1406" s="25"/>
      <c r="M1406" s="25"/>
      <c r="N1406" s="25"/>
      <c r="O1406" s="25"/>
      <c r="AC1406" s="25"/>
      <c r="AD1406" s="25"/>
      <c r="AE1406" s="25"/>
    </row>
    <row r="1407" spans="4:31" x14ac:dyDescent="0.2">
      <c r="D1407" s="25"/>
      <c r="E1407" s="25"/>
      <c r="F1407" s="25"/>
      <c r="G1407" s="25"/>
      <c r="H1407" s="25"/>
      <c r="I1407" s="25"/>
      <c r="J1407" s="25"/>
      <c r="K1407" s="25"/>
      <c r="L1407" s="25"/>
      <c r="M1407" s="25"/>
      <c r="N1407" s="25"/>
      <c r="O1407" s="25"/>
      <c r="AC1407" s="25"/>
      <c r="AD1407" s="25"/>
      <c r="AE1407" s="25"/>
    </row>
  </sheetData>
  <sheetProtection algorithmName="SHA-512" hashValue="epws6REHQn3aJcs8CQIO1do4I0SZOsfS4x3Yj6nb/Y9ejTogiWdNxj6LDRsm0iSG4ZZ6ojwUpjCw4J65xBMvGw==" saltValue="DY6Px3csGig5Qpk6GILDyA==" spinCount="100000" sheet="1" objects="1" scenarios="1"/>
  <phoneticPr fontId="0" type="noConversion"/>
  <dataValidations disablePrompts="1" count="1">
    <dataValidation type="list" allowBlank="1" showInputMessage="1" showErrorMessage="1" sqref="H16:L16">
      <formula1>"ja,nee"</formula1>
    </dataValidation>
  </dataValidations>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1" manualBreakCount="1">
    <brk id="80" min="1" max="1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0"/>
  <dimension ref="B1:AN172"/>
  <sheetViews>
    <sheetView showGridLines="0" zoomScale="85" zoomScaleNormal="85" workbookViewId="0">
      <pane ySplit="15" topLeftCell="A16" activePane="bottomLeft" state="frozen"/>
      <selection activeCell="Q1" sqref="Q1:Q1048576"/>
      <selection pane="bottomLeft" activeCell="B2" sqref="B2"/>
    </sheetView>
  </sheetViews>
  <sheetFormatPr defaultColWidth="9.140625" defaultRowHeight="12.75" x14ac:dyDescent="0.2"/>
  <cols>
    <col min="1" max="1" width="3.7109375" style="14" customWidth="1"/>
    <col min="2" max="3" width="2.7109375" style="14" customWidth="1"/>
    <col min="4" max="4" width="9.140625" style="309" customWidth="1"/>
    <col min="5" max="5" width="21.140625" style="21" customWidth="1"/>
    <col min="6" max="6" width="8.7109375" style="22" customWidth="1"/>
    <col min="7" max="7" width="8.7109375" style="310" customWidth="1"/>
    <col min="8" max="9" width="8.7109375" style="311" customWidth="1"/>
    <col min="10" max="10" width="8.7109375" style="24" customWidth="1"/>
    <col min="11" max="11" width="0.85546875" style="14" customWidth="1"/>
    <col min="12" max="16" width="10.85546875" style="311" customWidth="1"/>
    <col min="17" max="17" width="0.85546875" style="14" customWidth="1"/>
    <col min="18" max="18" width="10.85546875" style="205" customWidth="1"/>
    <col min="19" max="19" width="10.85546875" style="174" customWidth="1"/>
    <col min="20" max="20" width="10.85546875" style="588" customWidth="1"/>
    <col min="21" max="22" width="2.7109375" style="14" customWidth="1"/>
    <col min="23" max="23" width="20.7109375" style="14" customWidth="1"/>
    <col min="24" max="24" width="21" style="14" customWidth="1"/>
    <col min="25" max="25" width="11" style="1223" customWidth="1"/>
    <col min="26" max="29" width="10.85546875" style="1221" customWidth="1"/>
    <col min="30" max="30" width="11" style="1221" customWidth="1"/>
    <col min="31" max="31" width="11" style="1224" customWidth="1"/>
    <col min="32" max="32" width="11" style="1225" customWidth="1"/>
    <col min="33" max="33" width="11" style="1226" customWidth="1"/>
    <col min="34" max="34" width="11" style="1227" customWidth="1"/>
    <col min="35" max="35" width="1.5703125" style="1221" customWidth="1"/>
    <col min="36" max="36" width="12.7109375" style="1221" customWidth="1"/>
    <col min="37" max="37" width="12.7109375" style="22" customWidth="1"/>
    <col min="38" max="38" width="12.7109375" style="313" customWidth="1"/>
    <col min="39" max="39" width="12.7109375" style="14" customWidth="1"/>
    <col min="40" max="40" width="1.5703125" style="14" customWidth="1"/>
    <col min="41" max="42" width="10.7109375" style="14" customWidth="1"/>
    <col min="43" max="44" width="2.7109375" style="14" customWidth="1"/>
    <col min="45" max="50" width="9.28515625" style="14" bestFit="1" customWidth="1"/>
    <col min="51" max="16384" width="9.140625" style="14"/>
  </cols>
  <sheetData>
    <row r="1" spans="2:40" ht="12.75" customHeight="1" x14ac:dyDescent="0.2"/>
    <row r="2" spans="2:40" x14ac:dyDescent="0.2">
      <c r="B2" s="62"/>
      <c r="C2" s="63"/>
      <c r="D2" s="338"/>
      <c r="E2" s="91"/>
      <c r="F2" s="92"/>
      <c r="G2" s="339"/>
      <c r="H2" s="340"/>
      <c r="I2" s="340"/>
      <c r="J2" s="341"/>
      <c r="K2" s="63"/>
      <c r="L2" s="340"/>
      <c r="M2" s="340"/>
      <c r="N2" s="340"/>
      <c r="O2" s="340"/>
      <c r="P2" s="340"/>
      <c r="Q2" s="63"/>
      <c r="R2" s="434"/>
      <c r="S2" s="342"/>
      <c r="T2" s="878"/>
      <c r="U2" s="63"/>
      <c r="V2" s="66"/>
    </row>
    <row r="3" spans="2:40" x14ac:dyDescent="0.2">
      <c r="B3" s="67"/>
      <c r="C3" s="68"/>
      <c r="D3" s="344"/>
      <c r="E3" s="84"/>
      <c r="F3" s="85"/>
      <c r="G3" s="345"/>
      <c r="H3" s="346"/>
      <c r="I3" s="346"/>
      <c r="J3" s="347"/>
      <c r="K3" s="68"/>
      <c r="L3" s="346"/>
      <c r="M3" s="346"/>
      <c r="N3" s="346"/>
      <c r="O3" s="346"/>
      <c r="P3" s="346"/>
      <c r="Q3" s="68"/>
      <c r="R3" s="183"/>
      <c r="S3" s="348"/>
      <c r="T3" s="879"/>
      <c r="U3" s="68"/>
      <c r="V3" s="71"/>
    </row>
    <row r="4" spans="2:40" s="314" customFormat="1" ht="18.75" x14ac:dyDescent="0.3">
      <c r="B4" s="1009"/>
      <c r="C4" s="970" t="s">
        <v>304</v>
      </c>
      <c r="D4" s="351"/>
      <c r="E4" s="352"/>
      <c r="F4" s="353"/>
      <c r="G4" s="354"/>
      <c r="H4" s="355"/>
      <c r="I4" s="355"/>
      <c r="J4" s="356"/>
      <c r="K4" s="357"/>
      <c r="L4" s="355"/>
      <c r="M4" s="355"/>
      <c r="N4" s="355"/>
      <c r="O4" s="355"/>
      <c r="P4" s="355"/>
      <c r="Q4" s="357"/>
      <c r="R4" s="435"/>
      <c r="S4" s="358"/>
      <c r="T4" s="1010"/>
      <c r="U4" s="357"/>
      <c r="V4" s="359"/>
      <c r="Y4" s="1228"/>
      <c r="Z4" s="1290"/>
      <c r="AA4" s="1229"/>
      <c r="AB4" s="1229"/>
      <c r="AC4" s="1229"/>
      <c r="AD4" s="1229"/>
      <c r="AE4" s="1230"/>
      <c r="AF4" s="1231"/>
      <c r="AG4" s="1232"/>
      <c r="AH4" s="1231"/>
      <c r="AI4" s="1233"/>
      <c r="AJ4" s="1234"/>
      <c r="AK4" s="318"/>
      <c r="AL4" s="316"/>
    </row>
    <row r="5" spans="2:40" s="319" customFormat="1" ht="18.75" x14ac:dyDescent="0.3">
      <c r="B5" s="360"/>
      <c r="C5" s="361" t="str">
        <f>geg!F11</f>
        <v>Voorbeeld SBO</v>
      </c>
      <c r="D5" s="362"/>
      <c r="E5" s="363"/>
      <c r="F5" s="364"/>
      <c r="G5" s="365"/>
      <c r="H5" s="366"/>
      <c r="I5" s="366"/>
      <c r="J5" s="367"/>
      <c r="K5" s="368"/>
      <c r="L5" s="366"/>
      <c r="M5" s="366"/>
      <c r="N5" s="366"/>
      <c r="O5" s="366"/>
      <c r="P5" s="366"/>
      <c r="Q5" s="368"/>
      <c r="R5" s="435"/>
      <c r="S5" s="369"/>
      <c r="T5" s="880"/>
      <c r="U5" s="368"/>
      <c r="V5" s="370"/>
      <c r="Y5" s="1228"/>
      <c r="Z5" s="1290"/>
      <c r="AA5" s="1229"/>
      <c r="AB5" s="1229"/>
      <c r="AC5" s="1229"/>
      <c r="AD5" s="1229"/>
      <c r="AE5" s="1230"/>
      <c r="AF5" s="1231"/>
      <c r="AG5" s="1232"/>
      <c r="AH5" s="1231"/>
      <c r="AI5" s="1233"/>
      <c r="AJ5" s="1234"/>
      <c r="AK5" s="323"/>
      <c r="AL5" s="321"/>
    </row>
    <row r="6" spans="2:40" ht="12.75" customHeight="1" x14ac:dyDescent="0.2">
      <c r="B6" s="67"/>
      <c r="C6" s="68"/>
      <c r="D6" s="344"/>
      <c r="E6" s="84"/>
      <c r="F6" s="85"/>
      <c r="G6" s="345"/>
      <c r="H6" s="346"/>
      <c r="I6" s="346"/>
      <c r="J6" s="347"/>
      <c r="K6" s="68"/>
      <c r="L6" s="346"/>
      <c r="M6" s="346"/>
      <c r="N6" s="346"/>
      <c r="O6" s="346"/>
      <c r="P6" s="346"/>
      <c r="Q6" s="68"/>
      <c r="R6" s="183"/>
      <c r="S6" s="348"/>
      <c r="T6" s="879"/>
      <c r="U6" s="68"/>
      <c r="V6" s="71"/>
      <c r="AE6" s="1235"/>
      <c r="AF6" s="1236"/>
      <c r="AI6" s="1237"/>
      <c r="AJ6" s="1238"/>
      <c r="AK6" s="324"/>
      <c r="AL6" s="24"/>
    </row>
    <row r="7" spans="2:40" s="325" customFormat="1" ht="12.75" customHeight="1" x14ac:dyDescent="0.25">
      <c r="B7" s="371"/>
      <c r="C7" s="372"/>
      <c r="D7" s="373"/>
      <c r="E7" s="374"/>
      <c r="F7" s="375"/>
      <c r="G7" s="376"/>
      <c r="H7" s="377"/>
      <c r="I7" s="377"/>
      <c r="J7" s="378"/>
      <c r="K7" s="372"/>
      <c r="L7" s="377"/>
      <c r="M7" s="377"/>
      <c r="N7" s="377"/>
      <c r="O7" s="377"/>
      <c r="P7" s="377"/>
      <c r="Q7" s="372"/>
      <c r="R7" s="436"/>
      <c r="S7" s="379"/>
      <c r="T7" s="744"/>
      <c r="U7" s="372"/>
      <c r="V7" s="380"/>
      <c r="Y7" s="1239"/>
      <c r="Z7" s="1240"/>
      <c r="AA7" s="1240"/>
      <c r="AB7" s="1240"/>
      <c r="AC7" s="1240"/>
      <c r="AD7" s="1240"/>
      <c r="AE7" s="1241"/>
      <c r="AF7" s="1242"/>
      <c r="AG7" s="1243"/>
      <c r="AH7" s="1244"/>
      <c r="AI7" s="1245"/>
      <c r="AJ7" s="1246"/>
      <c r="AK7" s="329"/>
      <c r="AL7" s="327"/>
    </row>
    <row r="8" spans="2:40" s="325" customFormat="1" ht="12.75" customHeight="1" x14ac:dyDescent="0.25">
      <c r="B8" s="371"/>
      <c r="C8" s="68" t="s">
        <v>200</v>
      </c>
      <c r="D8" s="344"/>
      <c r="E8" s="381" t="str">
        <f>tab!D2</f>
        <v>2015/16</v>
      </c>
      <c r="F8" s="375"/>
      <c r="G8" s="376"/>
      <c r="H8" s="377"/>
      <c r="I8" s="377"/>
      <c r="J8" s="378"/>
      <c r="K8" s="372"/>
      <c r="L8" s="377"/>
      <c r="M8" s="377"/>
      <c r="N8" s="377"/>
      <c r="O8" s="377"/>
      <c r="P8" s="377"/>
      <c r="Q8" s="372"/>
      <c r="R8" s="436"/>
      <c r="S8" s="379"/>
      <c r="T8" s="744"/>
      <c r="U8" s="372"/>
      <c r="V8" s="380"/>
      <c r="Y8" s="1239"/>
      <c r="Z8" s="1240"/>
      <c r="AA8" s="1240"/>
      <c r="AB8" s="1240"/>
      <c r="AC8" s="1240"/>
      <c r="AD8" s="1240"/>
      <c r="AE8" s="1241"/>
      <c r="AF8" s="1242"/>
      <c r="AG8" s="1243"/>
      <c r="AH8" s="1244"/>
      <c r="AI8" s="1245"/>
      <c r="AJ8" s="1246"/>
      <c r="AK8" s="329"/>
      <c r="AL8" s="327"/>
    </row>
    <row r="9" spans="2:40" ht="12.75" customHeight="1" x14ac:dyDescent="0.2">
      <c r="B9" s="67"/>
      <c r="C9" s="84" t="s">
        <v>213</v>
      </c>
      <c r="D9" s="344"/>
      <c r="E9" s="381">
        <f>tab!E3</f>
        <v>42278</v>
      </c>
      <c r="F9" s="70"/>
      <c r="G9" s="382"/>
      <c r="H9" s="346"/>
      <c r="I9" s="346"/>
      <c r="J9" s="347"/>
      <c r="K9" s="68"/>
      <c r="L9" s="346"/>
      <c r="M9" s="346"/>
      <c r="N9" s="346"/>
      <c r="O9" s="346"/>
      <c r="P9" s="346"/>
      <c r="Q9" s="68"/>
      <c r="R9" s="183"/>
      <c r="S9" s="348"/>
      <c r="T9" s="879"/>
      <c r="U9" s="68"/>
      <c r="V9" s="71"/>
      <c r="AE9" s="1235"/>
      <c r="AF9" s="1236"/>
      <c r="AI9" s="1237"/>
      <c r="AJ9" s="1238"/>
      <c r="AK9" s="324"/>
      <c r="AL9" s="24"/>
    </row>
    <row r="10" spans="2:40" ht="12.75" customHeight="1" x14ac:dyDescent="0.25">
      <c r="B10" s="67"/>
      <c r="C10" s="68"/>
      <c r="D10" s="373"/>
      <c r="E10" s="383"/>
      <c r="F10" s="70"/>
      <c r="G10" s="382"/>
      <c r="H10" s="346"/>
      <c r="I10" s="346"/>
      <c r="J10" s="347"/>
      <c r="K10" s="68"/>
      <c r="L10" s="346"/>
      <c r="M10" s="346"/>
      <c r="N10" s="346"/>
      <c r="O10" s="346"/>
      <c r="P10" s="346"/>
      <c r="Q10" s="68"/>
      <c r="R10" s="183"/>
      <c r="S10" s="348"/>
      <c r="T10" s="879"/>
      <c r="U10" s="68"/>
      <c r="V10" s="71"/>
      <c r="AE10" s="1235"/>
      <c r="AF10" s="1236"/>
      <c r="AI10" s="1237"/>
      <c r="AJ10" s="1238"/>
      <c r="AK10" s="324"/>
      <c r="AL10" s="24"/>
    </row>
    <row r="11" spans="2:40" ht="12.75" customHeight="1" x14ac:dyDescent="0.2">
      <c r="B11" s="67"/>
      <c r="C11" s="184"/>
      <c r="D11" s="400"/>
      <c r="E11" s="401"/>
      <c r="F11" s="185"/>
      <c r="G11" s="403"/>
      <c r="H11" s="404"/>
      <c r="I11" s="404"/>
      <c r="J11" s="405"/>
      <c r="K11" s="120"/>
      <c r="L11" s="404"/>
      <c r="M11" s="404"/>
      <c r="N11" s="404"/>
      <c r="O11" s="404"/>
      <c r="P11" s="404"/>
      <c r="Q11" s="120"/>
      <c r="R11" s="437"/>
      <c r="S11" s="406"/>
      <c r="T11" s="881"/>
      <c r="U11" s="121"/>
      <c r="V11" s="71"/>
      <c r="AE11" s="1235"/>
      <c r="AF11" s="1236"/>
      <c r="AI11" s="1237"/>
      <c r="AJ11" s="1238"/>
      <c r="AK11" s="324"/>
      <c r="AL11" s="24"/>
    </row>
    <row r="12" spans="2:40" s="269" customFormat="1" ht="12.75" customHeight="1" x14ac:dyDescent="0.2">
      <c r="B12" s="424"/>
      <c r="C12" s="425"/>
      <c r="D12" s="1191" t="s">
        <v>306</v>
      </c>
      <c r="E12" s="1036"/>
      <c r="F12" s="1036"/>
      <c r="G12" s="1036"/>
      <c r="H12" s="1194"/>
      <c r="I12" s="1194"/>
      <c r="J12" s="1194"/>
      <c r="K12" s="1345"/>
      <c r="L12" s="1191" t="s">
        <v>553</v>
      </c>
      <c r="M12" s="1193"/>
      <c r="N12" s="1191"/>
      <c r="O12" s="1191"/>
      <c r="P12" s="1291"/>
      <c r="Q12" s="1055"/>
      <c r="R12" s="1191" t="s">
        <v>554</v>
      </c>
      <c r="S12" s="1194"/>
      <c r="T12" s="1292"/>
      <c r="U12" s="1293"/>
      <c r="V12" s="426"/>
      <c r="W12" s="427"/>
      <c r="X12" s="427"/>
      <c r="Y12" s="1221"/>
      <c r="Z12" s="1294"/>
      <c r="AA12" s="1221"/>
      <c r="AB12" s="1221"/>
      <c r="AC12" s="1221"/>
      <c r="AD12" s="1295"/>
      <c r="AE12" s="1295"/>
      <c r="AF12" s="1224"/>
      <c r="AG12" s="1248"/>
      <c r="AH12" s="1249"/>
      <c r="AI12" s="1224"/>
      <c r="AJ12" s="1224"/>
      <c r="AM12" s="427"/>
      <c r="AN12" s="427"/>
    </row>
    <row r="13" spans="2:40" s="269" customFormat="1" ht="12.75" customHeight="1" x14ac:dyDescent="0.2">
      <c r="B13" s="424"/>
      <c r="C13" s="425"/>
      <c r="D13" s="1056" t="s">
        <v>545</v>
      </c>
      <c r="E13" s="1030" t="s">
        <v>201</v>
      </c>
      <c r="F13" s="1057" t="s">
        <v>151</v>
      </c>
      <c r="G13" s="1058" t="s">
        <v>295</v>
      </c>
      <c r="H13" s="1057" t="s">
        <v>226</v>
      </c>
      <c r="I13" s="1057" t="s">
        <v>247</v>
      </c>
      <c r="J13" s="1059" t="s">
        <v>207</v>
      </c>
      <c r="K13" s="1034"/>
      <c r="L13" s="1060" t="s">
        <v>530</v>
      </c>
      <c r="M13" s="1060" t="s">
        <v>531</v>
      </c>
      <c r="N13" s="1060" t="s">
        <v>529</v>
      </c>
      <c r="O13" s="1060" t="s">
        <v>530</v>
      </c>
      <c r="P13" s="1296" t="s">
        <v>555</v>
      </c>
      <c r="Q13" s="1034"/>
      <c r="R13" s="1195" t="s">
        <v>212</v>
      </c>
      <c r="S13" s="1062" t="s">
        <v>556</v>
      </c>
      <c r="T13" s="1063" t="s">
        <v>212</v>
      </c>
      <c r="U13" s="1297"/>
      <c r="V13" s="429"/>
      <c r="W13" s="430"/>
      <c r="X13" s="430"/>
      <c r="Y13" s="1068" t="s">
        <v>325</v>
      </c>
      <c r="Z13" s="1285" t="s">
        <v>548</v>
      </c>
      <c r="AA13" s="1259" t="s">
        <v>549</v>
      </c>
      <c r="AB13" s="1259" t="s">
        <v>549</v>
      </c>
      <c r="AC13" s="1259" t="s">
        <v>546</v>
      </c>
      <c r="AD13" s="1206" t="s">
        <v>539</v>
      </c>
      <c r="AE13" s="1206" t="s">
        <v>540</v>
      </c>
      <c r="AF13" s="1069" t="s">
        <v>541</v>
      </c>
      <c r="AG13" s="1250" t="s">
        <v>319</v>
      </c>
      <c r="AH13" s="1249" t="s">
        <v>459</v>
      </c>
      <c r="AI13" s="1224"/>
      <c r="AJ13" s="1224"/>
      <c r="AM13" s="427"/>
      <c r="AN13" s="430"/>
    </row>
    <row r="14" spans="2:40" s="269" customFormat="1" ht="12.75" customHeight="1" x14ac:dyDescent="0.2">
      <c r="B14" s="424"/>
      <c r="C14" s="425"/>
      <c r="D14" s="1064"/>
      <c r="E14" s="1030"/>
      <c r="F14" s="1057" t="s">
        <v>152</v>
      </c>
      <c r="G14" s="1058" t="s">
        <v>296</v>
      </c>
      <c r="H14" s="1057"/>
      <c r="I14" s="1057"/>
      <c r="J14" s="1059" t="s">
        <v>298</v>
      </c>
      <c r="K14" s="1034"/>
      <c r="L14" s="1060" t="s">
        <v>533</v>
      </c>
      <c r="M14" s="1060" t="s">
        <v>534</v>
      </c>
      <c r="N14" s="1060" t="s">
        <v>532</v>
      </c>
      <c r="O14" s="1060" t="s">
        <v>544</v>
      </c>
      <c r="P14" s="1296" t="s">
        <v>291</v>
      </c>
      <c r="Q14" s="1034"/>
      <c r="R14" s="1061" t="s">
        <v>557</v>
      </c>
      <c r="S14" s="1062" t="s">
        <v>535</v>
      </c>
      <c r="T14" s="1063" t="s">
        <v>291</v>
      </c>
      <c r="U14" s="1040"/>
      <c r="V14" s="151"/>
      <c r="W14" s="144"/>
      <c r="X14" s="144"/>
      <c r="Y14" s="1068" t="s">
        <v>217</v>
      </c>
      <c r="Z14" s="1287">
        <f>tab!$D$48</f>
        <v>0.62</v>
      </c>
      <c r="AA14" s="1259" t="s">
        <v>550</v>
      </c>
      <c r="AB14" s="1259" t="s">
        <v>551</v>
      </c>
      <c r="AC14" s="1259" t="s">
        <v>552</v>
      </c>
      <c r="AD14" s="1206" t="s">
        <v>542</v>
      </c>
      <c r="AE14" s="1206" t="s">
        <v>542</v>
      </c>
      <c r="AF14" s="1069" t="s">
        <v>543</v>
      </c>
      <c r="AG14" s="1250"/>
      <c r="AH14" s="1251" t="s">
        <v>246</v>
      </c>
      <c r="AI14" s="1224"/>
      <c r="AJ14" s="1224"/>
      <c r="AN14" s="431"/>
    </row>
    <row r="15" spans="2:40" ht="12.75" customHeight="1" x14ac:dyDescent="0.2">
      <c r="B15" s="67"/>
      <c r="C15" s="126"/>
      <c r="D15" s="410"/>
      <c r="E15" s="410"/>
      <c r="F15" s="410"/>
      <c r="G15" s="410"/>
      <c r="H15" s="410"/>
      <c r="I15" s="410"/>
      <c r="J15" s="410"/>
      <c r="K15" s="408"/>
      <c r="L15" s="410"/>
      <c r="M15" s="410"/>
      <c r="N15" s="410"/>
      <c r="O15" s="410"/>
      <c r="P15" s="410"/>
      <c r="Q15" s="408"/>
      <c r="R15" s="876"/>
      <c r="S15" s="411"/>
      <c r="T15" s="882"/>
      <c r="U15" s="125"/>
      <c r="V15" s="71"/>
      <c r="Y15" s="1068"/>
      <c r="Z15" s="1222"/>
      <c r="AA15" s="1222"/>
      <c r="AB15" s="1222"/>
      <c r="AC15" s="1222"/>
      <c r="AD15" s="1206"/>
      <c r="AE15" s="1206"/>
      <c r="AF15" s="1221"/>
      <c r="AG15" s="1250"/>
      <c r="AH15" s="1251"/>
      <c r="AK15" s="14"/>
      <c r="AL15" s="14"/>
      <c r="AN15" s="332"/>
    </row>
    <row r="16" spans="2:40" ht="12.75" customHeight="1" x14ac:dyDescent="0.2">
      <c r="B16" s="67"/>
      <c r="C16" s="126"/>
      <c r="D16" s="396"/>
      <c r="E16" s="432" t="s">
        <v>564</v>
      </c>
      <c r="F16" s="117"/>
      <c r="G16" s="397"/>
      <c r="H16" s="433" t="s">
        <v>156</v>
      </c>
      <c r="I16" s="398">
        <v>3</v>
      </c>
      <c r="J16" s="803">
        <v>1</v>
      </c>
      <c r="K16" s="413"/>
      <c r="L16" s="1196">
        <v>130</v>
      </c>
      <c r="M16" s="1196">
        <v>170</v>
      </c>
      <c r="N16" s="1209">
        <f t="shared" ref="N16" si="0">IF(J16="","",IF((J16*40)&gt;40,40,((J16*40))))</f>
        <v>40</v>
      </c>
      <c r="O16" s="1209"/>
      <c r="P16" s="1283">
        <f t="shared" ref="P16" si="1">IF(J16="","",(SUM(L16:O16)))</f>
        <v>340</v>
      </c>
      <c r="Q16" s="518"/>
      <c r="R16" s="1076">
        <f>IF(J16="","",(((1659*J16)-P16)*AB16))</f>
        <v>48763.406148282098</v>
      </c>
      <c r="S16" s="1076">
        <f t="shared" ref="S16" si="2">IF(J16="","",(P16*AC16)+(AA16*AD16)+((AE16*AA16*(1-AF16))))</f>
        <v>9146.6473779385178</v>
      </c>
      <c r="T16" s="1078">
        <f t="shared" ref="T16" si="3">IF(J16="","",(R16+S16))</f>
        <v>57910.053526220618</v>
      </c>
      <c r="U16" s="269"/>
      <c r="V16" s="804"/>
      <c r="W16" s="801"/>
      <c r="X16" s="801"/>
      <c r="Y16" s="1253">
        <f>ROUND(VLOOKUP(H16,tab!$A$61:$V$103,I16+2,FALSE),0)</f>
        <v>3155</v>
      </c>
      <c r="Z16" s="1252">
        <f>tab!$D$48</f>
        <v>0.62</v>
      </c>
      <c r="AA16" s="1284">
        <f t="shared" ref="AA16" si="4">(Y16*12/1659)</f>
        <v>22.820976491862567</v>
      </c>
      <c r="AB16" s="1284">
        <f t="shared" ref="AB16" si="5">(Y16*12*(1+Z16))/1659</f>
        <v>36.96998191681736</v>
      </c>
      <c r="AC16" s="1284">
        <f t="shared" ref="AC16" si="6">AB16-AA16</f>
        <v>14.149005424954794</v>
      </c>
      <c r="AD16" s="1286">
        <f t="shared" ref="AD16" si="7">(N16+O16)</f>
        <v>40</v>
      </c>
      <c r="AE16" s="1286">
        <f t="shared" ref="AE16" si="8">(L16+M16)</f>
        <v>300</v>
      </c>
      <c r="AF16" s="1254">
        <f>IF(H16&gt;8,tab!$D$49,tab!$D$52)</f>
        <v>0.5</v>
      </c>
      <c r="AG16" s="1255">
        <f t="shared" ref="AG16:AG25" si="9">IF(F16&lt;25,0,IF(F16=25,25,IF(F16&lt;40,0,IF(F16=40,40,IF(F16&gt;=40,0)))))</f>
        <v>0</v>
      </c>
      <c r="AH16" s="1251">
        <f t="shared" ref="AH16:AH25" si="10">IF(AG16=25,(Y16*1.08*(J16)/2),IF(AG16=40,(Y16*1.08*(J16)),IF(AG16=0,0)))</f>
        <v>0</v>
      </c>
      <c r="AK16" s="14"/>
      <c r="AL16" s="14"/>
      <c r="AM16" s="332"/>
      <c r="AN16" s="271"/>
    </row>
    <row r="17" spans="2:40" ht="12.75" customHeight="1" x14ac:dyDescent="0.2">
      <c r="B17" s="67"/>
      <c r="C17" s="126"/>
      <c r="D17" s="396"/>
      <c r="E17" s="432"/>
      <c r="F17" s="117"/>
      <c r="G17" s="397"/>
      <c r="H17" s="433"/>
      <c r="I17" s="398"/>
      <c r="J17" s="399"/>
      <c r="K17" s="413"/>
      <c r="L17" s="1196"/>
      <c r="M17" s="1196"/>
      <c r="N17" s="1209" t="str">
        <f t="shared" ref="N17:N25" si="11">IF(J17="","",IF((J17*40)&gt;40,40,((J17*40))))</f>
        <v/>
      </c>
      <c r="O17" s="1209"/>
      <c r="P17" s="1283" t="str">
        <f t="shared" ref="P17:P25" si="12">IF(J17="","",(SUM(L17:O17)))</f>
        <v/>
      </c>
      <c r="Q17" s="518"/>
      <c r="R17" s="1076" t="str">
        <f t="shared" ref="R17:R25" si="13">IF(J17="","",(((1659*J17)-P17)*AB17))</f>
        <v/>
      </c>
      <c r="S17" s="1076" t="str">
        <f t="shared" ref="S17:S25" si="14">IF(J17="","",(P17*AC17)+(AA17*AD17)+((AE17*AA17*(1-AF17))))</f>
        <v/>
      </c>
      <c r="T17" s="1078" t="str">
        <f t="shared" ref="T17:T25" si="15">IF(J17="","",(R17+S17))</f>
        <v/>
      </c>
      <c r="U17" s="269"/>
      <c r="V17" s="804"/>
      <c r="W17" s="801"/>
      <c r="X17" s="801"/>
      <c r="Y17" s="1253" t="e">
        <f>ROUND(VLOOKUP(H17,tab!$A$61:$V$103,I17+2,FALSE),0)</f>
        <v>#N/A</v>
      </c>
      <c r="Z17" s="1252">
        <f>tab!$D$48</f>
        <v>0.62</v>
      </c>
      <c r="AA17" s="1284" t="e">
        <f t="shared" ref="AA17:AA25" si="16">(Y17*12/1659)</f>
        <v>#N/A</v>
      </c>
      <c r="AB17" s="1284" t="e">
        <f t="shared" ref="AB17:AB25" si="17">(Y17*12*(1+Z17))/1659</f>
        <v>#N/A</v>
      </c>
      <c r="AC17" s="1284" t="e">
        <f t="shared" ref="AC17:AC25" si="18">AB17-AA17</f>
        <v>#N/A</v>
      </c>
      <c r="AD17" s="1286" t="e">
        <f t="shared" ref="AD17:AD25" si="19">(N17+O17)</f>
        <v>#VALUE!</v>
      </c>
      <c r="AE17" s="1286">
        <f t="shared" ref="AE17:AE25" si="20">(L17+M17)</f>
        <v>0</v>
      </c>
      <c r="AF17" s="1254">
        <f>IF(H17&gt;8,tab!$D$49,tab!$D$52)</f>
        <v>0.4</v>
      </c>
      <c r="AG17" s="1255">
        <f t="shared" si="9"/>
        <v>0</v>
      </c>
      <c r="AH17" s="1251">
        <f t="shared" si="10"/>
        <v>0</v>
      </c>
      <c r="AK17" s="14"/>
      <c r="AL17" s="14"/>
      <c r="AM17" s="271"/>
      <c r="AN17" s="332"/>
    </row>
    <row r="18" spans="2:40" ht="12.75" customHeight="1" x14ac:dyDescent="0.2">
      <c r="B18" s="67"/>
      <c r="C18" s="126"/>
      <c r="D18" s="396"/>
      <c r="E18" s="432"/>
      <c r="F18" s="117"/>
      <c r="G18" s="397"/>
      <c r="H18" s="433"/>
      <c r="I18" s="398"/>
      <c r="J18" s="399"/>
      <c r="K18" s="413"/>
      <c r="L18" s="1196"/>
      <c r="M18" s="1196"/>
      <c r="N18" s="1209" t="str">
        <f t="shared" si="11"/>
        <v/>
      </c>
      <c r="O18" s="1209"/>
      <c r="P18" s="1283" t="str">
        <f t="shared" si="12"/>
        <v/>
      </c>
      <c r="Q18" s="518"/>
      <c r="R18" s="1076" t="str">
        <f t="shared" si="13"/>
        <v/>
      </c>
      <c r="S18" s="1076" t="str">
        <f t="shared" si="14"/>
        <v/>
      </c>
      <c r="T18" s="1078" t="str">
        <f t="shared" si="15"/>
        <v/>
      </c>
      <c r="U18" s="269"/>
      <c r="V18" s="804"/>
      <c r="W18" s="801"/>
      <c r="X18" s="801"/>
      <c r="Y18" s="1253" t="e">
        <f>ROUND(VLOOKUP(H18,tab!$A$61:$V$103,I18+2,FALSE),0)</f>
        <v>#N/A</v>
      </c>
      <c r="Z18" s="1252">
        <f>tab!$D$48</f>
        <v>0.62</v>
      </c>
      <c r="AA18" s="1284" t="e">
        <f t="shared" si="16"/>
        <v>#N/A</v>
      </c>
      <c r="AB18" s="1284" t="e">
        <f t="shared" si="17"/>
        <v>#N/A</v>
      </c>
      <c r="AC18" s="1284" t="e">
        <f t="shared" si="18"/>
        <v>#N/A</v>
      </c>
      <c r="AD18" s="1286" t="e">
        <f t="shared" si="19"/>
        <v>#VALUE!</v>
      </c>
      <c r="AE18" s="1286">
        <f t="shared" si="20"/>
        <v>0</v>
      </c>
      <c r="AF18" s="1254">
        <f>IF(H18&gt;8,tab!$D$49,tab!$D$52)</f>
        <v>0.4</v>
      </c>
      <c r="AG18" s="1255">
        <f t="shared" si="9"/>
        <v>0</v>
      </c>
      <c r="AH18" s="1251">
        <f t="shared" si="10"/>
        <v>0</v>
      </c>
      <c r="AK18" s="14"/>
      <c r="AL18" s="14"/>
      <c r="AM18" s="271"/>
      <c r="AN18" s="332"/>
    </row>
    <row r="19" spans="2:40" ht="12.75" customHeight="1" x14ac:dyDescent="0.2">
      <c r="B19" s="67"/>
      <c r="C19" s="126"/>
      <c r="D19" s="396"/>
      <c r="E19" s="432"/>
      <c r="F19" s="117"/>
      <c r="G19" s="397"/>
      <c r="H19" s="433"/>
      <c r="I19" s="398"/>
      <c r="J19" s="399"/>
      <c r="K19" s="413"/>
      <c r="L19" s="1196"/>
      <c r="M19" s="1196"/>
      <c r="N19" s="1209" t="str">
        <f t="shared" si="11"/>
        <v/>
      </c>
      <c r="O19" s="1209"/>
      <c r="P19" s="1283" t="str">
        <f t="shared" si="12"/>
        <v/>
      </c>
      <c r="Q19" s="518"/>
      <c r="R19" s="1076" t="str">
        <f t="shared" si="13"/>
        <v/>
      </c>
      <c r="S19" s="1076" t="str">
        <f t="shared" si="14"/>
        <v/>
      </c>
      <c r="T19" s="1078" t="str">
        <f t="shared" si="15"/>
        <v/>
      </c>
      <c r="U19" s="269"/>
      <c r="V19" s="804"/>
      <c r="W19" s="801"/>
      <c r="X19" s="801"/>
      <c r="Y19" s="1253" t="e">
        <f>ROUND(VLOOKUP(H19,tab!$A$61:$V$103,I19+2,FALSE),0)</f>
        <v>#N/A</v>
      </c>
      <c r="Z19" s="1252">
        <f>tab!$D$48</f>
        <v>0.62</v>
      </c>
      <c r="AA19" s="1284" t="e">
        <f t="shared" si="16"/>
        <v>#N/A</v>
      </c>
      <c r="AB19" s="1284" t="e">
        <f t="shared" si="17"/>
        <v>#N/A</v>
      </c>
      <c r="AC19" s="1284" t="e">
        <f t="shared" si="18"/>
        <v>#N/A</v>
      </c>
      <c r="AD19" s="1286" t="e">
        <f t="shared" si="19"/>
        <v>#VALUE!</v>
      </c>
      <c r="AE19" s="1286">
        <f t="shared" si="20"/>
        <v>0</v>
      </c>
      <c r="AF19" s="1254">
        <f>IF(H19&gt;8,tab!$D$49,tab!$D$52)</f>
        <v>0.4</v>
      </c>
      <c r="AG19" s="1255">
        <f t="shared" si="9"/>
        <v>0</v>
      </c>
      <c r="AH19" s="1251">
        <f t="shared" si="10"/>
        <v>0</v>
      </c>
      <c r="AK19" s="14"/>
      <c r="AL19" s="14"/>
      <c r="AM19" s="271"/>
      <c r="AN19" s="332"/>
    </row>
    <row r="20" spans="2:40" ht="12.75" customHeight="1" x14ac:dyDescent="0.2">
      <c r="B20" s="67"/>
      <c r="C20" s="126"/>
      <c r="D20" s="396"/>
      <c r="E20" s="432"/>
      <c r="F20" s="117"/>
      <c r="G20" s="397"/>
      <c r="H20" s="433"/>
      <c r="I20" s="398"/>
      <c r="J20" s="399"/>
      <c r="K20" s="413"/>
      <c r="L20" s="1196"/>
      <c r="M20" s="1196"/>
      <c r="N20" s="1209" t="str">
        <f t="shared" si="11"/>
        <v/>
      </c>
      <c r="O20" s="1209"/>
      <c r="P20" s="1283" t="str">
        <f t="shared" si="12"/>
        <v/>
      </c>
      <c r="Q20" s="518"/>
      <c r="R20" s="1076" t="str">
        <f t="shared" si="13"/>
        <v/>
      </c>
      <c r="S20" s="1076" t="str">
        <f t="shared" si="14"/>
        <v/>
      </c>
      <c r="T20" s="1078" t="str">
        <f t="shared" si="15"/>
        <v/>
      </c>
      <c r="U20" s="269"/>
      <c r="V20" s="804"/>
      <c r="W20" s="801"/>
      <c r="X20" s="801"/>
      <c r="Y20" s="1253" t="e">
        <f>ROUND(VLOOKUP(H20,tab!$A$61:$V$103,I20+2,FALSE),0)</f>
        <v>#N/A</v>
      </c>
      <c r="Z20" s="1252">
        <f>tab!$D$48</f>
        <v>0.62</v>
      </c>
      <c r="AA20" s="1284" t="e">
        <f t="shared" si="16"/>
        <v>#N/A</v>
      </c>
      <c r="AB20" s="1284" t="e">
        <f t="shared" si="17"/>
        <v>#N/A</v>
      </c>
      <c r="AC20" s="1284" t="e">
        <f t="shared" si="18"/>
        <v>#N/A</v>
      </c>
      <c r="AD20" s="1286" t="e">
        <f t="shared" si="19"/>
        <v>#VALUE!</v>
      </c>
      <c r="AE20" s="1286">
        <f t="shared" si="20"/>
        <v>0</v>
      </c>
      <c r="AF20" s="1254">
        <f>IF(H20&gt;8,tab!$D$49,tab!$D$52)</f>
        <v>0.4</v>
      </c>
      <c r="AG20" s="1255">
        <f t="shared" si="9"/>
        <v>0</v>
      </c>
      <c r="AH20" s="1251">
        <f t="shared" si="10"/>
        <v>0</v>
      </c>
      <c r="AK20" s="14"/>
      <c r="AL20" s="14"/>
      <c r="AM20" s="271"/>
      <c r="AN20" s="332"/>
    </row>
    <row r="21" spans="2:40" ht="12.75" customHeight="1" x14ac:dyDescent="0.2">
      <c r="B21" s="67"/>
      <c r="C21" s="126"/>
      <c r="D21" s="396"/>
      <c r="E21" s="432"/>
      <c r="F21" s="117"/>
      <c r="G21" s="397"/>
      <c r="H21" s="433"/>
      <c r="I21" s="398"/>
      <c r="J21" s="399"/>
      <c r="K21" s="413"/>
      <c r="L21" s="1196"/>
      <c r="M21" s="1196"/>
      <c r="N21" s="1209" t="str">
        <f t="shared" si="11"/>
        <v/>
      </c>
      <c r="O21" s="1209"/>
      <c r="P21" s="1283" t="str">
        <f t="shared" si="12"/>
        <v/>
      </c>
      <c r="Q21" s="518"/>
      <c r="R21" s="1076" t="str">
        <f t="shared" si="13"/>
        <v/>
      </c>
      <c r="S21" s="1076" t="str">
        <f t="shared" si="14"/>
        <v/>
      </c>
      <c r="T21" s="1078" t="str">
        <f t="shared" si="15"/>
        <v/>
      </c>
      <c r="U21" s="269"/>
      <c r="V21" s="804"/>
      <c r="W21" s="801"/>
      <c r="X21" s="801"/>
      <c r="Y21" s="1253" t="e">
        <f>ROUND(VLOOKUP(H21,tab!$A$61:$V$103,I21+2,FALSE),0)</f>
        <v>#N/A</v>
      </c>
      <c r="Z21" s="1252">
        <f>tab!$D$48</f>
        <v>0.62</v>
      </c>
      <c r="AA21" s="1284" t="e">
        <f t="shared" si="16"/>
        <v>#N/A</v>
      </c>
      <c r="AB21" s="1284" t="e">
        <f t="shared" si="17"/>
        <v>#N/A</v>
      </c>
      <c r="AC21" s="1284" t="e">
        <f t="shared" si="18"/>
        <v>#N/A</v>
      </c>
      <c r="AD21" s="1286" t="e">
        <f t="shared" si="19"/>
        <v>#VALUE!</v>
      </c>
      <c r="AE21" s="1286">
        <f t="shared" si="20"/>
        <v>0</v>
      </c>
      <c r="AF21" s="1254">
        <f>IF(H21&gt;8,tab!$D$49,tab!$D$52)</f>
        <v>0.4</v>
      </c>
      <c r="AG21" s="1255">
        <f t="shared" si="9"/>
        <v>0</v>
      </c>
      <c r="AH21" s="1251">
        <f t="shared" si="10"/>
        <v>0</v>
      </c>
      <c r="AK21" s="14"/>
      <c r="AL21" s="14"/>
      <c r="AM21" s="271"/>
      <c r="AN21" s="332"/>
    </row>
    <row r="22" spans="2:40" ht="12.75" customHeight="1" x14ac:dyDescent="0.2">
      <c r="B22" s="67"/>
      <c r="C22" s="126"/>
      <c r="D22" s="396"/>
      <c r="E22" s="432"/>
      <c r="F22" s="117"/>
      <c r="G22" s="397"/>
      <c r="H22" s="433"/>
      <c r="I22" s="398"/>
      <c r="J22" s="399"/>
      <c r="K22" s="413"/>
      <c r="L22" s="1196"/>
      <c r="M22" s="1196"/>
      <c r="N22" s="1209" t="str">
        <f t="shared" si="11"/>
        <v/>
      </c>
      <c r="O22" s="1209"/>
      <c r="P22" s="1283" t="str">
        <f t="shared" si="12"/>
        <v/>
      </c>
      <c r="Q22" s="518"/>
      <c r="R22" s="1076" t="str">
        <f t="shared" si="13"/>
        <v/>
      </c>
      <c r="S22" s="1076" t="str">
        <f t="shared" si="14"/>
        <v/>
      </c>
      <c r="T22" s="1078" t="str">
        <f t="shared" si="15"/>
        <v/>
      </c>
      <c r="U22" s="269"/>
      <c r="V22" s="804"/>
      <c r="W22" s="801"/>
      <c r="X22" s="801"/>
      <c r="Y22" s="1253" t="e">
        <f>ROUND(VLOOKUP(H22,tab!$A$61:$V$103,I22+2,FALSE),0)</f>
        <v>#N/A</v>
      </c>
      <c r="Z22" s="1252">
        <f>tab!$D$48</f>
        <v>0.62</v>
      </c>
      <c r="AA22" s="1284" t="e">
        <f t="shared" si="16"/>
        <v>#N/A</v>
      </c>
      <c r="AB22" s="1284" t="e">
        <f t="shared" si="17"/>
        <v>#N/A</v>
      </c>
      <c r="AC22" s="1284" t="e">
        <f t="shared" si="18"/>
        <v>#N/A</v>
      </c>
      <c r="AD22" s="1286" t="e">
        <f t="shared" si="19"/>
        <v>#VALUE!</v>
      </c>
      <c r="AE22" s="1286">
        <f t="shared" si="20"/>
        <v>0</v>
      </c>
      <c r="AF22" s="1254">
        <f>IF(H22&gt;8,tab!$D$49,tab!$D$52)</f>
        <v>0.4</v>
      </c>
      <c r="AG22" s="1255">
        <f t="shared" si="9"/>
        <v>0</v>
      </c>
      <c r="AH22" s="1251">
        <f t="shared" si="10"/>
        <v>0</v>
      </c>
      <c r="AK22" s="14"/>
      <c r="AL22" s="14"/>
      <c r="AM22" s="271"/>
      <c r="AN22" s="332"/>
    </row>
    <row r="23" spans="2:40" ht="12.75" customHeight="1" x14ac:dyDescent="0.2">
      <c r="B23" s="67"/>
      <c r="C23" s="126"/>
      <c r="D23" s="396"/>
      <c r="E23" s="432"/>
      <c r="F23" s="117"/>
      <c r="G23" s="397"/>
      <c r="H23" s="433"/>
      <c r="I23" s="398"/>
      <c r="J23" s="399"/>
      <c r="K23" s="413"/>
      <c r="L23" s="1196"/>
      <c r="M23" s="1196"/>
      <c r="N23" s="1209" t="str">
        <f t="shared" si="11"/>
        <v/>
      </c>
      <c r="O23" s="1209"/>
      <c r="P23" s="1283" t="str">
        <f t="shared" si="12"/>
        <v/>
      </c>
      <c r="Q23" s="518"/>
      <c r="R23" s="1076" t="str">
        <f t="shared" si="13"/>
        <v/>
      </c>
      <c r="S23" s="1076" t="str">
        <f t="shared" si="14"/>
        <v/>
      </c>
      <c r="T23" s="1078" t="str">
        <f t="shared" si="15"/>
        <v/>
      </c>
      <c r="U23" s="269"/>
      <c r="V23" s="804"/>
      <c r="W23" s="801"/>
      <c r="X23" s="801"/>
      <c r="Y23" s="1253" t="e">
        <f>ROUND(VLOOKUP(H23,tab!$A$61:$V$103,I23+2,FALSE),0)</f>
        <v>#N/A</v>
      </c>
      <c r="Z23" s="1252">
        <f>tab!$D$48</f>
        <v>0.62</v>
      </c>
      <c r="AA23" s="1284" t="e">
        <f t="shared" si="16"/>
        <v>#N/A</v>
      </c>
      <c r="AB23" s="1284" t="e">
        <f t="shared" si="17"/>
        <v>#N/A</v>
      </c>
      <c r="AC23" s="1284" t="e">
        <f t="shared" si="18"/>
        <v>#N/A</v>
      </c>
      <c r="AD23" s="1286" t="e">
        <f t="shared" si="19"/>
        <v>#VALUE!</v>
      </c>
      <c r="AE23" s="1286">
        <f t="shared" si="20"/>
        <v>0</v>
      </c>
      <c r="AF23" s="1254">
        <f>IF(H23&gt;8,tab!$D$49,tab!$D$52)</f>
        <v>0.4</v>
      </c>
      <c r="AG23" s="1255">
        <f t="shared" si="9"/>
        <v>0</v>
      </c>
      <c r="AH23" s="1251">
        <f t="shared" si="10"/>
        <v>0</v>
      </c>
      <c r="AK23" s="14"/>
      <c r="AL23" s="14"/>
      <c r="AM23" s="271"/>
      <c r="AN23" s="332"/>
    </row>
    <row r="24" spans="2:40" ht="12.75" customHeight="1" x14ac:dyDescent="0.2">
      <c r="B24" s="67"/>
      <c r="C24" s="126"/>
      <c r="D24" s="396"/>
      <c r="E24" s="432"/>
      <c r="F24" s="117"/>
      <c r="G24" s="397"/>
      <c r="H24" s="433"/>
      <c r="I24" s="398"/>
      <c r="J24" s="399"/>
      <c r="K24" s="413"/>
      <c r="L24" s="1196"/>
      <c r="M24" s="1196"/>
      <c r="N24" s="1209" t="str">
        <f t="shared" si="11"/>
        <v/>
      </c>
      <c r="O24" s="1209"/>
      <c r="P24" s="1283" t="str">
        <f t="shared" si="12"/>
        <v/>
      </c>
      <c r="Q24" s="518"/>
      <c r="R24" s="1076" t="str">
        <f t="shared" si="13"/>
        <v/>
      </c>
      <c r="S24" s="1076" t="str">
        <f t="shared" si="14"/>
        <v/>
      </c>
      <c r="T24" s="1078" t="str">
        <f t="shared" si="15"/>
        <v/>
      </c>
      <c r="U24" s="269"/>
      <c r="V24" s="804"/>
      <c r="W24" s="801"/>
      <c r="X24" s="801"/>
      <c r="Y24" s="1253" t="e">
        <f>ROUND(VLOOKUP(H24,tab!$A$61:$V$103,I24+2,FALSE),0)</f>
        <v>#N/A</v>
      </c>
      <c r="Z24" s="1252">
        <f>tab!$D$48</f>
        <v>0.62</v>
      </c>
      <c r="AA24" s="1284" t="e">
        <f t="shared" si="16"/>
        <v>#N/A</v>
      </c>
      <c r="AB24" s="1284" t="e">
        <f t="shared" si="17"/>
        <v>#N/A</v>
      </c>
      <c r="AC24" s="1284" t="e">
        <f t="shared" si="18"/>
        <v>#N/A</v>
      </c>
      <c r="AD24" s="1286" t="e">
        <f t="shared" si="19"/>
        <v>#VALUE!</v>
      </c>
      <c r="AE24" s="1286">
        <f t="shared" si="20"/>
        <v>0</v>
      </c>
      <c r="AF24" s="1254">
        <f>IF(H24&gt;8,tab!$D$49,tab!$D$52)</f>
        <v>0.4</v>
      </c>
      <c r="AG24" s="1255">
        <f t="shared" si="9"/>
        <v>0</v>
      </c>
      <c r="AH24" s="1251">
        <f t="shared" si="10"/>
        <v>0</v>
      </c>
      <c r="AK24" s="14"/>
      <c r="AL24" s="14"/>
      <c r="AM24" s="271"/>
      <c r="AN24" s="332"/>
    </row>
    <row r="25" spans="2:40" ht="12.75" customHeight="1" x14ac:dyDescent="0.2">
      <c r="B25" s="67"/>
      <c r="C25" s="126"/>
      <c r="D25" s="396"/>
      <c r="E25" s="432"/>
      <c r="F25" s="117"/>
      <c r="G25" s="397"/>
      <c r="H25" s="433"/>
      <c r="I25" s="398"/>
      <c r="J25" s="399"/>
      <c r="K25" s="413"/>
      <c r="L25" s="1196"/>
      <c r="M25" s="1196"/>
      <c r="N25" s="1209" t="str">
        <f t="shared" si="11"/>
        <v/>
      </c>
      <c r="O25" s="1209"/>
      <c r="P25" s="1283" t="str">
        <f t="shared" si="12"/>
        <v/>
      </c>
      <c r="Q25" s="518"/>
      <c r="R25" s="1076" t="str">
        <f t="shared" si="13"/>
        <v/>
      </c>
      <c r="S25" s="1076" t="str">
        <f t="shared" si="14"/>
        <v/>
      </c>
      <c r="T25" s="1078" t="str">
        <f t="shared" si="15"/>
        <v/>
      </c>
      <c r="U25" s="269"/>
      <c r="V25" s="804"/>
      <c r="W25" s="801"/>
      <c r="X25" s="801"/>
      <c r="Y25" s="1253" t="e">
        <f>ROUND(VLOOKUP(H25,tab!$A$61:$V$103,I25+2,FALSE),0)</f>
        <v>#N/A</v>
      </c>
      <c r="Z25" s="1252">
        <f>tab!$D$48</f>
        <v>0.62</v>
      </c>
      <c r="AA25" s="1284" t="e">
        <f t="shared" si="16"/>
        <v>#N/A</v>
      </c>
      <c r="AB25" s="1284" t="e">
        <f t="shared" si="17"/>
        <v>#N/A</v>
      </c>
      <c r="AC25" s="1284" t="e">
        <f t="shared" si="18"/>
        <v>#N/A</v>
      </c>
      <c r="AD25" s="1286" t="e">
        <f t="shared" si="19"/>
        <v>#VALUE!</v>
      </c>
      <c r="AE25" s="1286">
        <f t="shared" si="20"/>
        <v>0</v>
      </c>
      <c r="AF25" s="1254">
        <f>IF(H25&gt;8,tab!$D$49,tab!$D$52)</f>
        <v>0.4</v>
      </c>
      <c r="AG25" s="1255">
        <f t="shared" si="9"/>
        <v>0</v>
      </c>
      <c r="AH25" s="1251">
        <f t="shared" si="10"/>
        <v>0</v>
      </c>
      <c r="AK25" s="14"/>
      <c r="AL25" s="14"/>
      <c r="AM25" s="271"/>
      <c r="AN25" s="332"/>
    </row>
    <row r="26" spans="2:40" ht="12.75" customHeight="1" x14ac:dyDescent="0.2">
      <c r="B26" s="67"/>
      <c r="C26" s="126"/>
      <c r="D26" s="188"/>
      <c r="E26" s="240"/>
      <c r="F26" s="415"/>
      <c r="G26" s="416"/>
      <c r="H26" s="128"/>
      <c r="I26" s="128"/>
      <c r="J26" s="1072">
        <f>SUM(J16:J25)</f>
        <v>1</v>
      </c>
      <c r="K26" s="415"/>
      <c r="L26" s="1197">
        <f t="shared" ref="L26:P26" si="21">SUM(L16:L25)</f>
        <v>130</v>
      </c>
      <c r="M26" s="1197">
        <f t="shared" si="21"/>
        <v>170</v>
      </c>
      <c r="N26" s="1197">
        <f>SUM(N16:N25)</f>
        <v>40</v>
      </c>
      <c r="O26" s="1197"/>
      <c r="P26" s="1197">
        <f t="shared" si="21"/>
        <v>340</v>
      </c>
      <c r="Q26" s="415"/>
      <c r="R26" s="1073">
        <f t="shared" ref="R26:T26" si="22">SUM(R16:R25)</f>
        <v>48763.406148282098</v>
      </c>
      <c r="S26" s="1074">
        <f t="shared" si="22"/>
        <v>9146.6473779385178</v>
      </c>
      <c r="T26" s="1073">
        <f t="shared" si="22"/>
        <v>57910.053526220618</v>
      </c>
      <c r="U26" s="414"/>
      <c r="V26" s="384"/>
      <c r="W26" s="334"/>
      <c r="X26" s="24"/>
      <c r="Y26" s="1256"/>
      <c r="Z26" s="1288"/>
      <c r="AA26" s="1256"/>
      <c r="AB26" s="1256"/>
      <c r="AC26" s="1256"/>
      <c r="AD26" s="1248"/>
      <c r="AE26" s="1221"/>
      <c r="AF26" s="1221"/>
      <c r="AG26" s="1257"/>
      <c r="AH26" s="1258"/>
      <c r="AK26" s="14"/>
      <c r="AL26" s="14"/>
      <c r="AM26" s="271"/>
      <c r="AN26" s="332"/>
    </row>
    <row r="27" spans="2:40" ht="12.75" customHeight="1" x14ac:dyDescent="0.2">
      <c r="B27" s="67"/>
      <c r="C27" s="191"/>
      <c r="D27" s="417"/>
      <c r="E27" s="287"/>
      <c r="F27" s="192"/>
      <c r="G27" s="418"/>
      <c r="H27" s="192"/>
      <c r="I27" s="419"/>
      <c r="J27" s="420"/>
      <c r="K27" s="287"/>
      <c r="L27" s="419"/>
      <c r="M27" s="419"/>
      <c r="N27" s="419"/>
      <c r="O27" s="419"/>
      <c r="P27" s="419"/>
      <c r="Q27" s="287"/>
      <c r="R27" s="438"/>
      <c r="S27" s="422"/>
      <c r="T27" s="883"/>
      <c r="U27" s="423"/>
      <c r="V27" s="384"/>
      <c r="W27" s="334"/>
      <c r="X27" s="24"/>
      <c r="Y27" s="1237"/>
      <c r="Z27" s="1288"/>
      <c r="AA27" s="1256"/>
      <c r="AB27" s="1256"/>
      <c r="AC27" s="1256"/>
      <c r="AD27" s="1248"/>
      <c r="AE27" s="1221"/>
      <c r="AF27" s="1221"/>
      <c r="AG27" s="1257"/>
      <c r="AH27" s="1258"/>
      <c r="AK27" s="14"/>
      <c r="AL27" s="14"/>
      <c r="AM27" s="271"/>
      <c r="AN27" s="332"/>
    </row>
    <row r="28" spans="2:40" ht="12.75" customHeight="1" x14ac:dyDescent="0.2">
      <c r="B28" s="67"/>
      <c r="C28" s="68"/>
      <c r="D28" s="344"/>
      <c r="E28" s="84"/>
      <c r="F28" s="85"/>
      <c r="G28" s="345"/>
      <c r="H28" s="85"/>
      <c r="I28" s="346"/>
      <c r="J28" s="347"/>
      <c r="K28" s="84"/>
      <c r="L28" s="346"/>
      <c r="M28" s="346"/>
      <c r="N28" s="346"/>
      <c r="O28" s="346"/>
      <c r="P28" s="346"/>
      <c r="Q28" s="84"/>
      <c r="R28" s="439"/>
      <c r="S28" s="385"/>
      <c r="T28" s="879"/>
      <c r="U28" s="219"/>
      <c r="V28" s="384"/>
      <c r="W28" s="334"/>
      <c r="X28" s="24"/>
      <c r="Y28" s="1237"/>
      <c r="Z28" s="1288"/>
      <c r="AA28" s="1256"/>
      <c r="AB28" s="1256"/>
      <c r="AC28" s="1256"/>
      <c r="AD28" s="1248"/>
      <c r="AE28" s="1221"/>
      <c r="AF28" s="1221"/>
      <c r="AG28" s="1257"/>
      <c r="AH28" s="1258"/>
      <c r="AK28" s="14"/>
      <c r="AL28" s="14"/>
      <c r="AM28" s="271"/>
      <c r="AN28" s="332"/>
    </row>
    <row r="29" spans="2:40" ht="12.75" customHeight="1" x14ac:dyDescent="0.2">
      <c r="B29" s="67"/>
      <c r="C29" s="68"/>
      <c r="D29" s="344"/>
      <c r="E29" s="84"/>
      <c r="F29" s="85"/>
      <c r="G29" s="345"/>
      <c r="H29" s="85"/>
      <c r="I29" s="346"/>
      <c r="J29" s="347"/>
      <c r="K29" s="84"/>
      <c r="L29" s="346"/>
      <c r="M29" s="346"/>
      <c r="N29" s="346"/>
      <c r="O29" s="346"/>
      <c r="P29" s="346"/>
      <c r="Q29" s="84"/>
      <c r="R29" s="439"/>
      <c r="S29" s="385"/>
      <c r="T29" s="879"/>
      <c r="U29" s="219"/>
      <c r="V29" s="384"/>
      <c r="W29" s="334"/>
      <c r="X29" s="24"/>
      <c r="Y29" s="1237"/>
      <c r="Z29" s="1288"/>
      <c r="AA29" s="1256"/>
      <c r="AB29" s="1256"/>
      <c r="AC29" s="1256"/>
      <c r="AD29" s="1248"/>
      <c r="AE29" s="1221"/>
      <c r="AF29" s="1221"/>
      <c r="AG29" s="1257"/>
      <c r="AH29" s="1258"/>
      <c r="AK29" s="14"/>
      <c r="AL29" s="14"/>
      <c r="AM29" s="271"/>
      <c r="AN29" s="332"/>
    </row>
    <row r="30" spans="2:40" ht="12.75" customHeight="1" x14ac:dyDescent="0.2">
      <c r="B30" s="67"/>
      <c r="C30" s="68" t="s">
        <v>200</v>
      </c>
      <c r="D30" s="344"/>
      <c r="E30" s="222" t="str">
        <f>tab!E2</f>
        <v>2016/17</v>
      </c>
      <c r="F30" s="85"/>
      <c r="G30" s="345"/>
      <c r="H30" s="85"/>
      <c r="I30" s="346"/>
      <c r="J30" s="347"/>
      <c r="K30" s="84"/>
      <c r="L30" s="346"/>
      <c r="M30" s="346"/>
      <c r="N30" s="346"/>
      <c r="O30" s="346"/>
      <c r="P30" s="346"/>
      <c r="Q30" s="84"/>
      <c r="R30" s="439"/>
      <c r="S30" s="385"/>
      <c r="T30" s="879"/>
      <c r="U30" s="219"/>
      <c r="V30" s="386"/>
      <c r="W30" s="334"/>
      <c r="X30" s="24"/>
      <c r="Y30" s="1237"/>
      <c r="Z30" s="1288"/>
      <c r="AA30" s="1256"/>
      <c r="AB30" s="1256"/>
      <c r="AC30" s="1256"/>
      <c r="AD30" s="1248"/>
      <c r="AE30" s="1221"/>
      <c r="AF30" s="1221"/>
      <c r="AG30" s="1257"/>
      <c r="AH30" s="1258"/>
      <c r="AK30" s="14"/>
      <c r="AL30" s="14"/>
      <c r="AM30" s="271"/>
      <c r="AN30" s="332"/>
    </row>
    <row r="31" spans="2:40" ht="12.75" customHeight="1" x14ac:dyDescent="0.2">
      <c r="B31" s="67"/>
      <c r="C31" s="84" t="s">
        <v>213</v>
      </c>
      <c r="D31" s="344"/>
      <c r="E31" s="381">
        <f>tab!F3</f>
        <v>42644</v>
      </c>
      <c r="F31" s="85"/>
      <c r="G31" s="345"/>
      <c r="H31" s="85"/>
      <c r="I31" s="346"/>
      <c r="J31" s="347"/>
      <c r="K31" s="84"/>
      <c r="L31" s="346"/>
      <c r="M31" s="346"/>
      <c r="N31" s="346"/>
      <c r="O31" s="346"/>
      <c r="P31" s="346"/>
      <c r="Q31" s="84"/>
      <c r="R31" s="439"/>
      <c r="S31" s="385"/>
      <c r="T31" s="879"/>
      <c r="U31" s="219"/>
      <c r="V31" s="386"/>
      <c r="W31" s="334"/>
      <c r="X31" s="24"/>
      <c r="Y31" s="1237"/>
      <c r="Z31" s="1288"/>
      <c r="AA31" s="1256"/>
      <c r="AB31" s="1256"/>
      <c r="AC31" s="1256"/>
      <c r="AD31" s="1248"/>
      <c r="AE31" s="1221"/>
      <c r="AF31" s="1221"/>
      <c r="AG31" s="1257"/>
      <c r="AH31" s="1258"/>
      <c r="AK31" s="14"/>
      <c r="AL31" s="14"/>
      <c r="AM31" s="271"/>
      <c r="AN31" s="332"/>
    </row>
    <row r="32" spans="2:40" ht="12.75" customHeight="1" x14ac:dyDescent="0.2">
      <c r="B32" s="67"/>
      <c r="C32" s="68"/>
      <c r="D32" s="344"/>
      <c r="E32" s="84"/>
      <c r="F32" s="85"/>
      <c r="G32" s="345"/>
      <c r="H32" s="85"/>
      <c r="I32" s="346"/>
      <c r="J32" s="347"/>
      <c r="K32" s="84"/>
      <c r="L32" s="346"/>
      <c r="M32" s="346"/>
      <c r="N32" s="346"/>
      <c r="O32" s="346"/>
      <c r="P32" s="346"/>
      <c r="Q32" s="84"/>
      <c r="R32" s="439"/>
      <c r="S32" s="385"/>
      <c r="T32" s="879"/>
      <c r="U32" s="219"/>
      <c r="V32" s="384"/>
      <c r="W32" s="334"/>
      <c r="X32" s="24"/>
      <c r="Y32" s="1237"/>
      <c r="Z32" s="1288"/>
      <c r="AA32" s="1256"/>
      <c r="AB32" s="1256"/>
      <c r="AC32" s="1256"/>
      <c r="AD32" s="1248"/>
      <c r="AE32" s="1221"/>
      <c r="AF32" s="1221"/>
      <c r="AG32" s="1257"/>
      <c r="AH32" s="1258"/>
      <c r="AK32" s="14"/>
      <c r="AL32" s="14"/>
      <c r="AM32" s="271"/>
      <c r="AN32" s="332"/>
    </row>
    <row r="33" spans="2:40" ht="12.75" customHeight="1" x14ac:dyDescent="0.2">
      <c r="B33" s="67"/>
      <c r="C33" s="184"/>
      <c r="D33" s="400"/>
      <c r="E33" s="401"/>
      <c r="F33" s="185"/>
      <c r="G33" s="403"/>
      <c r="H33" s="404"/>
      <c r="I33" s="404"/>
      <c r="J33" s="405"/>
      <c r="K33" s="120"/>
      <c r="L33" s="404"/>
      <c r="M33" s="404"/>
      <c r="N33" s="404"/>
      <c r="O33" s="404"/>
      <c r="P33" s="404"/>
      <c r="Q33" s="120"/>
      <c r="R33" s="437"/>
      <c r="S33" s="406"/>
      <c r="T33" s="881"/>
      <c r="U33" s="121"/>
      <c r="V33" s="71"/>
      <c r="AE33" s="1235"/>
      <c r="AF33" s="1236"/>
      <c r="AI33" s="1237"/>
      <c r="AJ33" s="1238"/>
      <c r="AK33" s="324"/>
      <c r="AL33" s="24"/>
    </row>
    <row r="34" spans="2:40" s="269" customFormat="1" ht="12.75" customHeight="1" x14ac:dyDescent="0.2">
      <c r="B34" s="424"/>
      <c r="C34" s="425"/>
      <c r="D34" s="1191" t="s">
        <v>306</v>
      </c>
      <c r="E34" s="1191"/>
      <c r="F34" s="1191"/>
      <c r="G34" s="1191"/>
      <c r="H34" s="1191"/>
      <c r="I34" s="1191"/>
      <c r="J34" s="1191"/>
      <c r="K34" s="1191"/>
      <c r="L34" s="1191" t="s">
        <v>553</v>
      </c>
      <c r="M34" s="1193"/>
      <c r="N34" s="1191"/>
      <c r="O34" s="1191"/>
      <c r="P34" s="1291"/>
      <c r="Q34" s="1055"/>
      <c r="R34" s="1191" t="s">
        <v>554</v>
      </c>
      <c r="S34" s="1194"/>
      <c r="T34" s="1292"/>
      <c r="U34" s="1293"/>
      <c r="V34" s="426"/>
      <c r="W34" s="427"/>
      <c r="X34" s="427"/>
      <c r="Y34" s="1221"/>
      <c r="Z34" s="1294"/>
      <c r="AA34" s="1221"/>
      <c r="AB34" s="1221"/>
      <c r="AC34" s="1221"/>
      <c r="AD34" s="1295"/>
      <c r="AE34" s="1295"/>
      <c r="AF34" s="1224"/>
      <c r="AG34" s="1248"/>
      <c r="AH34" s="1249"/>
      <c r="AI34" s="1224"/>
      <c r="AJ34" s="1224"/>
      <c r="AM34" s="427"/>
      <c r="AN34" s="427"/>
    </row>
    <row r="35" spans="2:40" s="269" customFormat="1" ht="12.75" customHeight="1" x14ac:dyDescent="0.2">
      <c r="B35" s="424"/>
      <c r="C35" s="425"/>
      <c r="D35" s="1056" t="s">
        <v>545</v>
      </c>
      <c r="E35" s="1030" t="s">
        <v>201</v>
      </c>
      <c r="F35" s="1057" t="s">
        <v>151</v>
      </c>
      <c r="G35" s="1058" t="s">
        <v>295</v>
      </c>
      <c r="H35" s="1057" t="s">
        <v>226</v>
      </c>
      <c r="I35" s="1057" t="s">
        <v>247</v>
      </c>
      <c r="J35" s="1059" t="s">
        <v>207</v>
      </c>
      <c r="K35" s="1034"/>
      <c r="L35" s="1060" t="s">
        <v>530</v>
      </c>
      <c r="M35" s="1060" t="s">
        <v>531</v>
      </c>
      <c r="N35" s="1060" t="s">
        <v>529</v>
      </c>
      <c r="O35" s="1060" t="s">
        <v>530</v>
      </c>
      <c r="P35" s="1296" t="s">
        <v>555</v>
      </c>
      <c r="Q35" s="1034"/>
      <c r="R35" s="1195" t="s">
        <v>212</v>
      </c>
      <c r="S35" s="1062" t="s">
        <v>556</v>
      </c>
      <c r="T35" s="1063" t="s">
        <v>212</v>
      </c>
      <c r="U35" s="1297"/>
      <c r="V35" s="429"/>
      <c r="W35" s="430"/>
      <c r="X35" s="430"/>
      <c r="Y35" s="1068" t="s">
        <v>325</v>
      </c>
      <c r="Z35" s="1285" t="s">
        <v>548</v>
      </c>
      <c r="AA35" s="1259" t="s">
        <v>549</v>
      </c>
      <c r="AB35" s="1259" t="s">
        <v>549</v>
      </c>
      <c r="AC35" s="1259" t="s">
        <v>546</v>
      </c>
      <c r="AD35" s="1206" t="s">
        <v>539</v>
      </c>
      <c r="AE35" s="1206" t="s">
        <v>540</v>
      </c>
      <c r="AF35" s="1069" t="s">
        <v>541</v>
      </c>
      <c r="AG35" s="1250" t="s">
        <v>319</v>
      </c>
      <c r="AH35" s="1249" t="s">
        <v>459</v>
      </c>
      <c r="AI35" s="1224"/>
      <c r="AJ35" s="1224"/>
      <c r="AM35" s="427"/>
      <c r="AN35" s="430"/>
    </row>
    <row r="36" spans="2:40" s="336" customFormat="1" ht="12.75" customHeight="1" x14ac:dyDescent="0.2">
      <c r="B36" s="387"/>
      <c r="C36" s="425"/>
      <c r="D36" s="1064"/>
      <c r="E36" s="1030"/>
      <c r="F36" s="1057" t="s">
        <v>152</v>
      </c>
      <c r="G36" s="1058" t="s">
        <v>296</v>
      </c>
      <c r="H36" s="1057"/>
      <c r="I36" s="1057"/>
      <c r="J36" s="1059" t="s">
        <v>298</v>
      </c>
      <c r="K36" s="1034"/>
      <c r="L36" s="1060" t="s">
        <v>533</v>
      </c>
      <c r="M36" s="1060" t="s">
        <v>534</v>
      </c>
      <c r="N36" s="1060" t="s">
        <v>532</v>
      </c>
      <c r="O36" s="1060" t="s">
        <v>544</v>
      </c>
      <c r="P36" s="1296" t="s">
        <v>291</v>
      </c>
      <c r="Q36" s="1034"/>
      <c r="R36" s="1061" t="s">
        <v>557</v>
      </c>
      <c r="S36" s="1062" t="s">
        <v>535</v>
      </c>
      <c r="T36" s="1063" t="s">
        <v>291</v>
      </c>
      <c r="U36" s="1040"/>
      <c r="V36" s="151"/>
      <c r="W36" s="144"/>
      <c r="X36" s="144"/>
      <c r="Y36" s="1068" t="s">
        <v>217</v>
      </c>
      <c r="Z36" s="1287">
        <f>tab!$E$48</f>
        <v>0.62</v>
      </c>
      <c r="AA36" s="1259" t="s">
        <v>550</v>
      </c>
      <c r="AB36" s="1259" t="s">
        <v>551</v>
      </c>
      <c r="AC36" s="1259" t="s">
        <v>552</v>
      </c>
      <c r="AD36" s="1206" t="s">
        <v>542</v>
      </c>
      <c r="AE36" s="1206" t="s">
        <v>542</v>
      </c>
      <c r="AF36" s="1069" t="s">
        <v>543</v>
      </c>
      <c r="AG36" s="1250"/>
      <c r="AH36" s="1251" t="s">
        <v>246</v>
      </c>
      <c r="AI36" s="1221"/>
      <c r="AJ36" s="1221"/>
      <c r="AN36" s="337"/>
    </row>
    <row r="37" spans="2:40" ht="12.75" customHeight="1" x14ac:dyDescent="0.2">
      <c r="B37" s="67"/>
      <c r="C37" s="126"/>
      <c r="D37" s="410"/>
      <c r="E37" s="410"/>
      <c r="F37" s="410"/>
      <c r="G37" s="410"/>
      <c r="H37" s="410"/>
      <c r="I37" s="410"/>
      <c r="J37" s="410"/>
      <c r="K37" s="408"/>
      <c r="L37" s="410"/>
      <c r="M37" s="410"/>
      <c r="N37" s="410"/>
      <c r="O37" s="410"/>
      <c r="P37" s="410"/>
      <c r="Q37" s="408"/>
      <c r="R37" s="876"/>
      <c r="S37" s="411"/>
      <c r="T37" s="882"/>
      <c r="U37" s="125"/>
      <c r="V37" s="71"/>
      <c r="Y37" s="1068"/>
      <c r="Z37" s="1252"/>
      <c r="AA37" s="1252"/>
      <c r="AB37" s="1252"/>
      <c r="AC37" s="1252"/>
      <c r="AE37" s="1221"/>
      <c r="AF37" s="1221"/>
      <c r="AG37" s="1250"/>
      <c r="AH37" s="1251"/>
      <c r="AK37" s="14"/>
      <c r="AL37" s="14"/>
      <c r="AN37" s="332"/>
    </row>
    <row r="38" spans="2:40" ht="12.75" customHeight="1" x14ac:dyDescent="0.2">
      <c r="B38" s="67"/>
      <c r="C38" s="126"/>
      <c r="D38" s="396" t="str">
        <f>IF(dir!D16="","",dir!D16)</f>
        <v/>
      </c>
      <c r="E38" s="432" t="str">
        <f>IF(dir!E16="","",dir!E16)</f>
        <v>nn</v>
      </c>
      <c r="F38" s="117" t="str">
        <f>IF(dir!F16="","",dir!F16+1)</f>
        <v/>
      </c>
      <c r="G38" s="397" t="str">
        <f>IF(dir!G16="","",dir!G16)</f>
        <v/>
      </c>
      <c r="H38" s="433" t="str">
        <f t="shared" ref="H38:H47" si="23">IF(H16=0,"",H16)</f>
        <v>DB</v>
      </c>
      <c r="I38" s="398">
        <f>IF(J38="","",(IF(dir!I16+1&gt;LOOKUP(H38,schaal2013,regels2013),dir!I16,dir!I16+1)))</f>
        <v>4</v>
      </c>
      <c r="J38" s="399">
        <f>IF(dir!J16="","",dir!J16)</f>
        <v>1</v>
      </c>
      <c r="K38" s="413"/>
      <c r="L38" s="1219">
        <f>IF(dir!L16="",0,dir!L16)</f>
        <v>130</v>
      </c>
      <c r="M38" s="1219">
        <f>IF(dir!M16="",0,dir!M16)</f>
        <v>170</v>
      </c>
      <c r="N38" s="1209">
        <f t="shared" ref="N38:N47" si="24">IF(J38="","",IF((J38*40)&gt;40,40,((J38*40))))</f>
        <v>40</v>
      </c>
      <c r="O38" s="1209"/>
      <c r="P38" s="1283">
        <f t="shared" ref="P38:P47" si="25">IF(J38="","",(SUM(L38:O38)))</f>
        <v>340</v>
      </c>
      <c r="Q38" s="518"/>
      <c r="R38" s="1076">
        <f>IF(J38="","",(((1659*J38)-P38)*AB38))</f>
        <v>50370.821121157336</v>
      </c>
      <c r="S38" s="1076">
        <f t="shared" ref="S38:S47" si="26">IF(J38="","",(P38*AC38)+(AA38*AD38)+((AE38*AA38*(1-AF38))))</f>
        <v>9448.1533453887914</v>
      </c>
      <c r="T38" s="1078">
        <f t="shared" ref="T38:T47" si="27">IF(J38="","",(R38+S38))</f>
        <v>59818.974466546126</v>
      </c>
      <c r="U38" s="269"/>
      <c r="V38" s="804"/>
      <c r="W38" s="801"/>
      <c r="X38" s="801"/>
      <c r="Y38" s="1253">
        <f>ROUND(VLOOKUP(H38,tab!$A$61:$V$103,I38+2,FALSE),0)</f>
        <v>3259</v>
      </c>
      <c r="Z38" s="1252">
        <f>tab!$E$48</f>
        <v>0.62</v>
      </c>
      <c r="AA38" s="1284">
        <f t="shared" ref="AA38:AA47" si="28">(Y38*12/1659)</f>
        <v>23.573236889692584</v>
      </c>
      <c r="AB38" s="1284">
        <f t="shared" ref="AB38:AB47" si="29">(Y38*12*(1+Z38))/1659</f>
        <v>38.188643761301996</v>
      </c>
      <c r="AC38" s="1284">
        <f t="shared" ref="AC38:AC47" si="30">AB38-AA38</f>
        <v>14.615406871609412</v>
      </c>
      <c r="AD38" s="1286">
        <f t="shared" ref="AD38:AD47" si="31">(N38+O38)</f>
        <v>40</v>
      </c>
      <c r="AE38" s="1286">
        <f t="shared" ref="AE38:AE47" si="32">(L38+M38)</f>
        <v>300</v>
      </c>
      <c r="AF38" s="1254">
        <f>IF(H38&gt;8,tab!$D$49,tab!$D$52)</f>
        <v>0.5</v>
      </c>
      <c r="AG38" s="1255">
        <f t="shared" ref="AG38:AG47" si="33">IF(F38&lt;25,0,IF(F38=25,25,IF(F38&lt;40,0,IF(F38=40,40,IF(F38&gt;=40,0)))))</f>
        <v>0</v>
      </c>
      <c r="AH38" s="1251">
        <f t="shared" ref="AH38:AH47" si="34">IF(AG38=25,(Y38*1.08*(J38)/2),IF(AG38=40,(Y38*1.08*(J38)),IF(AG38=0,0)))</f>
        <v>0</v>
      </c>
      <c r="AI38" s="1260"/>
    </row>
    <row r="39" spans="2:40" ht="12.75" customHeight="1" x14ac:dyDescent="0.2">
      <c r="B39" s="67"/>
      <c r="C39" s="126"/>
      <c r="D39" s="396" t="str">
        <f>IF(dir!D17="","",dir!D17)</f>
        <v/>
      </c>
      <c r="E39" s="432" t="str">
        <f>IF(dir!E17="","",dir!E17)</f>
        <v/>
      </c>
      <c r="F39" s="117" t="str">
        <f>IF(dir!F17="","",dir!F17+1)</f>
        <v/>
      </c>
      <c r="G39" s="397" t="str">
        <f>IF(dir!G17="","",dir!G17)</f>
        <v/>
      </c>
      <c r="H39" s="433" t="str">
        <f t="shared" si="23"/>
        <v/>
      </c>
      <c r="I39" s="398" t="str">
        <f>IF(J39="","",(IF(dir!I17+1&gt;LOOKUP(H39,schaal2013,regels2013),dir!I17,dir!I17+1)))</f>
        <v/>
      </c>
      <c r="J39" s="399" t="str">
        <f>IF(dir!J17="","",dir!J17)</f>
        <v/>
      </c>
      <c r="K39" s="413"/>
      <c r="L39" s="1219">
        <f>IF(dir!L17="",0,dir!L17)</f>
        <v>0</v>
      </c>
      <c r="M39" s="1219">
        <f>IF(dir!M17="",0,dir!M17)</f>
        <v>0</v>
      </c>
      <c r="N39" s="1209" t="str">
        <f t="shared" si="24"/>
        <v/>
      </c>
      <c r="O39" s="1209"/>
      <c r="P39" s="1283" t="str">
        <f t="shared" si="25"/>
        <v/>
      </c>
      <c r="Q39" s="518"/>
      <c r="R39" s="1076" t="str">
        <f t="shared" ref="R39:R47" si="35">IF(J39="","",(((1659*J39)-P39)*AB39))</f>
        <v/>
      </c>
      <c r="S39" s="1076" t="str">
        <f t="shared" si="26"/>
        <v/>
      </c>
      <c r="T39" s="1078" t="str">
        <f t="shared" si="27"/>
        <v/>
      </c>
      <c r="U39" s="269"/>
      <c r="V39" s="804"/>
      <c r="W39" s="801"/>
      <c r="X39" s="801"/>
      <c r="Y39" s="1253" t="e">
        <f>ROUND(VLOOKUP(H39,tab!$A$61:$V$103,I39+2,FALSE),0)</f>
        <v>#VALUE!</v>
      </c>
      <c r="Z39" s="1252">
        <f>tab!$E$48</f>
        <v>0.62</v>
      </c>
      <c r="AA39" s="1284" t="e">
        <f t="shared" si="28"/>
        <v>#VALUE!</v>
      </c>
      <c r="AB39" s="1284" t="e">
        <f t="shared" si="29"/>
        <v>#VALUE!</v>
      </c>
      <c r="AC39" s="1284" t="e">
        <f t="shared" si="30"/>
        <v>#VALUE!</v>
      </c>
      <c r="AD39" s="1286" t="e">
        <f t="shared" si="31"/>
        <v>#VALUE!</v>
      </c>
      <c r="AE39" s="1286">
        <f t="shared" si="32"/>
        <v>0</v>
      </c>
      <c r="AF39" s="1254">
        <f>IF(H39&gt;8,tab!$D$49,tab!$D$52)</f>
        <v>0.5</v>
      </c>
      <c r="AG39" s="1255">
        <f t="shared" si="33"/>
        <v>0</v>
      </c>
      <c r="AH39" s="1251">
        <f t="shared" si="34"/>
        <v>0</v>
      </c>
      <c r="AI39" s="1260"/>
    </row>
    <row r="40" spans="2:40" ht="12.75" customHeight="1" x14ac:dyDescent="0.2">
      <c r="B40" s="67"/>
      <c r="C40" s="126"/>
      <c r="D40" s="396" t="str">
        <f>IF(dir!D18="","",dir!D18)</f>
        <v/>
      </c>
      <c r="E40" s="432" t="str">
        <f>IF(dir!E18="","",dir!E18)</f>
        <v/>
      </c>
      <c r="F40" s="117" t="str">
        <f>IF(dir!F18="","",dir!F18+1)</f>
        <v/>
      </c>
      <c r="G40" s="397" t="str">
        <f>IF(dir!G18="","",dir!G18)</f>
        <v/>
      </c>
      <c r="H40" s="433" t="str">
        <f t="shared" si="23"/>
        <v/>
      </c>
      <c r="I40" s="398" t="str">
        <f>IF(J40="","",(IF(dir!I18+1&gt;LOOKUP(H40,schaal2013,regels2013),dir!I18,dir!I18+1)))</f>
        <v/>
      </c>
      <c r="J40" s="399" t="str">
        <f>IF(dir!J18="","",dir!J18)</f>
        <v/>
      </c>
      <c r="K40" s="413"/>
      <c r="L40" s="1219">
        <f>IF(dir!L18="",0,dir!L18)</f>
        <v>0</v>
      </c>
      <c r="M40" s="1219">
        <f>IF(dir!M18="",0,dir!M18)</f>
        <v>0</v>
      </c>
      <c r="N40" s="1209" t="str">
        <f t="shared" si="24"/>
        <v/>
      </c>
      <c r="O40" s="1209"/>
      <c r="P40" s="1283" t="str">
        <f t="shared" si="25"/>
        <v/>
      </c>
      <c r="Q40" s="518"/>
      <c r="R40" s="1076" t="str">
        <f t="shared" si="35"/>
        <v/>
      </c>
      <c r="S40" s="1076" t="str">
        <f t="shared" si="26"/>
        <v/>
      </c>
      <c r="T40" s="1078" t="str">
        <f t="shared" si="27"/>
        <v/>
      </c>
      <c r="U40" s="269"/>
      <c r="V40" s="804"/>
      <c r="W40" s="801"/>
      <c r="X40" s="801"/>
      <c r="Y40" s="1253" t="e">
        <f>ROUND(VLOOKUP(H40,tab!$A$61:$V$103,I40+2,FALSE),0)</f>
        <v>#VALUE!</v>
      </c>
      <c r="Z40" s="1252">
        <f>tab!$E$48</f>
        <v>0.62</v>
      </c>
      <c r="AA40" s="1284" t="e">
        <f t="shared" si="28"/>
        <v>#VALUE!</v>
      </c>
      <c r="AB40" s="1284" t="e">
        <f t="shared" si="29"/>
        <v>#VALUE!</v>
      </c>
      <c r="AC40" s="1284" t="e">
        <f t="shared" si="30"/>
        <v>#VALUE!</v>
      </c>
      <c r="AD40" s="1286" t="e">
        <f t="shared" si="31"/>
        <v>#VALUE!</v>
      </c>
      <c r="AE40" s="1286">
        <f t="shared" si="32"/>
        <v>0</v>
      </c>
      <c r="AF40" s="1254">
        <f>IF(H40&gt;8,tab!$D$49,tab!$D$52)</f>
        <v>0.5</v>
      </c>
      <c r="AG40" s="1255">
        <f t="shared" si="33"/>
        <v>0</v>
      </c>
      <c r="AH40" s="1251">
        <f t="shared" si="34"/>
        <v>0</v>
      </c>
      <c r="AI40" s="1260"/>
    </row>
    <row r="41" spans="2:40" ht="12.75" customHeight="1" x14ac:dyDescent="0.2">
      <c r="B41" s="67"/>
      <c r="C41" s="126"/>
      <c r="D41" s="396" t="str">
        <f>IF(dir!D19="","",dir!D19)</f>
        <v/>
      </c>
      <c r="E41" s="432" t="str">
        <f>IF(dir!E19="","",dir!E19)</f>
        <v/>
      </c>
      <c r="F41" s="117" t="str">
        <f>IF(dir!F19="","",dir!F19+1)</f>
        <v/>
      </c>
      <c r="G41" s="397" t="str">
        <f>IF(dir!G19="","",dir!G19)</f>
        <v/>
      </c>
      <c r="H41" s="433" t="str">
        <f t="shared" si="23"/>
        <v/>
      </c>
      <c r="I41" s="398" t="str">
        <f>IF(J41="","",(IF(dir!I19+1&gt;LOOKUP(H41,schaal2013,regels2013),dir!I19,dir!I19+1)))</f>
        <v/>
      </c>
      <c r="J41" s="399" t="str">
        <f>IF(dir!J19="","",dir!J19)</f>
        <v/>
      </c>
      <c r="K41" s="413"/>
      <c r="L41" s="1219">
        <f>IF(dir!L19="",0,dir!L19)</f>
        <v>0</v>
      </c>
      <c r="M41" s="1219">
        <f>IF(dir!M19="",0,dir!M19)</f>
        <v>0</v>
      </c>
      <c r="N41" s="1209" t="str">
        <f t="shared" si="24"/>
        <v/>
      </c>
      <c r="O41" s="1209"/>
      <c r="P41" s="1283" t="str">
        <f t="shared" si="25"/>
        <v/>
      </c>
      <c r="Q41" s="518"/>
      <c r="R41" s="1076" t="str">
        <f t="shared" si="35"/>
        <v/>
      </c>
      <c r="S41" s="1076" t="str">
        <f t="shared" si="26"/>
        <v/>
      </c>
      <c r="T41" s="1078" t="str">
        <f t="shared" si="27"/>
        <v/>
      </c>
      <c r="U41" s="269"/>
      <c r="V41" s="804"/>
      <c r="W41" s="801"/>
      <c r="X41" s="801"/>
      <c r="Y41" s="1253" t="e">
        <f>ROUND(VLOOKUP(H41,tab!$A$61:$V$103,I41+2,FALSE),0)</f>
        <v>#VALUE!</v>
      </c>
      <c r="Z41" s="1252">
        <f>tab!$E$48</f>
        <v>0.62</v>
      </c>
      <c r="AA41" s="1284" t="e">
        <f t="shared" si="28"/>
        <v>#VALUE!</v>
      </c>
      <c r="AB41" s="1284" t="e">
        <f t="shared" si="29"/>
        <v>#VALUE!</v>
      </c>
      <c r="AC41" s="1284" t="e">
        <f t="shared" si="30"/>
        <v>#VALUE!</v>
      </c>
      <c r="AD41" s="1286" t="e">
        <f t="shared" si="31"/>
        <v>#VALUE!</v>
      </c>
      <c r="AE41" s="1286">
        <f t="shared" si="32"/>
        <v>0</v>
      </c>
      <c r="AF41" s="1254">
        <f>IF(H41&gt;8,tab!$D$49,tab!$D$52)</f>
        <v>0.5</v>
      </c>
      <c r="AG41" s="1255">
        <f t="shared" si="33"/>
        <v>0</v>
      </c>
      <c r="AH41" s="1251">
        <f t="shared" si="34"/>
        <v>0</v>
      </c>
      <c r="AI41" s="1260"/>
    </row>
    <row r="42" spans="2:40" ht="12.75" customHeight="1" x14ac:dyDescent="0.2">
      <c r="B42" s="67"/>
      <c r="C42" s="126"/>
      <c r="D42" s="396" t="str">
        <f>IF(dir!D20="","",dir!D20)</f>
        <v/>
      </c>
      <c r="E42" s="432" t="str">
        <f>IF(dir!E20="","",dir!E20)</f>
        <v/>
      </c>
      <c r="F42" s="117" t="str">
        <f>IF(dir!F20="","",dir!F20+1)</f>
        <v/>
      </c>
      <c r="G42" s="397" t="str">
        <f>IF(dir!G20="","",dir!G20)</f>
        <v/>
      </c>
      <c r="H42" s="433" t="str">
        <f t="shared" si="23"/>
        <v/>
      </c>
      <c r="I42" s="398" t="str">
        <f>IF(J42="","",(IF(dir!I20+1&gt;LOOKUP(H42,schaal2013,regels2013),dir!I20,dir!I20+1)))</f>
        <v/>
      </c>
      <c r="J42" s="399" t="str">
        <f>IF(dir!J20="","",dir!J20)</f>
        <v/>
      </c>
      <c r="K42" s="413"/>
      <c r="L42" s="1219">
        <f>IF(dir!L20="",0,dir!L20)</f>
        <v>0</v>
      </c>
      <c r="M42" s="1219">
        <f>IF(dir!M20="",0,dir!M20)</f>
        <v>0</v>
      </c>
      <c r="N42" s="1209" t="str">
        <f t="shared" si="24"/>
        <v/>
      </c>
      <c r="O42" s="1209"/>
      <c r="P42" s="1283" t="str">
        <f t="shared" si="25"/>
        <v/>
      </c>
      <c r="Q42" s="518"/>
      <c r="R42" s="1076" t="str">
        <f t="shared" si="35"/>
        <v/>
      </c>
      <c r="S42" s="1076" t="str">
        <f t="shared" si="26"/>
        <v/>
      </c>
      <c r="T42" s="1078" t="str">
        <f t="shared" si="27"/>
        <v/>
      </c>
      <c r="U42" s="269"/>
      <c r="V42" s="804"/>
      <c r="W42" s="801"/>
      <c r="X42" s="801"/>
      <c r="Y42" s="1253" t="e">
        <f>ROUND(VLOOKUP(H42,tab!$A$61:$V$103,I42+2,FALSE),0)</f>
        <v>#VALUE!</v>
      </c>
      <c r="Z42" s="1252">
        <f>tab!$E$48</f>
        <v>0.62</v>
      </c>
      <c r="AA42" s="1284" t="e">
        <f t="shared" si="28"/>
        <v>#VALUE!</v>
      </c>
      <c r="AB42" s="1284" t="e">
        <f t="shared" si="29"/>
        <v>#VALUE!</v>
      </c>
      <c r="AC42" s="1284" t="e">
        <f t="shared" si="30"/>
        <v>#VALUE!</v>
      </c>
      <c r="AD42" s="1286" t="e">
        <f t="shared" si="31"/>
        <v>#VALUE!</v>
      </c>
      <c r="AE42" s="1286">
        <f t="shared" si="32"/>
        <v>0</v>
      </c>
      <c r="AF42" s="1254">
        <f>IF(H42&gt;8,tab!$D$49,tab!$D$52)</f>
        <v>0.5</v>
      </c>
      <c r="AG42" s="1255">
        <f t="shared" si="33"/>
        <v>0</v>
      </c>
      <c r="AH42" s="1251">
        <f t="shared" si="34"/>
        <v>0</v>
      </c>
      <c r="AI42" s="1260"/>
    </row>
    <row r="43" spans="2:40" ht="12.75" customHeight="1" x14ac:dyDescent="0.2">
      <c r="B43" s="67"/>
      <c r="C43" s="126"/>
      <c r="D43" s="396" t="str">
        <f>IF(dir!D21="","",dir!D21)</f>
        <v/>
      </c>
      <c r="E43" s="432" t="str">
        <f>IF(dir!E21="","",dir!E21)</f>
        <v/>
      </c>
      <c r="F43" s="117" t="str">
        <f>IF(dir!F21="","",dir!F21+1)</f>
        <v/>
      </c>
      <c r="G43" s="397" t="str">
        <f>IF(dir!G21="","",dir!G21)</f>
        <v/>
      </c>
      <c r="H43" s="433" t="str">
        <f t="shared" si="23"/>
        <v/>
      </c>
      <c r="I43" s="398" t="str">
        <f>IF(J43="","",(IF(dir!I21+1&gt;LOOKUP(H43,schaal2013,regels2013),dir!I21,dir!I21+1)))</f>
        <v/>
      </c>
      <c r="J43" s="399" t="str">
        <f>IF(dir!J21="","",dir!J21)</f>
        <v/>
      </c>
      <c r="K43" s="413"/>
      <c r="L43" s="1219">
        <f>IF(dir!L21="",0,dir!L21)</f>
        <v>0</v>
      </c>
      <c r="M43" s="1219">
        <f>IF(dir!M21="",0,dir!M21)</f>
        <v>0</v>
      </c>
      <c r="N43" s="1209" t="str">
        <f t="shared" si="24"/>
        <v/>
      </c>
      <c r="O43" s="1209"/>
      <c r="P43" s="1283" t="str">
        <f t="shared" si="25"/>
        <v/>
      </c>
      <c r="Q43" s="518"/>
      <c r="R43" s="1076" t="str">
        <f t="shared" si="35"/>
        <v/>
      </c>
      <c r="S43" s="1076" t="str">
        <f t="shared" si="26"/>
        <v/>
      </c>
      <c r="T43" s="1078" t="str">
        <f t="shared" si="27"/>
        <v/>
      </c>
      <c r="U43" s="269"/>
      <c r="V43" s="804"/>
      <c r="W43" s="801"/>
      <c r="X43" s="801"/>
      <c r="Y43" s="1253" t="e">
        <f>ROUND(VLOOKUP(H43,tab!$A$61:$V$103,I43+2,FALSE),0)</f>
        <v>#VALUE!</v>
      </c>
      <c r="Z43" s="1252">
        <f>tab!$E$48</f>
        <v>0.62</v>
      </c>
      <c r="AA43" s="1284" t="e">
        <f t="shared" si="28"/>
        <v>#VALUE!</v>
      </c>
      <c r="AB43" s="1284" t="e">
        <f t="shared" si="29"/>
        <v>#VALUE!</v>
      </c>
      <c r="AC43" s="1284" t="e">
        <f t="shared" si="30"/>
        <v>#VALUE!</v>
      </c>
      <c r="AD43" s="1286" t="e">
        <f t="shared" si="31"/>
        <v>#VALUE!</v>
      </c>
      <c r="AE43" s="1286">
        <f t="shared" si="32"/>
        <v>0</v>
      </c>
      <c r="AF43" s="1254">
        <f>IF(H43&gt;8,tab!$D$49,tab!$D$52)</f>
        <v>0.5</v>
      </c>
      <c r="AG43" s="1255">
        <f t="shared" si="33"/>
        <v>0</v>
      </c>
      <c r="AH43" s="1251">
        <f t="shared" si="34"/>
        <v>0</v>
      </c>
      <c r="AI43" s="1260"/>
    </row>
    <row r="44" spans="2:40" ht="12.75" customHeight="1" x14ac:dyDescent="0.2">
      <c r="B44" s="67"/>
      <c r="C44" s="126"/>
      <c r="D44" s="396" t="str">
        <f>IF(dir!D22="","",dir!D22)</f>
        <v/>
      </c>
      <c r="E44" s="432" t="str">
        <f>IF(dir!E22="","",dir!E22)</f>
        <v/>
      </c>
      <c r="F44" s="117" t="str">
        <f>IF(dir!F22="","",dir!F22+1)</f>
        <v/>
      </c>
      <c r="G44" s="397" t="str">
        <f>IF(dir!G22="","",dir!G22)</f>
        <v/>
      </c>
      <c r="H44" s="433" t="str">
        <f t="shared" si="23"/>
        <v/>
      </c>
      <c r="I44" s="398" t="str">
        <f>IF(J44="","",(IF(dir!I22+1&gt;LOOKUP(H44,schaal2013,regels2013),dir!I22,dir!I22+1)))</f>
        <v/>
      </c>
      <c r="J44" s="399" t="str">
        <f>IF(dir!J22="","",dir!J22)</f>
        <v/>
      </c>
      <c r="K44" s="413"/>
      <c r="L44" s="1219">
        <f>IF(dir!L22="",0,dir!L22)</f>
        <v>0</v>
      </c>
      <c r="M44" s="1219">
        <f>IF(dir!M22="",0,dir!M22)</f>
        <v>0</v>
      </c>
      <c r="N44" s="1209" t="str">
        <f t="shared" si="24"/>
        <v/>
      </c>
      <c r="O44" s="1209"/>
      <c r="P44" s="1283" t="str">
        <f t="shared" si="25"/>
        <v/>
      </c>
      <c r="Q44" s="518"/>
      <c r="R44" s="1076" t="str">
        <f t="shared" si="35"/>
        <v/>
      </c>
      <c r="S44" s="1076" t="str">
        <f t="shared" si="26"/>
        <v/>
      </c>
      <c r="T44" s="1078" t="str">
        <f t="shared" si="27"/>
        <v/>
      </c>
      <c r="U44" s="269"/>
      <c r="V44" s="804"/>
      <c r="W44" s="801"/>
      <c r="X44" s="801"/>
      <c r="Y44" s="1253" t="e">
        <f>ROUND(VLOOKUP(H44,tab!$A$61:$V$103,I44+2,FALSE),0)</f>
        <v>#VALUE!</v>
      </c>
      <c r="Z44" s="1252">
        <f>tab!$E$48</f>
        <v>0.62</v>
      </c>
      <c r="AA44" s="1284" t="e">
        <f t="shared" si="28"/>
        <v>#VALUE!</v>
      </c>
      <c r="AB44" s="1284" t="e">
        <f t="shared" si="29"/>
        <v>#VALUE!</v>
      </c>
      <c r="AC44" s="1284" t="e">
        <f t="shared" si="30"/>
        <v>#VALUE!</v>
      </c>
      <c r="AD44" s="1286" t="e">
        <f t="shared" si="31"/>
        <v>#VALUE!</v>
      </c>
      <c r="AE44" s="1286">
        <f t="shared" si="32"/>
        <v>0</v>
      </c>
      <c r="AF44" s="1254">
        <f>IF(H44&gt;8,tab!$D$49,tab!$D$52)</f>
        <v>0.5</v>
      </c>
      <c r="AG44" s="1255">
        <f t="shared" si="33"/>
        <v>0</v>
      </c>
      <c r="AH44" s="1251">
        <f t="shared" si="34"/>
        <v>0</v>
      </c>
      <c r="AI44" s="1260"/>
    </row>
    <row r="45" spans="2:40" ht="12.75" customHeight="1" x14ac:dyDescent="0.2">
      <c r="B45" s="67"/>
      <c r="C45" s="126"/>
      <c r="D45" s="396" t="str">
        <f>IF(dir!D23="","",dir!D23)</f>
        <v/>
      </c>
      <c r="E45" s="432" t="str">
        <f>IF(dir!E23="","",dir!E23)</f>
        <v/>
      </c>
      <c r="F45" s="117" t="str">
        <f>IF(dir!F23="","",dir!F23+1)</f>
        <v/>
      </c>
      <c r="G45" s="397" t="str">
        <f>IF(dir!G23="","",dir!G23)</f>
        <v/>
      </c>
      <c r="H45" s="433" t="str">
        <f t="shared" si="23"/>
        <v/>
      </c>
      <c r="I45" s="398" t="str">
        <f>IF(J45="","",(IF(dir!I23+1&gt;LOOKUP(H45,schaal2013,regels2013),dir!I23,dir!I23+1)))</f>
        <v/>
      </c>
      <c r="J45" s="399" t="str">
        <f>IF(dir!J23="","",dir!J23)</f>
        <v/>
      </c>
      <c r="K45" s="413"/>
      <c r="L45" s="1219">
        <f>IF(dir!L23="",0,dir!L23)</f>
        <v>0</v>
      </c>
      <c r="M45" s="1219">
        <f>IF(dir!M23="",0,dir!M23)</f>
        <v>0</v>
      </c>
      <c r="N45" s="1209" t="str">
        <f t="shared" si="24"/>
        <v/>
      </c>
      <c r="O45" s="1209"/>
      <c r="P45" s="1283" t="str">
        <f t="shared" si="25"/>
        <v/>
      </c>
      <c r="Q45" s="518"/>
      <c r="R45" s="1076" t="str">
        <f t="shared" si="35"/>
        <v/>
      </c>
      <c r="S45" s="1076" t="str">
        <f t="shared" si="26"/>
        <v/>
      </c>
      <c r="T45" s="1078" t="str">
        <f t="shared" si="27"/>
        <v/>
      </c>
      <c r="U45" s="269"/>
      <c r="V45" s="804"/>
      <c r="W45" s="801"/>
      <c r="X45" s="801"/>
      <c r="Y45" s="1253" t="e">
        <f>ROUND(VLOOKUP(H45,tab!$A$61:$V$103,I45+2,FALSE),0)</f>
        <v>#VALUE!</v>
      </c>
      <c r="Z45" s="1252">
        <f>tab!$E$48</f>
        <v>0.62</v>
      </c>
      <c r="AA45" s="1284" t="e">
        <f t="shared" si="28"/>
        <v>#VALUE!</v>
      </c>
      <c r="AB45" s="1284" t="e">
        <f t="shared" si="29"/>
        <v>#VALUE!</v>
      </c>
      <c r="AC45" s="1284" t="e">
        <f t="shared" si="30"/>
        <v>#VALUE!</v>
      </c>
      <c r="AD45" s="1286" t="e">
        <f t="shared" si="31"/>
        <v>#VALUE!</v>
      </c>
      <c r="AE45" s="1286">
        <f t="shared" si="32"/>
        <v>0</v>
      </c>
      <c r="AF45" s="1254">
        <f>IF(H45&gt;8,tab!$D$49,tab!$D$52)</f>
        <v>0.5</v>
      </c>
      <c r="AG45" s="1255">
        <f t="shared" si="33"/>
        <v>0</v>
      </c>
      <c r="AH45" s="1251">
        <f t="shared" si="34"/>
        <v>0</v>
      </c>
      <c r="AI45" s="1260"/>
    </row>
    <row r="46" spans="2:40" ht="12.75" customHeight="1" x14ac:dyDescent="0.2">
      <c r="B46" s="67"/>
      <c r="C46" s="126"/>
      <c r="D46" s="396" t="str">
        <f>IF(dir!D24="","",dir!D24)</f>
        <v/>
      </c>
      <c r="E46" s="432" t="str">
        <f>IF(dir!E24="","",dir!E24)</f>
        <v/>
      </c>
      <c r="F46" s="117" t="str">
        <f>IF(dir!F24="","",dir!F24+1)</f>
        <v/>
      </c>
      <c r="G46" s="397" t="str">
        <f>IF(dir!G24="","",dir!G24)</f>
        <v/>
      </c>
      <c r="H46" s="433" t="str">
        <f t="shared" si="23"/>
        <v/>
      </c>
      <c r="I46" s="398" t="str">
        <f>IF(J46="","",(IF(dir!I24+1&gt;LOOKUP(H46,schaal2013,regels2013),dir!I24,dir!I24+1)))</f>
        <v/>
      </c>
      <c r="J46" s="399" t="str">
        <f>IF(dir!J24="","",dir!J24)</f>
        <v/>
      </c>
      <c r="K46" s="413"/>
      <c r="L46" s="1219">
        <f>IF(dir!L24="",0,dir!L24)</f>
        <v>0</v>
      </c>
      <c r="M46" s="1219">
        <f>IF(dir!M24="",0,dir!M24)</f>
        <v>0</v>
      </c>
      <c r="N46" s="1209" t="str">
        <f t="shared" si="24"/>
        <v/>
      </c>
      <c r="O46" s="1209"/>
      <c r="P46" s="1283" t="str">
        <f t="shared" si="25"/>
        <v/>
      </c>
      <c r="Q46" s="518"/>
      <c r="R46" s="1076" t="str">
        <f t="shared" si="35"/>
        <v/>
      </c>
      <c r="S46" s="1076" t="str">
        <f t="shared" si="26"/>
        <v/>
      </c>
      <c r="T46" s="1078" t="str">
        <f t="shared" si="27"/>
        <v/>
      </c>
      <c r="U46" s="269"/>
      <c r="V46" s="804"/>
      <c r="W46" s="801"/>
      <c r="X46" s="801"/>
      <c r="Y46" s="1253" t="e">
        <f>ROUND(VLOOKUP(H46,tab!$A$61:$V$103,I46+2,FALSE),0)</f>
        <v>#VALUE!</v>
      </c>
      <c r="Z46" s="1252">
        <f>tab!$E$48</f>
        <v>0.62</v>
      </c>
      <c r="AA46" s="1284" t="e">
        <f t="shared" si="28"/>
        <v>#VALUE!</v>
      </c>
      <c r="AB46" s="1284" t="e">
        <f t="shared" si="29"/>
        <v>#VALUE!</v>
      </c>
      <c r="AC46" s="1284" t="e">
        <f t="shared" si="30"/>
        <v>#VALUE!</v>
      </c>
      <c r="AD46" s="1286" t="e">
        <f t="shared" si="31"/>
        <v>#VALUE!</v>
      </c>
      <c r="AE46" s="1286">
        <f t="shared" si="32"/>
        <v>0</v>
      </c>
      <c r="AF46" s="1254">
        <f>IF(H46&gt;8,tab!$D$49,tab!$D$52)</f>
        <v>0.5</v>
      </c>
      <c r="AG46" s="1255">
        <f t="shared" si="33"/>
        <v>0</v>
      </c>
      <c r="AH46" s="1251">
        <f t="shared" si="34"/>
        <v>0</v>
      </c>
      <c r="AI46" s="1260"/>
    </row>
    <row r="47" spans="2:40" ht="12.75" customHeight="1" x14ac:dyDescent="0.2">
      <c r="B47" s="67"/>
      <c r="C47" s="126"/>
      <c r="D47" s="396" t="str">
        <f>IF(dir!D25="","",dir!D25)</f>
        <v/>
      </c>
      <c r="E47" s="432" t="str">
        <f>IF(dir!E25="","",dir!E25)</f>
        <v/>
      </c>
      <c r="F47" s="117" t="str">
        <f>IF(dir!F25="","",dir!F25+1)</f>
        <v/>
      </c>
      <c r="G47" s="397" t="str">
        <f>IF(dir!G25="","",dir!G25)</f>
        <v/>
      </c>
      <c r="H47" s="433" t="str">
        <f t="shared" si="23"/>
        <v/>
      </c>
      <c r="I47" s="398" t="str">
        <f>IF(J47="","",(IF(dir!I25+1&gt;LOOKUP(H47,schaal2013,regels2013),dir!I25,dir!I25+1)))</f>
        <v/>
      </c>
      <c r="J47" s="399" t="str">
        <f>IF(dir!J25="","",dir!J25)</f>
        <v/>
      </c>
      <c r="K47" s="413"/>
      <c r="L47" s="1219">
        <f>IF(dir!L25="",0,dir!L25)</f>
        <v>0</v>
      </c>
      <c r="M47" s="1219">
        <f>IF(dir!M25="",0,dir!M25)</f>
        <v>0</v>
      </c>
      <c r="N47" s="1209" t="str">
        <f t="shared" si="24"/>
        <v/>
      </c>
      <c r="O47" s="1209"/>
      <c r="P47" s="1283" t="str">
        <f t="shared" si="25"/>
        <v/>
      </c>
      <c r="Q47" s="518"/>
      <c r="R47" s="1076" t="str">
        <f t="shared" si="35"/>
        <v/>
      </c>
      <c r="S47" s="1076" t="str">
        <f t="shared" si="26"/>
        <v/>
      </c>
      <c r="T47" s="1078" t="str">
        <f t="shared" si="27"/>
        <v/>
      </c>
      <c r="U47" s="269"/>
      <c r="V47" s="804"/>
      <c r="W47" s="801"/>
      <c r="X47" s="801"/>
      <c r="Y47" s="1253" t="e">
        <f>ROUND(VLOOKUP(H47,tab!$A$61:$V$103,I47+2,FALSE),0)</f>
        <v>#VALUE!</v>
      </c>
      <c r="Z47" s="1252">
        <f>tab!$E$48</f>
        <v>0.62</v>
      </c>
      <c r="AA47" s="1284" t="e">
        <f t="shared" si="28"/>
        <v>#VALUE!</v>
      </c>
      <c r="AB47" s="1284" t="e">
        <f t="shared" si="29"/>
        <v>#VALUE!</v>
      </c>
      <c r="AC47" s="1284" t="e">
        <f t="shared" si="30"/>
        <v>#VALUE!</v>
      </c>
      <c r="AD47" s="1286" t="e">
        <f t="shared" si="31"/>
        <v>#VALUE!</v>
      </c>
      <c r="AE47" s="1286">
        <f t="shared" si="32"/>
        <v>0</v>
      </c>
      <c r="AF47" s="1254">
        <f>IF(H47&gt;8,tab!$D$49,tab!$D$52)</f>
        <v>0.5</v>
      </c>
      <c r="AG47" s="1255">
        <f t="shared" si="33"/>
        <v>0</v>
      </c>
      <c r="AH47" s="1251">
        <f t="shared" si="34"/>
        <v>0</v>
      </c>
      <c r="AI47" s="1260"/>
    </row>
    <row r="48" spans="2:40" ht="12.75" customHeight="1" x14ac:dyDescent="0.2">
      <c r="B48" s="67"/>
      <c r="C48" s="126"/>
      <c r="D48" s="188"/>
      <c r="E48" s="240"/>
      <c r="F48" s="415"/>
      <c r="G48" s="416"/>
      <c r="H48" s="128"/>
      <c r="I48" s="128"/>
      <c r="J48" s="1072">
        <f>SUM(J38:J47)</f>
        <v>1</v>
      </c>
      <c r="K48" s="415"/>
      <c r="L48" s="1197">
        <f t="shared" ref="L48:P48" si="36">SUM(L38:L47)</f>
        <v>130</v>
      </c>
      <c r="M48" s="1197">
        <f t="shared" si="36"/>
        <v>170</v>
      </c>
      <c r="N48" s="1197">
        <f>SUM(N38:N47)</f>
        <v>40</v>
      </c>
      <c r="O48" s="1197"/>
      <c r="P48" s="1197">
        <f t="shared" si="36"/>
        <v>340</v>
      </c>
      <c r="Q48" s="415"/>
      <c r="R48" s="1073">
        <f t="shared" ref="R48:T48" si="37">SUM(R38:R47)</f>
        <v>50370.821121157336</v>
      </c>
      <c r="S48" s="1074">
        <f t="shared" si="37"/>
        <v>9448.1533453887914</v>
      </c>
      <c r="T48" s="1073">
        <f t="shared" si="37"/>
        <v>59818.974466546126</v>
      </c>
      <c r="U48" s="414"/>
      <c r="V48" s="71"/>
      <c r="Y48" s="1256"/>
      <c r="Z48" s="1288"/>
      <c r="AA48" s="1256"/>
      <c r="AB48" s="1256"/>
      <c r="AC48" s="1256"/>
      <c r="AG48" s="1257"/>
      <c r="AH48" s="1258"/>
      <c r="AI48" s="1260"/>
    </row>
    <row r="49" spans="2:40" ht="12.75" customHeight="1" x14ac:dyDescent="0.2">
      <c r="B49" s="67"/>
      <c r="C49" s="191"/>
      <c r="D49" s="417"/>
      <c r="E49" s="287"/>
      <c r="F49" s="192"/>
      <c r="G49" s="418"/>
      <c r="H49" s="192"/>
      <c r="I49" s="419"/>
      <c r="J49" s="420"/>
      <c r="K49" s="287"/>
      <c r="L49" s="419"/>
      <c r="M49" s="419"/>
      <c r="N49" s="419"/>
      <c r="O49" s="419"/>
      <c r="P49" s="419"/>
      <c r="Q49" s="287"/>
      <c r="R49" s="438"/>
      <c r="S49" s="422"/>
      <c r="T49" s="883"/>
      <c r="U49" s="423"/>
      <c r="V49" s="71"/>
      <c r="Y49" s="1237"/>
      <c r="Z49" s="1288"/>
      <c r="AA49" s="1256"/>
      <c r="AB49" s="1256"/>
      <c r="AC49" s="1256"/>
      <c r="AG49" s="1257"/>
      <c r="AH49" s="1258"/>
      <c r="AI49" s="1260"/>
    </row>
    <row r="50" spans="2:40" ht="12.75" customHeight="1" x14ac:dyDescent="0.2">
      <c r="B50" s="86"/>
      <c r="C50" s="87"/>
      <c r="D50" s="389"/>
      <c r="E50" s="88"/>
      <c r="F50" s="182"/>
      <c r="G50" s="390"/>
      <c r="H50" s="182"/>
      <c r="I50" s="391"/>
      <c r="J50" s="392"/>
      <c r="K50" s="87"/>
      <c r="L50" s="393"/>
      <c r="M50" s="393"/>
      <c r="N50" s="393"/>
      <c r="O50" s="393"/>
      <c r="P50" s="393"/>
      <c r="Q50" s="87"/>
      <c r="R50" s="440"/>
      <c r="S50" s="395"/>
      <c r="T50" s="884"/>
      <c r="U50" s="87"/>
      <c r="V50" s="90"/>
      <c r="Y50" s="1253"/>
      <c r="Z50" s="1261"/>
      <c r="AA50" s="1261"/>
      <c r="AB50" s="1261"/>
      <c r="AC50" s="1261"/>
      <c r="AG50" s="1255"/>
      <c r="AH50" s="1251"/>
    </row>
    <row r="51" spans="2:40" ht="12.75" customHeight="1" x14ac:dyDescent="0.2">
      <c r="H51" s="22"/>
      <c r="J51" s="333"/>
      <c r="L51" s="24"/>
      <c r="M51" s="24"/>
      <c r="N51" s="24"/>
      <c r="O51" s="24"/>
      <c r="P51" s="24"/>
      <c r="R51" s="441"/>
      <c r="S51" s="175"/>
      <c r="T51" s="885"/>
      <c r="Y51" s="1253"/>
      <c r="Z51" s="1261"/>
      <c r="AA51" s="1261"/>
      <c r="AB51" s="1261"/>
      <c r="AC51" s="1261"/>
      <c r="AG51" s="1255"/>
      <c r="AH51" s="1251"/>
    </row>
    <row r="52" spans="2:40" ht="12.75" customHeight="1" x14ac:dyDescent="0.2">
      <c r="H52" s="22"/>
      <c r="J52" s="333"/>
      <c r="L52" s="24"/>
      <c r="M52" s="24"/>
      <c r="N52" s="24"/>
      <c r="O52" s="24"/>
      <c r="P52" s="24"/>
      <c r="R52" s="441"/>
      <c r="S52" s="175"/>
      <c r="T52" s="885"/>
      <c r="Y52" s="1253"/>
      <c r="Z52" s="1261"/>
      <c r="AA52" s="1261"/>
      <c r="AB52" s="1261"/>
      <c r="AC52" s="1261"/>
      <c r="AG52" s="1255"/>
      <c r="AH52" s="1251"/>
    </row>
    <row r="53" spans="2:40" ht="12.75" customHeight="1" x14ac:dyDescent="0.2">
      <c r="C53" s="14" t="s">
        <v>200</v>
      </c>
      <c r="E53" s="272" t="str">
        <f>tab!F2</f>
        <v>2017/18</v>
      </c>
      <c r="H53" s="22"/>
      <c r="J53" s="333"/>
      <c r="L53" s="24"/>
      <c r="M53" s="24"/>
      <c r="N53" s="24"/>
      <c r="O53" s="24"/>
      <c r="P53" s="24"/>
      <c r="R53" s="441"/>
      <c r="S53" s="175"/>
      <c r="T53" s="885"/>
      <c r="Y53" s="1253"/>
      <c r="Z53" s="1261"/>
      <c r="AA53" s="1261"/>
      <c r="AB53" s="1261"/>
      <c r="AC53" s="1261"/>
      <c r="AG53" s="1255"/>
      <c r="AH53" s="1251"/>
    </row>
    <row r="54" spans="2:40" ht="12.75" customHeight="1" x14ac:dyDescent="0.2">
      <c r="C54" s="21" t="s">
        <v>213</v>
      </c>
      <c r="E54" s="330">
        <f>tab!G3</f>
        <v>43009</v>
      </c>
      <c r="H54" s="22"/>
      <c r="J54" s="333"/>
      <c r="L54" s="24"/>
      <c r="M54" s="24"/>
      <c r="N54" s="24"/>
      <c r="O54" s="24"/>
      <c r="P54" s="24"/>
      <c r="R54" s="441"/>
      <c r="S54" s="175"/>
      <c r="T54" s="885"/>
      <c r="Y54" s="1253"/>
      <c r="Z54" s="1261"/>
      <c r="AA54" s="1261"/>
      <c r="AB54" s="1261"/>
      <c r="AC54" s="1261"/>
      <c r="AG54" s="1255"/>
      <c r="AH54" s="1251"/>
    </row>
    <row r="55" spans="2:40" ht="12.75" customHeight="1" x14ac:dyDescent="0.2">
      <c r="H55" s="22"/>
      <c r="J55" s="333"/>
      <c r="L55" s="24"/>
      <c r="M55" s="24"/>
      <c r="N55" s="24"/>
      <c r="O55" s="24"/>
      <c r="P55" s="24"/>
      <c r="R55" s="441"/>
      <c r="S55" s="175"/>
      <c r="T55" s="885"/>
      <c r="Y55" s="1253"/>
      <c r="Z55" s="1261"/>
      <c r="AA55" s="1261"/>
      <c r="AB55" s="1261"/>
      <c r="AC55" s="1261"/>
      <c r="AG55" s="1255"/>
      <c r="AH55" s="1251"/>
    </row>
    <row r="56" spans="2:40" ht="12.75" customHeight="1" x14ac:dyDescent="0.2">
      <c r="C56" s="184"/>
      <c r="D56" s="400"/>
      <c r="E56" s="401"/>
      <c r="F56" s="185"/>
      <c r="G56" s="403"/>
      <c r="H56" s="404"/>
      <c r="I56" s="404"/>
      <c r="J56" s="405"/>
      <c r="K56" s="120"/>
      <c r="L56" s="404"/>
      <c r="M56" s="404"/>
      <c r="N56" s="404"/>
      <c r="O56" s="404"/>
      <c r="P56" s="404"/>
      <c r="Q56" s="120"/>
      <c r="R56" s="437"/>
      <c r="S56" s="406"/>
      <c r="T56" s="881"/>
      <c r="U56" s="121"/>
      <c r="V56" s="1221"/>
      <c r="W56" s="1221"/>
      <c r="AE56" s="1235"/>
      <c r="AF56" s="1236"/>
      <c r="AI56" s="1237"/>
      <c r="AJ56" s="1238"/>
      <c r="AK56" s="324"/>
      <c r="AL56" s="24"/>
    </row>
    <row r="57" spans="2:40" s="269" customFormat="1" ht="12.75" customHeight="1" x14ac:dyDescent="0.2">
      <c r="B57" s="14"/>
      <c r="C57" s="425"/>
      <c r="D57" s="1191" t="s">
        <v>306</v>
      </c>
      <c r="E57" s="1191"/>
      <c r="F57" s="1191"/>
      <c r="G57" s="1191"/>
      <c r="H57" s="1191"/>
      <c r="I57" s="1191"/>
      <c r="J57" s="1191"/>
      <c r="K57" s="1191"/>
      <c r="L57" s="1191" t="s">
        <v>553</v>
      </c>
      <c r="M57" s="1193"/>
      <c r="N57" s="1191"/>
      <c r="O57" s="1191"/>
      <c r="P57" s="1291"/>
      <c r="Q57" s="1055"/>
      <c r="R57" s="1191" t="s">
        <v>554</v>
      </c>
      <c r="S57" s="1194"/>
      <c r="T57" s="1292"/>
      <c r="U57" s="1293"/>
      <c r="V57" s="1222"/>
      <c r="W57" s="1222"/>
      <c r="X57" s="427"/>
      <c r="Y57" s="1221"/>
      <c r="Z57" s="1294"/>
      <c r="AA57" s="1221"/>
      <c r="AB57" s="1221"/>
      <c r="AC57" s="1221"/>
      <c r="AD57" s="1295"/>
      <c r="AE57" s="1295"/>
      <c r="AF57" s="1224"/>
      <c r="AG57" s="1248"/>
      <c r="AH57" s="1249"/>
      <c r="AI57" s="1224"/>
      <c r="AJ57" s="1224"/>
      <c r="AM57" s="427"/>
      <c r="AN57" s="427"/>
    </row>
    <row r="58" spans="2:40" s="269" customFormat="1" ht="12.75" customHeight="1" x14ac:dyDescent="0.2">
      <c r="B58" s="14"/>
      <c r="C58" s="425"/>
      <c r="D58" s="1056" t="s">
        <v>545</v>
      </c>
      <c r="E58" s="1030" t="s">
        <v>201</v>
      </c>
      <c r="F58" s="1057" t="s">
        <v>151</v>
      </c>
      <c r="G58" s="1058" t="s">
        <v>295</v>
      </c>
      <c r="H58" s="1057" t="s">
        <v>226</v>
      </c>
      <c r="I58" s="1057" t="s">
        <v>247</v>
      </c>
      <c r="J58" s="1059" t="s">
        <v>207</v>
      </c>
      <c r="K58" s="1034"/>
      <c r="L58" s="1060" t="s">
        <v>530</v>
      </c>
      <c r="M58" s="1060" t="s">
        <v>531</v>
      </c>
      <c r="N58" s="1060" t="s">
        <v>529</v>
      </c>
      <c r="O58" s="1060" t="s">
        <v>530</v>
      </c>
      <c r="P58" s="1296" t="s">
        <v>555</v>
      </c>
      <c r="Q58" s="1034"/>
      <c r="R58" s="1195" t="s">
        <v>212</v>
      </c>
      <c r="S58" s="1062" t="s">
        <v>556</v>
      </c>
      <c r="T58" s="1063" t="s">
        <v>212</v>
      </c>
      <c r="U58" s="1297"/>
      <c r="V58" s="1259"/>
      <c r="W58" s="1259"/>
      <c r="X58" s="430"/>
      <c r="Y58" s="1068" t="s">
        <v>325</v>
      </c>
      <c r="Z58" s="1285" t="s">
        <v>548</v>
      </c>
      <c r="AA58" s="1259" t="s">
        <v>549</v>
      </c>
      <c r="AB58" s="1259" t="s">
        <v>549</v>
      </c>
      <c r="AC58" s="1259" t="s">
        <v>546</v>
      </c>
      <c r="AD58" s="1206" t="s">
        <v>539</v>
      </c>
      <c r="AE58" s="1206" t="s">
        <v>540</v>
      </c>
      <c r="AF58" s="1069" t="s">
        <v>541</v>
      </c>
      <c r="AG58" s="1250" t="s">
        <v>319</v>
      </c>
      <c r="AH58" s="1249" t="s">
        <v>459</v>
      </c>
      <c r="AI58" s="1224"/>
      <c r="AJ58" s="1224"/>
      <c r="AM58" s="427"/>
      <c r="AN58" s="430"/>
    </row>
    <row r="59" spans="2:40" s="336" customFormat="1" ht="12.75" customHeight="1" x14ac:dyDescent="0.2">
      <c r="B59" s="14"/>
      <c r="C59" s="425"/>
      <c r="D59" s="1064"/>
      <c r="E59" s="1030"/>
      <c r="F59" s="1057" t="s">
        <v>152</v>
      </c>
      <c r="G59" s="1058" t="s">
        <v>296</v>
      </c>
      <c r="H59" s="1057"/>
      <c r="I59" s="1057"/>
      <c r="J59" s="1059" t="s">
        <v>298</v>
      </c>
      <c r="K59" s="1034"/>
      <c r="L59" s="1060" t="s">
        <v>533</v>
      </c>
      <c r="M59" s="1060" t="s">
        <v>534</v>
      </c>
      <c r="N59" s="1060" t="s">
        <v>532</v>
      </c>
      <c r="O59" s="1060" t="s">
        <v>544</v>
      </c>
      <c r="P59" s="1296" t="s">
        <v>291</v>
      </c>
      <c r="Q59" s="1034"/>
      <c r="R59" s="1061" t="s">
        <v>557</v>
      </c>
      <c r="S59" s="1062" t="s">
        <v>535</v>
      </c>
      <c r="T59" s="1063" t="s">
        <v>291</v>
      </c>
      <c r="U59" s="1040"/>
      <c r="V59" s="1221"/>
      <c r="W59" s="1221"/>
      <c r="X59" s="144"/>
      <c r="Y59" s="1068" t="s">
        <v>217</v>
      </c>
      <c r="Z59" s="1287">
        <f>tab!$E$48</f>
        <v>0.62</v>
      </c>
      <c r="AA59" s="1259" t="s">
        <v>550</v>
      </c>
      <c r="AB59" s="1259" t="s">
        <v>551</v>
      </c>
      <c r="AC59" s="1259" t="s">
        <v>552</v>
      </c>
      <c r="AD59" s="1206" t="s">
        <v>542</v>
      </c>
      <c r="AE59" s="1206" t="s">
        <v>542</v>
      </c>
      <c r="AF59" s="1069" t="s">
        <v>543</v>
      </c>
      <c r="AG59" s="1250"/>
      <c r="AH59" s="1251" t="s">
        <v>246</v>
      </c>
      <c r="AI59" s="1221"/>
      <c r="AJ59" s="1221"/>
      <c r="AN59" s="337"/>
    </row>
    <row r="60" spans="2:40" ht="12.75" customHeight="1" x14ac:dyDescent="0.2">
      <c r="C60" s="126"/>
      <c r="D60" s="410"/>
      <c r="E60" s="410"/>
      <c r="F60" s="410"/>
      <c r="G60" s="410"/>
      <c r="H60" s="410"/>
      <c r="I60" s="410"/>
      <c r="J60" s="410"/>
      <c r="K60" s="408"/>
      <c r="L60" s="410"/>
      <c r="M60" s="410"/>
      <c r="N60" s="410"/>
      <c r="O60" s="410"/>
      <c r="P60" s="410"/>
      <c r="Q60" s="408"/>
      <c r="R60" s="876"/>
      <c r="S60" s="411"/>
      <c r="T60" s="882"/>
      <c r="U60" s="125"/>
      <c r="V60" s="1221"/>
      <c r="W60" s="1221"/>
      <c r="Y60" s="1068"/>
      <c r="Z60" s="1252"/>
      <c r="AA60" s="1252"/>
      <c r="AB60" s="1252"/>
      <c r="AC60" s="1252"/>
      <c r="AE60" s="1221"/>
      <c r="AF60" s="1221"/>
      <c r="AG60" s="1250"/>
      <c r="AH60" s="1251"/>
      <c r="AK60" s="14"/>
      <c r="AL60" s="14"/>
      <c r="AN60" s="332"/>
    </row>
    <row r="61" spans="2:40" ht="12.75" customHeight="1" x14ac:dyDescent="0.2">
      <c r="C61" s="126"/>
      <c r="D61" s="396" t="str">
        <f>IF(dir!D38="","",dir!D38)</f>
        <v/>
      </c>
      <c r="E61" s="432" t="str">
        <f>IF(dir!E38=0,"",dir!E38)</f>
        <v>nn</v>
      </c>
      <c r="F61" s="117" t="str">
        <f>IF(dir!F38="","",dir!F38+1)</f>
        <v/>
      </c>
      <c r="G61" s="397" t="str">
        <f>IF(dir!G38="","",dir!G38)</f>
        <v/>
      </c>
      <c r="H61" s="433" t="str">
        <f t="shared" ref="H61:H70" si="38">IF(H38=0,"",H38)</f>
        <v>DB</v>
      </c>
      <c r="I61" s="398">
        <f>IF(J61="","",(IF(dir!I38+1&gt;LOOKUP(H61,schaal2013,regels2013),dir!I38,dir!I38+1)))</f>
        <v>5</v>
      </c>
      <c r="J61" s="399">
        <f>IF(dir!J38="","",dir!J38)</f>
        <v>1</v>
      </c>
      <c r="K61" s="413"/>
      <c r="L61" s="1219">
        <f>IF(dir!L38="","",dir!L38)</f>
        <v>130</v>
      </c>
      <c r="M61" s="1219">
        <f>IF(dir!M38="","",dir!M38)</f>
        <v>170</v>
      </c>
      <c r="N61" s="1209">
        <f t="shared" ref="N61:N70" si="39">IF(J61="","",IF((J61*40)&gt;40,40,((J61*40))))</f>
        <v>40</v>
      </c>
      <c r="O61" s="1209"/>
      <c r="P61" s="1283">
        <f t="shared" ref="P61:P70" si="40">IF(J61="","",(SUM(L61:O61)))</f>
        <v>340</v>
      </c>
      <c r="Q61" s="518"/>
      <c r="R61" s="1076">
        <f>IF(J61="","",(((1659*J61)-P61)*AB61))</f>
        <v>51978.236094032553</v>
      </c>
      <c r="S61" s="1076">
        <f t="shared" ref="S61:S70" si="41">IF(J61="","",(P61*AC61)+(AA61*AD61)+((AE61*AA61*(1-AF61))))</f>
        <v>9749.6593128390596</v>
      </c>
      <c r="T61" s="1078">
        <f t="shared" ref="T61:T70" si="42">IF(J61="","",(R61+S61))</f>
        <v>61727.895406871612</v>
      </c>
      <c r="U61" s="269"/>
      <c r="V61" s="1261"/>
      <c r="W61" s="1261"/>
      <c r="X61" s="801"/>
      <c r="Y61" s="1253">
        <f>ROUND(VLOOKUP(H61,tab!$A$61:$V$103,I61+2,FALSE),0)</f>
        <v>3363</v>
      </c>
      <c r="Z61" s="1252">
        <f>tab!$E$48</f>
        <v>0.62</v>
      </c>
      <c r="AA61" s="1284">
        <f t="shared" ref="AA61:AA70" si="43">(Y61*12/1659)</f>
        <v>24.325497287522605</v>
      </c>
      <c r="AB61" s="1284">
        <f t="shared" ref="AB61:AB70" si="44">(Y61*12*(1+Z61))/1659</f>
        <v>39.407305605786618</v>
      </c>
      <c r="AC61" s="1284">
        <f t="shared" ref="AC61:AC70" si="45">AB61-AA61</f>
        <v>15.081808318264013</v>
      </c>
      <c r="AD61" s="1286">
        <f t="shared" ref="AD61:AD70" si="46">(N61+O61)</f>
        <v>40</v>
      </c>
      <c r="AE61" s="1286">
        <f t="shared" ref="AE61:AE70" si="47">(L61+M61)</f>
        <v>300</v>
      </c>
      <c r="AF61" s="1254">
        <f>IF(H61&gt;8,tab!$D$49,tab!$D$52)</f>
        <v>0.5</v>
      </c>
      <c r="AG61" s="1255">
        <f t="shared" ref="AG61:AG70" si="48">IF(F61&lt;25,0,IF(F61=25,25,IF(F61&lt;40,0,IF(F61=40,40,IF(F61&gt;=40,0)))))</f>
        <v>0</v>
      </c>
      <c r="AH61" s="1251">
        <f t="shared" ref="AH61:AH70" si="49">IF(AG61=25,(Y61*1.08*(J61)/2),IF(AG61=40,(Y61*1.08*(J61)),IF(AG61=0,0)))</f>
        <v>0</v>
      </c>
      <c r="AI61" s="1260"/>
    </row>
    <row r="62" spans="2:40" ht="12.75" customHeight="1" x14ac:dyDescent="0.2">
      <c r="C62" s="126"/>
      <c r="D62" s="396" t="str">
        <f>IF(dir!D39="","",dir!D39)</f>
        <v/>
      </c>
      <c r="E62" s="432" t="str">
        <f>IF(dir!E39=0,"",dir!E39)</f>
        <v/>
      </c>
      <c r="F62" s="117" t="str">
        <f>IF(dir!F39="","",dir!F39+1)</f>
        <v/>
      </c>
      <c r="G62" s="397" t="str">
        <f>IF(dir!G39="","",dir!G39)</f>
        <v/>
      </c>
      <c r="H62" s="433" t="str">
        <f t="shared" si="38"/>
        <v/>
      </c>
      <c r="I62" s="398" t="str">
        <f>IF(J62="","",(IF(dir!I39+1&gt;LOOKUP(H62,schaal2013,regels2013),dir!I39,dir!I39+1)))</f>
        <v/>
      </c>
      <c r="J62" s="399" t="str">
        <f>IF(dir!J39="","",dir!J39)</f>
        <v/>
      </c>
      <c r="K62" s="413"/>
      <c r="L62" s="1219">
        <f>IF(dir!L39="","",dir!L39)</f>
        <v>0</v>
      </c>
      <c r="M62" s="1219">
        <f>IF(dir!M39="","",dir!M39)</f>
        <v>0</v>
      </c>
      <c r="N62" s="1209" t="str">
        <f t="shared" si="39"/>
        <v/>
      </c>
      <c r="O62" s="1209"/>
      <c r="P62" s="1283" t="str">
        <f t="shared" si="40"/>
        <v/>
      </c>
      <c r="Q62" s="518"/>
      <c r="R62" s="1076" t="str">
        <f t="shared" ref="R62:R70" si="50">IF(J62="","",(((1659*J62)-P62)*AB62))</f>
        <v/>
      </c>
      <c r="S62" s="1076" t="str">
        <f t="shared" si="41"/>
        <v/>
      </c>
      <c r="T62" s="1078" t="str">
        <f t="shared" si="42"/>
        <v/>
      </c>
      <c r="U62" s="269"/>
      <c r="V62" s="1261"/>
      <c r="W62" s="1261"/>
      <c r="X62" s="801"/>
      <c r="Y62" s="1253" t="e">
        <f>ROUND(VLOOKUP(H62,tab!$A$61:$V$103,I62+2,FALSE),0)</f>
        <v>#VALUE!</v>
      </c>
      <c r="Z62" s="1252">
        <f>tab!$E$48</f>
        <v>0.62</v>
      </c>
      <c r="AA62" s="1284" t="e">
        <f t="shared" si="43"/>
        <v>#VALUE!</v>
      </c>
      <c r="AB62" s="1284" t="e">
        <f t="shared" si="44"/>
        <v>#VALUE!</v>
      </c>
      <c r="AC62" s="1284" t="e">
        <f t="shared" si="45"/>
        <v>#VALUE!</v>
      </c>
      <c r="AD62" s="1286" t="e">
        <f t="shared" si="46"/>
        <v>#VALUE!</v>
      </c>
      <c r="AE62" s="1286">
        <f t="shared" si="47"/>
        <v>0</v>
      </c>
      <c r="AF62" s="1254">
        <f>IF(H62&gt;8,tab!$D$49,tab!$D$52)</f>
        <v>0.5</v>
      </c>
      <c r="AG62" s="1255">
        <f t="shared" si="48"/>
        <v>0</v>
      </c>
      <c r="AH62" s="1251">
        <f t="shared" si="49"/>
        <v>0</v>
      </c>
      <c r="AI62" s="1260"/>
    </row>
    <row r="63" spans="2:40" ht="12.75" customHeight="1" x14ac:dyDescent="0.2">
      <c r="C63" s="126"/>
      <c r="D63" s="396" t="str">
        <f>IF(dir!D40="","",dir!D40)</f>
        <v/>
      </c>
      <c r="E63" s="432" t="str">
        <f>IF(dir!E40=0,"",dir!E40)</f>
        <v/>
      </c>
      <c r="F63" s="117" t="str">
        <f>IF(dir!F40="","",dir!F40+1)</f>
        <v/>
      </c>
      <c r="G63" s="397" t="str">
        <f>IF(dir!G40="","",dir!G40)</f>
        <v/>
      </c>
      <c r="H63" s="433" t="str">
        <f t="shared" si="38"/>
        <v/>
      </c>
      <c r="I63" s="398" t="str">
        <f>IF(J63="","",(IF(dir!I40+1&gt;LOOKUP(H63,schaal2013,regels2013),dir!I40,dir!I40+1)))</f>
        <v/>
      </c>
      <c r="J63" s="399" t="str">
        <f>IF(dir!J40="","",dir!J40)</f>
        <v/>
      </c>
      <c r="K63" s="413"/>
      <c r="L63" s="1219">
        <f>IF(dir!L40="","",dir!L40)</f>
        <v>0</v>
      </c>
      <c r="M63" s="1219">
        <f>IF(dir!M40="","",dir!M40)</f>
        <v>0</v>
      </c>
      <c r="N63" s="1209" t="str">
        <f t="shared" si="39"/>
        <v/>
      </c>
      <c r="O63" s="1209"/>
      <c r="P63" s="1283" t="str">
        <f t="shared" si="40"/>
        <v/>
      </c>
      <c r="Q63" s="518"/>
      <c r="R63" s="1076" t="str">
        <f t="shared" si="50"/>
        <v/>
      </c>
      <c r="S63" s="1076" t="str">
        <f t="shared" si="41"/>
        <v/>
      </c>
      <c r="T63" s="1078" t="str">
        <f t="shared" si="42"/>
        <v/>
      </c>
      <c r="U63" s="269"/>
      <c r="V63" s="1261"/>
      <c r="W63" s="1261"/>
      <c r="X63" s="801"/>
      <c r="Y63" s="1253" t="e">
        <f>ROUND(VLOOKUP(H63,tab!$A$61:$V$103,I63+2,FALSE),0)</f>
        <v>#VALUE!</v>
      </c>
      <c r="Z63" s="1252">
        <f>tab!$E$48</f>
        <v>0.62</v>
      </c>
      <c r="AA63" s="1284" t="e">
        <f t="shared" si="43"/>
        <v>#VALUE!</v>
      </c>
      <c r="AB63" s="1284" t="e">
        <f t="shared" si="44"/>
        <v>#VALUE!</v>
      </c>
      <c r="AC63" s="1284" t="e">
        <f t="shared" si="45"/>
        <v>#VALUE!</v>
      </c>
      <c r="AD63" s="1286" t="e">
        <f t="shared" si="46"/>
        <v>#VALUE!</v>
      </c>
      <c r="AE63" s="1286">
        <f t="shared" si="47"/>
        <v>0</v>
      </c>
      <c r="AF63" s="1254">
        <f>IF(H63&gt;8,tab!$D$49,tab!$D$52)</f>
        <v>0.5</v>
      </c>
      <c r="AG63" s="1255">
        <f t="shared" si="48"/>
        <v>0</v>
      </c>
      <c r="AH63" s="1251">
        <f t="shared" si="49"/>
        <v>0</v>
      </c>
      <c r="AI63" s="1260"/>
    </row>
    <row r="64" spans="2:40" ht="12.75" customHeight="1" x14ac:dyDescent="0.2">
      <c r="C64" s="126"/>
      <c r="D64" s="396" t="str">
        <f>IF(dir!D41="","",dir!D41)</f>
        <v/>
      </c>
      <c r="E64" s="432" t="str">
        <f>IF(dir!E41=0,"",dir!E41)</f>
        <v/>
      </c>
      <c r="F64" s="117" t="str">
        <f>IF(dir!F41="","",dir!F41+1)</f>
        <v/>
      </c>
      <c r="G64" s="397" t="str">
        <f>IF(dir!G41="","",dir!G41)</f>
        <v/>
      </c>
      <c r="H64" s="433" t="str">
        <f t="shared" si="38"/>
        <v/>
      </c>
      <c r="I64" s="398" t="str">
        <f>IF(J64="","",(IF(dir!I41+1&gt;LOOKUP(H64,schaal2013,regels2013),dir!I41,dir!I41+1)))</f>
        <v/>
      </c>
      <c r="J64" s="399" t="str">
        <f>IF(dir!J41="","",dir!J41)</f>
        <v/>
      </c>
      <c r="K64" s="413"/>
      <c r="L64" s="1219">
        <f>IF(dir!L41="","",dir!L41)</f>
        <v>0</v>
      </c>
      <c r="M64" s="1219">
        <f>IF(dir!M41="","",dir!M41)</f>
        <v>0</v>
      </c>
      <c r="N64" s="1209" t="str">
        <f t="shared" si="39"/>
        <v/>
      </c>
      <c r="O64" s="1209"/>
      <c r="P64" s="1283" t="str">
        <f t="shared" si="40"/>
        <v/>
      </c>
      <c r="Q64" s="518"/>
      <c r="R64" s="1076" t="str">
        <f t="shared" si="50"/>
        <v/>
      </c>
      <c r="S64" s="1076" t="str">
        <f t="shared" si="41"/>
        <v/>
      </c>
      <c r="T64" s="1078" t="str">
        <f t="shared" si="42"/>
        <v/>
      </c>
      <c r="U64" s="269"/>
      <c r="V64" s="1261"/>
      <c r="W64" s="1261"/>
      <c r="X64" s="801"/>
      <c r="Y64" s="1253" t="e">
        <f>ROUND(VLOOKUP(H64,tab!$A$61:$V$103,I64+2,FALSE),0)</f>
        <v>#VALUE!</v>
      </c>
      <c r="Z64" s="1252">
        <f>tab!$E$48</f>
        <v>0.62</v>
      </c>
      <c r="AA64" s="1284" t="e">
        <f t="shared" si="43"/>
        <v>#VALUE!</v>
      </c>
      <c r="AB64" s="1284" t="e">
        <f t="shared" si="44"/>
        <v>#VALUE!</v>
      </c>
      <c r="AC64" s="1284" t="e">
        <f t="shared" si="45"/>
        <v>#VALUE!</v>
      </c>
      <c r="AD64" s="1286" t="e">
        <f t="shared" si="46"/>
        <v>#VALUE!</v>
      </c>
      <c r="AE64" s="1286">
        <f t="shared" si="47"/>
        <v>0</v>
      </c>
      <c r="AF64" s="1254">
        <f>IF(H64&gt;8,tab!$D$49,tab!$D$52)</f>
        <v>0.5</v>
      </c>
      <c r="AG64" s="1255">
        <f t="shared" si="48"/>
        <v>0</v>
      </c>
      <c r="AH64" s="1251">
        <f t="shared" si="49"/>
        <v>0</v>
      </c>
      <c r="AI64" s="1260"/>
    </row>
    <row r="65" spans="2:40" ht="12.75" customHeight="1" x14ac:dyDescent="0.2">
      <c r="C65" s="126"/>
      <c r="D65" s="396" t="str">
        <f>IF(dir!D42="","",dir!D42)</f>
        <v/>
      </c>
      <c r="E65" s="432" t="str">
        <f>IF(dir!E42=0,"",dir!E42)</f>
        <v/>
      </c>
      <c r="F65" s="117" t="str">
        <f>IF(dir!F42="","",dir!F42+1)</f>
        <v/>
      </c>
      <c r="G65" s="397" t="str">
        <f>IF(dir!G42="","",dir!G42)</f>
        <v/>
      </c>
      <c r="H65" s="433" t="str">
        <f t="shared" si="38"/>
        <v/>
      </c>
      <c r="I65" s="398" t="str">
        <f>IF(J65="","",(IF(dir!I42+1&gt;LOOKUP(H65,schaal2013,regels2013),dir!I42,dir!I42+1)))</f>
        <v/>
      </c>
      <c r="J65" s="399" t="str">
        <f>IF(dir!J42="","",dir!J42)</f>
        <v/>
      </c>
      <c r="K65" s="413"/>
      <c r="L65" s="1219">
        <f>IF(dir!L42="","",dir!L42)</f>
        <v>0</v>
      </c>
      <c r="M65" s="1219">
        <f>IF(dir!M42="","",dir!M42)</f>
        <v>0</v>
      </c>
      <c r="N65" s="1209" t="str">
        <f t="shared" si="39"/>
        <v/>
      </c>
      <c r="O65" s="1209"/>
      <c r="P65" s="1283" t="str">
        <f t="shared" si="40"/>
        <v/>
      </c>
      <c r="Q65" s="518"/>
      <c r="R65" s="1076" t="str">
        <f t="shared" si="50"/>
        <v/>
      </c>
      <c r="S65" s="1076" t="str">
        <f t="shared" si="41"/>
        <v/>
      </c>
      <c r="T65" s="1078" t="str">
        <f t="shared" si="42"/>
        <v/>
      </c>
      <c r="U65" s="269"/>
      <c r="V65" s="1261"/>
      <c r="W65" s="1261"/>
      <c r="X65" s="801"/>
      <c r="Y65" s="1253" t="e">
        <f>ROUND(VLOOKUP(H65,tab!$A$61:$V$103,I65+2,FALSE),0)</f>
        <v>#VALUE!</v>
      </c>
      <c r="Z65" s="1252">
        <f>tab!$E$48</f>
        <v>0.62</v>
      </c>
      <c r="AA65" s="1284" t="e">
        <f t="shared" si="43"/>
        <v>#VALUE!</v>
      </c>
      <c r="AB65" s="1284" t="e">
        <f t="shared" si="44"/>
        <v>#VALUE!</v>
      </c>
      <c r="AC65" s="1284" t="e">
        <f t="shared" si="45"/>
        <v>#VALUE!</v>
      </c>
      <c r="AD65" s="1286" t="e">
        <f t="shared" si="46"/>
        <v>#VALUE!</v>
      </c>
      <c r="AE65" s="1286">
        <f t="shared" si="47"/>
        <v>0</v>
      </c>
      <c r="AF65" s="1254">
        <f>IF(H65&gt;8,tab!$D$49,tab!$D$52)</f>
        <v>0.5</v>
      </c>
      <c r="AG65" s="1255">
        <f t="shared" si="48"/>
        <v>0</v>
      </c>
      <c r="AH65" s="1251">
        <f t="shared" si="49"/>
        <v>0</v>
      </c>
      <c r="AI65" s="1260"/>
    </row>
    <row r="66" spans="2:40" ht="12.75" customHeight="1" x14ac:dyDescent="0.2">
      <c r="C66" s="126"/>
      <c r="D66" s="396" t="str">
        <f>IF(dir!D43="","",dir!D43)</f>
        <v/>
      </c>
      <c r="E66" s="432" t="str">
        <f>IF(dir!E43=0,"",dir!E43)</f>
        <v/>
      </c>
      <c r="F66" s="117" t="str">
        <f>IF(dir!F43="","",dir!F43+1)</f>
        <v/>
      </c>
      <c r="G66" s="397" t="str">
        <f>IF(dir!G43="","",dir!G43)</f>
        <v/>
      </c>
      <c r="H66" s="433" t="str">
        <f t="shared" si="38"/>
        <v/>
      </c>
      <c r="I66" s="398" t="str">
        <f>IF(J66="","",(IF(dir!I43+1&gt;LOOKUP(H66,schaal2013,regels2013),dir!I43,dir!I43+1)))</f>
        <v/>
      </c>
      <c r="J66" s="399" t="str">
        <f>IF(dir!J43="","",dir!J43)</f>
        <v/>
      </c>
      <c r="K66" s="413"/>
      <c r="L66" s="1219">
        <f>IF(dir!L43="","",dir!L43)</f>
        <v>0</v>
      </c>
      <c r="M66" s="1219">
        <f>IF(dir!M43="","",dir!M43)</f>
        <v>0</v>
      </c>
      <c r="N66" s="1209" t="str">
        <f t="shared" si="39"/>
        <v/>
      </c>
      <c r="O66" s="1209"/>
      <c r="P66" s="1283" t="str">
        <f t="shared" si="40"/>
        <v/>
      </c>
      <c r="Q66" s="518"/>
      <c r="R66" s="1076" t="str">
        <f t="shared" si="50"/>
        <v/>
      </c>
      <c r="S66" s="1076" t="str">
        <f t="shared" si="41"/>
        <v/>
      </c>
      <c r="T66" s="1078" t="str">
        <f t="shared" si="42"/>
        <v/>
      </c>
      <c r="U66" s="269"/>
      <c r="V66" s="1261"/>
      <c r="W66" s="1261"/>
      <c r="X66" s="801"/>
      <c r="Y66" s="1253" t="e">
        <f>ROUND(VLOOKUP(H66,tab!$A$61:$V$103,I66+2,FALSE),0)</f>
        <v>#VALUE!</v>
      </c>
      <c r="Z66" s="1252">
        <f>tab!$E$48</f>
        <v>0.62</v>
      </c>
      <c r="AA66" s="1284" t="e">
        <f t="shared" si="43"/>
        <v>#VALUE!</v>
      </c>
      <c r="AB66" s="1284" t="e">
        <f t="shared" si="44"/>
        <v>#VALUE!</v>
      </c>
      <c r="AC66" s="1284" t="e">
        <f t="shared" si="45"/>
        <v>#VALUE!</v>
      </c>
      <c r="AD66" s="1286" t="e">
        <f t="shared" si="46"/>
        <v>#VALUE!</v>
      </c>
      <c r="AE66" s="1286">
        <f t="shared" si="47"/>
        <v>0</v>
      </c>
      <c r="AF66" s="1254">
        <f>IF(H66&gt;8,tab!$D$49,tab!$D$52)</f>
        <v>0.5</v>
      </c>
      <c r="AG66" s="1255">
        <f t="shared" si="48"/>
        <v>0</v>
      </c>
      <c r="AH66" s="1251">
        <f t="shared" si="49"/>
        <v>0</v>
      </c>
      <c r="AI66" s="1260"/>
    </row>
    <row r="67" spans="2:40" ht="12.75" customHeight="1" x14ac:dyDescent="0.2">
      <c r="C67" s="126"/>
      <c r="D67" s="396" t="str">
        <f>IF(dir!D44="","",dir!D44)</f>
        <v/>
      </c>
      <c r="E67" s="432" t="str">
        <f>IF(dir!E44=0,"",dir!E44)</f>
        <v/>
      </c>
      <c r="F67" s="117" t="str">
        <f>IF(dir!F44="","",dir!F44+1)</f>
        <v/>
      </c>
      <c r="G67" s="397" t="str">
        <f>IF(dir!G44="","",dir!G44)</f>
        <v/>
      </c>
      <c r="H67" s="433" t="str">
        <f t="shared" si="38"/>
        <v/>
      </c>
      <c r="I67" s="398" t="str">
        <f>IF(J67="","",(IF(dir!I44+1&gt;LOOKUP(H67,schaal2013,regels2013),dir!I44,dir!I44+1)))</f>
        <v/>
      </c>
      <c r="J67" s="399" t="str">
        <f>IF(dir!J44="","",dir!J44)</f>
        <v/>
      </c>
      <c r="K67" s="413"/>
      <c r="L67" s="1219">
        <f>IF(dir!L44="","",dir!L44)</f>
        <v>0</v>
      </c>
      <c r="M67" s="1219">
        <f>IF(dir!M44="","",dir!M44)</f>
        <v>0</v>
      </c>
      <c r="N67" s="1209" t="str">
        <f t="shared" si="39"/>
        <v/>
      </c>
      <c r="O67" s="1209"/>
      <c r="P67" s="1283" t="str">
        <f t="shared" si="40"/>
        <v/>
      </c>
      <c r="Q67" s="518"/>
      <c r="R67" s="1076" t="str">
        <f t="shared" si="50"/>
        <v/>
      </c>
      <c r="S67" s="1076" t="str">
        <f t="shared" si="41"/>
        <v/>
      </c>
      <c r="T67" s="1078" t="str">
        <f t="shared" si="42"/>
        <v/>
      </c>
      <c r="U67" s="269"/>
      <c r="V67" s="1261"/>
      <c r="W67" s="1261"/>
      <c r="X67" s="801"/>
      <c r="Y67" s="1253" t="e">
        <f>ROUND(VLOOKUP(H67,tab!$A$61:$V$103,I67+2,FALSE),0)</f>
        <v>#VALUE!</v>
      </c>
      <c r="Z67" s="1252">
        <f>tab!$E$48</f>
        <v>0.62</v>
      </c>
      <c r="AA67" s="1284" t="e">
        <f t="shared" si="43"/>
        <v>#VALUE!</v>
      </c>
      <c r="AB67" s="1284" t="e">
        <f t="shared" si="44"/>
        <v>#VALUE!</v>
      </c>
      <c r="AC67" s="1284" t="e">
        <f t="shared" si="45"/>
        <v>#VALUE!</v>
      </c>
      <c r="AD67" s="1286" t="e">
        <f t="shared" si="46"/>
        <v>#VALUE!</v>
      </c>
      <c r="AE67" s="1286">
        <f t="shared" si="47"/>
        <v>0</v>
      </c>
      <c r="AF67" s="1254">
        <f>IF(H67&gt;8,tab!$D$49,tab!$D$52)</f>
        <v>0.5</v>
      </c>
      <c r="AG67" s="1255">
        <f t="shared" si="48"/>
        <v>0</v>
      </c>
      <c r="AH67" s="1251">
        <f t="shared" si="49"/>
        <v>0</v>
      </c>
      <c r="AI67" s="1260"/>
    </row>
    <row r="68" spans="2:40" ht="12.75" customHeight="1" x14ac:dyDescent="0.2">
      <c r="C68" s="126"/>
      <c r="D68" s="396" t="str">
        <f>IF(dir!D45="","",dir!D45)</f>
        <v/>
      </c>
      <c r="E68" s="432" t="str">
        <f>IF(dir!E45=0,"",dir!E45)</f>
        <v/>
      </c>
      <c r="F68" s="117" t="str">
        <f>IF(dir!F45="","",dir!F45+1)</f>
        <v/>
      </c>
      <c r="G68" s="397" t="str">
        <f>IF(dir!G45="","",dir!G45)</f>
        <v/>
      </c>
      <c r="H68" s="433" t="str">
        <f t="shared" si="38"/>
        <v/>
      </c>
      <c r="I68" s="398" t="str">
        <f>IF(J68="","",(IF(dir!I45+1&gt;LOOKUP(H68,schaal2013,regels2013),dir!I45,dir!I45+1)))</f>
        <v/>
      </c>
      <c r="J68" s="399" t="str">
        <f>IF(dir!J45="","",dir!J45)</f>
        <v/>
      </c>
      <c r="K68" s="413"/>
      <c r="L68" s="1219">
        <f>IF(dir!L45="","",dir!L45)</f>
        <v>0</v>
      </c>
      <c r="M68" s="1219">
        <f>IF(dir!M45="","",dir!M45)</f>
        <v>0</v>
      </c>
      <c r="N68" s="1209" t="str">
        <f t="shared" si="39"/>
        <v/>
      </c>
      <c r="O68" s="1209"/>
      <c r="P68" s="1283" t="str">
        <f t="shared" si="40"/>
        <v/>
      </c>
      <c r="Q68" s="518"/>
      <c r="R68" s="1076" t="str">
        <f t="shared" si="50"/>
        <v/>
      </c>
      <c r="S68" s="1076" t="str">
        <f t="shared" si="41"/>
        <v/>
      </c>
      <c r="T68" s="1078" t="str">
        <f t="shared" si="42"/>
        <v/>
      </c>
      <c r="U68" s="269"/>
      <c r="V68" s="1261"/>
      <c r="W68" s="1261"/>
      <c r="X68" s="801"/>
      <c r="Y68" s="1253" t="e">
        <f>ROUND(VLOOKUP(H68,tab!$A$61:$V$103,I68+2,FALSE),0)</f>
        <v>#VALUE!</v>
      </c>
      <c r="Z68" s="1252">
        <f>tab!$E$48</f>
        <v>0.62</v>
      </c>
      <c r="AA68" s="1284" t="e">
        <f t="shared" si="43"/>
        <v>#VALUE!</v>
      </c>
      <c r="AB68" s="1284" t="e">
        <f t="shared" si="44"/>
        <v>#VALUE!</v>
      </c>
      <c r="AC68" s="1284" t="e">
        <f t="shared" si="45"/>
        <v>#VALUE!</v>
      </c>
      <c r="AD68" s="1286" t="e">
        <f t="shared" si="46"/>
        <v>#VALUE!</v>
      </c>
      <c r="AE68" s="1286">
        <f t="shared" si="47"/>
        <v>0</v>
      </c>
      <c r="AF68" s="1254">
        <f>IF(H68&gt;8,tab!$D$49,tab!$D$52)</f>
        <v>0.5</v>
      </c>
      <c r="AG68" s="1255">
        <f t="shared" si="48"/>
        <v>0</v>
      </c>
      <c r="AH68" s="1251">
        <f t="shared" si="49"/>
        <v>0</v>
      </c>
      <c r="AI68" s="1260"/>
    </row>
    <row r="69" spans="2:40" ht="12.75" customHeight="1" x14ac:dyDescent="0.2">
      <c r="C69" s="126"/>
      <c r="D69" s="396" t="str">
        <f>IF(dir!D46="","",dir!D46)</f>
        <v/>
      </c>
      <c r="E69" s="432" t="str">
        <f>IF(dir!E46=0,"",dir!E46)</f>
        <v/>
      </c>
      <c r="F69" s="117" t="str">
        <f>IF(dir!F46="","",dir!F46+1)</f>
        <v/>
      </c>
      <c r="G69" s="397" t="str">
        <f>IF(dir!G46="","",dir!G46)</f>
        <v/>
      </c>
      <c r="H69" s="433" t="str">
        <f t="shared" si="38"/>
        <v/>
      </c>
      <c r="I69" s="398" t="str">
        <f>IF(J69="","",(IF(dir!I46+1&gt;LOOKUP(H69,schaal2013,regels2013),dir!I46,dir!I46+1)))</f>
        <v/>
      </c>
      <c r="J69" s="399" t="str">
        <f>IF(dir!J46="","",dir!J46)</f>
        <v/>
      </c>
      <c r="K69" s="413"/>
      <c r="L69" s="1219">
        <f>IF(dir!L46="","",dir!L46)</f>
        <v>0</v>
      </c>
      <c r="M69" s="1219">
        <f>IF(dir!M46="","",dir!M46)</f>
        <v>0</v>
      </c>
      <c r="N69" s="1209" t="str">
        <f t="shared" si="39"/>
        <v/>
      </c>
      <c r="O69" s="1209"/>
      <c r="P69" s="1283" t="str">
        <f t="shared" si="40"/>
        <v/>
      </c>
      <c r="Q69" s="518"/>
      <c r="R69" s="1076" t="str">
        <f t="shared" si="50"/>
        <v/>
      </c>
      <c r="S69" s="1076" t="str">
        <f t="shared" si="41"/>
        <v/>
      </c>
      <c r="T69" s="1078" t="str">
        <f t="shared" si="42"/>
        <v/>
      </c>
      <c r="U69" s="269"/>
      <c r="V69" s="1261"/>
      <c r="W69" s="1261"/>
      <c r="X69" s="801"/>
      <c r="Y69" s="1253" t="e">
        <f>ROUND(VLOOKUP(H69,tab!$A$61:$V$103,I69+2,FALSE),0)</f>
        <v>#VALUE!</v>
      </c>
      <c r="Z69" s="1252">
        <f>tab!$E$48</f>
        <v>0.62</v>
      </c>
      <c r="AA69" s="1284" t="e">
        <f t="shared" si="43"/>
        <v>#VALUE!</v>
      </c>
      <c r="AB69" s="1284" t="e">
        <f t="shared" si="44"/>
        <v>#VALUE!</v>
      </c>
      <c r="AC69" s="1284" t="e">
        <f t="shared" si="45"/>
        <v>#VALUE!</v>
      </c>
      <c r="AD69" s="1286" t="e">
        <f t="shared" si="46"/>
        <v>#VALUE!</v>
      </c>
      <c r="AE69" s="1286">
        <f t="shared" si="47"/>
        <v>0</v>
      </c>
      <c r="AF69" s="1254">
        <f>IF(H69&gt;8,tab!$D$49,tab!$D$52)</f>
        <v>0.5</v>
      </c>
      <c r="AG69" s="1255">
        <f t="shared" si="48"/>
        <v>0</v>
      </c>
      <c r="AH69" s="1251">
        <f t="shared" si="49"/>
        <v>0</v>
      </c>
      <c r="AI69" s="1260"/>
    </row>
    <row r="70" spans="2:40" ht="12.75" customHeight="1" x14ac:dyDescent="0.2">
      <c r="C70" s="126"/>
      <c r="D70" s="396" t="str">
        <f>IF(dir!D47="","",dir!D47)</f>
        <v/>
      </c>
      <c r="E70" s="432" t="str">
        <f>IF(dir!E47=0,"",dir!E47)</f>
        <v/>
      </c>
      <c r="F70" s="117" t="str">
        <f>IF(dir!F47="","",dir!F47+1)</f>
        <v/>
      </c>
      <c r="G70" s="397" t="str">
        <f>IF(dir!G47="","",dir!G47)</f>
        <v/>
      </c>
      <c r="H70" s="433" t="str">
        <f t="shared" si="38"/>
        <v/>
      </c>
      <c r="I70" s="398" t="str">
        <f>IF(J70="","",(IF(dir!I47+1&gt;LOOKUP(H70,schaal2013,regels2013),dir!I47,dir!I47+1)))</f>
        <v/>
      </c>
      <c r="J70" s="399" t="str">
        <f>IF(dir!J47="","",dir!J47)</f>
        <v/>
      </c>
      <c r="K70" s="413"/>
      <c r="L70" s="1219">
        <f>IF(dir!L47="","",dir!L47)</f>
        <v>0</v>
      </c>
      <c r="M70" s="1219">
        <f>IF(dir!M47="","",dir!M47)</f>
        <v>0</v>
      </c>
      <c r="N70" s="1209" t="str">
        <f t="shared" si="39"/>
        <v/>
      </c>
      <c r="O70" s="1209"/>
      <c r="P70" s="1283" t="str">
        <f t="shared" si="40"/>
        <v/>
      </c>
      <c r="Q70" s="518"/>
      <c r="R70" s="1076" t="str">
        <f t="shared" si="50"/>
        <v/>
      </c>
      <c r="S70" s="1076" t="str">
        <f t="shared" si="41"/>
        <v/>
      </c>
      <c r="T70" s="1078" t="str">
        <f t="shared" si="42"/>
        <v/>
      </c>
      <c r="U70" s="269"/>
      <c r="V70" s="1261"/>
      <c r="W70" s="1261"/>
      <c r="X70" s="801"/>
      <c r="Y70" s="1253" t="e">
        <f>ROUND(VLOOKUP(H70,tab!$A$61:$V$103,I70+2,FALSE),0)</f>
        <v>#VALUE!</v>
      </c>
      <c r="Z70" s="1252">
        <f>tab!$E$48</f>
        <v>0.62</v>
      </c>
      <c r="AA70" s="1284" t="e">
        <f t="shared" si="43"/>
        <v>#VALUE!</v>
      </c>
      <c r="AB70" s="1284" t="e">
        <f t="shared" si="44"/>
        <v>#VALUE!</v>
      </c>
      <c r="AC70" s="1284" t="e">
        <f t="shared" si="45"/>
        <v>#VALUE!</v>
      </c>
      <c r="AD70" s="1286" t="e">
        <f t="shared" si="46"/>
        <v>#VALUE!</v>
      </c>
      <c r="AE70" s="1286">
        <f t="shared" si="47"/>
        <v>0</v>
      </c>
      <c r="AF70" s="1254">
        <f>IF(H70&gt;8,tab!$D$49,tab!$D$52)</f>
        <v>0.5</v>
      </c>
      <c r="AG70" s="1255">
        <f t="shared" si="48"/>
        <v>0</v>
      </c>
      <c r="AH70" s="1251">
        <f t="shared" si="49"/>
        <v>0</v>
      </c>
      <c r="AI70" s="1260"/>
    </row>
    <row r="71" spans="2:40" ht="12.75" customHeight="1" x14ac:dyDescent="0.2">
      <c r="C71" s="126"/>
      <c r="D71" s="188"/>
      <c r="E71" s="240"/>
      <c r="F71" s="415"/>
      <c r="G71" s="416"/>
      <c r="H71" s="128"/>
      <c r="I71" s="128"/>
      <c r="J71" s="1072">
        <f>SUM(J61:J70)</f>
        <v>1</v>
      </c>
      <c r="K71" s="415"/>
      <c r="L71" s="1197">
        <f t="shared" ref="L71:P71" si="51">SUM(L61:L70)</f>
        <v>130</v>
      </c>
      <c r="M71" s="1197">
        <f t="shared" si="51"/>
        <v>170</v>
      </c>
      <c r="N71" s="1197">
        <f>SUM(N61:N70)</f>
        <v>40</v>
      </c>
      <c r="O71" s="1197"/>
      <c r="P71" s="1197">
        <f t="shared" si="51"/>
        <v>340</v>
      </c>
      <c r="Q71" s="415"/>
      <c r="R71" s="1073">
        <f t="shared" ref="R71:T71" si="52">SUM(R61:R70)</f>
        <v>51978.236094032553</v>
      </c>
      <c r="S71" s="1074">
        <f t="shared" si="52"/>
        <v>9749.6593128390596</v>
      </c>
      <c r="T71" s="1073">
        <f t="shared" si="52"/>
        <v>61727.895406871612</v>
      </c>
      <c r="U71" s="414"/>
      <c r="V71" s="1221"/>
      <c r="W71" s="1221"/>
      <c r="Y71" s="1256"/>
      <c r="Z71" s="1288"/>
      <c r="AA71" s="1256"/>
      <c r="AB71" s="1256"/>
      <c r="AC71" s="1256"/>
      <c r="AG71" s="1257"/>
      <c r="AH71" s="1258"/>
      <c r="AI71" s="1260"/>
    </row>
    <row r="72" spans="2:40" ht="12.75" customHeight="1" x14ac:dyDescent="0.2">
      <c r="C72" s="191"/>
      <c r="D72" s="417"/>
      <c r="E72" s="287"/>
      <c r="F72" s="192"/>
      <c r="G72" s="418"/>
      <c r="H72" s="192"/>
      <c r="I72" s="419"/>
      <c r="J72" s="420"/>
      <c r="K72" s="287"/>
      <c r="L72" s="419"/>
      <c r="M72" s="419"/>
      <c r="N72" s="419"/>
      <c r="O72" s="419"/>
      <c r="P72" s="419"/>
      <c r="Q72" s="287"/>
      <c r="R72" s="438"/>
      <c r="S72" s="422"/>
      <c r="T72" s="883"/>
      <c r="U72" s="423"/>
      <c r="V72" s="1221"/>
      <c r="W72" s="1221"/>
      <c r="Y72" s="1237"/>
      <c r="Z72" s="1288"/>
      <c r="AA72" s="1256"/>
      <c r="AB72" s="1256"/>
      <c r="AC72" s="1256"/>
      <c r="AG72" s="1257"/>
      <c r="AH72" s="1258"/>
      <c r="AI72" s="1260"/>
    </row>
    <row r="73" spans="2:40" ht="12.75" customHeight="1" x14ac:dyDescent="0.2">
      <c r="H73" s="22"/>
      <c r="J73" s="333"/>
      <c r="L73" s="24"/>
      <c r="M73" s="24"/>
      <c r="N73" s="24"/>
      <c r="O73" s="24"/>
      <c r="P73" s="24"/>
      <c r="R73" s="441"/>
      <c r="S73" s="175"/>
      <c r="T73" s="885"/>
      <c r="V73" s="1221"/>
      <c r="W73" s="1221"/>
      <c r="Y73" s="1253"/>
      <c r="Z73" s="1261"/>
      <c r="AA73" s="1261"/>
      <c r="AB73" s="1261"/>
      <c r="AC73" s="1261"/>
      <c r="AG73" s="1255"/>
      <c r="AH73" s="1251"/>
    </row>
    <row r="74" spans="2:40" ht="12.75" customHeight="1" x14ac:dyDescent="0.2">
      <c r="H74" s="22"/>
      <c r="J74" s="333"/>
      <c r="L74" s="24"/>
      <c r="M74" s="24"/>
      <c r="N74" s="24"/>
      <c r="O74" s="24"/>
      <c r="P74" s="24"/>
      <c r="R74" s="441"/>
      <c r="S74" s="175"/>
      <c r="T74" s="885"/>
      <c r="V74" s="1221"/>
      <c r="W74" s="1221"/>
      <c r="Y74" s="1253"/>
      <c r="Z74" s="1261"/>
      <c r="AA74" s="1261"/>
      <c r="AB74" s="1261"/>
      <c r="AC74" s="1261"/>
      <c r="AG74" s="1255"/>
      <c r="AH74" s="1251"/>
    </row>
    <row r="75" spans="2:40" ht="12.75" customHeight="1" x14ac:dyDescent="0.2">
      <c r="C75" s="14" t="s">
        <v>200</v>
      </c>
      <c r="E75" s="272" t="str">
        <f>tab!G2</f>
        <v>2018/19</v>
      </c>
      <c r="H75" s="22"/>
      <c r="J75" s="333"/>
      <c r="L75" s="24"/>
      <c r="M75" s="24"/>
      <c r="N75" s="24"/>
      <c r="O75" s="24"/>
      <c r="P75" s="24"/>
      <c r="R75" s="441"/>
      <c r="S75" s="175"/>
      <c r="T75" s="885"/>
      <c r="V75" s="1221"/>
      <c r="W75" s="1221"/>
      <c r="Y75" s="1253"/>
      <c r="Z75" s="1261"/>
      <c r="AA75" s="1261"/>
      <c r="AB75" s="1261"/>
      <c r="AC75" s="1261"/>
      <c r="AG75" s="1255"/>
      <c r="AH75" s="1251"/>
    </row>
    <row r="76" spans="2:40" ht="12.75" customHeight="1" x14ac:dyDescent="0.2">
      <c r="C76" s="21" t="s">
        <v>213</v>
      </c>
      <c r="E76" s="330">
        <f>tab!H3</f>
        <v>43374</v>
      </c>
      <c r="H76" s="22"/>
      <c r="J76" s="333"/>
      <c r="L76" s="24"/>
      <c r="M76" s="24"/>
      <c r="N76" s="24"/>
      <c r="O76" s="24"/>
      <c r="P76" s="24"/>
      <c r="R76" s="441"/>
      <c r="S76" s="175"/>
      <c r="T76" s="885"/>
      <c r="V76" s="1221"/>
      <c r="W76" s="1221"/>
      <c r="Y76" s="1253"/>
      <c r="Z76" s="1261"/>
      <c r="AA76" s="1261"/>
      <c r="AB76" s="1261"/>
      <c r="AC76" s="1261"/>
      <c r="AG76" s="1255"/>
      <c r="AH76" s="1251"/>
    </row>
    <row r="77" spans="2:40" ht="12.75" customHeight="1" x14ac:dyDescent="0.2">
      <c r="H77" s="22"/>
      <c r="J77" s="333"/>
      <c r="L77" s="24"/>
      <c r="M77" s="24"/>
      <c r="N77" s="24"/>
      <c r="O77" s="24"/>
      <c r="P77" s="24"/>
      <c r="R77" s="441"/>
      <c r="S77" s="175"/>
      <c r="T77" s="885"/>
      <c r="V77" s="1221"/>
      <c r="W77" s="1221"/>
      <c r="Y77" s="1253"/>
      <c r="Z77" s="1261"/>
      <c r="AA77" s="1261"/>
      <c r="AB77" s="1261"/>
      <c r="AC77" s="1261"/>
      <c r="AG77" s="1255"/>
      <c r="AH77" s="1251"/>
    </row>
    <row r="78" spans="2:40" ht="12.75" customHeight="1" x14ac:dyDescent="0.2">
      <c r="C78" s="184"/>
      <c r="D78" s="400"/>
      <c r="E78" s="401"/>
      <c r="F78" s="185"/>
      <c r="G78" s="403"/>
      <c r="H78" s="404"/>
      <c r="I78" s="404"/>
      <c r="J78" s="405"/>
      <c r="K78" s="120"/>
      <c r="L78" s="404"/>
      <c r="M78" s="404"/>
      <c r="N78" s="404"/>
      <c r="O78" s="404"/>
      <c r="P78" s="404"/>
      <c r="Q78" s="120"/>
      <c r="R78" s="437"/>
      <c r="S78" s="406"/>
      <c r="T78" s="881"/>
      <c r="U78" s="121"/>
      <c r="V78" s="1221"/>
      <c r="W78" s="1221"/>
      <c r="AE78" s="1235"/>
      <c r="AF78" s="1236"/>
      <c r="AI78" s="1237"/>
      <c r="AJ78" s="1238"/>
      <c r="AK78" s="324"/>
      <c r="AL78" s="24"/>
    </row>
    <row r="79" spans="2:40" s="269" customFormat="1" ht="12.75" customHeight="1" x14ac:dyDescent="0.2">
      <c r="B79" s="14"/>
      <c r="C79" s="425"/>
      <c r="D79" s="1191" t="s">
        <v>306</v>
      </c>
      <c r="E79" s="1191"/>
      <c r="F79" s="1191"/>
      <c r="G79" s="1191"/>
      <c r="H79" s="1191"/>
      <c r="I79" s="1191"/>
      <c r="J79" s="1191"/>
      <c r="K79" s="1191"/>
      <c r="L79" s="1191" t="s">
        <v>553</v>
      </c>
      <c r="M79" s="1193"/>
      <c r="N79" s="1191"/>
      <c r="O79" s="1191"/>
      <c r="P79" s="1291"/>
      <c r="Q79" s="1055"/>
      <c r="R79" s="1191" t="s">
        <v>554</v>
      </c>
      <c r="S79" s="1194"/>
      <c r="T79" s="1292"/>
      <c r="U79" s="1293"/>
      <c r="V79" s="1222"/>
      <c r="W79" s="1222"/>
      <c r="X79" s="427"/>
      <c r="Y79" s="1221"/>
      <c r="Z79" s="1294"/>
      <c r="AA79" s="1221"/>
      <c r="AB79" s="1221"/>
      <c r="AC79" s="1221"/>
      <c r="AD79" s="1295"/>
      <c r="AE79" s="1295"/>
      <c r="AF79" s="1224"/>
      <c r="AG79" s="1248"/>
      <c r="AH79" s="1249"/>
      <c r="AI79" s="1224"/>
      <c r="AJ79" s="1224"/>
      <c r="AM79" s="427"/>
      <c r="AN79" s="427"/>
    </row>
    <row r="80" spans="2:40" s="269" customFormat="1" ht="12.75" customHeight="1" x14ac:dyDescent="0.2">
      <c r="B80" s="14"/>
      <c r="C80" s="425"/>
      <c r="D80" s="1056" t="s">
        <v>545</v>
      </c>
      <c r="E80" s="1030" t="s">
        <v>201</v>
      </c>
      <c r="F80" s="1057" t="s">
        <v>151</v>
      </c>
      <c r="G80" s="1058" t="s">
        <v>295</v>
      </c>
      <c r="H80" s="1057" t="s">
        <v>226</v>
      </c>
      <c r="I80" s="1057" t="s">
        <v>247</v>
      </c>
      <c r="J80" s="1059" t="s">
        <v>207</v>
      </c>
      <c r="K80" s="1034"/>
      <c r="L80" s="1060" t="s">
        <v>530</v>
      </c>
      <c r="M80" s="1060" t="s">
        <v>531</v>
      </c>
      <c r="N80" s="1060" t="s">
        <v>529</v>
      </c>
      <c r="O80" s="1060" t="s">
        <v>530</v>
      </c>
      <c r="P80" s="1296" t="s">
        <v>555</v>
      </c>
      <c r="Q80" s="1034"/>
      <c r="R80" s="1195" t="s">
        <v>212</v>
      </c>
      <c r="S80" s="1062" t="s">
        <v>556</v>
      </c>
      <c r="T80" s="1063" t="s">
        <v>212</v>
      </c>
      <c r="U80" s="1297"/>
      <c r="V80" s="1259"/>
      <c r="W80" s="1259"/>
      <c r="X80" s="430"/>
      <c r="Y80" s="1068" t="s">
        <v>325</v>
      </c>
      <c r="Z80" s="1285" t="s">
        <v>548</v>
      </c>
      <c r="AA80" s="1259" t="s">
        <v>549</v>
      </c>
      <c r="AB80" s="1259" t="s">
        <v>549</v>
      </c>
      <c r="AC80" s="1259" t="s">
        <v>546</v>
      </c>
      <c r="AD80" s="1206" t="s">
        <v>539</v>
      </c>
      <c r="AE80" s="1206" t="s">
        <v>540</v>
      </c>
      <c r="AF80" s="1069" t="s">
        <v>541</v>
      </c>
      <c r="AG80" s="1250" t="s">
        <v>319</v>
      </c>
      <c r="AH80" s="1249" t="s">
        <v>459</v>
      </c>
      <c r="AI80" s="1224"/>
      <c r="AJ80" s="1224"/>
      <c r="AM80" s="427"/>
      <c r="AN80" s="430"/>
    </row>
    <row r="81" spans="2:40" s="336" customFormat="1" ht="12.75" customHeight="1" x14ac:dyDescent="0.2">
      <c r="B81" s="14"/>
      <c r="C81" s="425"/>
      <c r="D81" s="1064"/>
      <c r="E81" s="1030"/>
      <c r="F81" s="1057" t="s">
        <v>152</v>
      </c>
      <c r="G81" s="1058" t="s">
        <v>296</v>
      </c>
      <c r="H81" s="1057"/>
      <c r="I81" s="1057"/>
      <c r="J81" s="1059" t="s">
        <v>298</v>
      </c>
      <c r="K81" s="1034"/>
      <c r="L81" s="1060" t="s">
        <v>533</v>
      </c>
      <c r="M81" s="1060" t="s">
        <v>534</v>
      </c>
      <c r="N81" s="1060" t="s">
        <v>532</v>
      </c>
      <c r="O81" s="1060" t="s">
        <v>544</v>
      </c>
      <c r="P81" s="1296" t="s">
        <v>291</v>
      </c>
      <c r="Q81" s="1034"/>
      <c r="R81" s="1061" t="s">
        <v>557</v>
      </c>
      <c r="S81" s="1062" t="s">
        <v>535</v>
      </c>
      <c r="T81" s="1063" t="s">
        <v>291</v>
      </c>
      <c r="U81" s="1040"/>
      <c r="V81" s="1221"/>
      <c r="W81" s="1221"/>
      <c r="X81" s="144"/>
      <c r="Y81" s="1068" t="s">
        <v>217</v>
      </c>
      <c r="Z81" s="1287">
        <f>tab!$E$48</f>
        <v>0.62</v>
      </c>
      <c r="AA81" s="1259" t="s">
        <v>550</v>
      </c>
      <c r="AB81" s="1259" t="s">
        <v>551</v>
      </c>
      <c r="AC81" s="1259" t="s">
        <v>552</v>
      </c>
      <c r="AD81" s="1206" t="s">
        <v>542</v>
      </c>
      <c r="AE81" s="1206" t="s">
        <v>542</v>
      </c>
      <c r="AF81" s="1069" t="s">
        <v>543</v>
      </c>
      <c r="AG81" s="1250"/>
      <c r="AH81" s="1251" t="s">
        <v>246</v>
      </c>
      <c r="AI81" s="1221"/>
      <c r="AJ81" s="1221"/>
      <c r="AN81" s="337"/>
    </row>
    <row r="82" spans="2:40" ht="12.75" customHeight="1" x14ac:dyDescent="0.2">
      <c r="C82" s="126"/>
      <c r="D82" s="410"/>
      <c r="E82" s="410"/>
      <c r="F82" s="410"/>
      <c r="G82" s="410"/>
      <c r="H82" s="410"/>
      <c r="I82" s="410"/>
      <c r="J82" s="410"/>
      <c r="K82" s="408"/>
      <c r="L82" s="410"/>
      <c r="M82" s="410"/>
      <c r="N82" s="410"/>
      <c r="O82" s="410"/>
      <c r="P82" s="410"/>
      <c r="Q82" s="408"/>
      <c r="R82" s="876"/>
      <c r="S82" s="411"/>
      <c r="T82" s="882"/>
      <c r="U82" s="125"/>
      <c r="V82" s="1221"/>
      <c r="W82" s="1221"/>
      <c r="Y82" s="1068"/>
      <c r="Z82" s="1252"/>
      <c r="AA82" s="1252"/>
      <c r="AB82" s="1252"/>
      <c r="AC82" s="1252"/>
      <c r="AE82" s="1221"/>
      <c r="AF82" s="1221"/>
      <c r="AG82" s="1250"/>
      <c r="AH82" s="1251"/>
      <c r="AK82" s="14"/>
      <c r="AL82" s="14"/>
      <c r="AN82" s="332"/>
    </row>
    <row r="83" spans="2:40" ht="12.75" customHeight="1" x14ac:dyDescent="0.2">
      <c r="C83" s="126"/>
      <c r="D83" s="396" t="str">
        <f>IF(dir!D61=0,"",dir!D61)</f>
        <v/>
      </c>
      <c r="E83" s="432" t="str">
        <f>IF(dir!E61=0,"",dir!E61)</f>
        <v>nn</v>
      </c>
      <c r="F83" s="117" t="str">
        <f>IF(dir!F61="","",dir!F61+1)</f>
        <v/>
      </c>
      <c r="G83" s="397" t="str">
        <f>IF(dir!G61="","",dir!G61)</f>
        <v/>
      </c>
      <c r="H83" s="433" t="str">
        <f t="shared" ref="H83:H92" si="53">IF(H61=0,"",H61)</f>
        <v>DB</v>
      </c>
      <c r="I83" s="398">
        <f>IF(J83="","",(IF(dir!I61+1&gt;LOOKUP(H83,schaal2013,regels2013),dir!I61,dir!I61+1)))</f>
        <v>6</v>
      </c>
      <c r="J83" s="399">
        <f>IF(dir!J61="","",dir!J61)</f>
        <v>1</v>
      </c>
      <c r="K83" s="413"/>
      <c r="L83" s="1219">
        <f>IF(dir!L61="","",dir!L61)</f>
        <v>130</v>
      </c>
      <c r="M83" s="1219">
        <f>IF(dir!M61="","",dir!M61)</f>
        <v>170</v>
      </c>
      <c r="N83" s="1209">
        <f t="shared" ref="N83:N92" si="54">IF(J83="","",IF((J83*40)&gt;40,40,((J83*40))))</f>
        <v>40</v>
      </c>
      <c r="O83" s="1209"/>
      <c r="P83" s="1283">
        <f t="shared" ref="P83:P92" si="55">IF(J83="","",(SUM(L83:O83)))</f>
        <v>340</v>
      </c>
      <c r="Q83" s="518"/>
      <c r="R83" s="1076">
        <f>IF(J83="","",(((1659*J83)-P83)*AB83))</f>
        <v>53554.739240506337</v>
      </c>
      <c r="S83" s="1076">
        <f t="shared" ref="S83:S92" si="56">IF(J83="","",(P83*AC83)+(AA83*AD83)+((AE83*AA83*(1-AF83))))</f>
        <v>10045.367088607598</v>
      </c>
      <c r="T83" s="1078">
        <f t="shared" ref="T83:T92" si="57">IF(J83="","",(R83+S83))</f>
        <v>63600.106329113936</v>
      </c>
      <c r="U83" s="269"/>
      <c r="V83" s="1261"/>
      <c r="W83" s="1261"/>
      <c r="X83" s="801"/>
      <c r="Y83" s="1253">
        <f>ROUND(VLOOKUP(H83,tab!$A$61:$V$103,I83+2,FALSE),0)</f>
        <v>3465</v>
      </c>
      <c r="Z83" s="1252">
        <f>tab!$E$48</f>
        <v>0.62</v>
      </c>
      <c r="AA83" s="1284">
        <f t="shared" ref="AA83:AA92" si="58">(Y83*12/1659)</f>
        <v>25.063291139240505</v>
      </c>
      <c r="AB83" s="1284">
        <f t="shared" ref="AB83:AB92" si="59">(Y83*12*(1+Z83))/1659</f>
        <v>40.602531645569627</v>
      </c>
      <c r="AC83" s="1284">
        <f t="shared" ref="AC83:AC92" si="60">AB83-AA83</f>
        <v>15.539240506329122</v>
      </c>
      <c r="AD83" s="1286">
        <f t="shared" ref="AD83:AD92" si="61">(N83+O83)</f>
        <v>40</v>
      </c>
      <c r="AE83" s="1286">
        <f t="shared" ref="AE83:AE92" si="62">(L83+M83)</f>
        <v>300</v>
      </c>
      <c r="AF83" s="1254">
        <f>IF(H83&gt;8,tab!$D$49,tab!$D$52)</f>
        <v>0.5</v>
      </c>
      <c r="AG83" s="1255">
        <f t="shared" ref="AG83:AG92" si="63">IF(F83&lt;25,0,IF(F83=25,25,IF(F83&lt;40,0,IF(F83=40,40,IF(F83&gt;=40,0)))))</f>
        <v>0</v>
      </c>
      <c r="AH83" s="1251">
        <f t="shared" ref="AH83:AH92" si="64">IF(AG83=25,(Y83*1.08*(J83)/2),IF(AG83=40,(Y83*1.08*(J83)),IF(AG83=0,0)))</f>
        <v>0</v>
      </c>
      <c r="AI83" s="1260"/>
    </row>
    <row r="84" spans="2:40" ht="12.75" customHeight="1" x14ac:dyDescent="0.2">
      <c r="C84" s="126"/>
      <c r="D84" s="396" t="str">
        <f>IF(dir!D62=0,"",dir!D62)</f>
        <v/>
      </c>
      <c r="E84" s="432" t="str">
        <f>IF(dir!E62=0,"",dir!E62)</f>
        <v/>
      </c>
      <c r="F84" s="117" t="str">
        <f>IF(dir!F62="","",dir!F62+1)</f>
        <v/>
      </c>
      <c r="G84" s="397" t="str">
        <f>IF(dir!G62="","",dir!G62)</f>
        <v/>
      </c>
      <c r="H84" s="433" t="str">
        <f t="shared" si="53"/>
        <v/>
      </c>
      <c r="I84" s="398" t="str">
        <f>IF(J84="","",(IF(dir!I62+1&gt;LOOKUP(H84,schaal2013,regels2013),dir!I62,dir!I62+1)))</f>
        <v/>
      </c>
      <c r="J84" s="399" t="str">
        <f>IF(dir!J62="","",dir!J62)</f>
        <v/>
      </c>
      <c r="K84" s="413"/>
      <c r="L84" s="1219">
        <f>IF(dir!L62="","",dir!L62)</f>
        <v>0</v>
      </c>
      <c r="M84" s="1219">
        <f>IF(dir!M62="","",dir!M62)</f>
        <v>0</v>
      </c>
      <c r="N84" s="1209" t="str">
        <f t="shared" si="54"/>
        <v/>
      </c>
      <c r="O84" s="1209"/>
      <c r="P84" s="1283" t="str">
        <f t="shared" si="55"/>
        <v/>
      </c>
      <c r="Q84" s="518"/>
      <c r="R84" s="1076" t="str">
        <f t="shared" ref="R84:R92" si="65">IF(J84="","",(((1659*J84)-P84)*AB84))</f>
        <v/>
      </c>
      <c r="S84" s="1076" t="str">
        <f t="shared" si="56"/>
        <v/>
      </c>
      <c r="T84" s="1078" t="str">
        <f t="shared" si="57"/>
        <v/>
      </c>
      <c r="U84" s="269"/>
      <c r="V84" s="1261"/>
      <c r="W84" s="1261"/>
      <c r="X84" s="801"/>
      <c r="Y84" s="1253" t="e">
        <f>ROUND(VLOOKUP(H84,tab!$A$61:$V$103,I84+2,FALSE),0)</f>
        <v>#VALUE!</v>
      </c>
      <c r="Z84" s="1252">
        <f>tab!$E$48</f>
        <v>0.62</v>
      </c>
      <c r="AA84" s="1284" t="e">
        <f t="shared" si="58"/>
        <v>#VALUE!</v>
      </c>
      <c r="AB84" s="1284" t="e">
        <f t="shared" si="59"/>
        <v>#VALUE!</v>
      </c>
      <c r="AC84" s="1284" t="e">
        <f t="shared" si="60"/>
        <v>#VALUE!</v>
      </c>
      <c r="AD84" s="1286" t="e">
        <f t="shared" si="61"/>
        <v>#VALUE!</v>
      </c>
      <c r="AE84" s="1286">
        <f t="shared" si="62"/>
        <v>0</v>
      </c>
      <c r="AF84" s="1254">
        <f>IF(H84&gt;8,tab!$D$49,tab!$D$52)</f>
        <v>0.5</v>
      </c>
      <c r="AG84" s="1255">
        <f t="shared" si="63"/>
        <v>0</v>
      </c>
      <c r="AH84" s="1251">
        <f t="shared" si="64"/>
        <v>0</v>
      </c>
      <c r="AI84" s="1260"/>
    </row>
    <row r="85" spans="2:40" ht="12.75" customHeight="1" x14ac:dyDescent="0.2">
      <c r="C85" s="126"/>
      <c r="D85" s="396" t="str">
        <f>IF(dir!D63=0,"",dir!D63)</f>
        <v/>
      </c>
      <c r="E85" s="432" t="str">
        <f>IF(dir!E63=0,"",dir!E63)</f>
        <v/>
      </c>
      <c r="F85" s="117" t="str">
        <f>IF(dir!F63="","",dir!F63+1)</f>
        <v/>
      </c>
      <c r="G85" s="397" t="str">
        <f>IF(dir!G63="","",dir!G63)</f>
        <v/>
      </c>
      <c r="H85" s="433" t="str">
        <f t="shared" si="53"/>
        <v/>
      </c>
      <c r="I85" s="398" t="str">
        <f>IF(J85="","",(IF(dir!I63+1&gt;LOOKUP(H85,schaal2013,regels2013),dir!I63,dir!I63+1)))</f>
        <v/>
      </c>
      <c r="J85" s="399" t="str">
        <f>IF(dir!J63="","",dir!J63)</f>
        <v/>
      </c>
      <c r="K85" s="413"/>
      <c r="L85" s="1219">
        <f>IF(dir!L63="","",dir!L63)</f>
        <v>0</v>
      </c>
      <c r="M85" s="1219">
        <f>IF(dir!M63="","",dir!M63)</f>
        <v>0</v>
      </c>
      <c r="N85" s="1209" t="str">
        <f t="shared" si="54"/>
        <v/>
      </c>
      <c r="O85" s="1209"/>
      <c r="P85" s="1283" t="str">
        <f t="shared" si="55"/>
        <v/>
      </c>
      <c r="Q85" s="518"/>
      <c r="R85" s="1076" t="str">
        <f t="shared" si="65"/>
        <v/>
      </c>
      <c r="S85" s="1076" t="str">
        <f t="shared" si="56"/>
        <v/>
      </c>
      <c r="T85" s="1078" t="str">
        <f t="shared" si="57"/>
        <v/>
      </c>
      <c r="U85" s="269"/>
      <c r="V85" s="1261"/>
      <c r="W85" s="1261"/>
      <c r="X85" s="801"/>
      <c r="Y85" s="1253" t="e">
        <f>ROUND(VLOOKUP(H85,tab!$A$61:$V$103,I85+2,FALSE),0)</f>
        <v>#VALUE!</v>
      </c>
      <c r="Z85" s="1252">
        <f>tab!$E$48</f>
        <v>0.62</v>
      </c>
      <c r="AA85" s="1284" t="e">
        <f t="shared" si="58"/>
        <v>#VALUE!</v>
      </c>
      <c r="AB85" s="1284" t="e">
        <f t="shared" si="59"/>
        <v>#VALUE!</v>
      </c>
      <c r="AC85" s="1284" t="e">
        <f t="shared" si="60"/>
        <v>#VALUE!</v>
      </c>
      <c r="AD85" s="1286" t="e">
        <f t="shared" si="61"/>
        <v>#VALUE!</v>
      </c>
      <c r="AE85" s="1286">
        <f t="shared" si="62"/>
        <v>0</v>
      </c>
      <c r="AF85" s="1254">
        <f>IF(H85&gt;8,tab!$D$49,tab!$D$52)</f>
        <v>0.5</v>
      </c>
      <c r="AG85" s="1255">
        <f t="shared" si="63"/>
        <v>0</v>
      </c>
      <c r="AH85" s="1251">
        <f t="shared" si="64"/>
        <v>0</v>
      </c>
      <c r="AI85" s="1260"/>
    </row>
    <row r="86" spans="2:40" ht="12.75" customHeight="1" x14ac:dyDescent="0.2">
      <c r="C86" s="126"/>
      <c r="D86" s="396" t="str">
        <f>IF(dir!D64=0,"",dir!D64)</f>
        <v/>
      </c>
      <c r="E86" s="432" t="str">
        <f>IF(dir!E64=0,"",dir!E64)</f>
        <v/>
      </c>
      <c r="F86" s="117" t="str">
        <f>IF(dir!F64="","",dir!F64+1)</f>
        <v/>
      </c>
      <c r="G86" s="397" t="str">
        <f>IF(dir!G64="","",dir!G64)</f>
        <v/>
      </c>
      <c r="H86" s="433" t="str">
        <f t="shared" si="53"/>
        <v/>
      </c>
      <c r="I86" s="398" t="str">
        <f>IF(J86="","",(IF(dir!I64+1&gt;LOOKUP(H86,schaal2013,regels2013),dir!I64,dir!I64+1)))</f>
        <v/>
      </c>
      <c r="J86" s="399" t="str">
        <f>IF(dir!J64="","",dir!J64)</f>
        <v/>
      </c>
      <c r="K86" s="413"/>
      <c r="L86" s="1219">
        <f>IF(dir!L64="","",dir!L64)</f>
        <v>0</v>
      </c>
      <c r="M86" s="1219">
        <f>IF(dir!M64="","",dir!M64)</f>
        <v>0</v>
      </c>
      <c r="N86" s="1209" t="str">
        <f t="shared" si="54"/>
        <v/>
      </c>
      <c r="O86" s="1209"/>
      <c r="P86" s="1283" t="str">
        <f t="shared" si="55"/>
        <v/>
      </c>
      <c r="Q86" s="518"/>
      <c r="R86" s="1076" t="str">
        <f t="shared" si="65"/>
        <v/>
      </c>
      <c r="S86" s="1076" t="str">
        <f t="shared" si="56"/>
        <v/>
      </c>
      <c r="T86" s="1078" t="str">
        <f t="shared" si="57"/>
        <v/>
      </c>
      <c r="U86" s="269"/>
      <c r="V86" s="1261"/>
      <c r="W86" s="1261"/>
      <c r="X86" s="801"/>
      <c r="Y86" s="1253" t="e">
        <f>ROUND(VLOOKUP(H86,tab!$A$61:$V$103,I86+2,FALSE),0)</f>
        <v>#VALUE!</v>
      </c>
      <c r="Z86" s="1252">
        <f>tab!$E$48</f>
        <v>0.62</v>
      </c>
      <c r="AA86" s="1284" t="e">
        <f t="shared" si="58"/>
        <v>#VALUE!</v>
      </c>
      <c r="AB86" s="1284" t="e">
        <f t="shared" si="59"/>
        <v>#VALUE!</v>
      </c>
      <c r="AC86" s="1284" t="e">
        <f t="shared" si="60"/>
        <v>#VALUE!</v>
      </c>
      <c r="AD86" s="1286" t="e">
        <f t="shared" si="61"/>
        <v>#VALUE!</v>
      </c>
      <c r="AE86" s="1286">
        <f t="shared" si="62"/>
        <v>0</v>
      </c>
      <c r="AF86" s="1254">
        <f>IF(H86&gt;8,tab!$D$49,tab!$D$52)</f>
        <v>0.5</v>
      </c>
      <c r="AG86" s="1255">
        <f t="shared" si="63"/>
        <v>0</v>
      </c>
      <c r="AH86" s="1251">
        <f t="shared" si="64"/>
        <v>0</v>
      </c>
      <c r="AI86" s="1260"/>
    </row>
    <row r="87" spans="2:40" ht="12.75" customHeight="1" x14ac:dyDescent="0.2">
      <c r="C87" s="126"/>
      <c r="D87" s="396" t="str">
        <f>IF(dir!D65=0,"",dir!D65)</f>
        <v/>
      </c>
      <c r="E87" s="432" t="str">
        <f>IF(dir!E65=0,"",dir!E65)</f>
        <v/>
      </c>
      <c r="F87" s="117" t="str">
        <f>IF(dir!F65="","",dir!F65+1)</f>
        <v/>
      </c>
      <c r="G87" s="397" t="str">
        <f>IF(dir!G65="","",dir!G65)</f>
        <v/>
      </c>
      <c r="H87" s="433" t="str">
        <f t="shared" si="53"/>
        <v/>
      </c>
      <c r="I87" s="398" t="str">
        <f>IF(J87="","",(IF(dir!I65+1&gt;LOOKUP(H87,schaal2013,regels2013),dir!I65,dir!I65+1)))</f>
        <v/>
      </c>
      <c r="J87" s="399" t="str">
        <f>IF(dir!J65="","",dir!J65)</f>
        <v/>
      </c>
      <c r="K87" s="413"/>
      <c r="L87" s="1219">
        <f>IF(dir!L65="","",dir!L65)</f>
        <v>0</v>
      </c>
      <c r="M87" s="1219">
        <f>IF(dir!M65="","",dir!M65)</f>
        <v>0</v>
      </c>
      <c r="N87" s="1209" t="str">
        <f t="shared" si="54"/>
        <v/>
      </c>
      <c r="O87" s="1209"/>
      <c r="P87" s="1283" t="str">
        <f t="shared" si="55"/>
        <v/>
      </c>
      <c r="Q87" s="518"/>
      <c r="R87" s="1076" t="str">
        <f t="shared" si="65"/>
        <v/>
      </c>
      <c r="S87" s="1076" t="str">
        <f t="shared" si="56"/>
        <v/>
      </c>
      <c r="T87" s="1078" t="str">
        <f t="shared" si="57"/>
        <v/>
      </c>
      <c r="U87" s="269"/>
      <c r="V87" s="1261"/>
      <c r="W87" s="1261"/>
      <c r="X87" s="801"/>
      <c r="Y87" s="1253" t="e">
        <f>ROUND(VLOOKUP(H87,tab!$A$61:$V$103,I87+2,FALSE),0)</f>
        <v>#VALUE!</v>
      </c>
      <c r="Z87" s="1252">
        <f>tab!$E$48</f>
        <v>0.62</v>
      </c>
      <c r="AA87" s="1284" t="e">
        <f t="shared" si="58"/>
        <v>#VALUE!</v>
      </c>
      <c r="AB87" s="1284" t="e">
        <f t="shared" si="59"/>
        <v>#VALUE!</v>
      </c>
      <c r="AC87" s="1284" t="e">
        <f t="shared" si="60"/>
        <v>#VALUE!</v>
      </c>
      <c r="AD87" s="1286" t="e">
        <f t="shared" si="61"/>
        <v>#VALUE!</v>
      </c>
      <c r="AE87" s="1286">
        <f t="shared" si="62"/>
        <v>0</v>
      </c>
      <c r="AF87" s="1254">
        <f>IF(H87&gt;8,tab!$D$49,tab!$D$52)</f>
        <v>0.5</v>
      </c>
      <c r="AG87" s="1255">
        <f t="shared" si="63"/>
        <v>0</v>
      </c>
      <c r="AH87" s="1251">
        <f t="shared" si="64"/>
        <v>0</v>
      </c>
      <c r="AI87" s="1260"/>
    </row>
    <row r="88" spans="2:40" ht="12.75" customHeight="1" x14ac:dyDescent="0.2">
      <c r="C88" s="126"/>
      <c r="D88" s="396" t="str">
        <f>IF(dir!D66=0,"",dir!D66)</f>
        <v/>
      </c>
      <c r="E88" s="432" t="str">
        <f>IF(dir!E66=0,"",dir!E66)</f>
        <v/>
      </c>
      <c r="F88" s="117" t="str">
        <f>IF(dir!F66="","",dir!F66+1)</f>
        <v/>
      </c>
      <c r="G88" s="397" t="str">
        <f>IF(dir!G66="","",dir!G66)</f>
        <v/>
      </c>
      <c r="H88" s="433" t="str">
        <f t="shared" si="53"/>
        <v/>
      </c>
      <c r="I88" s="398" t="str">
        <f>IF(J88="","",(IF(dir!I66+1&gt;LOOKUP(H88,schaal2013,regels2013),dir!I66,dir!I66+1)))</f>
        <v/>
      </c>
      <c r="J88" s="399" t="str">
        <f>IF(dir!J66="","",dir!J66)</f>
        <v/>
      </c>
      <c r="K88" s="413"/>
      <c r="L88" s="1219">
        <f>IF(dir!L66="","",dir!L66)</f>
        <v>0</v>
      </c>
      <c r="M88" s="1219">
        <f>IF(dir!M66="","",dir!M66)</f>
        <v>0</v>
      </c>
      <c r="N88" s="1209" t="str">
        <f t="shared" si="54"/>
        <v/>
      </c>
      <c r="O88" s="1209"/>
      <c r="P88" s="1283" t="str">
        <f t="shared" si="55"/>
        <v/>
      </c>
      <c r="Q88" s="518"/>
      <c r="R88" s="1076" t="str">
        <f t="shared" si="65"/>
        <v/>
      </c>
      <c r="S88" s="1076" t="str">
        <f t="shared" si="56"/>
        <v/>
      </c>
      <c r="T88" s="1078" t="str">
        <f t="shared" si="57"/>
        <v/>
      </c>
      <c r="U88" s="269"/>
      <c r="V88" s="1261"/>
      <c r="W88" s="1261"/>
      <c r="X88" s="801"/>
      <c r="Y88" s="1253" t="e">
        <f>ROUND(VLOOKUP(H88,tab!$A$61:$V$103,I88+2,FALSE),0)</f>
        <v>#VALUE!</v>
      </c>
      <c r="Z88" s="1252">
        <f>tab!$E$48</f>
        <v>0.62</v>
      </c>
      <c r="AA88" s="1284" t="e">
        <f t="shared" si="58"/>
        <v>#VALUE!</v>
      </c>
      <c r="AB88" s="1284" t="e">
        <f t="shared" si="59"/>
        <v>#VALUE!</v>
      </c>
      <c r="AC88" s="1284" t="e">
        <f t="shared" si="60"/>
        <v>#VALUE!</v>
      </c>
      <c r="AD88" s="1286" t="e">
        <f t="shared" si="61"/>
        <v>#VALUE!</v>
      </c>
      <c r="AE88" s="1286">
        <f t="shared" si="62"/>
        <v>0</v>
      </c>
      <c r="AF88" s="1254">
        <f>IF(H88&gt;8,tab!$D$49,tab!$D$52)</f>
        <v>0.5</v>
      </c>
      <c r="AG88" s="1255">
        <f t="shared" si="63"/>
        <v>0</v>
      </c>
      <c r="AH88" s="1251">
        <f t="shared" si="64"/>
        <v>0</v>
      </c>
      <c r="AI88" s="1260"/>
    </row>
    <row r="89" spans="2:40" ht="12.75" customHeight="1" x14ac:dyDescent="0.2">
      <c r="C89" s="126"/>
      <c r="D89" s="396" t="str">
        <f>IF(dir!D67=0,"",dir!D67)</f>
        <v/>
      </c>
      <c r="E89" s="432" t="str">
        <f>IF(dir!E67=0,"",dir!E67)</f>
        <v/>
      </c>
      <c r="F89" s="117" t="str">
        <f>IF(dir!F67="","",dir!F67+1)</f>
        <v/>
      </c>
      <c r="G89" s="397" t="str">
        <f>IF(dir!G67="","",dir!G67)</f>
        <v/>
      </c>
      <c r="H89" s="433" t="str">
        <f t="shared" si="53"/>
        <v/>
      </c>
      <c r="I89" s="398" t="str">
        <f>IF(J89="","",(IF(dir!I67+1&gt;LOOKUP(H89,schaal2013,regels2013),dir!I67,dir!I67+1)))</f>
        <v/>
      </c>
      <c r="J89" s="399" t="str">
        <f>IF(dir!J67="","",dir!J67)</f>
        <v/>
      </c>
      <c r="K89" s="413"/>
      <c r="L89" s="1219">
        <f>IF(dir!L67="","",dir!L67)</f>
        <v>0</v>
      </c>
      <c r="M89" s="1219">
        <f>IF(dir!M67="","",dir!M67)</f>
        <v>0</v>
      </c>
      <c r="N89" s="1209" t="str">
        <f t="shared" si="54"/>
        <v/>
      </c>
      <c r="O89" s="1209"/>
      <c r="P89" s="1283" t="str">
        <f t="shared" si="55"/>
        <v/>
      </c>
      <c r="Q89" s="518"/>
      <c r="R89" s="1076" t="str">
        <f t="shared" si="65"/>
        <v/>
      </c>
      <c r="S89" s="1076" t="str">
        <f t="shared" si="56"/>
        <v/>
      </c>
      <c r="T89" s="1078" t="str">
        <f t="shared" si="57"/>
        <v/>
      </c>
      <c r="U89" s="269"/>
      <c r="V89" s="1261"/>
      <c r="W89" s="1261"/>
      <c r="X89" s="801"/>
      <c r="Y89" s="1253" t="e">
        <f>ROUND(VLOOKUP(H89,tab!$A$61:$V$103,I89+2,FALSE),0)</f>
        <v>#VALUE!</v>
      </c>
      <c r="Z89" s="1252">
        <f>tab!$E$48</f>
        <v>0.62</v>
      </c>
      <c r="AA89" s="1284" t="e">
        <f t="shared" si="58"/>
        <v>#VALUE!</v>
      </c>
      <c r="AB89" s="1284" t="e">
        <f t="shared" si="59"/>
        <v>#VALUE!</v>
      </c>
      <c r="AC89" s="1284" t="e">
        <f t="shared" si="60"/>
        <v>#VALUE!</v>
      </c>
      <c r="AD89" s="1286" t="e">
        <f t="shared" si="61"/>
        <v>#VALUE!</v>
      </c>
      <c r="AE89" s="1286">
        <f t="shared" si="62"/>
        <v>0</v>
      </c>
      <c r="AF89" s="1254">
        <f>IF(H89&gt;8,tab!$D$49,tab!$D$52)</f>
        <v>0.5</v>
      </c>
      <c r="AG89" s="1255">
        <f t="shared" si="63"/>
        <v>0</v>
      </c>
      <c r="AH89" s="1251">
        <f t="shared" si="64"/>
        <v>0</v>
      </c>
      <c r="AI89" s="1260"/>
    </row>
    <row r="90" spans="2:40" ht="12.75" customHeight="1" x14ac:dyDescent="0.2">
      <c r="C90" s="126"/>
      <c r="D90" s="396" t="str">
        <f>IF(dir!D68=0,"",dir!D68)</f>
        <v/>
      </c>
      <c r="E90" s="432" t="str">
        <f>IF(dir!E68=0,"",dir!E68)</f>
        <v/>
      </c>
      <c r="F90" s="117" t="str">
        <f>IF(dir!F68="","",dir!F68+1)</f>
        <v/>
      </c>
      <c r="G90" s="397" t="str">
        <f>IF(dir!G68="","",dir!G68)</f>
        <v/>
      </c>
      <c r="H90" s="433" t="str">
        <f t="shared" si="53"/>
        <v/>
      </c>
      <c r="I90" s="398" t="str">
        <f>IF(J90="","",(IF(dir!I68+1&gt;LOOKUP(H90,schaal2013,regels2013),dir!I68,dir!I68+1)))</f>
        <v/>
      </c>
      <c r="J90" s="399" t="str">
        <f>IF(dir!J68="","",dir!J68)</f>
        <v/>
      </c>
      <c r="K90" s="413"/>
      <c r="L90" s="1219">
        <f>IF(dir!L68="","",dir!L68)</f>
        <v>0</v>
      </c>
      <c r="M90" s="1219">
        <f>IF(dir!M68="","",dir!M68)</f>
        <v>0</v>
      </c>
      <c r="N90" s="1209" t="str">
        <f t="shared" si="54"/>
        <v/>
      </c>
      <c r="O90" s="1209"/>
      <c r="P90" s="1283" t="str">
        <f t="shared" si="55"/>
        <v/>
      </c>
      <c r="Q90" s="518"/>
      <c r="R90" s="1076" t="str">
        <f t="shared" si="65"/>
        <v/>
      </c>
      <c r="S90" s="1076" t="str">
        <f t="shared" si="56"/>
        <v/>
      </c>
      <c r="T90" s="1078" t="str">
        <f t="shared" si="57"/>
        <v/>
      </c>
      <c r="U90" s="269"/>
      <c r="V90" s="1261"/>
      <c r="W90" s="1261"/>
      <c r="X90" s="801"/>
      <c r="Y90" s="1253" t="e">
        <f>ROUND(VLOOKUP(H90,tab!$A$61:$V$103,I90+2,FALSE),0)</f>
        <v>#VALUE!</v>
      </c>
      <c r="Z90" s="1252">
        <f>tab!$E$48</f>
        <v>0.62</v>
      </c>
      <c r="AA90" s="1284" t="e">
        <f t="shared" si="58"/>
        <v>#VALUE!</v>
      </c>
      <c r="AB90" s="1284" t="e">
        <f t="shared" si="59"/>
        <v>#VALUE!</v>
      </c>
      <c r="AC90" s="1284" t="e">
        <f t="shared" si="60"/>
        <v>#VALUE!</v>
      </c>
      <c r="AD90" s="1286" t="e">
        <f t="shared" si="61"/>
        <v>#VALUE!</v>
      </c>
      <c r="AE90" s="1286">
        <f t="shared" si="62"/>
        <v>0</v>
      </c>
      <c r="AF90" s="1254">
        <f>IF(H90&gt;8,tab!$D$49,tab!$D$52)</f>
        <v>0.5</v>
      </c>
      <c r="AG90" s="1255">
        <f t="shared" si="63"/>
        <v>0</v>
      </c>
      <c r="AH90" s="1251">
        <f t="shared" si="64"/>
        <v>0</v>
      </c>
      <c r="AI90" s="1260"/>
    </row>
    <row r="91" spans="2:40" ht="12.75" customHeight="1" x14ac:dyDescent="0.2">
      <c r="C91" s="126"/>
      <c r="D91" s="396" t="str">
        <f>IF(dir!D69=0,"",dir!D69)</f>
        <v/>
      </c>
      <c r="E91" s="432" t="str">
        <f>IF(dir!E69=0,"",dir!E69)</f>
        <v/>
      </c>
      <c r="F91" s="117" t="str">
        <f>IF(dir!F69="","",dir!F69+1)</f>
        <v/>
      </c>
      <c r="G91" s="397" t="str">
        <f>IF(dir!G69="","",dir!G69)</f>
        <v/>
      </c>
      <c r="H91" s="433" t="str">
        <f t="shared" si="53"/>
        <v/>
      </c>
      <c r="I91" s="398" t="str">
        <f>IF(J91="","",(IF(dir!I69+1&gt;LOOKUP(H91,schaal2013,regels2013),dir!I69,dir!I69+1)))</f>
        <v/>
      </c>
      <c r="J91" s="399" t="str">
        <f>IF(dir!J69="","",dir!J69)</f>
        <v/>
      </c>
      <c r="K91" s="413"/>
      <c r="L91" s="1219">
        <f>IF(dir!L69="","",dir!L69)</f>
        <v>0</v>
      </c>
      <c r="M91" s="1219">
        <f>IF(dir!M69="","",dir!M69)</f>
        <v>0</v>
      </c>
      <c r="N91" s="1209" t="str">
        <f t="shared" si="54"/>
        <v/>
      </c>
      <c r="O91" s="1209"/>
      <c r="P91" s="1283" t="str">
        <f t="shared" si="55"/>
        <v/>
      </c>
      <c r="Q91" s="518"/>
      <c r="R91" s="1076" t="str">
        <f t="shared" si="65"/>
        <v/>
      </c>
      <c r="S91" s="1076" t="str">
        <f t="shared" si="56"/>
        <v/>
      </c>
      <c r="T91" s="1078" t="str">
        <f t="shared" si="57"/>
        <v/>
      </c>
      <c r="U91" s="269"/>
      <c r="V91" s="1261"/>
      <c r="W91" s="1261"/>
      <c r="X91" s="801"/>
      <c r="Y91" s="1253" t="e">
        <f>ROUND(VLOOKUP(H91,tab!$A$61:$V$103,I91+2,FALSE),0)</f>
        <v>#VALUE!</v>
      </c>
      <c r="Z91" s="1252">
        <f>tab!$E$48</f>
        <v>0.62</v>
      </c>
      <c r="AA91" s="1284" t="e">
        <f t="shared" si="58"/>
        <v>#VALUE!</v>
      </c>
      <c r="AB91" s="1284" t="e">
        <f t="shared" si="59"/>
        <v>#VALUE!</v>
      </c>
      <c r="AC91" s="1284" t="e">
        <f t="shared" si="60"/>
        <v>#VALUE!</v>
      </c>
      <c r="AD91" s="1286" t="e">
        <f t="shared" si="61"/>
        <v>#VALUE!</v>
      </c>
      <c r="AE91" s="1286">
        <f t="shared" si="62"/>
        <v>0</v>
      </c>
      <c r="AF91" s="1254">
        <f>IF(H91&gt;8,tab!$D$49,tab!$D$52)</f>
        <v>0.5</v>
      </c>
      <c r="AG91" s="1255">
        <f t="shared" si="63"/>
        <v>0</v>
      </c>
      <c r="AH91" s="1251">
        <f t="shared" si="64"/>
        <v>0</v>
      </c>
      <c r="AI91" s="1260"/>
    </row>
    <row r="92" spans="2:40" ht="12.75" customHeight="1" x14ac:dyDescent="0.2">
      <c r="C92" s="126"/>
      <c r="D92" s="396" t="str">
        <f>IF(dir!D70=0,"",dir!D70)</f>
        <v/>
      </c>
      <c r="E92" s="432" t="str">
        <f>IF(dir!E70=0,"",dir!E70)</f>
        <v/>
      </c>
      <c r="F92" s="117" t="str">
        <f>IF(dir!F70="","",dir!F70+1)</f>
        <v/>
      </c>
      <c r="G92" s="397" t="str">
        <f>IF(dir!G70="","",dir!G70)</f>
        <v/>
      </c>
      <c r="H92" s="433" t="str">
        <f t="shared" si="53"/>
        <v/>
      </c>
      <c r="I92" s="398" t="str">
        <f>IF(J92="","",(IF(dir!I70+1&gt;LOOKUP(H92,schaal2013,regels2013),dir!I70,dir!I70+1)))</f>
        <v/>
      </c>
      <c r="J92" s="399" t="str">
        <f>IF(dir!J70="","",dir!J70)</f>
        <v/>
      </c>
      <c r="K92" s="413"/>
      <c r="L92" s="1219">
        <f>IF(dir!L70="","",dir!L70)</f>
        <v>0</v>
      </c>
      <c r="M92" s="1219">
        <f>IF(dir!M70="","",dir!M70)</f>
        <v>0</v>
      </c>
      <c r="N92" s="1209" t="str">
        <f t="shared" si="54"/>
        <v/>
      </c>
      <c r="O92" s="1209"/>
      <c r="P92" s="1283" t="str">
        <f t="shared" si="55"/>
        <v/>
      </c>
      <c r="Q92" s="518"/>
      <c r="R92" s="1076" t="str">
        <f t="shared" si="65"/>
        <v/>
      </c>
      <c r="S92" s="1076" t="str">
        <f t="shared" si="56"/>
        <v/>
      </c>
      <c r="T92" s="1078" t="str">
        <f t="shared" si="57"/>
        <v/>
      </c>
      <c r="U92" s="269"/>
      <c r="V92" s="1261"/>
      <c r="W92" s="1261"/>
      <c r="X92" s="801"/>
      <c r="Y92" s="1253" t="e">
        <f>ROUND(VLOOKUP(H92,tab!$A$61:$V$103,I92+2,FALSE),0)</f>
        <v>#VALUE!</v>
      </c>
      <c r="Z92" s="1252">
        <f>tab!$E$48</f>
        <v>0.62</v>
      </c>
      <c r="AA92" s="1284" t="e">
        <f t="shared" si="58"/>
        <v>#VALUE!</v>
      </c>
      <c r="AB92" s="1284" t="e">
        <f t="shared" si="59"/>
        <v>#VALUE!</v>
      </c>
      <c r="AC92" s="1284" t="e">
        <f t="shared" si="60"/>
        <v>#VALUE!</v>
      </c>
      <c r="AD92" s="1286" t="e">
        <f t="shared" si="61"/>
        <v>#VALUE!</v>
      </c>
      <c r="AE92" s="1286">
        <f t="shared" si="62"/>
        <v>0</v>
      </c>
      <c r="AF92" s="1254">
        <f>IF(H92&gt;8,tab!$D$49,tab!$D$52)</f>
        <v>0.5</v>
      </c>
      <c r="AG92" s="1255">
        <f t="shared" si="63"/>
        <v>0</v>
      </c>
      <c r="AH92" s="1251">
        <f t="shared" si="64"/>
        <v>0</v>
      </c>
      <c r="AI92" s="1260"/>
    </row>
    <row r="93" spans="2:40" ht="12.75" customHeight="1" x14ac:dyDescent="0.2">
      <c r="C93" s="126"/>
      <c r="D93" s="188"/>
      <c r="E93" s="240"/>
      <c r="F93" s="415"/>
      <c r="G93" s="416"/>
      <c r="H93" s="128"/>
      <c r="I93" s="128"/>
      <c r="J93" s="1072">
        <f>SUM(J83:J92)</f>
        <v>1</v>
      </c>
      <c r="K93" s="415"/>
      <c r="L93" s="1197">
        <f t="shared" ref="L93:P93" si="66">SUM(L83:L92)</f>
        <v>130</v>
      </c>
      <c r="M93" s="1197">
        <f t="shared" si="66"/>
        <v>170</v>
      </c>
      <c r="N93" s="1197">
        <f>SUM(N83:N92)</f>
        <v>40</v>
      </c>
      <c r="O93" s="1197"/>
      <c r="P93" s="1197">
        <f t="shared" si="66"/>
        <v>340</v>
      </c>
      <c r="Q93" s="415"/>
      <c r="R93" s="1073">
        <f t="shared" ref="R93:T93" si="67">SUM(R83:R92)</f>
        <v>53554.739240506337</v>
      </c>
      <c r="S93" s="1074">
        <f t="shared" si="67"/>
        <v>10045.367088607598</v>
      </c>
      <c r="T93" s="1073">
        <f t="shared" si="67"/>
        <v>63600.106329113936</v>
      </c>
      <c r="U93" s="414"/>
      <c r="V93" s="1221"/>
      <c r="W93" s="1221"/>
      <c r="Y93" s="1256"/>
      <c r="Z93" s="1288"/>
      <c r="AA93" s="1256"/>
      <c r="AB93" s="1256"/>
      <c r="AC93" s="1256"/>
      <c r="AG93" s="1257"/>
      <c r="AH93" s="1258"/>
      <c r="AI93" s="1260"/>
    </row>
    <row r="94" spans="2:40" ht="12.75" customHeight="1" x14ac:dyDescent="0.2">
      <c r="C94" s="191"/>
      <c r="D94" s="417"/>
      <c r="E94" s="287"/>
      <c r="F94" s="192"/>
      <c r="G94" s="418"/>
      <c r="H94" s="192"/>
      <c r="I94" s="419"/>
      <c r="J94" s="420"/>
      <c r="K94" s="287"/>
      <c r="L94" s="419"/>
      <c r="M94" s="419"/>
      <c r="N94" s="419"/>
      <c r="O94" s="419"/>
      <c r="P94" s="419"/>
      <c r="Q94" s="287"/>
      <c r="R94" s="438"/>
      <c r="S94" s="422"/>
      <c r="T94" s="883"/>
      <c r="U94" s="423"/>
      <c r="V94" s="1221"/>
      <c r="W94" s="1221"/>
      <c r="Y94" s="1237"/>
      <c r="Z94" s="1288"/>
      <c r="AA94" s="1256"/>
      <c r="AB94" s="1256"/>
      <c r="AC94" s="1256"/>
      <c r="AG94" s="1257"/>
      <c r="AH94" s="1258"/>
      <c r="AI94" s="1260"/>
    </row>
    <row r="95" spans="2:40" ht="12.75" customHeight="1" x14ac:dyDescent="0.2">
      <c r="H95" s="22"/>
      <c r="J95" s="333"/>
      <c r="R95" s="441"/>
      <c r="S95" s="175"/>
      <c r="T95" s="885"/>
      <c r="V95" s="1221"/>
      <c r="W95" s="1221"/>
      <c r="Y95" s="1253"/>
      <c r="Z95" s="1261"/>
      <c r="AA95" s="1261"/>
      <c r="AB95" s="1261"/>
      <c r="AC95" s="1261"/>
      <c r="AG95" s="1255"/>
      <c r="AH95" s="1251"/>
    </row>
    <row r="96" spans="2:40" ht="12.75" customHeight="1" x14ac:dyDescent="0.2">
      <c r="H96" s="22"/>
      <c r="J96" s="333"/>
      <c r="R96" s="441"/>
      <c r="S96" s="175"/>
      <c r="T96" s="885"/>
      <c r="V96" s="1221"/>
      <c r="W96" s="1221"/>
      <c r="Y96" s="1253"/>
      <c r="Z96" s="1261"/>
      <c r="AA96" s="1261"/>
      <c r="AB96" s="1261"/>
      <c r="AC96" s="1261"/>
      <c r="AG96" s="1255"/>
      <c r="AH96" s="1251"/>
    </row>
    <row r="97" spans="2:40" ht="12.75" customHeight="1" x14ac:dyDescent="0.2">
      <c r="C97" s="14" t="s">
        <v>200</v>
      </c>
      <c r="E97" s="272" t="str">
        <f>tab!H2</f>
        <v>2019/20</v>
      </c>
      <c r="H97" s="22"/>
      <c r="J97" s="333"/>
      <c r="R97" s="441"/>
      <c r="S97" s="175"/>
      <c r="T97" s="885"/>
      <c r="V97" s="1221"/>
      <c r="W97" s="1221"/>
      <c r="Y97" s="1253"/>
      <c r="Z97" s="1261"/>
      <c r="AA97" s="1261"/>
      <c r="AB97" s="1261"/>
      <c r="AC97" s="1261"/>
      <c r="AG97" s="1255"/>
      <c r="AH97" s="1251"/>
    </row>
    <row r="98" spans="2:40" ht="12.75" customHeight="1" x14ac:dyDescent="0.2">
      <c r="C98" s="21" t="s">
        <v>213</v>
      </c>
      <c r="E98" s="330">
        <f>tab!I3</f>
        <v>43739</v>
      </c>
      <c r="H98" s="22"/>
      <c r="J98" s="333"/>
      <c r="R98" s="441"/>
      <c r="S98" s="175"/>
      <c r="T98" s="885"/>
      <c r="V98" s="1221"/>
      <c r="W98" s="1221"/>
      <c r="Y98" s="1253"/>
      <c r="Z98" s="1261"/>
      <c r="AA98" s="1261"/>
      <c r="AB98" s="1261"/>
      <c r="AC98" s="1261"/>
      <c r="AG98" s="1255"/>
      <c r="AH98" s="1251"/>
    </row>
    <row r="99" spans="2:40" ht="12.75" customHeight="1" x14ac:dyDescent="0.2">
      <c r="H99" s="22"/>
      <c r="J99" s="333"/>
      <c r="R99" s="441"/>
      <c r="S99" s="175"/>
      <c r="T99" s="885"/>
      <c r="V99" s="1221"/>
      <c r="W99" s="1221"/>
      <c r="Y99" s="1253"/>
      <c r="Z99" s="1261"/>
      <c r="AA99" s="1261"/>
      <c r="AB99" s="1261"/>
      <c r="AC99" s="1261"/>
      <c r="AG99" s="1255"/>
      <c r="AH99" s="1251"/>
    </row>
    <row r="100" spans="2:40" ht="12.75" customHeight="1" x14ac:dyDescent="0.2">
      <c r="C100" s="184"/>
      <c r="D100" s="400"/>
      <c r="E100" s="401"/>
      <c r="F100" s="185"/>
      <c r="G100" s="403"/>
      <c r="H100" s="404"/>
      <c r="I100" s="404"/>
      <c r="J100" s="405"/>
      <c r="K100" s="120"/>
      <c r="L100" s="404"/>
      <c r="M100" s="404"/>
      <c r="N100" s="404"/>
      <c r="O100" s="404"/>
      <c r="P100" s="404"/>
      <c r="Q100" s="120"/>
      <c r="R100" s="437"/>
      <c r="S100" s="406"/>
      <c r="T100" s="881"/>
      <c r="U100" s="121"/>
      <c r="V100" s="1221"/>
      <c r="W100" s="1221"/>
      <c r="AE100" s="1235"/>
      <c r="AF100" s="1236"/>
      <c r="AI100" s="1237"/>
      <c r="AJ100" s="1238"/>
      <c r="AK100" s="324"/>
      <c r="AL100" s="24"/>
    </row>
    <row r="101" spans="2:40" s="269" customFormat="1" ht="12.75" customHeight="1" x14ac:dyDescent="0.2">
      <c r="B101" s="14"/>
      <c r="C101" s="425"/>
      <c r="D101" s="1191" t="s">
        <v>306</v>
      </c>
      <c r="E101" s="1191"/>
      <c r="F101" s="1191"/>
      <c r="G101" s="1191"/>
      <c r="H101" s="1191"/>
      <c r="I101" s="1191"/>
      <c r="J101" s="1191"/>
      <c r="K101" s="1191"/>
      <c r="L101" s="1191" t="s">
        <v>553</v>
      </c>
      <c r="M101" s="1193"/>
      <c r="N101" s="1191"/>
      <c r="O101" s="1191"/>
      <c r="P101" s="1291"/>
      <c r="Q101" s="1055"/>
      <c r="R101" s="1191" t="s">
        <v>554</v>
      </c>
      <c r="S101" s="1194"/>
      <c r="T101" s="1292"/>
      <c r="U101" s="1293"/>
      <c r="V101" s="1222"/>
      <c r="W101" s="1222"/>
      <c r="X101" s="427"/>
      <c r="Y101" s="1221"/>
      <c r="Z101" s="1294"/>
      <c r="AA101" s="1221"/>
      <c r="AB101" s="1221"/>
      <c r="AC101" s="1221"/>
      <c r="AD101" s="1295"/>
      <c r="AE101" s="1295"/>
      <c r="AF101" s="1224"/>
      <c r="AG101" s="1248"/>
      <c r="AH101" s="1249"/>
      <c r="AI101" s="1224"/>
      <c r="AJ101" s="1224"/>
      <c r="AM101" s="427"/>
      <c r="AN101" s="427"/>
    </row>
    <row r="102" spans="2:40" s="269" customFormat="1" ht="12.75" customHeight="1" x14ac:dyDescent="0.2">
      <c r="B102" s="14"/>
      <c r="C102" s="425"/>
      <c r="D102" s="1056" t="s">
        <v>545</v>
      </c>
      <c r="E102" s="1030" t="s">
        <v>201</v>
      </c>
      <c r="F102" s="1057" t="s">
        <v>151</v>
      </c>
      <c r="G102" s="1058" t="s">
        <v>295</v>
      </c>
      <c r="H102" s="1057" t="s">
        <v>226</v>
      </c>
      <c r="I102" s="1057" t="s">
        <v>247</v>
      </c>
      <c r="J102" s="1059" t="s">
        <v>207</v>
      </c>
      <c r="K102" s="1034"/>
      <c r="L102" s="1060" t="s">
        <v>530</v>
      </c>
      <c r="M102" s="1060" t="s">
        <v>531</v>
      </c>
      <c r="N102" s="1060" t="s">
        <v>529</v>
      </c>
      <c r="O102" s="1060" t="s">
        <v>530</v>
      </c>
      <c r="P102" s="1296" t="s">
        <v>555</v>
      </c>
      <c r="Q102" s="1034"/>
      <c r="R102" s="1195" t="s">
        <v>212</v>
      </c>
      <c r="S102" s="1062" t="s">
        <v>556</v>
      </c>
      <c r="T102" s="1063" t="s">
        <v>212</v>
      </c>
      <c r="U102" s="1297"/>
      <c r="V102" s="1259"/>
      <c r="W102" s="1259"/>
      <c r="X102" s="430"/>
      <c r="Y102" s="1068" t="s">
        <v>325</v>
      </c>
      <c r="Z102" s="1285" t="s">
        <v>548</v>
      </c>
      <c r="AA102" s="1259" t="s">
        <v>549</v>
      </c>
      <c r="AB102" s="1259" t="s">
        <v>549</v>
      </c>
      <c r="AC102" s="1259" t="s">
        <v>546</v>
      </c>
      <c r="AD102" s="1206" t="s">
        <v>539</v>
      </c>
      <c r="AE102" s="1206" t="s">
        <v>540</v>
      </c>
      <c r="AF102" s="1069" t="s">
        <v>541</v>
      </c>
      <c r="AG102" s="1250" t="s">
        <v>319</v>
      </c>
      <c r="AH102" s="1249" t="s">
        <v>459</v>
      </c>
      <c r="AI102" s="1224"/>
      <c r="AJ102" s="1224"/>
      <c r="AM102" s="427"/>
      <c r="AN102" s="430"/>
    </row>
    <row r="103" spans="2:40" s="336" customFormat="1" ht="12.75" customHeight="1" x14ac:dyDescent="0.2">
      <c r="C103" s="425"/>
      <c r="D103" s="1064"/>
      <c r="E103" s="1030"/>
      <c r="F103" s="1057" t="s">
        <v>152</v>
      </c>
      <c r="G103" s="1058" t="s">
        <v>296</v>
      </c>
      <c r="H103" s="1057"/>
      <c r="I103" s="1057"/>
      <c r="J103" s="1059" t="s">
        <v>298</v>
      </c>
      <c r="K103" s="1034"/>
      <c r="L103" s="1060" t="s">
        <v>533</v>
      </c>
      <c r="M103" s="1060" t="s">
        <v>534</v>
      </c>
      <c r="N103" s="1060" t="s">
        <v>532</v>
      </c>
      <c r="O103" s="1060" t="s">
        <v>544</v>
      </c>
      <c r="P103" s="1296" t="s">
        <v>291</v>
      </c>
      <c r="Q103" s="1034"/>
      <c r="R103" s="1061" t="s">
        <v>557</v>
      </c>
      <c r="S103" s="1062" t="s">
        <v>535</v>
      </c>
      <c r="T103" s="1063" t="s">
        <v>291</v>
      </c>
      <c r="U103" s="1040"/>
      <c r="V103" s="1221"/>
      <c r="W103" s="1221"/>
      <c r="X103" s="144"/>
      <c r="Y103" s="1068" t="s">
        <v>217</v>
      </c>
      <c r="Z103" s="1287">
        <f>tab!$E$48</f>
        <v>0.62</v>
      </c>
      <c r="AA103" s="1259" t="s">
        <v>550</v>
      </c>
      <c r="AB103" s="1259" t="s">
        <v>551</v>
      </c>
      <c r="AC103" s="1259" t="s">
        <v>552</v>
      </c>
      <c r="AD103" s="1206" t="s">
        <v>542</v>
      </c>
      <c r="AE103" s="1206" t="s">
        <v>542</v>
      </c>
      <c r="AF103" s="1069" t="s">
        <v>543</v>
      </c>
      <c r="AG103" s="1250"/>
      <c r="AH103" s="1251" t="s">
        <v>246</v>
      </c>
      <c r="AI103" s="1221"/>
      <c r="AJ103" s="1221"/>
      <c r="AN103" s="337"/>
    </row>
    <row r="104" spans="2:40" ht="12.75" customHeight="1" x14ac:dyDescent="0.2">
      <c r="C104" s="126"/>
      <c r="D104" s="410"/>
      <c r="E104" s="410"/>
      <c r="F104" s="410"/>
      <c r="G104" s="410"/>
      <c r="H104" s="410"/>
      <c r="I104" s="410"/>
      <c r="J104" s="410"/>
      <c r="K104" s="408"/>
      <c r="L104" s="410"/>
      <c r="M104" s="410"/>
      <c r="N104" s="410"/>
      <c r="O104" s="410"/>
      <c r="P104" s="410"/>
      <c r="Q104" s="408"/>
      <c r="R104" s="876"/>
      <c r="S104" s="411"/>
      <c r="T104" s="882"/>
      <c r="U104" s="125"/>
      <c r="V104" s="1221"/>
      <c r="W104" s="1221"/>
      <c r="Y104" s="1068"/>
      <c r="Z104" s="1252"/>
      <c r="AA104" s="1252"/>
      <c r="AB104" s="1252"/>
      <c r="AC104" s="1252"/>
      <c r="AE104" s="1221"/>
      <c r="AF104" s="1221"/>
      <c r="AG104" s="1250"/>
      <c r="AH104" s="1251"/>
      <c r="AK104" s="14"/>
      <c r="AL104" s="14"/>
      <c r="AN104" s="332"/>
    </row>
    <row r="105" spans="2:40" ht="12.75" customHeight="1" x14ac:dyDescent="0.2">
      <c r="C105" s="126"/>
      <c r="D105" s="396" t="str">
        <f>IF(dir!D83=0,"",dir!D83)</f>
        <v/>
      </c>
      <c r="E105" s="432" t="str">
        <f>IF(dir!E83=0,"-",dir!E83)</f>
        <v>nn</v>
      </c>
      <c r="F105" s="117" t="str">
        <f>IF(dir!F83="","",dir!F83+1)</f>
        <v/>
      </c>
      <c r="G105" s="397" t="str">
        <f>IF(dir!G83="","",dir!G83)</f>
        <v/>
      </c>
      <c r="H105" s="433" t="str">
        <f t="shared" ref="H105:H114" si="68">IF(H83=0,"",H83)</f>
        <v>DB</v>
      </c>
      <c r="I105" s="398">
        <f>IF(J105="","",(IF(dir!I83+1&gt;LOOKUP(H105,schaal2013,regels2013),dir!I83,dir!I83+1)))</f>
        <v>7</v>
      </c>
      <c r="J105" s="399">
        <f>IF(dir!J83="","",dir!J83)</f>
        <v>1</v>
      </c>
      <c r="K105" s="413"/>
      <c r="L105" s="1219">
        <f>IF(dir!L83="","",dir!L83)</f>
        <v>130</v>
      </c>
      <c r="M105" s="1219">
        <f>IF(dir!M83="","",dir!M83)</f>
        <v>170</v>
      </c>
      <c r="N105" s="1209">
        <f t="shared" ref="N105:N114" si="69">IF(J105="","",IF((J105*40)&gt;40,40,((J105*40))))</f>
        <v>40</v>
      </c>
      <c r="O105" s="1209"/>
      <c r="P105" s="1283">
        <f t="shared" ref="P105:P114" si="70">IF(J105="","",(SUM(L105:O105)))</f>
        <v>340</v>
      </c>
      <c r="Q105" s="518"/>
      <c r="R105" s="1076">
        <f>IF(J105="","",(((1659*J105)-P105)*AB105))</f>
        <v>55162.154213381553</v>
      </c>
      <c r="S105" s="1076">
        <f t="shared" ref="S105:S114" si="71">IF(J105="","",(P105*AC105)+(AA105*AD105)+((AE105*AA105*(1-AF105))))</f>
        <v>10346.873056057866</v>
      </c>
      <c r="T105" s="1078">
        <f t="shared" ref="T105:T114" si="72">IF(J105="","",(R105+S105))</f>
        <v>65509.027269439423</v>
      </c>
      <c r="U105" s="269"/>
      <c r="V105" s="1261"/>
      <c r="W105" s="1261"/>
      <c r="X105" s="801"/>
      <c r="Y105" s="1253">
        <f>ROUND(VLOOKUP(H105,tab!$A$61:$V$103,I105+2,FALSE),0)</f>
        <v>3569</v>
      </c>
      <c r="Z105" s="1252">
        <f>tab!$E$48</f>
        <v>0.62</v>
      </c>
      <c r="AA105" s="1284">
        <f t="shared" ref="AA105:AA114" si="73">(Y105*12/1659)</f>
        <v>25.815551537070526</v>
      </c>
      <c r="AB105" s="1284">
        <f t="shared" ref="AB105:AB114" si="74">(Y105*12*(1+Z105))/1659</f>
        <v>41.821193490054249</v>
      </c>
      <c r="AC105" s="1284">
        <f t="shared" ref="AC105:AC114" si="75">AB105-AA105</f>
        <v>16.005641952983723</v>
      </c>
      <c r="AD105" s="1286">
        <f t="shared" ref="AD105:AD114" si="76">(N105+O105)</f>
        <v>40</v>
      </c>
      <c r="AE105" s="1286">
        <f t="shared" ref="AE105:AE114" si="77">(L105+M105)</f>
        <v>300</v>
      </c>
      <c r="AF105" s="1254">
        <f>IF(H105&gt;8,tab!$D$49,tab!$D$52)</f>
        <v>0.5</v>
      </c>
      <c r="AG105" s="1255">
        <f t="shared" ref="AG105:AG114" si="78">IF(F105&lt;25,0,IF(F105=25,25,IF(F105&lt;40,0,IF(F105=40,40,IF(F105&gt;=40,0)))))</f>
        <v>0</v>
      </c>
      <c r="AH105" s="1251">
        <f t="shared" ref="AH105:AH114" si="79">IF(AG105=25,(Y105*1.08*(J105)/2),IF(AG105=40,(Y105*1.08*(J105)),IF(AG105=0,0)))</f>
        <v>0</v>
      </c>
      <c r="AI105" s="1260"/>
    </row>
    <row r="106" spans="2:40" ht="12.75" customHeight="1" x14ac:dyDescent="0.2">
      <c r="C106" s="126"/>
      <c r="D106" s="396" t="str">
        <f>IF(dir!D84=0,"",dir!D84)</f>
        <v/>
      </c>
      <c r="E106" s="432" t="str">
        <f>IF(dir!E84=0,"-",dir!E84)</f>
        <v/>
      </c>
      <c r="F106" s="117" t="str">
        <f>IF(dir!F84="","",dir!F84+1)</f>
        <v/>
      </c>
      <c r="G106" s="397" t="str">
        <f>IF(dir!G84="","",dir!G84)</f>
        <v/>
      </c>
      <c r="H106" s="433" t="str">
        <f t="shared" si="68"/>
        <v/>
      </c>
      <c r="I106" s="398" t="str">
        <f>IF(J106="","",(IF(dir!I84+1&gt;LOOKUP(H106,schaal2013,regels2013),dir!I84,dir!I84+1)))</f>
        <v/>
      </c>
      <c r="J106" s="399" t="str">
        <f>IF(dir!J84="","",dir!J84)</f>
        <v/>
      </c>
      <c r="K106" s="413"/>
      <c r="L106" s="1219">
        <f>IF(dir!L84="","",dir!L84)</f>
        <v>0</v>
      </c>
      <c r="M106" s="1219">
        <f>IF(dir!M84="","",dir!M84)</f>
        <v>0</v>
      </c>
      <c r="N106" s="1209" t="str">
        <f t="shared" si="69"/>
        <v/>
      </c>
      <c r="O106" s="1209"/>
      <c r="P106" s="1283" t="str">
        <f t="shared" si="70"/>
        <v/>
      </c>
      <c r="Q106" s="518"/>
      <c r="R106" s="1076" t="str">
        <f t="shared" ref="R106:R114" si="80">IF(J106="","",(((1659*J106)-P106)*AB106))</f>
        <v/>
      </c>
      <c r="S106" s="1076" t="str">
        <f t="shared" si="71"/>
        <v/>
      </c>
      <c r="T106" s="1078" t="str">
        <f t="shared" si="72"/>
        <v/>
      </c>
      <c r="U106" s="269"/>
      <c r="V106" s="1261"/>
      <c r="W106" s="1261"/>
      <c r="X106" s="801"/>
      <c r="Y106" s="1253" t="e">
        <f>ROUND(VLOOKUP(H106,tab!$A$61:$V$103,I106+2,FALSE),0)</f>
        <v>#VALUE!</v>
      </c>
      <c r="Z106" s="1252">
        <f>tab!$E$48</f>
        <v>0.62</v>
      </c>
      <c r="AA106" s="1284" t="e">
        <f t="shared" si="73"/>
        <v>#VALUE!</v>
      </c>
      <c r="AB106" s="1284" t="e">
        <f t="shared" si="74"/>
        <v>#VALUE!</v>
      </c>
      <c r="AC106" s="1284" t="e">
        <f t="shared" si="75"/>
        <v>#VALUE!</v>
      </c>
      <c r="AD106" s="1286" t="e">
        <f t="shared" si="76"/>
        <v>#VALUE!</v>
      </c>
      <c r="AE106" s="1286">
        <f t="shared" si="77"/>
        <v>0</v>
      </c>
      <c r="AF106" s="1254">
        <f>IF(H106&gt;8,tab!$D$49,tab!$D$52)</f>
        <v>0.5</v>
      </c>
      <c r="AG106" s="1255">
        <f t="shared" si="78"/>
        <v>0</v>
      </c>
      <c r="AH106" s="1251">
        <f t="shared" si="79"/>
        <v>0</v>
      </c>
      <c r="AI106" s="1260"/>
    </row>
    <row r="107" spans="2:40" ht="12.75" customHeight="1" x14ac:dyDescent="0.2">
      <c r="C107" s="126"/>
      <c r="D107" s="396" t="str">
        <f>IF(dir!D85=0,"",dir!D85)</f>
        <v/>
      </c>
      <c r="E107" s="432" t="str">
        <f>IF(dir!E85=0,"-",dir!E85)</f>
        <v/>
      </c>
      <c r="F107" s="117" t="str">
        <f>IF(dir!F85="","",dir!F85+1)</f>
        <v/>
      </c>
      <c r="G107" s="397" t="str">
        <f>IF(dir!G85="","",dir!G85)</f>
        <v/>
      </c>
      <c r="H107" s="433" t="str">
        <f t="shared" si="68"/>
        <v/>
      </c>
      <c r="I107" s="398" t="str">
        <f>IF(J107="","",(IF(dir!I85+1&gt;LOOKUP(H107,schaal2013,regels2013),dir!I85,dir!I85+1)))</f>
        <v/>
      </c>
      <c r="J107" s="399" t="str">
        <f>IF(dir!J85="","",dir!J85)</f>
        <v/>
      </c>
      <c r="K107" s="413"/>
      <c r="L107" s="1219">
        <f>IF(dir!L85="","",dir!L85)</f>
        <v>0</v>
      </c>
      <c r="M107" s="1219">
        <f>IF(dir!M85="","",dir!M85)</f>
        <v>0</v>
      </c>
      <c r="N107" s="1209" t="str">
        <f t="shared" si="69"/>
        <v/>
      </c>
      <c r="O107" s="1209"/>
      <c r="P107" s="1283" t="str">
        <f t="shared" si="70"/>
        <v/>
      </c>
      <c r="Q107" s="518"/>
      <c r="R107" s="1076" t="str">
        <f t="shared" si="80"/>
        <v/>
      </c>
      <c r="S107" s="1076" t="str">
        <f t="shared" si="71"/>
        <v/>
      </c>
      <c r="T107" s="1078" t="str">
        <f t="shared" si="72"/>
        <v/>
      </c>
      <c r="U107" s="269"/>
      <c r="V107" s="1261"/>
      <c r="W107" s="1261"/>
      <c r="X107" s="801"/>
      <c r="Y107" s="1253" t="e">
        <f>ROUND(VLOOKUP(H107,tab!$A$61:$V$103,I107+2,FALSE),0)</f>
        <v>#VALUE!</v>
      </c>
      <c r="Z107" s="1252">
        <f>tab!$E$48</f>
        <v>0.62</v>
      </c>
      <c r="AA107" s="1284" t="e">
        <f t="shared" si="73"/>
        <v>#VALUE!</v>
      </c>
      <c r="AB107" s="1284" t="e">
        <f t="shared" si="74"/>
        <v>#VALUE!</v>
      </c>
      <c r="AC107" s="1284" t="e">
        <f t="shared" si="75"/>
        <v>#VALUE!</v>
      </c>
      <c r="AD107" s="1286" t="e">
        <f t="shared" si="76"/>
        <v>#VALUE!</v>
      </c>
      <c r="AE107" s="1286">
        <f t="shared" si="77"/>
        <v>0</v>
      </c>
      <c r="AF107" s="1254">
        <f>IF(H107&gt;8,tab!$D$49,tab!$D$52)</f>
        <v>0.5</v>
      </c>
      <c r="AG107" s="1255">
        <f t="shared" si="78"/>
        <v>0</v>
      </c>
      <c r="AH107" s="1251">
        <f t="shared" si="79"/>
        <v>0</v>
      </c>
      <c r="AI107" s="1260"/>
    </row>
    <row r="108" spans="2:40" ht="12.75" customHeight="1" x14ac:dyDescent="0.2">
      <c r="C108" s="126"/>
      <c r="D108" s="396" t="str">
        <f>IF(dir!D86=0,"",dir!D86)</f>
        <v/>
      </c>
      <c r="E108" s="432" t="str">
        <f>IF(dir!E86=0,"-",dir!E86)</f>
        <v/>
      </c>
      <c r="F108" s="117" t="str">
        <f>IF(dir!F86="","",dir!F86+1)</f>
        <v/>
      </c>
      <c r="G108" s="397" t="str">
        <f>IF(dir!G86="","",dir!G86)</f>
        <v/>
      </c>
      <c r="H108" s="433" t="str">
        <f t="shared" si="68"/>
        <v/>
      </c>
      <c r="I108" s="398" t="str">
        <f>IF(J108="","",(IF(dir!I86+1&gt;LOOKUP(H108,schaal2013,regels2013),dir!I86,dir!I86+1)))</f>
        <v/>
      </c>
      <c r="J108" s="399" t="str">
        <f>IF(dir!J86="","",dir!J86)</f>
        <v/>
      </c>
      <c r="K108" s="413"/>
      <c r="L108" s="1219">
        <f>IF(dir!L86="","",dir!L86)</f>
        <v>0</v>
      </c>
      <c r="M108" s="1219">
        <f>IF(dir!M86="","",dir!M86)</f>
        <v>0</v>
      </c>
      <c r="N108" s="1209" t="str">
        <f t="shared" si="69"/>
        <v/>
      </c>
      <c r="O108" s="1209"/>
      <c r="P108" s="1283" t="str">
        <f t="shared" si="70"/>
        <v/>
      </c>
      <c r="Q108" s="518"/>
      <c r="R108" s="1076" t="str">
        <f t="shared" si="80"/>
        <v/>
      </c>
      <c r="S108" s="1076" t="str">
        <f t="shared" si="71"/>
        <v/>
      </c>
      <c r="T108" s="1078" t="str">
        <f t="shared" si="72"/>
        <v/>
      </c>
      <c r="U108" s="269"/>
      <c r="V108" s="1261"/>
      <c r="W108" s="1261"/>
      <c r="X108" s="801"/>
      <c r="Y108" s="1253" t="e">
        <f>ROUND(VLOOKUP(H108,tab!$A$61:$V$103,I108+2,FALSE),0)</f>
        <v>#VALUE!</v>
      </c>
      <c r="Z108" s="1252">
        <f>tab!$E$48</f>
        <v>0.62</v>
      </c>
      <c r="AA108" s="1284" t="e">
        <f t="shared" si="73"/>
        <v>#VALUE!</v>
      </c>
      <c r="AB108" s="1284" t="e">
        <f t="shared" si="74"/>
        <v>#VALUE!</v>
      </c>
      <c r="AC108" s="1284" t="e">
        <f t="shared" si="75"/>
        <v>#VALUE!</v>
      </c>
      <c r="AD108" s="1286" t="e">
        <f t="shared" si="76"/>
        <v>#VALUE!</v>
      </c>
      <c r="AE108" s="1286">
        <f t="shared" si="77"/>
        <v>0</v>
      </c>
      <c r="AF108" s="1254">
        <f>IF(H108&gt;8,tab!$D$49,tab!$D$52)</f>
        <v>0.5</v>
      </c>
      <c r="AG108" s="1255">
        <f t="shared" si="78"/>
        <v>0</v>
      </c>
      <c r="AH108" s="1251">
        <f t="shared" si="79"/>
        <v>0</v>
      </c>
      <c r="AI108" s="1260"/>
    </row>
    <row r="109" spans="2:40" ht="12.75" customHeight="1" x14ac:dyDescent="0.2">
      <c r="C109" s="126"/>
      <c r="D109" s="396" t="str">
        <f>IF(dir!D87=0,"",dir!D87)</f>
        <v/>
      </c>
      <c r="E109" s="432" t="str">
        <f>IF(dir!E87=0,"-",dir!E87)</f>
        <v/>
      </c>
      <c r="F109" s="117" t="str">
        <f>IF(dir!F87="","",dir!F87+1)</f>
        <v/>
      </c>
      <c r="G109" s="397" t="str">
        <f>IF(dir!G87="","",dir!G87)</f>
        <v/>
      </c>
      <c r="H109" s="433" t="str">
        <f t="shared" si="68"/>
        <v/>
      </c>
      <c r="I109" s="398" t="str">
        <f>IF(J109="","",(IF(dir!I87+1&gt;LOOKUP(H109,schaal2013,regels2013),dir!I87,dir!I87+1)))</f>
        <v/>
      </c>
      <c r="J109" s="399" t="str">
        <f>IF(dir!J87="","",dir!J87)</f>
        <v/>
      </c>
      <c r="K109" s="413"/>
      <c r="L109" s="1219">
        <f>IF(dir!L87="","",dir!L87)</f>
        <v>0</v>
      </c>
      <c r="M109" s="1219">
        <f>IF(dir!M87="","",dir!M87)</f>
        <v>0</v>
      </c>
      <c r="N109" s="1209" t="str">
        <f t="shared" si="69"/>
        <v/>
      </c>
      <c r="O109" s="1209"/>
      <c r="P109" s="1283" t="str">
        <f t="shared" si="70"/>
        <v/>
      </c>
      <c r="Q109" s="518"/>
      <c r="R109" s="1076" t="str">
        <f t="shared" si="80"/>
        <v/>
      </c>
      <c r="S109" s="1076" t="str">
        <f t="shared" si="71"/>
        <v/>
      </c>
      <c r="T109" s="1078" t="str">
        <f t="shared" si="72"/>
        <v/>
      </c>
      <c r="U109" s="269"/>
      <c r="V109" s="1261"/>
      <c r="W109" s="1261"/>
      <c r="X109" s="801"/>
      <c r="Y109" s="1253" t="e">
        <f>ROUND(VLOOKUP(H109,tab!$A$61:$V$103,I109+2,FALSE),0)</f>
        <v>#VALUE!</v>
      </c>
      <c r="Z109" s="1252">
        <f>tab!$E$48</f>
        <v>0.62</v>
      </c>
      <c r="AA109" s="1284" t="e">
        <f t="shared" si="73"/>
        <v>#VALUE!</v>
      </c>
      <c r="AB109" s="1284" t="e">
        <f t="shared" si="74"/>
        <v>#VALUE!</v>
      </c>
      <c r="AC109" s="1284" t="e">
        <f t="shared" si="75"/>
        <v>#VALUE!</v>
      </c>
      <c r="AD109" s="1286" t="e">
        <f t="shared" si="76"/>
        <v>#VALUE!</v>
      </c>
      <c r="AE109" s="1286">
        <f t="shared" si="77"/>
        <v>0</v>
      </c>
      <c r="AF109" s="1254">
        <f>IF(H109&gt;8,tab!$D$49,tab!$D$52)</f>
        <v>0.5</v>
      </c>
      <c r="AG109" s="1255">
        <f t="shared" si="78"/>
        <v>0</v>
      </c>
      <c r="AH109" s="1251">
        <f t="shared" si="79"/>
        <v>0</v>
      </c>
      <c r="AI109" s="1260"/>
    </row>
    <row r="110" spans="2:40" ht="12.75" customHeight="1" x14ac:dyDescent="0.2">
      <c r="C110" s="126"/>
      <c r="D110" s="396" t="str">
        <f>IF(dir!D88=0,"",dir!D88)</f>
        <v/>
      </c>
      <c r="E110" s="432" t="str">
        <f>IF(dir!E88=0,"-",dir!E88)</f>
        <v/>
      </c>
      <c r="F110" s="117" t="str">
        <f>IF(dir!F88="","",dir!F88+1)</f>
        <v/>
      </c>
      <c r="G110" s="397" t="str">
        <f>IF(dir!G88="","",dir!G88)</f>
        <v/>
      </c>
      <c r="H110" s="433" t="str">
        <f t="shared" si="68"/>
        <v/>
      </c>
      <c r="I110" s="398" t="str">
        <f>IF(J110="","",(IF(dir!I88+1&gt;LOOKUP(H110,schaal2013,regels2013),dir!I88,dir!I88+1)))</f>
        <v/>
      </c>
      <c r="J110" s="399" t="str">
        <f>IF(dir!J88="","",dir!J88)</f>
        <v/>
      </c>
      <c r="K110" s="413"/>
      <c r="L110" s="1219">
        <f>IF(dir!L88="","",dir!L88)</f>
        <v>0</v>
      </c>
      <c r="M110" s="1219">
        <f>IF(dir!M88="","",dir!M88)</f>
        <v>0</v>
      </c>
      <c r="N110" s="1209" t="str">
        <f t="shared" si="69"/>
        <v/>
      </c>
      <c r="O110" s="1209"/>
      <c r="P110" s="1283" t="str">
        <f t="shared" si="70"/>
        <v/>
      </c>
      <c r="Q110" s="518"/>
      <c r="R110" s="1076" t="str">
        <f t="shared" si="80"/>
        <v/>
      </c>
      <c r="S110" s="1076" t="str">
        <f t="shared" si="71"/>
        <v/>
      </c>
      <c r="T110" s="1078" t="str">
        <f t="shared" si="72"/>
        <v/>
      </c>
      <c r="U110" s="269"/>
      <c r="V110" s="1261"/>
      <c r="W110" s="1261"/>
      <c r="X110" s="801"/>
      <c r="Y110" s="1253" t="e">
        <f>ROUND(VLOOKUP(H110,tab!$A$61:$V$103,I110+2,FALSE),0)</f>
        <v>#VALUE!</v>
      </c>
      <c r="Z110" s="1252">
        <f>tab!$E$48</f>
        <v>0.62</v>
      </c>
      <c r="AA110" s="1284" t="e">
        <f t="shared" si="73"/>
        <v>#VALUE!</v>
      </c>
      <c r="AB110" s="1284" t="e">
        <f t="shared" si="74"/>
        <v>#VALUE!</v>
      </c>
      <c r="AC110" s="1284" t="e">
        <f t="shared" si="75"/>
        <v>#VALUE!</v>
      </c>
      <c r="AD110" s="1286" t="e">
        <f t="shared" si="76"/>
        <v>#VALUE!</v>
      </c>
      <c r="AE110" s="1286">
        <f t="shared" si="77"/>
        <v>0</v>
      </c>
      <c r="AF110" s="1254">
        <f>IF(H110&gt;8,tab!$D$49,tab!$D$52)</f>
        <v>0.5</v>
      </c>
      <c r="AG110" s="1255">
        <f t="shared" si="78"/>
        <v>0</v>
      </c>
      <c r="AH110" s="1251">
        <f t="shared" si="79"/>
        <v>0</v>
      </c>
      <c r="AI110" s="1260"/>
    </row>
    <row r="111" spans="2:40" ht="12.75" customHeight="1" x14ac:dyDescent="0.2">
      <c r="C111" s="126"/>
      <c r="D111" s="396" t="str">
        <f>IF(dir!D89=0,"",dir!D89)</f>
        <v/>
      </c>
      <c r="E111" s="432" t="str">
        <f>IF(dir!E89=0,"-",dir!E89)</f>
        <v/>
      </c>
      <c r="F111" s="117" t="str">
        <f>IF(dir!F89="","",dir!F89+1)</f>
        <v/>
      </c>
      <c r="G111" s="397" t="str">
        <f>IF(dir!G89="","",dir!G89)</f>
        <v/>
      </c>
      <c r="H111" s="433" t="str">
        <f t="shared" si="68"/>
        <v/>
      </c>
      <c r="I111" s="398" t="str">
        <f>IF(J111="","",(IF(dir!I89+1&gt;LOOKUP(H111,schaal2013,regels2013),dir!I89,dir!I89+1)))</f>
        <v/>
      </c>
      <c r="J111" s="399" t="str">
        <f>IF(dir!J89="","",dir!J89)</f>
        <v/>
      </c>
      <c r="K111" s="413"/>
      <c r="L111" s="1219">
        <f>IF(dir!L89="","",dir!L89)</f>
        <v>0</v>
      </c>
      <c r="M111" s="1219">
        <f>IF(dir!M89="","",dir!M89)</f>
        <v>0</v>
      </c>
      <c r="N111" s="1209" t="str">
        <f t="shared" si="69"/>
        <v/>
      </c>
      <c r="O111" s="1209"/>
      <c r="P111" s="1283" t="str">
        <f t="shared" si="70"/>
        <v/>
      </c>
      <c r="Q111" s="518"/>
      <c r="R111" s="1076" t="str">
        <f t="shared" si="80"/>
        <v/>
      </c>
      <c r="S111" s="1076" t="str">
        <f t="shared" si="71"/>
        <v/>
      </c>
      <c r="T111" s="1078" t="str">
        <f t="shared" si="72"/>
        <v/>
      </c>
      <c r="U111" s="269"/>
      <c r="V111" s="1261"/>
      <c r="W111" s="1261"/>
      <c r="X111" s="801"/>
      <c r="Y111" s="1253" t="e">
        <f>ROUND(VLOOKUP(H111,tab!$A$61:$V$103,I111+2,FALSE),0)</f>
        <v>#VALUE!</v>
      </c>
      <c r="Z111" s="1252">
        <f>tab!$E$48</f>
        <v>0.62</v>
      </c>
      <c r="AA111" s="1284" t="e">
        <f t="shared" si="73"/>
        <v>#VALUE!</v>
      </c>
      <c r="AB111" s="1284" t="e">
        <f t="shared" si="74"/>
        <v>#VALUE!</v>
      </c>
      <c r="AC111" s="1284" t="e">
        <f t="shared" si="75"/>
        <v>#VALUE!</v>
      </c>
      <c r="AD111" s="1286" t="e">
        <f t="shared" si="76"/>
        <v>#VALUE!</v>
      </c>
      <c r="AE111" s="1286">
        <f t="shared" si="77"/>
        <v>0</v>
      </c>
      <c r="AF111" s="1254">
        <f>IF(H111&gt;8,tab!$D$49,tab!$D$52)</f>
        <v>0.5</v>
      </c>
      <c r="AG111" s="1255">
        <f t="shared" si="78"/>
        <v>0</v>
      </c>
      <c r="AH111" s="1251">
        <f t="shared" si="79"/>
        <v>0</v>
      </c>
      <c r="AI111" s="1260"/>
    </row>
    <row r="112" spans="2:40" ht="12.75" customHeight="1" x14ac:dyDescent="0.2">
      <c r="C112" s="126"/>
      <c r="D112" s="396" t="str">
        <f>IF(dir!D90=0,"",dir!D90)</f>
        <v/>
      </c>
      <c r="E112" s="432" t="str">
        <f>IF(dir!E90=0,"-",dir!E90)</f>
        <v/>
      </c>
      <c r="F112" s="117" t="str">
        <f>IF(dir!F90="","",dir!F90+1)</f>
        <v/>
      </c>
      <c r="G112" s="397" t="str">
        <f>IF(dir!G90="","",dir!G90)</f>
        <v/>
      </c>
      <c r="H112" s="433" t="str">
        <f t="shared" si="68"/>
        <v/>
      </c>
      <c r="I112" s="398" t="str">
        <f>IF(J112="","",(IF(dir!I90+1&gt;LOOKUP(H112,schaal2013,regels2013),dir!I90,dir!I90+1)))</f>
        <v/>
      </c>
      <c r="J112" s="399" t="str">
        <f>IF(dir!J90="","",dir!J90)</f>
        <v/>
      </c>
      <c r="K112" s="413"/>
      <c r="L112" s="1219">
        <f>IF(dir!L90="","",dir!L90)</f>
        <v>0</v>
      </c>
      <c r="M112" s="1219">
        <f>IF(dir!M90="","",dir!M90)</f>
        <v>0</v>
      </c>
      <c r="N112" s="1209" t="str">
        <f t="shared" si="69"/>
        <v/>
      </c>
      <c r="O112" s="1209"/>
      <c r="P112" s="1283" t="str">
        <f t="shared" si="70"/>
        <v/>
      </c>
      <c r="Q112" s="518"/>
      <c r="R112" s="1076" t="str">
        <f t="shared" si="80"/>
        <v/>
      </c>
      <c r="S112" s="1076" t="str">
        <f t="shared" si="71"/>
        <v/>
      </c>
      <c r="T112" s="1078" t="str">
        <f t="shared" si="72"/>
        <v/>
      </c>
      <c r="U112" s="269"/>
      <c r="V112" s="1261"/>
      <c r="W112" s="1261"/>
      <c r="X112" s="801"/>
      <c r="Y112" s="1253" t="e">
        <f>ROUND(VLOOKUP(H112,tab!$A$61:$V$103,I112+2,FALSE),0)</f>
        <v>#VALUE!</v>
      </c>
      <c r="Z112" s="1252">
        <f>tab!$E$48</f>
        <v>0.62</v>
      </c>
      <c r="AA112" s="1284" t="e">
        <f t="shared" si="73"/>
        <v>#VALUE!</v>
      </c>
      <c r="AB112" s="1284" t="e">
        <f t="shared" si="74"/>
        <v>#VALUE!</v>
      </c>
      <c r="AC112" s="1284" t="e">
        <f t="shared" si="75"/>
        <v>#VALUE!</v>
      </c>
      <c r="AD112" s="1286" t="e">
        <f t="shared" si="76"/>
        <v>#VALUE!</v>
      </c>
      <c r="AE112" s="1286">
        <f t="shared" si="77"/>
        <v>0</v>
      </c>
      <c r="AF112" s="1254">
        <f>IF(H112&gt;8,tab!$D$49,tab!$D$52)</f>
        <v>0.5</v>
      </c>
      <c r="AG112" s="1255">
        <f t="shared" si="78"/>
        <v>0</v>
      </c>
      <c r="AH112" s="1251">
        <f t="shared" si="79"/>
        <v>0</v>
      </c>
      <c r="AI112" s="1260"/>
    </row>
    <row r="113" spans="3:35" ht="12.75" customHeight="1" x14ac:dyDescent="0.2">
      <c r="C113" s="126"/>
      <c r="D113" s="396" t="str">
        <f>IF(dir!D91=0,"",dir!D91)</f>
        <v/>
      </c>
      <c r="E113" s="432" t="str">
        <f>IF(dir!E91=0,"-",dir!E91)</f>
        <v/>
      </c>
      <c r="F113" s="117" t="str">
        <f>IF(dir!F91="","",dir!F91+1)</f>
        <v/>
      </c>
      <c r="G113" s="397" t="str">
        <f>IF(dir!G91="","",dir!G91)</f>
        <v/>
      </c>
      <c r="H113" s="433" t="str">
        <f t="shared" si="68"/>
        <v/>
      </c>
      <c r="I113" s="398" t="str">
        <f>IF(J113="","",(IF(dir!I91+1&gt;LOOKUP(H113,schaal2013,regels2013),dir!I91,dir!I91+1)))</f>
        <v/>
      </c>
      <c r="J113" s="399" t="str">
        <f>IF(dir!J91="","",dir!J91)</f>
        <v/>
      </c>
      <c r="K113" s="413"/>
      <c r="L113" s="1219">
        <f>IF(dir!L91="","",dir!L91)</f>
        <v>0</v>
      </c>
      <c r="M113" s="1219">
        <f>IF(dir!M91="","",dir!M91)</f>
        <v>0</v>
      </c>
      <c r="N113" s="1209" t="str">
        <f t="shared" si="69"/>
        <v/>
      </c>
      <c r="O113" s="1209"/>
      <c r="P113" s="1283" t="str">
        <f t="shared" si="70"/>
        <v/>
      </c>
      <c r="Q113" s="518"/>
      <c r="R113" s="1076" t="str">
        <f t="shared" si="80"/>
        <v/>
      </c>
      <c r="S113" s="1076" t="str">
        <f t="shared" si="71"/>
        <v/>
      </c>
      <c r="T113" s="1078" t="str">
        <f t="shared" si="72"/>
        <v/>
      </c>
      <c r="U113" s="269"/>
      <c r="V113" s="1261"/>
      <c r="W113" s="1261"/>
      <c r="X113" s="801"/>
      <c r="Y113" s="1253" t="e">
        <f>ROUND(VLOOKUP(H113,tab!$A$61:$V$103,I113+2,FALSE),0)</f>
        <v>#VALUE!</v>
      </c>
      <c r="Z113" s="1252">
        <f>tab!$E$48</f>
        <v>0.62</v>
      </c>
      <c r="AA113" s="1284" t="e">
        <f t="shared" si="73"/>
        <v>#VALUE!</v>
      </c>
      <c r="AB113" s="1284" t="e">
        <f t="shared" si="74"/>
        <v>#VALUE!</v>
      </c>
      <c r="AC113" s="1284" t="e">
        <f t="shared" si="75"/>
        <v>#VALUE!</v>
      </c>
      <c r="AD113" s="1286" t="e">
        <f t="shared" si="76"/>
        <v>#VALUE!</v>
      </c>
      <c r="AE113" s="1286">
        <f t="shared" si="77"/>
        <v>0</v>
      </c>
      <c r="AF113" s="1254">
        <f>IF(H113&gt;8,tab!$D$49,tab!$D$52)</f>
        <v>0.5</v>
      </c>
      <c r="AG113" s="1255">
        <f t="shared" si="78"/>
        <v>0</v>
      </c>
      <c r="AH113" s="1251">
        <f t="shared" si="79"/>
        <v>0</v>
      </c>
      <c r="AI113" s="1260"/>
    </row>
    <row r="114" spans="3:35" ht="12.75" customHeight="1" x14ac:dyDescent="0.2">
      <c r="C114" s="126"/>
      <c r="D114" s="396" t="str">
        <f>IF(dir!D92=0,"",dir!D92)</f>
        <v/>
      </c>
      <c r="E114" s="432" t="str">
        <f>IF(dir!E92=0,"-",dir!E92)</f>
        <v/>
      </c>
      <c r="F114" s="117" t="str">
        <f>IF(dir!F92="","",dir!F92+1)</f>
        <v/>
      </c>
      <c r="G114" s="397" t="str">
        <f>IF(dir!G92="","",dir!G92)</f>
        <v/>
      </c>
      <c r="H114" s="433" t="str">
        <f t="shared" si="68"/>
        <v/>
      </c>
      <c r="I114" s="398" t="str">
        <f>IF(J114="","",(IF(dir!I92+1&gt;LOOKUP(H114,schaal2013,regels2013),dir!I92,dir!I92+1)))</f>
        <v/>
      </c>
      <c r="J114" s="399" t="str">
        <f>IF(dir!J92="","",dir!J92)</f>
        <v/>
      </c>
      <c r="K114" s="413"/>
      <c r="L114" s="1219">
        <f>IF(dir!L92="","",dir!L92)</f>
        <v>0</v>
      </c>
      <c r="M114" s="1219">
        <f>IF(dir!M92="","",dir!M92)</f>
        <v>0</v>
      </c>
      <c r="N114" s="1209" t="str">
        <f t="shared" si="69"/>
        <v/>
      </c>
      <c r="O114" s="1209"/>
      <c r="P114" s="1283" t="str">
        <f t="shared" si="70"/>
        <v/>
      </c>
      <c r="Q114" s="518"/>
      <c r="R114" s="1076" t="str">
        <f t="shared" si="80"/>
        <v/>
      </c>
      <c r="S114" s="1076" t="str">
        <f t="shared" si="71"/>
        <v/>
      </c>
      <c r="T114" s="1078" t="str">
        <f t="shared" si="72"/>
        <v/>
      </c>
      <c r="U114" s="269"/>
      <c r="V114" s="1261"/>
      <c r="W114" s="1261"/>
      <c r="X114" s="801"/>
      <c r="Y114" s="1253" t="e">
        <f>ROUND(VLOOKUP(H114,tab!$A$61:$V$103,I114+2,FALSE),0)</f>
        <v>#VALUE!</v>
      </c>
      <c r="Z114" s="1252">
        <f>tab!$E$48</f>
        <v>0.62</v>
      </c>
      <c r="AA114" s="1284" t="e">
        <f t="shared" si="73"/>
        <v>#VALUE!</v>
      </c>
      <c r="AB114" s="1284" t="e">
        <f t="shared" si="74"/>
        <v>#VALUE!</v>
      </c>
      <c r="AC114" s="1284" t="e">
        <f t="shared" si="75"/>
        <v>#VALUE!</v>
      </c>
      <c r="AD114" s="1286" t="e">
        <f t="shared" si="76"/>
        <v>#VALUE!</v>
      </c>
      <c r="AE114" s="1286">
        <f t="shared" si="77"/>
        <v>0</v>
      </c>
      <c r="AF114" s="1254">
        <f>IF(H114&gt;8,tab!$D$49,tab!$D$52)</f>
        <v>0.5</v>
      </c>
      <c r="AG114" s="1255">
        <f t="shared" si="78"/>
        <v>0</v>
      </c>
      <c r="AH114" s="1251">
        <f t="shared" si="79"/>
        <v>0</v>
      </c>
      <c r="AI114" s="1260"/>
    </row>
    <row r="115" spans="3:35" ht="12.75" customHeight="1" x14ac:dyDescent="0.2">
      <c r="C115" s="126"/>
      <c r="D115" s="188"/>
      <c r="E115" s="240"/>
      <c r="F115" s="415"/>
      <c r="G115" s="416"/>
      <c r="H115" s="128"/>
      <c r="I115" s="128"/>
      <c r="J115" s="1072">
        <f>SUM(J105:J114)</f>
        <v>1</v>
      </c>
      <c r="K115" s="415"/>
      <c r="L115" s="1197">
        <f t="shared" ref="L115:P115" si="81">SUM(L105:L114)</f>
        <v>130</v>
      </c>
      <c r="M115" s="1197">
        <f t="shared" si="81"/>
        <v>170</v>
      </c>
      <c r="N115" s="1197">
        <f>SUM(N105:N114)</f>
        <v>40</v>
      </c>
      <c r="O115" s="1197"/>
      <c r="P115" s="1197">
        <f t="shared" si="81"/>
        <v>340</v>
      </c>
      <c r="Q115" s="415"/>
      <c r="R115" s="1073">
        <f t="shared" ref="R115:T115" si="82">SUM(R105:R114)</f>
        <v>55162.154213381553</v>
      </c>
      <c r="S115" s="1074">
        <f t="shared" si="82"/>
        <v>10346.873056057866</v>
      </c>
      <c r="T115" s="1073">
        <f t="shared" si="82"/>
        <v>65509.027269439423</v>
      </c>
      <c r="U115" s="414"/>
      <c r="V115" s="1221"/>
      <c r="W115" s="1221"/>
      <c r="Y115" s="1256"/>
      <c r="Z115" s="1288"/>
      <c r="AA115" s="1256"/>
      <c r="AB115" s="1256"/>
      <c r="AC115" s="1256"/>
      <c r="AG115" s="1257"/>
      <c r="AH115" s="1258"/>
      <c r="AI115" s="1260"/>
    </row>
    <row r="116" spans="3:35" ht="12.75" customHeight="1" x14ac:dyDescent="0.2">
      <c r="C116" s="191"/>
      <c r="D116" s="417"/>
      <c r="E116" s="287"/>
      <c r="F116" s="192"/>
      <c r="G116" s="418"/>
      <c r="H116" s="192"/>
      <c r="I116" s="419"/>
      <c r="J116" s="420"/>
      <c r="K116" s="287"/>
      <c r="L116" s="419"/>
      <c r="M116" s="419"/>
      <c r="N116" s="419"/>
      <c r="O116" s="419"/>
      <c r="P116" s="419"/>
      <c r="Q116" s="287"/>
      <c r="R116" s="438"/>
      <c r="S116" s="422"/>
      <c r="T116" s="883"/>
      <c r="U116" s="423"/>
      <c r="V116" s="1221"/>
      <c r="W116" s="1221"/>
      <c r="Y116" s="1237"/>
      <c r="Z116" s="1288"/>
      <c r="AA116" s="1256"/>
      <c r="AB116" s="1256"/>
      <c r="AC116" s="1256"/>
      <c r="AG116" s="1257"/>
      <c r="AH116" s="1258"/>
      <c r="AI116" s="1260"/>
    </row>
    <row r="117" spans="3:35" ht="12.75" customHeight="1" x14ac:dyDescent="0.2">
      <c r="H117" s="22"/>
      <c r="J117" s="333"/>
      <c r="R117" s="441"/>
      <c r="S117" s="175"/>
      <c r="T117" s="885"/>
      <c r="Y117" s="1253"/>
      <c r="Z117" s="1261"/>
      <c r="AA117" s="1261"/>
      <c r="AB117" s="1261"/>
      <c r="AC117" s="1261"/>
      <c r="AG117" s="1255"/>
      <c r="AH117" s="1251"/>
    </row>
    <row r="130" spans="4:4" x14ac:dyDescent="0.2">
      <c r="D130" s="959" t="s">
        <v>161</v>
      </c>
    </row>
    <row r="131" spans="4:4" x14ac:dyDescent="0.2">
      <c r="D131" s="959" t="s">
        <v>162</v>
      </c>
    </row>
    <row r="132" spans="4:4" x14ac:dyDescent="0.2">
      <c r="D132" s="959" t="s">
        <v>163</v>
      </c>
    </row>
    <row r="133" spans="4:4" x14ac:dyDescent="0.2">
      <c r="D133" s="959" t="s">
        <v>164</v>
      </c>
    </row>
    <row r="134" spans="4:4" x14ac:dyDescent="0.2">
      <c r="D134" s="959" t="s">
        <v>167</v>
      </c>
    </row>
    <row r="135" spans="4:4" x14ac:dyDescent="0.2">
      <c r="D135" s="959" t="s">
        <v>155</v>
      </c>
    </row>
    <row r="136" spans="4:4" x14ac:dyDescent="0.2">
      <c r="D136" s="959" t="s">
        <v>156</v>
      </c>
    </row>
    <row r="137" spans="4:4" x14ac:dyDescent="0.2">
      <c r="D137" s="959" t="s">
        <v>184</v>
      </c>
    </row>
    <row r="138" spans="4:4" x14ac:dyDescent="0.2">
      <c r="D138" s="959" t="s">
        <v>157</v>
      </c>
    </row>
    <row r="139" spans="4:4" x14ac:dyDescent="0.2">
      <c r="D139" s="959" t="s">
        <v>185</v>
      </c>
    </row>
    <row r="140" spans="4:4" x14ac:dyDescent="0.2">
      <c r="D140" s="959" t="s">
        <v>165</v>
      </c>
    </row>
    <row r="141" spans="4:4" x14ac:dyDescent="0.2">
      <c r="D141" s="959" t="s">
        <v>166</v>
      </c>
    </row>
    <row r="142" spans="4:4" x14ac:dyDescent="0.2">
      <c r="D142" s="484" t="s">
        <v>188</v>
      </c>
    </row>
    <row r="143" spans="4:4" x14ac:dyDescent="0.2">
      <c r="D143" s="484" t="s">
        <v>198</v>
      </c>
    </row>
    <row r="144" spans="4:4" x14ac:dyDescent="0.2">
      <c r="D144" s="484" t="s">
        <v>189</v>
      </c>
    </row>
    <row r="145" spans="4:4" x14ac:dyDescent="0.2">
      <c r="D145" s="959" t="s">
        <v>158</v>
      </c>
    </row>
    <row r="146" spans="4:4" x14ac:dyDescent="0.2">
      <c r="D146" s="959" t="s">
        <v>159</v>
      </c>
    </row>
    <row r="147" spans="4:4" x14ac:dyDescent="0.2">
      <c r="D147" s="959" t="s">
        <v>160</v>
      </c>
    </row>
    <row r="148" spans="4:4" x14ac:dyDescent="0.2">
      <c r="D148" s="959" t="s">
        <v>168</v>
      </c>
    </row>
    <row r="149" spans="4:4" x14ac:dyDescent="0.2">
      <c r="D149" s="959" t="s">
        <v>169</v>
      </c>
    </row>
    <row r="150" spans="4:4" x14ac:dyDescent="0.2">
      <c r="D150" s="484" t="s">
        <v>186</v>
      </c>
    </row>
    <row r="151" spans="4:4" x14ac:dyDescent="0.2">
      <c r="D151" s="484" t="s">
        <v>187</v>
      </c>
    </row>
    <row r="152" spans="4:4" x14ac:dyDescent="0.2">
      <c r="D152" s="960" t="s">
        <v>337</v>
      </c>
    </row>
    <row r="153" spans="4:4" x14ac:dyDescent="0.2">
      <c r="D153" s="960" t="s">
        <v>332</v>
      </c>
    </row>
    <row r="154" spans="4:4" x14ac:dyDescent="0.2">
      <c r="D154" s="960" t="s">
        <v>333</v>
      </c>
    </row>
    <row r="155" spans="4:4" x14ac:dyDescent="0.2">
      <c r="D155" s="960" t="s">
        <v>335</v>
      </c>
    </row>
    <row r="156" spans="4:4" x14ac:dyDescent="0.2">
      <c r="D156" s="960" t="s">
        <v>334</v>
      </c>
    </row>
    <row r="157" spans="4:4" x14ac:dyDescent="0.2">
      <c r="D157" s="484">
        <v>1</v>
      </c>
    </row>
    <row r="158" spans="4:4" x14ac:dyDescent="0.2">
      <c r="D158" s="484">
        <v>2</v>
      </c>
    </row>
    <row r="159" spans="4:4" x14ac:dyDescent="0.2">
      <c r="D159" s="484">
        <v>3</v>
      </c>
    </row>
    <row r="160" spans="4:4" x14ac:dyDescent="0.2">
      <c r="D160" s="484">
        <v>4</v>
      </c>
    </row>
    <row r="161" spans="4:4" x14ac:dyDescent="0.2">
      <c r="D161" s="484">
        <v>5</v>
      </c>
    </row>
    <row r="162" spans="4:4" x14ac:dyDescent="0.2">
      <c r="D162" s="484">
        <v>6</v>
      </c>
    </row>
    <row r="163" spans="4:4" x14ac:dyDescent="0.2">
      <c r="D163" s="484">
        <v>7</v>
      </c>
    </row>
    <row r="164" spans="4:4" x14ac:dyDescent="0.2">
      <c r="D164" s="484">
        <v>8</v>
      </c>
    </row>
    <row r="165" spans="4:4" x14ac:dyDescent="0.2">
      <c r="D165" s="484">
        <v>9</v>
      </c>
    </row>
    <row r="166" spans="4:4" x14ac:dyDescent="0.2">
      <c r="D166" s="484">
        <v>10</v>
      </c>
    </row>
    <row r="167" spans="4:4" x14ac:dyDescent="0.2">
      <c r="D167" s="484">
        <v>11</v>
      </c>
    </row>
    <row r="168" spans="4:4" x14ac:dyDescent="0.2">
      <c r="D168" s="484">
        <v>12</v>
      </c>
    </row>
    <row r="169" spans="4:4" x14ac:dyDescent="0.2">
      <c r="D169" s="484">
        <v>13</v>
      </c>
    </row>
    <row r="170" spans="4:4" x14ac:dyDescent="0.2">
      <c r="D170" s="484">
        <v>14</v>
      </c>
    </row>
    <row r="171" spans="4:4" x14ac:dyDescent="0.2">
      <c r="D171" s="960">
        <v>15</v>
      </c>
    </row>
    <row r="172" spans="4:4" x14ac:dyDescent="0.2">
      <c r="D172" s="960">
        <v>16</v>
      </c>
    </row>
  </sheetData>
  <sheetProtection algorithmName="SHA-512" hashValue="MBGJdEvSoYuyd1eXp9BBNh5hjgfqjxEtGmceqeq2ATBct3iommfZoiWpRotDqiK0PVbt0MMg3XcuKN+6XzPRbA==" saltValue="+XsD3kZT1v0ygCvi5cjV/w==" spinCount="100000" sheet="1" objects="1" scenarios="1"/>
  <phoneticPr fontId="0" type="noConversion"/>
  <dataValidations count="3">
    <dataValidation type="list" allowBlank="1" showInputMessage="1" showErrorMessage="1" sqref="H117:H118 H95:H99">
      <formula1>"LIOa,LIOb,J1,J2,J3,J4,J5,J6,1,2,3,4,5,6,7,8,9,10,11,12,13,14,15,LA,LB,LC,LD,LE,ID1,ID2,ID3"</formula1>
    </dataValidation>
    <dataValidation type="list" allowBlank="1" showInputMessage="1" showErrorMessage="1" sqref="H105:H114 H83:H92 H38:H47 H61:H70 H16:H25">
      <formula1>$D$129:$D$172</formula1>
    </dataValidation>
    <dataValidation type="list" allowBlank="1" showInputMessage="1" showErrorMessage="1" sqref="H73:H77 H50:H55">
      <formula1>"LA,LB,LC,LD,LE"</formula1>
    </dataValidation>
  </dataValidations>
  <pageMargins left="0.78740157480314965" right="0.78740157480314965" top="0.98425196850393704" bottom="0.98425196850393704" header="0.51181102362204722" footer="0.51181102362204722"/>
  <pageSetup paperSize="9" scale="50" orientation="portrait" r:id="rId1"/>
  <headerFooter alignWithMargins="0">
    <oddHeader>&amp;L&amp;"Arial,Vet"&amp;F&amp;R&amp;"Arial,Vet"&amp;A</oddHeader>
    <oddFooter>&amp;L&amp;"Arial,Vet"PO-Raad&amp;C&amp;"Arial,Vet"&amp;D&amp;R&amp;"Arial,Vet"pagina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9"/>
  <dimension ref="B1:AX438"/>
  <sheetViews>
    <sheetView showGridLines="0" zoomScale="85" zoomScaleNormal="85" workbookViewId="0">
      <pane ySplit="15" topLeftCell="A16" activePane="bottomLeft" state="frozen"/>
      <selection activeCell="AA31" sqref="AA31"/>
      <selection pane="bottomLeft" activeCell="B2" sqref="B2"/>
    </sheetView>
  </sheetViews>
  <sheetFormatPr defaultColWidth="9.140625" defaultRowHeight="12.75" x14ac:dyDescent="0.2"/>
  <cols>
    <col min="1" max="1" width="3.7109375" style="454" customWidth="1"/>
    <col min="2" max="3" width="2.7109375" style="454" customWidth="1"/>
    <col min="4" max="4" width="9.140625" style="484" customWidth="1"/>
    <col min="5" max="5" width="21.140625" style="484" customWidth="1"/>
    <col min="6" max="6" width="8.7109375" style="590" customWidth="1"/>
    <col min="7" max="7" width="8.7109375" style="784" customWidth="1"/>
    <col min="8" max="9" width="8.7109375" style="785" customWidth="1"/>
    <col min="10" max="10" width="8.7109375" style="786" customWidth="1"/>
    <col min="11" max="11" width="0.85546875" style="454" customWidth="1"/>
    <col min="12" max="16" width="10.85546875" style="785" customWidth="1"/>
    <col min="17" max="17" width="0.85546875" style="454" customWidth="1"/>
    <col min="18" max="18" width="10.85546875" style="205" customWidth="1"/>
    <col min="19" max="19" width="10.85546875" style="591" customWidth="1"/>
    <col min="20" max="20" width="10.85546875" style="588" customWidth="1"/>
    <col min="21" max="22" width="2.7109375" style="454" customWidth="1"/>
    <col min="23" max="23" width="20.7109375" style="1040" customWidth="1"/>
    <col min="24" max="24" width="20.7109375" style="1198" customWidth="1"/>
    <col min="25" max="25" width="9.7109375" style="1223" customWidth="1"/>
    <col min="26" max="29" width="10.85546875" style="1221" customWidth="1"/>
    <col min="30" max="32" width="8.85546875" style="1221" customWidth="1"/>
    <col min="33" max="33" width="9.7109375" style="1226" customWidth="1"/>
    <col min="34" max="34" width="8.7109375" style="1227" customWidth="1"/>
    <col min="35" max="36" width="8.85546875" style="1224" customWidth="1"/>
    <col min="37" max="38" width="8.85546875" style="1199" customWidth="1"/>
    <col min="39" max="39" width="8.85546875" style="1210" customWidth="1"/>
    <col min="40" max="43" width="8.85546875" style="1198" customWidth="1"/>
    <col min="44" max="44" width="8.85546875" style="1040" customWidth="1"/>
    <col min="45" max="46" width="8.85546875" style="454" customWidth="1"/>
    <col min="47" max="47" width="8.85546875" style="590" customWidth="1"/>
    <col min="48" max="48" width="8.85546875" style="589" customWidth="1"/>
    <col min="49" max="82" width="8.85546875" style="454" customWidth="1"/>
    <col min="83" max="16384" width="9.140625" style="454"/>
  </cols>
  <sheetData>
    <row r="1" spans="2:50" ht="12.75" customHeight="1" x14ac:dyDescent="0.2"/>
    <row r="2" spans="2:50" x14ac:dyDescent="0.2">
      <c r="B2" s="462"/>
      <c r="C2" s="463"/>
      <c r="D2" s="789"/>
      <c r="E2" s="789"/>
      <c r="F2" s="592"/>
      <c r="G2" s="790"/>
      <c r="H2" s="791"/>
      <c r="I2" s="791"/>
      <c r="J2" s="792"/>
      <c r="K2" s="463"/>
      <c r="L2" s="791"/>
      <c r="M2" s="791"/>
      <c r="N2" s="791"/>
      <c r="O2" s="791"/>
      <c r="P2" s="791"/>
      <c r="Q2" s="463"/>
      <c r="R2" s="434"/>
      <c r="S2" s="793"/>
      <c r="T2" s="878"/>
      <c r="U2" s="463"/>
      <c r="V2" s="465"/>
    </row>
    <row r="3" spans="2:50" x14ac:dyDescent="0.2">
      <c r="B3" s="466"/>
      <c r="C3" s="467"/>
      <c r="D3" s="794"/>
      <c r="E3" s="794"/>
      <c r="F3" s="593"/>
      <c r="G3" s="795"/>
      <c r="H3" s="796"/>
      <c r="I3" s="796"/>
      <c r="J3" s="797"/>
      <c r="K3" s="467"/>
      <c r="L3" s="796"/>
      <c r="M3" s="796"/>
      <c r="N3" s="796"/>
      <c r="O3" s="796"/>
      <c r="P3" s="796"/>
      <c r="Q3" s="467"/>
      <c r="R3" s="183"/>
      <c r="S3" s="798"/>
      <c r="T3" s="879"/>
      <c r="U3" s="467"/>
      <c r="V3" s="469"/>
    </row>
    <row r="4" spans="2:50" s="314" customFormat="1" ht="18.75" x14ac:dyDescent="0.3">
      <c r="B4" s="1009"/>
      <c r="C4" s="970" t="s">
        <v>305</v>
      </c>
      <c r="D4" s="357"/>
      <c r="E4" s="357"/>
      <c r="F4" s="353"/>
      <c r="G4" s="354"/>
      <c r="H4" s="355"/>
      <c r="I4" s="355"/>
      <c r="J4" s="356"/>
      <c r="K4" s="357"/>
      <c r="L4" s="355"/>
      <c r="M4" s="355"/>
      <c r="N4" s="355"/>
      <c r="O4" s="355"/>
      <c r="P4" s="355"/>
      <c r="Q4" s="357"/>
      <c r="R4" s="435"/>
      <c r="S4" s="358"/>
      <c r="T4" s="1010"/>
      <c r="U4" s="357"/>
      <c r="V4" s="359"/>
      <c r="W4" s="1104"/>
      <c r="X4" s="1200"/>
      <c r="Y4" s="1228"/>
      <c r="Z4" s="1290"/>
      <c r="AA4" s="1229"/>
      <c r="AB4" s="1229"/>
      <c r="AC4" s="1229"/>
      <c r="AD4" s="1229"/>
      <c r="AE4" s="1229"/>
      <c r="AF4" s="1229"/>
      <c r="AG4" s="1232"/>
      <c r="AH4" s="1231"/>
      <c r="AI4" s="1275"/>
      <c r="AJ4" s="1275"/>
      <c r="AK4" s="1211"/>
      <c r="AL4" s="1211"/>
      <c r="AM4" s="1212"/>
      <c r="AN4" s="1201"/>
      <c r="AO4" s="1201"/>
      <c r="AP4" s="1201"/>
      <c r="AQ4" s="1201"/>
      <c r="AR4" s="1105"/>
      <c r="AS4" s="315"/>
      <c r="AT4" s="317"/>
      <c r="AU4" s="318"/>
      <c r="AV4" s="316"/>
    </row>
    <row r="5" spans="2:50" s="319" customFormat="1" ht="18.75" x14ac:dyDescent="0.3">
      <c r="B5" s="360"/>
      <c r="C5" s="361" t="str">
        <f>geg!F11</f>
        <v>Voorbeeld SBO</v>
      </c>
      <c r="D5" s="368"/>
      <c r="E5" s="368"/>
      <c r="F5" s="364"/>
      <c r="G5" s="365"/>
      <c r="H5" s="366"/>
      <c r="I5" s="366"/>
      <c r="J5" s="367"/>
      <c r="K5" s="368"/>
      <c r="L5" s="366"/>
      <c r="M5" s="366"/>
      <c r="N5" s="366"/>
      <c r="O5" s="366"/>
      <c r="P5" s="366"/>
      <c r="Q5" s="368"/>
      <c r="R5" s="435"/>
      <c r="S5" s="369"/>
      <c r="T5" s="880"/>
      <c r="U5" s="368"/>
      <c r="V5" s="370"/>
      <c r="W5" s="1104"/>
      <c r="X5" s="1200"/>
      <c r="Y5" s="1228"/>
      <c r="Z5" s="1290"/>
      <c r="AA5" s="1229"/>
      <c r="AB5" s="1229"/>
      <c r="AC5" s="1229"/>
      <c r="AD5" s="1229"/>
      <c r="AE5" s="1229"/>
      <c r="AF5" s="1229"/>
      <c r="AG5" s="1232"/>
      <c r="AH5" s="1231"/>
      <c r="AI5" s="1275"/>
      <c r="AJ5" s="1275"/>
      <c r="AK5" s="1211"/>
      <c r="AL5" s="1211"/>
      <c r="AM5" s="1212"/>
      <c r="AN5" s="1201"/>
      <c r="AO5" s="1201"/>
      <c r="AP5" s="1201"/>
      <c r="AQ5" s="1201"/>
      <c r="AR5" s="1105"/>
      <c r="AS5" s="320"/>
      <c r="AT5" s="322"/>
      <c r="AU5" s="323"/>
      <c r="AV5" s="321"/>
    </row>
    <row r="6" spans="2:50" ht="12.75" customHeight="1" x14ac:dyDescent="0.2">
      <c r="B6" s="466"/>
      <c r="C6" s="467"/>
      <c r="D6" s="467"/>
      <c r="E6" s="467"/>
      <c r="F6" s="593"/>
      <c r="G6" s="795"/>
      <c r="H6" s="796"/>
      <c r="I6" s="796"/>
      <c r="J6" s="797"/>
      <c r="K6" s="467"/>
      <c r="L6" s="796"/>
      <c r="M6" s="796"/>
      <c r="N6" s="796"/>
      <c r="O6" s="796"/>
      <c r="P6" s="796"/>
      <c r="Q6" s="467"/>
      <c r="R6" s="183"/>
      <c r="S6" s="798"/>
      <c r="T6" s="879"/>
      <c r="U6" s="467"/>
      <c r="V6" s="469"/>
      <c r="AN6" s="1202"/>
      <c r="AO6" s="1202"/>
      <c r="AP6" s="1202"/>
      <c r="AQ6" s="1202"/>
      <c r="AR6" s="1106"/>
      <c r="AS6" s="785"/>
      <c r="AT6" s="787"/>
      <c r="AU6" s="799"/>
      <c r="AV6" s="786"/>
    </row>
    <row r="7" spans="2:50" ht="12.75" customHeight="1" x14ac:dyDescent="0.2">
      <c r="B7" s="466"/>
      <c r="C7" s="467"/>
      <c r="D7" s="467"/>
      <c r="E7" s="467"/>
      <c r="F7" s="593"/>
      <c r="G7" s="795"/>
      <c r="H7" s="796"/>
      <c r="I7" s="796"/>
      <c r="J7" s="797"/>
      <c r="K7" s="467"/>
      <c r="L7" s="796"/>
      <c r="M7" s="796"/>
      <c r="N7" s="796"/>
      <c r="O7" s="796"/>
      <c r="P7" s="796"/>
      <c r="Q7" s="467"/>
      <c r="R7" s="183"/>
      <c r="S7" s="798"/>
      <c r="T7" s="879"/>
      <c r="U7" s="467"/>
      <c r="V7" s="469"/>
      <c r="AN7" s="1202"/>
      <c r="AO7" s="1202"/>
      <c r="AP7" s="1202"/>
      <c r="AQ7" s="1202"/>
      <c r="AR7" s="1106"/>
      <c r="AS7" s="785"/>
      <c r="AT7" s="787"/>
      <c r="AU7" s="799"/>
      <c r="AV7" s="786"/>
    </row>
    <row r="8" spans="2:50" s="325" customFormat="1" ht="12.75" customHeight="1" x14ac:dyDescent="0.25">
      <c r="B8" s="371"/>
      <c r="C8" s="467" t="s">
        <v>200</v>
      </c>
      <c r="D8" s="794"/>
      <c r="E8" s="612" t="str">
        <f>dir!E8</f>
        <v>2015/16</v>
      </c>
      <c r="F8" s="375"/>
      <c r="G8" s="376"/>
      <c r="H8" s="377"/>
      <c r="I8" s="377"/>
      <c r="J8" s="378"/>
      <c r="K8" s="372"/>
      <c r="L8" s="377"/>
      <c r="M8" s="377"/>
      <c r="N8" s="377"/>
      <c r="O8" s="377"/>
      <c r="P8" s="377"/>
      <c r="Q8" s="372"/>
      <c r="R8" s="436"/>
      <c r="S8" s="379"/>
      <c r="T8" s="744"/>
      <c r="U8" s="372"/>
      <c r="V8" s="380"/>
      <c r="W8" s="1107"/>
      <c r="X8" s="1203"/>
      <c r="Y8" s="1239"/>
      <c r="Z8" s="1240"/>
      <c r="AA8" s="1240"/>
      <c r="AB8" s="1240"/>
      <c r="AC8" s="1240"/>
      <c r="AD8" s="1240"/>
      <c r="AE8" s="1240"/>
      <c r="AF8" s="1240"/>
      <c r="AG8" s="1243"/>
      <c r="AH8" s="1244"/>
      <c r="AI8" s="1276"/>
      <c r="AJ8" s="1276"/>
      <c r="AK8" s="1213"/>
      <c r="AL8" s="1213"/>
      <c r="AM8" s="1214"/>
      <c r="AN8" s="1204"/>
      <c r="AO8" s="1204"/>
      <c r="AP8" s="1204"/>
      <c r="AQ8" s="1204"/>
      <c r="AR8" s="1108"/>
      <c r="AS8" s="326"/>
      <c r="AT8" s="328"/>
      <c r="AU8" s="329"/>
      <c r="AV8" s="327"/>
    </row>
    <row r="9" spans="2:50" ht="12.75" customHeight="1" x14ac:dyDescent="0.2">
      <c r="B9" s="466"/>
      <c r="C9" s="467" t="s">
        <v>213</v>
      </c>
      <c r="D9" s="794"/>
      <c r="E9" s="800">
        <f>dir!E9</f>
        <v>42278</v>
      </c>
      <c r="F9" s="70"/>
      <c r="G9" s="382"/>
      <c r="H9" s="796"/>
      <c r="I9" s="796"/>
      <c r="J9" s="797"/>
      <c r="K9" s="467"/>
      <c r="L9" s="796"/>
      <c r="M9" s="796"/>
      <c r="N9" s="796"/>
      <c r="O9" s="796"/>
      <c r="P9" s="796"/>
      <c r="Q9" s="467"/>
      <c r="R9" s="183"/>
      <c r="S9" s="798"/>
      <c r="T9" s="879"/>
      <c r="U9" s="467"/>
      <c r="V9" s="469"/>
      <c r="AI9" s="1249"/>
      <c r="AJ9" s="1249"/>
      <c r="AN9" s="1202"/>
      <c r="AO9" s="1202"/>
      <c r="AP9" s="1202"/>
      <c r="AQ9" s="1202"/>
      <c r="AR9" s="1106"/>
      <c r="AS9" s="785"/>
      <c r="AT9" s="787"/>
      <c r="AU9" s="799"/>
      <c r="AV9" s="786"/>
    </row>
    <row r="10" spans="2:50" ht="12.75" customHeight="1" x14ac:dyDescent="0.25">
      <c r="B10" s="466"/>
      <c r="C10" s="467"/>
      <c r="D10" s="773"/>
      <c r="E10" s="746"/>
      <c r="F10" s="70"/>
      <c r="G10" s="382"/>
      <c r="H10" s="796"/>
      <c r="I10" s="796"/>
      <c r="J10" s="797"/>
      <c r="K10" s="467"/>
      <c r="L10" s="796"/>
      <c r="M10" s="796"/>
      <c r="N10" s="796"/>
      <c r="O10" s="796"/>
      <c r="P10" s="796"/>
      <c r="Q10" s="467"/>
      <c r="R10" s="183"/>
      <c r="S10" s="798"/>
      <c r="T10" s="879"/>
      <c r="U10" s="467"/>
      <c r="V10" s="469"/>
      <c r="AI10" s="1249"/>
      <c r="AJ10" s="1249"/>
      <c r="AN10" s="1202"/>
      <c r="AO10" s="1202"/>
      <c r="AP10" s="1202"/>
      <c r="AQ10" s="1202"/>
      <c r="AR10" s="1106"/>
      <c r="AS10" s="785"/>
      <c r="AT10" s="787"/>
      <c r="AU10" s="799"/>
      <c r="AV10" s="786"/>
    </row>
    <row r="11" spans="2:50" ht="12.75" customHeight="1" x14ac:dyDescent="0.2">
      <c r="B11" s="466"/>
      <c r="C11" s="774"/>
      <c r="D11" s="1090"/>
      <c r="E11" s="1091"/>
      <c r="F11" s="1092"/>
      <c r="G11" s="1093"/>
      <c r="H11" s="1094"/>
      <c r="I11" s="1094"/>
      <c r="J11" s="1095"/>
      <c r="K11" s="1096"/>
      <c r="L11" s="1094"/>
      <c r="M11" s="1094"/>
      <c r="N11" s="1094"/>
      <c r="O11" s="1094"/>
      <c r="P11" s="1094"/>
      <c r="Q11" s="1096"/>
      <c r="R11" s="1096"/>
      <c r="S11" s="1097"/>
      <c r="T11" s="1098"/>
      <c r="U11" s="482"/>
      <c r="V11" s="469"/>
      <c r="AN11" s="1202"/>
      <c r="AO11" s="1202"/>
      <c r="AP11" s="1202"/>
      <c r="AQ11" s="1202"/>
      <c r="AR11" s="1106"/>
      <c r="AS11" s="785"/>
      <c r="AT11" s="787"/>
      <c r="AU11" s="799"/>
      <c r="AV11" s="786"/>
    </row>
    <row r="12" spans="2:50" s="144" customFormat="1" ht="12.75" customHeight="1" x14ac:dyDescent="0.2">
      <c r="B12" s="150"/>
      <c r="C12" s="139"/>
      <c r="D12" s="1035" t="s">
        <v>306</v>
      </c>
      <c r="E12" s="1036"/>
      <c r="F12" s="1036"/>
      <c r="G12" s="1036"/>
      <c r="H12" s="1036"/>
      <c r="I12" s="1036"/>
      <c r="J12" s="1036"/>
      <c r="K12" s="1055"/>
      <c r="L12" s="1191" t="s">
        <v>553</v>
      </c>
      <c r="M12" s="1193"/>
      <c r="N12" s="1191"/>
      <c r="O12" s="1191"/>
      <c r="P12" s="1291"/>
      <c r="Q12" s="1055"/>
      <c r="R12" s="1191" t="s">
        <v>554</v>
      </c>
      <c r="S12" s="1194"/>
      <c r="T12" s="1292"/>
      <c r="U12" s="1293"/>
      <c r="V12" s="426"/>
      <c r="W12" s="427"/>
      <c r="X12" s="427"/>
      <c r="Y12" s="1221"/>
      <c r="Z12" s="1294"/>
      <c r="AA12" s="1221"/>
      <c r="AB12" s="1221"/>
      <c r="AC12" s="1221"/>
      <c r="AD12" s="1295"/>
      <c r="AE12" s="1295"/>
      <c r="AF12" s="1222"/>
      <c r="AG12" s="1248"/>
      <c r="AH12" s="1249"/>
      <c r="AI12" s="1277"/>
      <c r="AJ12" s="1277"/>
      <c r="AK12" s="1215"/>
      <c r="AL12" s="1215"/>
      <c r="AM12" s="1215"/>
      <c r="AN12" s="1198"/>
      <c r="AO12" s="1198"/>
      <c r="AP12" s="1198"/>
      <c r="AQ12" s="1198"/>
      <c r="AR12" s="1040"/>
      <c r="AW12" s="427"/>
      <c r="AX12" s="427"/>
    </row>
    <row r="13" spans="2:50" s="144" customFormat="1" ht="12.75" customHeight="1" x14ac:dyDescent="0.2">
      <c r="B13" s="150"/>
      <c r="C13" s="139"/>
      <c r="D13" s="1030" t="s">
        <v>545</v>
      </c>
      <c r="E13" s="1030" t="s">
        <v>201</v>
      </c>
      <c r="F13" s="1057" t="s">
        <v>151</v>
      </c>
      <c r="G13" s="1058" t="s">
        <v>295</v>
      </c>
      <c r="H13" s="1057" t="s">
        <v>226</v>
      </c>
      <c r="I13" s="1057" t="s">
        <v>247</v>
      </c>
      <c r="J13" s="1059" t="s">
        <v>154</v>
      </c>
      <c r="K13" s="1034"/>
      <c r="L13" s="1060" t="s">
        <v>530</v>
      </c>
      <c r="M13" s="1060" t="s">
        <v>531</v>
      </c>
      <c r="N13" s="1060" t="s">
        <v>529</v>
      </c>
      <c r="O13" s="1060" t="s">
        <v>530</v>
      </c>
      <c r="P13" s="1296" t="s">
        <v>555</v>
      </c>
      <c r="Q13" s="1034"/>
      <c r="R13" s="1195" t="s">
        <v>212</v>
      </c>
      <c r="S13" s="1062" t="s">
        <v>556</v>
      </c>
      <c r="T13" s="1063" t="s">
        <v>212</v>
      </c>
      <c r="U13" s="1297"/>
      <c r="V13" s="429"/>
      <c r="W13" s="430"/>
      <c r="X13" s="430"/>
      <c r="Y13" s="1068" t="s">
        <v>325</v>
      </c>
      <c r="Z13" s="1285" t="s">
        <v>548</v>
      </c>
      <c r="AA13" s="1259" t="s">
        <v>549</v>
      </c>
      <c r="AB13" s="1259" t="s">
        <v>549</v>
      </c>
      <c r="AC13" s="1259" t="s">
        <v>546</v>
      </c>
      <c r="AD13" s="1206" t="s">
        <v>539</v>
      </c>
      <c r="AE13" s="1206" t="s">
        <v>540</v>
      </c>
      <c r="AF13" s="1069" t="s">
        <v>541</v>
      </c>
      <c r="AG13" s="1250" t="s">
        <v>319</v>
      </c>
      <c r="AH13" s="1249" t="s">
        <v>459</v>
      </c>
      <c r="AI13" s="1069" t="s">
        <v>300</v>
      </c>
      <c r="AJ13" s="1069" t="s">
        <v>301</v>
      </c>
      <c r="AK13" s="1217" t="s">
        <v>153</v>
      </c>
      <c r="AL13" s="1217" t="s">
        <v>224</v>
      </c>
      <c r="AM13" s="1216" t="s">
        <v>208</v>
      </c>
      <c r="AN13" s="1198"/>
      <c r="AO13" s="1198"/>
      <c r="AP13" s="1198"/>
      <c r="AQ13" s="1198"/>
      <c r="AR13" s="1040"/>
      <c r="AW13" s="427"/>
      <c r="AX13" s="430"/>
    </row>
    <row r="14" spans="2:50" s="144" customFormat="1" ht="12.75" customHeight="1" x14ac:dyDescent="0.2">
      <c r="B14" s="150"/>
      <c r="C14" s="139"/>
      <c r="D14" s="1036"/>
      <c r="E14" s="1030"/>
      <c r="F14" s="1057" t="s">
        <v>152</v>
      </c>
      <c r="G14" s="1058" t="s">
        <v>296</v>
      </c>
      <c r="H14" s="1057"/>
      <c r="I14" s="1057"/>
      <c r="J14" s="1059" t="s">
        <v>299</v>
      </c>
      <c r="K14" s="1034"/>
      <c r="L14" s="1060" t="s">
        <v>533</v>
      </c>
      <c r="M14" s="1060" t="s">
        <v>534</v>
      </c>
      <c r="N14" s="1060" t="s">
        <v>532</v>
      </c>
      <c r="O14" s="1060" t="s">
        <v>544</v>
      </c>
      <c r="P14" s="1296" t="s">
        <v>291</v>
      </c>
      <c r="Q14" s="1034"/>
      <c r="R14" s="1061" t="s">
        <v>557</v>
      </c>
      <c r="S14" s="1062" t="s">
        <v>535</v>
      </c>
      <c r="T14" s="1063" t="s">
        <v>291</v>
      </c>
      <c r="U14" s="1040"/>
      <c r="V14" s="151"/>
      <c r="Y14" s="1068" t="s">
        <v>217</v>
      </c>
      <c r="Z14" s="1071">
        <f>tab!$D$48</f>
        <v>0.62</v>
      </c>
      <c r="AA14" s="1259" t="s">
        <v>550</v>
      </c>
      <c r="AB14" s="1259" t="s">
        <v>551</v>
      </c>
      <c r="AC14" s="1259" t="s">
        <v>552</v>
      </c>
      <c r="AD14" s="1206" t="s">
        <v>542</v>
      </c>
      <c r="AE14" s="1206" t="s">
        <v>542</v>
      </c>
      <c r="AF14" s="1069" t="s">
        <v>543</v>
      </c>
      <c r="AG14" s="1250"/>
      <c r="AH14" s="1251" t="s">
        <v>246</v>
      </c>
      <c r="AI14" s="1206" t="s">
        <v>297</v>
      </c>
      <c r="AJ14" s="1206" t="s">
        <v>297</v>
      </c>
      <c r="AK14" s="1217"/>
      <c r="AL14" s="1217" t="s">
        <v>208</v>
      </c>
      <c r="AM14" s="1216"/>
      <c r="AN14" s="1198"/>
      <c r="AO14" s="1198"/>
      <c r="AP14" s="1198"/>
      <c r="AQ14" s="1198"/>
      <c r="AR14" s="1040"/>
      <c r="AX14" s="767"/>
    </row>
    <row r="15" spans="2:50" ht="12.75" customHeight="1" x14ac:dyDescent="0.2">
      <c r="B15" s="466"/>
      <c r="C15" s="135"/>
      <c r="D15" s="1036"/>
      <c r="E15" s="1036"/>
      <c r="F15" s="1099"/>
      <c r="G15" s="1100"/>
      <c r="H15" s="1057"/>
      <c r="I15" s="1057"/>
      <c r="J15" s="1059"/>
      <c r="K15" s="1036"/>
      <c r="L15" s="1060"/>
      <c r="M15" s="1060"/>
      <c r="N15" s="1060"/>
      <c r="O15" s="1060"/>
      <c r="P15" s="1060"/>
      <c r="Q15" s="1036"/>
      <c r="R15" s="1101"/>
      <c r="S15" s="1062"/>
      <c r="T15" s="1102"/>
      <c r="U15" s="487"/>
      <c r="V15" s="469"/>
      <c r="Y15" s="1068"/>
      <c r="Z15" s="1222"/>
      <c r="AA15" s="1222"/>
      <c r="AB15" s="1222"/>
      <c r="AC15" s="1222"/>
      <c r="AD15" s="1206"/>
      <c r="AE15" s="1206"/>
      <c r="AG15" s="1250"/>
      <c r="AH15" s="1251"/>
      <c r="AM15" s="1216"/>
      <c r="AU15" s="454"/>
      <c r="AV15" s="454"/>
      <c r="AX15" s="801"/>
    </row>
    <row r="16" spans="2:50" ht="12.75" customHeight="1" x14ac:dyDescent="0.2">
      <c r="B16" s="466"/>
      <c r="C16" s="135"/>
      <c r="D16" s="432"/>
      <c r="E16" s="432" t="s">
        <v>564</v>
      </c>
      <c r="F16" s="776"/>
      <c r="G16" s="802">
        <v>26665</v>
      </c>
      <c r="H16" s="776" t="s">
        <v>159</v>
      </c>
      <c r="I16" s="433">
        <v>10</v>
      </c>
      <c r="J16" s="803">
        <v>1</v>
      </c>
      <c r="K16" s="518"/>
      <c r="L16" s="1207"/>
      <c r="M16" s="1207"/>
      <c r="N16" s="1209">
        <f t="shared" ref="N16" si="0">IF(J16="","",IF((J16*40)&gt;40,40,((J16*40))))</f>
        <v>40</v>
      </c>
      <c r="O16" s="1209">
        <f t="shared" ref="O16" si="1">IF(J16="","",IF(I16&lt;4,(40*J16),0))</f>
        <v>0</v>
      </c>
      <c r="P16" s="1283">
        <f t="shared" ref="P16" si="2">IF(J16="","",(SUM(L16:O16)))</f>
        <v>40</v>
      </c>
      <c r="Q16" s="518"/>
      <c r="R16" s="1076">
        <f>IF(J16="","",(((1659*J16)-P16)*AB16))</f>
        <v>58602.295985533456</v>
      </c>
      <c r="S16" s="1076">
        <f t="shared" ref="S16" si="3">IF(J16="","",(P16*AC16)+(AA16*AD16)+((AE16*AA16*(1-AF16))))</f>
        <v>1447.8640144665462</v>
      </c>
      <c r="T16" s="1078">
        <f t="shared" ref="T16" si="4">IF(J16="","",(R16+S16))</f>
        <v>60050.16</v>
      </c>
      <c r="U16" s="599"/>
      <c r="V16" s="804"/>
      <c r="W16" s="1110"/>
      <c r="X16" s="1218"/>
      <c r="Y16" s="1253">
        <f>ROUND(VLOOKUP(H16,tab!$A$61:$V$103,I16+2,FALSE),0)</f>
        <v>3089</v>
      </c>
      <c r="Z16" s="1252">
        <f>tab!$D$48</f>
        <v>0.62</v>
      </c>
      <c r="AA16" s="1284">
        <f t="shared" ref="AA16" si="5">(Y16*12/1659)</f>
        <v>22.343580470162749</v>
      </c>
      <c r="AB16" s="1284">
        <f t="shared" ref="AB16" si="6">(Y16*12*(1+Z16))/1659</f>
        <v>36.196600361663656</v>
      </c>
      <c r="AC16" s="1284">
        <f t="shared" ref="AC16" si="7">AB16-AA16</f>
        <v>13.853019891500907</v>
      </c>
      <c r="AD16" s="1286">
        <f t="shared" ref="AD16" si="8">(N16+O16)</f>
        <v>40</v>
      </c>
      <c r="AE16" s="1286">
        <f t="shared" ref="AE16" si="9">(L16+M16)</f>
        <v>0</v>
      </c>
      <c r="AF16" s="1254">
        <f>IF(H16&gt;8,tab!$D$49,tab!$D$52)</f>
        <v>0.5</v>
      </c>
      <c r="AG16" s="1255">
        <f t="shared" ref="AG16:AG47" si="10">IF(F16&lt;25,0,IF(F16=25,25,IF(F16&lt;40,0,IF(F16=40,40,IF(F16&gt;=40,0)))))</f>
        <v>0</v>
      </c>
      <c r="AH16" s="1251">
        <f t="shared" ref="AH16:AH47" si="11">IF(AG16=25,(Y16*1.08*(J16)/2),IF(AG16=40,(Y16*1.08*(J16)),IF(AG16=0,0)))</f>
        <v>0</v>
      </c>
      <c r="AI16" s="1278" t="b">
        <f>DATE(YEAR(tab!$E$3),MONTH(G16),DAY(G16))&gt;tab!$E$3</f>
        <v>0</v>
      </c>
      <c r="AJ16" s="1255">
        <f t="shared" ref="AJ16:AJ47" si="12">YEAR($E$9)-YEAR(G16)-AI16</f>
        <v>42</v>
      </c>
      <c r="AK16" s="1199">
        <f t="shared" ref="AK16:AK47" si="13">IF((G16=""),30,AJ16)</f>
        <v>42</v>
      </c>
      <c r="AL16" s="1199">
        <f t="shared" ref="AL16:AL47" si="14">IF((AK16)&gt;50,50,(AK16))</f>
        <v>42</v>
      </c>
      <c r="AM16" s="1205">
        <f t="shared" ref="AM16:AM47" si="15">(AL16*(SUM(J16:J16)))</f>
        <v>42</v>
      </c>
      <c r="AU16" s="454"/>
      <c r="AV16" s="454"/>
      <c r="AW16" s="801"/>
      <c r="AX16" s="788"/>
    </row>
    <row r="17" spans="2:50" ht="12.75" customHeight="1" x14ac:dyDescent="0.2">
      <c r="B17" s="466"/>
      <c r="C17" s="135"/>
      <c r="D17" s="432"/>
      <c r="E17" s="432"/>
      <c r="F17" s="776"/>
      <c r="G17" s="802"/>
      <c r="H17" s="776"/>
      <c r="I17" s="433"/>
      <c r="J17" s="803"/>
      <c r="K17" s="518"/>
      <c r="L17" s="1207"/>
      <c r="M17" s="1207"/>
      <c r="N17" s="1209" t="str">
        <f t="shared" ref="N17:N70" si="16">IF(J17="","",IF((J17*40)&gt;40,40,((J17*40))))</f>
        <v/>
      </c>
      <c r="O17" s="1209" t="str">
        <f t="shared" ref="O17:O70" si="17">IF(J17="","",IF(I17&lt;4,(40*J17),0))</f>
        <v/>
      </c>
      <c r="P17" s="1283" t="str">
        <f t="shared" ref="P17:P70" si="18">IF(J17="","",(SUM(L17:O17)))</f>
        <v/>
      </c>
      <c r="Q17" s="518"/>
      <c r="R17" s="1076" t="str">
        <f>IF(J17="","",(((1659*J17)-P17)*AB17))</f>
        <v/>
      </c>
      <c r="S17" s="1076" t="str">
        <f t="shared" ref="S17:S70" si="19">IF(J17="","",(P17*AC17)+(AA17*AD17)+((AE17*AA17*(1-AF17))))</f>
        <v/>
      </c>
      <c r="T17" s="1078" t="str">
        <f t="shared" ref="T17:T70" si="20">IF(J17="","",(R17+S17))</f>
        <v/>
      </c>
      <c r="U17" s="599"/>
      <c r="V17" s="804"/>
      <c r="W17" s="1110"/>
      <c r="X17" s="1218"/>
      <c r="Y17" s="1253" t="e">
        <f>ROUND(VLOOKUP(H17,tab!$A$61:$V$103,I17+2,FALSE),0)</f>
        <v>#N/A</v>
      </c>
      <c r="Z17" s="1252">
        <f>tab!$D$48</f>
        <v>0.62</v>
      </c>
      <c r="AA17" s="1284" t="e">
        <f t="shared" ref="AA17:AA70" si="21">(Y17*12/1659)</f>
        <v>#N/A</v>
      </c>
      <c r="AB17" s="1284" t="e">
        <f t="shared" ref="AB17:AB70" si="22">(Y17*12*(1+Z17))/1659</f>
        <v>#N/A</v>
      </c>
      <c r="AC17" s="1284" t="e">
        <f t="shared" ref="AC17:AC70" si="23">AB17-AA17</f>
        <v>#N/A</v>
      </c>
      <c r="AD17" s="1286" t="e">
        <f t="shared" ref="AD17:AD70" si="24">(N17+O17)</f>
        <v>#VALUE!</v>
      </c>
      <c r="AE17" s="1286">
        <f t="shared" ref="AE17:AE70" si="25">(L17+M17)</f>
        <v>0</v>
      </c>
      <c r="AF17" s="1254">
        <f>IF(H17&gt;8,tab!$D$49,tab!$D$52)</f>
        <v>0.4</v>
      </c>
      <c r="AG17" s="1255">
        <f t="shared" si="10"/>
        <v>0</v>
      </c>
      <c r="AH17" s="1251">
        <f t="shared" si="11"/>
        <v>0</v>
      </c>
      <c r="AI17" s="1278" t="b">
        <f>DATE(YEAR(tab!$E$3),MONTH(G17),DAY(G17))&gt;tab!$E$3</f>
        <v>0</v>
      </c>
      <c r="AJ17" s="1255">
        <f t="shared" si="12"/>
        <v>115</v>
      </c>
      <c r="AK17" s="1199">
        <f t="shared" si="13"/>
        <v>30</v>
      </c>
      <c r="AL17" s="1199">
        <f t="shared" si="14"/>
        <v>30</v>
      </c>
      <c r="AM17" s="1205">
        <f t="shared" si="15"/>
        <v>0</v>
      </c>
      <c r="AU17" s="454"/>
      <c r="AV17" s="454"/>
      <c r="AW17" s="801"/>
      <c r="AX17" s="788"/>
    </row>
    <row r="18" spans="2:50" ht="12.75" customHeight="1" x14ac:dyDescent="0.2">
      <c r="B18" s="466"/>
      <c r="C18" s="135"/>
      <c r="D18" s="432"/>
      <c r="E18" s="432"/>
      <c r="F18" s="776"/>
      <c r="G18" s="802"/>
      <c r="H18" s="776"/>
      <c r="I18" s="433"/>
      <c r="J18" s="803"/>
      <c r="K18" s="518"/>
      <c r="L18" s="1207"/>
      <c r="M18" s="1207"/>
      <c r="N18" s="1209" t="str">
        <f t="shared" si="16"/>
        <v/>
      </c>
      <c r="O18" s="1209" t="str">
        <f t="shared" si="17"/>
        <v/>
      </c>
      <c r="P18" s="1283" t="str">
        <f t="shared" si="18"/>
        <v/>
      </c>
      <c r="Q18" s="518"/>
      <c r="R18" s="1076" t="str">
        <f t="shared" ref="R18:R70" si="26">IF(J18="","",(((1659*J18)-P18)*AB18))</f>
        <v/>
      </c>
      <c r="S18" s="1076" t="str">
        <f t="shared" si="19"/>
        <v/>
      </c>
      <c r="T18" s="1078" t="str">
        <f t="shared" si="20"/>
        <v/>
      </c>
      <c r="U18" s="599"/>
      <c r="V18" s="804"/>
      <c r="W18" s="1110"/>
      <c r="X18" s="1218"/>
      <c r="Y18" s="1253" t="e">
        <f>ROUND(VLOOKUP(H18,tab!$A$61:$V$103,I18+2,FALSE),0)</f>
        <v>#N/A</v>
      </c>
      <c r="Z18" s="1252">
        <f>tab!$D$48</f>
        <v>0.62</v>
      </c>
      <c r="AA18" s="1284" t="e">
        <f t="shared" si="21"/>
        <v>#N/A</v>
      </c>
      <c r="AB18" s="1284" t="e">
        <f t="shared" si="22"/>
        <v>#N/A</v>
      </c>
      <c r="AC18" s="1284" t="e">
        <f t="shared" si="23"/>
        <v>#N/A</v>
      </c>
      <c r="AD18" s="1286" t="e">
        <f t="shared" si="24"/>
        <v>#VALUE!</v>
      </c>
      <c r="AE18" s="1286">
        <f t="shared" si="25"/>
        <v>0</v>
      </c>
      <c r="AF18" s="1254">
        <f>IF(H18&gt;8,tab!$D$49,tab!$D$52)</f>
        <v>0.4</v>
      </c>
      <c r="AG18" s="1255">
        <f t="shared" si="10"/>
        <v>0</v>
      </c>
      <c r="AH18" s="1251">
        <f t="shared" si="11"/>
        <v>0</v>
      </c>
      <c r="AI18" s="1278" t="b">
        <f>DATE(YEAR(tab!$E$3),MONTH(G18),DAY(G18))&gt;tab!$E$3</f>
        <v>0</v>
      </c>
      <c r="AJ18" s="1255">
        <f t="shared" si="12"/>
        <v>115</v>
      </c>
      <c r="AK18" s="1199">
        <f t="shared" si="13"/>
        <v>30</v>
      </c>
      <c r="AL18" s="1199">
        <f t="shared" si="14"/>
        <v>30</v>
      </c>
      <c r="AM18" s="1205">
        <f t="shared" si="15"/>
        <v>0</v>
      </c>
      <c r="AU18" s="454"/>
      <c r="AV18" s="454"/>
      <c r="AW18" s="788"/>
      <c r="AX18" s="801"/>
    </row>
    <row r="19" spans="2:50" ht="12.75" customHeight="1" x14ac:dyDescent="0.2">
      <c r="B19" s="466"/>
      <c r="C19" s="135"/>
      <c r="D19" s="432"/>
      <c r="E19" s="432"/>
      <c r="F19" s="776"/>
      <c r="G19" s="802"/>
      <c r="H19" s="776"/>
      <c r="I19" s="433"/>
      <c r="J19" s="803"/>
      <c r="K19" s="518"/>
      <c r="L19" s="1207"/>
      <c r="M19" s="1207"/>
      <c r="N19" s="1209" t="str">
        <f t="shared" si="16"/>
        <v/>
      </c>
      <c r="O19" s="1209" t="str">
        <f t="shared" si="17"/>
        <v/>
      </c>
      <c r="P19" s="1283" t="str">
        <f t="shared" si="18"/>
        <v/>
      </c>
      <c r="Q19" s="518"/>
      <c r="R19" s="1076" t="str">
        <f t="shared" si="26"/>
        <v/>
      </c>
      <c r="S19" s="1076" t="str">
        <f t="shared" si="19"/>
        <v/>
      </c>
      <c r="T19" s="1078" t="str">
        <f t="shared" si="20"/>
        <v/>
      </c>
      <c r="U19" s="599"/>
      <c r="V19" s="804"/>
      <c r="W19" s="1110"/>
      <c r="X19" s="1218"/>
      <c r="Y19" s="1253" t="e">
        <f>ROUND(VLOOKUP(H19,tab!$A$61:$V$103,I19+2,FALSE),0)</f>
        <v>#N/A</v>
      </c>
      <c r="Z19" s="1252">
        <f>tab!$D$48</f>
        <v>0.62</v>
      </c>
      <c r="AA19" s="1284" t="e">
        <f t="shared" si="21"/>
        <v>#N/A</v>
      </c>
      <c r="AB19" s="1284" t="e">
        <f t="shared" si="22"/>
        <v>#N/A</v>
      </c>
      <c r="AC19" s="1284" t="e">
        <f t="shared" si="23"/>
        <v>#N/A</v>
      </c>
      <c r="AD19" s="1286" t="e">
        <f t="shared" si="24"/>
        <v>#VALUE!</v>
      </c>
      <c r="AE19" s="1286">
        <f t="shared" si="25"/>
        <v>0</v>
      </c>
      <c r="AF19" s="1254">
        <f>IF(H19&gt;8,tab!$D$49,tab!$D$52)</f>
        <v>0.4</v>
      </c>
      <c r="AG19" s="1255">
        <f t="shared" si="10"/>
        <v>0</v>
      </c>
      <c r="AH19" s="1251">
        <f t="shared" si="11"/>
        <v>0</v>
      </c>
      <c r="AI19" s="1278" t="b">
        <f>DATE(YEAR(tab!$E$3),MONTH(G19),DAY(G19))&gt;tab!$E$3</f>
        <v>0</v>
      </c>
      <c r="AJ19" s="1255">
        <f t="shared" si="12"/>
        <v>115</v>
      </c>
      <c r="AK19" s="1199">
        <f t="shared" si="13"/>
        <v>30</v>
      </c>
      <c r="AL19" s="1199">
        <f t="shared" si="14"/>
        <v>30</v>
      </c>
      <c r="AM19" s="1205">
        <f t="shared" si="15"/>
        <v>0</v>
      </c>
      <c r="AU19" s="454"/>
      <c r="AV19" s="454"/>
      <c r="AW19" s="788"/>
      <c r="AX19" s="801"/>
    </row>
    <row r="20" spans="2:50" ht="12.75" customHeight="1" x14ac:dyDescent="0.2">
      <c r="B20" s="466"/>
      <c r="C20" s="135"/>
      <c r="D20" s="432"/>
      <c r="E20" s="432"/>
      <c r="F20" s="776"/>
      <c r="G20" s="802"/>
      <c r="H20" s="776"/>
      <c r="I20" s="433"/>
      <c r="J20" s="803"/>
      <c r="K20" s="518"/>
      <c r="L20" s="1207"/>
      <c r="M20" s="1207"/>
      <c r="N20" s="1209" t="str">
        <f t="shared" si="16"/>
        <v/>
      </c>
      <c r="O20" s="1209" t="str">
        <f t="shared" si="17"/>
        <v/>
      </c>
      <c r="P20" s="1283" t="str">
        <f t="shared" si="18"/>
        <v/>
      </c>
      <c r="Q20" s="518"/>
      <c r="R20" s="1076" t="str">
        <f t="shared" si="26"/>
        <v/>
      </c>
      <c r="S20" s="1076" t="str">
        <f t="shared" si="19"/>
        <v/>
      </c>
      <c r="T20" s="1078" t="str">
        <f t="shared" si="20"/>
        <v/>
      </c>
      <c r="U20" s="599"/>
      <c r="V20" s="804"/>
      <c r="W20" s="1110"/>
      <c r="X20" s="1218"/>
      <c r="Y20" s="1253" t="e">
        <f>ROUND(VLOOKUP(H20,tab!$A$61:$V$103,I20+2,FALSE),0)</f>
        <v>#N/A</v>
      </c>
      <c r="Z20" s="1252">
        <f>tab!$D$48</f>
        <v>0.62</v>
      </c>
      <c r="AA20" s="1284" t="e">
        <f t="shared" si="21"/>
        <v>#N/A</v>
      </c>
      <c r="AB20" s="1284" t="e">
        <f t="shared" si="22"/>
        <v>#N/A</v>
      </c>
      <c r="AC20" s="1284" t="e">
        <f t="shared" si="23"/>
        <v>#N/A</v>
      </c>
      <c r="AD20" s="1286" t="e">
        <f t="shared" si="24"/>
        <v>#VALUE!</v>
      </c>
      <c r="AE20" s="1286">
        <f t="shared" si="25"/>
        <v>0</v>
      </c>
      <c r="AF20" s="1254">
        <f>IF(H20&gt;8,tab!$D$49,tab!$D$52)</f>
        <v>0.4</v>
      </c>
      <c r="AG20" s="1255">
        <f t="shared" si="10"/>
        <v>0</v>
      </c>
      <c r="AH20" s="1251">
        <f t="shared" si="11"/>
        <v>0</v>
      </c>
      <c r="AI20" s="1278" t="b">
        <f>DATE(YEAR(tab!$E$3),MONTH(G20),DAY(G20))&gt;tab!$E$3</f>
        <v>0</v>
      </c>
      <c r="AJ20" s="1255">
        <f t="shared" si="12"/>
        <v>115</v>
      </c>
      <c r="AK20" s="1199">
        <f t="shared" si="13"/>
        <v>30</v>
      </c>
      <c r="AL20" s="1199">
        <f t="shared" si="14"/>
        <v>30</v>
      </c>
      <c r="AM20" s="1205">
        <f t="shared" si="15"/>
        <v>0</v>
      </c>
      <c r="AU20" s="454"/>
      <c r="AV20" s="454"/>
      <c r="AW20" s="801"/>
    </row>
    <row r="21" spans="2:50" ht="12.75" customHeight="1" x14ac:dyDescent="0.2">
      <c r="B21" s="466"/>
      <c r="C21" s="135"/>
      <c r="D21" s="432"/>
      <c r="E21" s="432"/>
      <c r="F21" s="776"/>
      <c r="G21" s="802"/>
      <c r="H21" s="776"/>
      <c r="I21" s="433"/>
      <c r="J21" s="803"/>
      <c r="K21" s="518"/>
      <c r="L21" s="1207"/>
      <c r="M21" s="1207"/>
      <c r="N21" s="1209" t="str">
        <f t="shared" si="16"/>
        <v/>
      </c>
      <c r="O21" s="1209" t="str">
        <f t="shared" si="17"/>
        <v/>
      </c>
      <c r="P21" s="1283" t="str">
        <f t="shared" si="18"/>
        <v/>
      </c>
      <c r="Q21" s="518"/>
      <c r="R21" s="1076" t="str">
        <f t="shared" si="26"/>
        <v/>
      </c>
      <c r="S21" s="1076" t="str">
        <f t="shared" si="19"/>
        <v/>
      </c>
      <c r="T21" s="1078" t="str">
        <f t="shared" si="20"/>
        <v/>
      </c>
      <c r="U21" s="599"/>
      <c r="V21" s="804"/>
      <c r="W21" s="1110"/>
      <c r="X21" s="1218"/>
      <c r="Y21" s="1253" t="e">
        <f>ROUND(VLOOKUP(H21,tab!$A$61:$V$103,I21+2,FALSE),0)</f>
        <v>#N/A</v>
      </c>
      <c r="Z21" s="1252">
        <f>tab!$D$48</f>
        <v>0.62</v>
      </c>
      <c r="AA21" s="1284" t="e">
        <f t="shared" si="21"/>
        <v>#N/A</v>
      </c>
      <c r="AB21" s="1284" t="e">
        <f t="shared" si="22"/>
        <v>#N/A</v>
      </c>
      <c r="AC21" s="1284" t="e">
        <f t="shared" si="23"/>
        <v>#N/A</v>
      </c>
      <c r="AD21" s="1286" t="e">
        <f t="shared" si="24"/>
        <v>#VALUE!</v>
      </c>
      <c r="AE21" s="1286">
        <f t="shared" si="25"/>
        <v>0</v>
      </c>
      <c r="AF21" s="1254">
        <f>IF(H21&gt;8,tab!$D$49,tab!$D$52)</f>
        <v>0.4</v>
      </c>
      <c r="AG21" s="1255">
        <f t="shared" si="10"/>
        <v>0</v>
      </c>
      <c r="AH21" s="1251">
        <f t="shared" si="11"/>
        <v>0</v>
      </c>
      <c r="AI21" s="1278" t="b">
        <f>DATE(YEAR(tab!$E$3),MONTH(G21),DAY(G21))&gt;tab!$E$3</f>
        <v>0</v>
      </c>
      <c r="AJ21" s="1255">
        <f t="shared" si="12"/>
        <v>115</v>
      </c>
      <c r="AK21" s="1199">
        <f t="shared" si="13"/>
        <v>30</v>
      </c>
      <c r="AL21" s="1199">
        <f t="shared" si="14"/>
        <v>30</v>
      </c>
      <c r="AM21" s="1205">
        <f t="shared" si="15"/>
        <v>0</v>
      </c>
      <c r="AU21" s="454"/>
      <c r="AV21" s="454"/>
      <c r="AW21" s="801"/>
    </row>
    <row r="22" spans="2:50" ht="12.75" customHeight="1" x14ac:dyDescent="0.2">
      <c r="B22" s="466"/>
      <c r="C22" s="135"/>
      <c r="D22" s="432"/>
      <c r="E22" s="432"/>
      <c r="F22" s="776"/>
      <c r="G22" s="802"/>
      <c r="H22" s="776"/>
      <c r="I22" s="433"/>
      <c r="J22" s="803"/>
      <c r="K22" s="518"/>
      <c r="L22" s="1207"/>
      <c r="M22" s="1207"/>
      <c r="N22" s="1209" t="str">
        <f t="shared" si="16"/>
        <v/>
      </c>
      <c r="O22" s="1209" t="str">
        <f t="shared" si="17"/>
        <v/>
      </c>
      <c r="P22" s="1283" t="str">
        <f t="shared" si="18"/>
        <v/>
      </c>
      <c r="Q22" s="518"/>
      <c r="R22" s="1076" t="str">
        <f t="shared" si="26"/>
        <v/>
      </c>
      <c r="S22" s="1076" t="str">
        <f t="shared" si="19"/>
        <v/>
      </c>
      <c r="T22" s="1078" t="str">
        <f t="shared" si="20"/>
        <v/>
      </c>
      <c r="U22" s="599"/>
      <c r="V22" s="804"/>
      <c r="W22" s="1110"/>
      <c r="X22" s="1218"/>
      <c r="Y22" s="1253" t="e">
        <f>ROUND(VLOOKUP(H22,tab!$A$61:$V$103,I22+2,FALSE),0)</f>
        <v>#N/A</v>
      </c>
      <c r="Z22" s="1252">
        <f>tab!$D$48</f>
        <v>0.62</v>
      </c>
      <c r="AA22" s="1284" t="e">
        <f t="shared" si="21"/>
        <v>#N/A</v>
      </c>
      <c r="AB22" s="1284" t="e">
        <f t="shared" si="22"/>
        <v>#N/A</v>
      </c>
      <c r="AC22" s="1284" t="e">
        <f t="shared" si="23"/>
        <v>#N/A</v>
      </c>
      <c r="AD22" s="1286" t="e">
        <f t="shared" si="24"/>
        <v>#VALUE!</v>
      </c>
      <c r="AE22" s="1286">
        <f t="shared" si="25"/>
        <v>0</v>
      </c>
      <c r="AF22" s="1254">
        <f>IF(H22&gt;8,tab!$D$49,tab!$D$52)</f>
        <v>0.4</v>
      </c>
      <c r="AG22" s="1255">
        <f t="shared" si="10"/>
        <v>0</v>
      </c>
      <c r="AH22" s="1251">
        <f t="shared" si="11"/>
        <v>0</v>
      </c>
      <c r="AI22" s="1278" t="b">
        <f>DATE(YEAR(tab!$E$3),MONTH(G22),DAY(G22))&gt;tab!$E$3</f>
        <v>0</v>
      </c>
      <c r="AJ22" s="1255">
        <f t="shared" si="12"/>
        <v>115</v>
      </c>
      <c r="AK22" s="1199">
        <f t="shared" si="13"/>
        <v>30</v>
      </c>
      <c r="AL22" s="1199">
        <f t="shared" si="14"/>
        <v>30</v>
      </c>
      <c r="AM22" s="1205">
        <f t="shared" si="15"/>
        <v>0</v>
      </c>
      <c r="AU22" s="454"/>
      <c r="AV22" s="454"/>
    </row>
    <row r="23" spans="2:50" ht="12.75" customHeight="1" x14ac:dyDescent="0.2">
      <c r="B23" s="466"/>
      <c r="C23" s="135"/>
      <c r="D23" s="432"/>
      <c r="E23" s="432"/>
      <c r="F23" s="776"/>
      <c r="G23" s="802"/>
      <c r="H23" s="776"/>
      <c r="I23" s="433"/>
      <c r="J23" s="803"/>
      <c r="K23" s="518"/>
      <c r="L23" s="1207"/>
      <c r="M23" s="1207"/>
      <c r="N23" s="1209" t="str">
        <f t="shared" si="16"/>
        <v/>
      </c>
      <c r="O23" s="1209" t="str">
        <f t="shared" si="17"/>
        <v/>
      </c>
      <c r="P23" s="1283" t="str">
        <f t="shared" si="18"/>
        <v/>
      </c>
      <c r="Q23" s="518"/>
      <c r="R23" s="1076" t="str">
        <f t="shared" si="26"/>
        <v/>
      </c>
      <c r="S23" s="1076" t="str">
        <f t="shared" si="19"/>
        <v/>
      </c>
      <c r="T23" s="1078" t="str">
        <f t="shared" si="20"/>
        <v/>
      </c>
      <c r="U23" s="599"/>
      <c r="V23" s="804"/>
      <c r="W23" s="1110"/>
      <c r="X23" s="1218"/>
      <c r="Y23" s="1253" t="e">
        <f>ROUND(VLOOKUP(H23,tab!$A$61:$V$103,I23+2,FALSE),0)</f>
        <v>#N/A</v>
      </c>
      <c r="Z23" s="1252">
        <f>tab!$D$48</f>
        <v>0.62</v>
      </c>
      <c r="AA23" s="1284" t="e">
        <f t="shared" si="21"/>
        <v>#N/A</v>
      </c>
      <c r="AB23" s="1284" t="e">
        <f t="shared" si="22"/>
        <v>#N/A</v>
      </c>
      <c r="AC23" s="1284" t="e">
        <f t="shared" si="23"/>
        <v>#N/A</v>
      </c>
      <c r="AD23" s="1286" t="e">
        <f t="shared" si="24"/>
        <v>#VALUE!</v>
      </c>
      <c r="AE23" s="1286">
        <f t="shared" si="25"/>
        <v>0</v>
      </c>
      <c r="AF23" s="1254">
        <f>IF(H23&gt;8,tab!$D$49,tab!$D$52)</f>
        <v>0.4</v>
      </c>
      <c r="AG23" s="1255">
        <f t="shared" si="10"/>
        <v>0</v>
      </c>
      <c r="AH23" s="1251">
        <f t="shared" si="11"/>
        <v>0</v>
      </c>
      <c r="AI23" s="1278" t="b">
        <f>DATE(YEAR(tab!$E$3),MONTH(G23),DAY(G23))&gt;tab!$E$3</f>
        <v>0</v>
      </c>
      <c r="AJ23" s="1255">
        <f t="shared" si="12"/>
        <v>115</v>
      </c>
      <c r="AK23" s="1199">
        <f t="shared" si="13"/>
        <v>30</v>
      </c>
      <c r="AL23" s="1199">
        <f t="shared" si="14"/>
        <v>30</v>
      </c>
      <c r="AM23" s="1205">
        <f t="shared" si="15"/>
        <v>0</v>
      </c>
    </row>
    <row r="24" spans="2:50" ht="12.75" customHeight="1" x14ac:dyDescent="0.2">
      <c r="B24" s="466"/>
      <c r="C24" s="135"/>
      <c r="D24" s="432"/>
      <c r="E24" s="432"/>
      <c r="F24" s="776"/>
      <c r="G24" s="802"/>
      <c r="H24" s="776"/>
      <c r="I24" s="433"/>
      <c r="J24" s="803"/>
      <c r="K24" s="518"/>
      <c r="L24" s="1207"/>
      <c r="M24" s="1207"/>
      <c r="N24" s="1209" t="str">
        <f t="shared" si="16"/>
        <v/>
      </c>
      <c r="O24" s="1209" t="str">
        <f t="shared" si="17"/>
        <v/>
      </c>
      <c r="P24" s="1283" t="str">
        <f t="shared" si="18"/>
        <v/>
      </c>
      <c r="Q24" s="518"/>
      <c r="R24" s="1076" t="str">
        <f t="shared" si="26"/>
        <v/>
      </c>
      <c r="S24" s="1076" t="str">
        <f t="shared" si="19"/>
        <v/>
      </c>
      <c r="T24" s="1078" t="str">
        <f t="shared" si="20"/>
        <v/>
      </c>
      <c r="U24" s="599"/>
      <c r="V24" s="804"/>
      <c r="W24" s="1110"/>
      <c r="X24" s="1218"/>
      <c r="Y24" s="1253" t="e">
        <f>ROUND(VLOOKUP(H24,tab!$A$61:$V$103,I24+2,FALSE),0)</f>
        <v>#N/A</v>
      </c>
      <c r="Z24" s="1252">
        <f>tab!$D$48</f>
        <v>0.62</v>
      </c>
      <c r="AA24" s="1284" t="e">
        <f t="shared" si="21"/>
        <v>#N/A</v>
      </c>
      <c r="AB24" s="1284" t="e">
        <f t="shared" si="22"/>
        <v>#N/A</v>
      </c>
      <c r="AC24" s="1284" t="e">
        <f t="shared" si="23"/>
        <v>#N/A</v>
      </c>
      <c r="AD24" s="1286" t="e">
        <f t="shared" si="24"/>
        <v>#VALUE!</v>
      </c>
      <c r="AE24" s="1286">
        <f t="shared" si="25"/>
        <v>0</v>
      </c>
      <c r="AF24" s="1254">
        <f>IF(H24&gt;8,tab!$D$49,tab!$D$52)</f>
        <v>0.4</v>
      </c>
      <c r="AG24" s="1255">
        <f t="shared" si="10"/>
        <v>0</v>
      </c>
      <c r="AH24" s="1251">
        <f t="shared" si="11"/>
        <v>0</v>
      </c>
      <c r="AI24" s="1278" t="b">
        <f>DATE(YEAR(tab!$E$3),MONTH(G24),DAY(G24))&gt;tab!$E$3</f>
        <v>0</v>
      </c>
      <c r="AJ24" s="1255">
        <f t="shared" si="12"/>
        <v>115</v>
      </c>
      <c r="AK24" s="1199">
        <f t="shared" si="13"/>
        <v>30</v>
      </c>
      <c r="AL24" s="1199">
        <f t="shared" si="14"/>
        <v>30</v>
      </c>
      <c r="AM24" s="1205">
        <f t="shared" si="15"/>
        <v>0</v>
      </c>
    </row>
    <row r="25" spans="2:50" ht="12.75" customHeight="1" x14ac:dyDescent="0.2">
      <c r="B25" s="466"/>
      <c r="C25" s="135"/>
      <c r="D25" s="432"/>
      <c r="E25" s="432"/>
      <c r="F25" s="776"/>
      <c r="G25" s="802"/>
      <c r="H25" s="776"/>
      <c r="I25" s="433"/>
      <c r="J25" s="803"/>
      <c r="K25" s="518"/>
      <c r="L25" s="1207"/>
      <c r="M25" s="1207"/>
      <c r="N25" s="1209" t="str">
        <f t="shared" si="16"/>
        <v/>
      </c>
      <c r="O25" s="1209" t="str">
        <f t="shared" si="17"/>
        <v/>
      </c>
      <c r="P25" s="1283" t="str">
        <f t="shared" si="18"/>
        <v/>
      </c>
      <c r="Q25" s="518"/>
      <c r="R25" s="1076" t="str">
        <f t="shared" si="26"/>
        <v/>
      </c>
      <c r="S25" s="1076" t="str">
        <f t="shared" si="19"/>
        <v/>
      </c>
      <c r="T25" s="1078" t="str">
        <f t="shared" si="20"/>
        <v/>
      </c>
      <c r="U25" s="599"/>
      <c r="V25" s="804"/>
      <c r="W25" s="1110"/>
      <c r="X25" s="1218"/>
      <c r="Y25" s="1253" t="e">
        <f>ROUND(VLOOKUP(H25,tab!$A$61:$V$103,I25+2,FALSE),0)</f>
        <v>#N/A</v>
      </c>
      <c r="Z25" s="1252">
        <f>tab!$D$48</f>
        <v>0.62</v>
      </c>
      <c r="AA25" s="1284" t="e">
        <f t="shared" si="21"/>
        <v>#N/A</v>
      </c>
      <c r="AB25" s="1284" t="e">
        <f t="shared" si="22"/>
        <v>#N/A</v>
      </c>
      <c r="AC25" s="1284" t="e">
        <f t="shared" si="23"/>
        <v>#N/A</v>
      </c>
      <c r="AD25" s="1286" t="e">
        <f t="shared" si="24"/>
        <v>#VALUE!</v>
      </c>
      <c r="AE25" s="1286">
        <f t="shared" si="25"/>
        <v>0</v>
      </c>
      <c r="AF25" s="1254">
        <f>IF(H25&gt;8,tab!$D$49,tab!$D$52)</f>
        <v>0.4</v>
      </c>
      <c r="AG25" s="1255">
        <f t="shared" si="10"/>
        <v>0</v>
      </c>
      <c r="AH25" s="1251">
        <f t="shared" si="11"/>
        <v>0</v>
      </c>
      <c r="AI25" s="1278" t="b">
        <f>DATE(YEAR(tab!$E$3),MONTH(G25),DAY(G25))&gt;tab!$E$3</f>
        <v>0</v>
      </c>
      <c r="AJ25" s="1255">
        <f t="shared" si="12"/>
        <v>115</v>
      </c>
      <c r="AK25" s="1199">
        <f t="shared" si="13"/>
        <v>30</v>
      </c>
      <c r="AL25" s="1199">
        <f t="shared" si="14"/>
        <v>30</v>
      </c>
      <c r="AM25" s="1205">
        <f t="shared" si="15"/>
        <v>0</v>
      </c>
    </row>
    <row r="26" spans="2:50" ht="12.75" customHeight="1" x14ac:dyDescent="0.2">
      <c r="B26" s="466"/>
      <c r="C26" s="135"/>
      <c r="D26" s="432"/>
      <c r="E26" s="432"/>
      <c r="F26" s="776"/>
      <c r="G26" s="802"/>
      <c r="H26" s="776"/>
      <c r="I26" s="433"/>
      <c r="J26" s="803"/>
      <c r="K26" s="518"/>
      <c r="L26" s="1207"/>
      <c r="M26" s="1207"/>
      <c r="N26" s="1209" t="str">
        <f t="shared" si="16"/>
        <v/>
      </c>
      <c r="O26" s="1209" t="str">
        <f t="shared" si="17"/>
        <v/>
      </c>
      <c r="P26" s="1283" t="str">
        <f t="shared" si="18"/>
        <v/>
      </c>
      <c r="Q26" s="518"/>
      <c r="R26" s="1076" t="str">
        <f t="shared" si="26"/>
        <v/>
      </c>
      <c r="S26" s="1076" t="str">
        <f t="shared" si="19"/>
        <v/>
      </c>
      <c r="T26" s="1078" t="str">
        <f t="shared" si="20"/>
        <v/>
      </c>
      <c r="U26" s="599"/>
      <c r="V26" s="804"/>
      <c r="W26" s="1110"/>
      <c r="X26" s="1218"/>
      <c r="Y26" s="1253" t="e">
        <f>ROUND(VLOOKUP(H26,tab!$A$61:$V$103,I26+2,FALSE),0)</f>
        <v>#N/A</v>
      </c>
      <c r="Z26" s="1252">
        <f>tab!$D$48</f>
        <v>0.62</v>
      </c>
      <c r="AA26" s="1284" t="e">
        <f t="shared" si="21"/>
        <v>#N/A</v>
      </c>
      <c r="AB26" s="1284" t="e">
        <f t="shared" si="22"/>
        <v>#N/A</v>
      </c>
      <c r="AC26" s="1284" t="e">
        <f t="shared" si="23"/>
        <v>#N/A</v>
      </c>
      <c r="AD26" s="1286" t="e">
        <f t="shared" si="24"/>
        <v>#VALUE!</v>
      </c>
      <c r="AE26" s="1286">
        <f t="shared" si="25"/>
        <v>0</v>
      </c>
      <c r="AF26" s="1254">
        <f>IF(H26&gt;8,tab!$D$49,tab!$D$52)</f>
        <v>0.4</v>
      </c>
      <c r="AG26" s="1255">
        <f t="shared" si="10"/>
        <v>0</v>
      </c>
      <c r="AH26" s="1251">
        <f t="shared" si="11"/>
        <v>0</v>
      </c>
      <c r="AI26" s="1278" t="b">
        <f>DATE(YEAR(tab!$E$3),MONTH(G26),DAY(G26))&gt;tab!$E$3</f>
        <v>0</v>
      </c>
      <c r="AJ26" s="1255">
        <f t="shared" si="12"/>
        <v>115</v>
      </c>
      <c r="AK26" s="1199">
        <f t="shared" si="13"/>
        <v>30</v>
      </c>
      <c r="AL26" s="1199">
        <f t="shared" si="14"/>
        <v>30</v>
      </c>
      <c r="AM26" s="1205">
        <f t="shared" si="15"/>
        <v>0</v>
      </c>
    </row>
    <row r="27" spans="2:50" ht="12.75" customHeight="1" x14ac:dyDescent="0.2">
      <c r="B27" s="466"/>
      <c r="C27" s="135"/>
      <c r="D27" s="432"/>
      <c r="E27" s="432"/>
      <c r="F27" s="776"/>
      <c r="G27" s="802"/>
      <c r="H27" s="776"/>
      <c r="I27" s="433"/>
      <c r="J27" s="803"/>
      <c r="K27" s="518"/>
      <c r="L27" s="1207"/>
      <c r="M27" s="1207"/>
      <c r="N27" s="1209" t="str">
        <f t="shared" si="16"/>
        <v/>
      </c>
      <c r="O27" s="1209" t="str">
        <f t="shared" si="17"/>
        <v/>
      </c>
      <c r="P27" s="1283" t="str">
        <f t="shared" si="18"/>
        <v/>
      </c>
      <c r="Q27" s="518"/>
      <c r="R27" s="1076" t="str">
        <f t="shared" si="26"/>
        <v/>
      </c>
      <c r="S27" s="1076" t="str">
        <f t="shared" si="19"/>
        <v/>
      </c>
      <c r="T27" s="1078" t="str">
        <f t="shared" si="20"/>
        <v/>
      </c>
      <c r="U27" s="599"/>
      <c r="V27" s="804"/>
      <c r="W27" s="1110"/>
      <c r="X27" s="1218"/>
      <c r="Y27" s="1253" t="e">
        <f>ROUND(VLOOKUP(H27,tab!$A$61:$V$103,I27+2,FALSE),0)</f>
        <v>#N/A</v>
      </c>
      <c r="Z27" s="1252">
        <f>tab!$D$48</f>
        <v>0.62</v>
      </c>
      <c r="AA27" s="1284" t="e">
        <f t="shared" si="21"/>
        <v>#N/A</v>
      </c>
      <c r="AB27" s="1284" t="e">
        <f t="shared" si="22"/>
        <v>#N/A</v>
      </c>
      <c r="AC27" s="1284" t="e">
        <f t="shared" si="23"/>
        <v>#N/A</v>
      </c>
      <c r="AD27" s="1286" t="e">
        <f t="shared" si="24"/>
        <v>#VALUE!</v>
      </c>
      <c r="AE27" s="1286">
        <f t="shared" si="25"/>
        <v>0</v>
      </c>
      <c r="AF27" s="1254">
        <f>IF(H27&gt;8,tab!$D$49,tab!$D$52)</f>
        <v>0.4</v>
      </c>
      <c r="AG27" s="1255">
        <f t="shared" si="10"/>
        <v>0</v>
      </c>
      <c r="AH27" s="1251">
        <f t="shared" si="11"/>
        <v>0</v>
      </c>
      <c r="AI27" s="1278" t="b">
        <f>DATE(YEAR(tab!$E$3),MONTH(G27),DAY(G27))&gt;tab!$E$3</f>
        <v>0</v>
      </c>
      <c r="AJ27" s="1255">
        <f t="shared" si="12"/>
        <v>115</v>
      </c>
      <c r="AK27" s="1199">
        <f t="shared" si="13"/>
        <v>30</v>
      </c>
      <c r="AL27" s="1199">
        <f t="shared" si="14"/>
        <v>30</v>
      </c>
      <c r="AM27" s="1205">
        <f t="shared" si="15"/>
        <v>0</v>
      </c>
    </row>
    <row r="28" spans="2:50" ht="12.75" customHeight="1" x14ac:dyDescent="0.2">
      <c r="B28" s="466"/>
      <c r="C28" s="135"/>
      <c r="D28" s="432"/>
      <c r="E28" s="432"/>
      <c r="F28" s="776"/>
      <c r="G28" s="802"/>
      <c r="H28" s="776"/>
      <c r="I28" s="433"/>
      <c r="J28" s="803"/>
      <c r="K28" s="518"/>
      <c r="L28" s="1207"/>
      <c r="M28" s="1207"/>
      <c r="N28" s="1209" t="str">
        <f t="shared" si="16"/>
        <v/>
      </c>
      <c r="O28" s="1209" t="str">
        <f t="shared" si="17"/>
        <v/>
      </c>
      <c r="P28" s="1283" t="str">
        <f t="shared" si="18"/>
        <v/>
      </c>
      <c r="Q28" s="518"/>
      <c r="R28" s="1076" t="str">
        <f t="shared" si="26"/>
        <v/>
      </c>
      <c r="S28" s="1076" t="str">
        <f t="shared" si="19"/>
        <v/>
      </c>
      <c r="T28" s="1078" t="str">
        <f t="shared" si="20"/>
        <v/>
      </c>
      <c r="U28" s="599"/>
      <c r="V28" s="804"/>
      <c r="W28" s="1110"/>
      <c r="X28" s="1218"/>
      <c r="Y28" s="1253" t="e">
        <f>ROUND(VLOOKUP(H28,tab!$A$61:$V$103,I28+2,FALSE),0)</f>
        <v>#N/A</v>
      </c>
      <c r="Z28" s="1252">
        <f>tab!$D$48</f>
        <v>0.62</v>
      </c>
      <c r="AA28" s="1284" t="e">
        <f t="shared" si="21"/>
        <v>#N/A</v>
      </c>
      <c r="AB28" s="1284" t="e">
        <f t="shared" si="22"/>
        <v>#N/A</v>
      </c>
      <c r="AC28" s="1284" t="e">
        <f t="shared" si="23"/>
        <v>#N/A</v>
      </c>
      <c r="AD28" s="1286" t="e">
        <f t="shared" si="24"/>
        <v>#VALUE!</v>
      </c>
      <c r="AE28" s="1286">
        <f t="shared" si="25"/>
        <v>0</v>
      </c>
      <c r="AF28" s="1254">
        <f>IF(H28&gt;8,tab!$D$49,tab!$D$52)</f>
        <v>0.4</v>
      </c>
      <c r="AG28" s="1255">
        <f t="shared" si="10"/>
        <v>0</v>
      </c>
      <c r="AH28" s="1251">
        <f t="shared" si="11"/>
        <v>0</v>
      </c>
      <c r="AI28" s="1278" t="b">
        <f>DATE(YEAR(tab!$E$3),MONTH(G28),DAY(G28))&gt;tab!$E$3</f>
        <v>0</v>
      </c>
      <c r="AJ28" s="1255">
        <f t="shared" si="12"/>
        <v>115</v>
      </c>
      <c r="AK28" s="1199">
        <f t="shared" si="13"/>
        <v>30</v>
      </c>
      <c r="AL28" s="1199">
        <f t="shared" si="14"/>
        <v>30</v>
      </c>
      <c r="AM28" s="1205">
        <f t="shared" si="15"/>
        <v>0</v>
      </c>
    </row>
    <row r="29" spans="2:50" ht="12.75" customHeight="1" x14ac:dyDescent="0.2">
      <c r="B29" s="466"/>
      <c r="C29" s="135"/>
      <c r="D29" s="432"/>
      <c r="E29" s="432"/>
      <c r="F29" s="776"/>
      <c r="G29" s="802"/>
      <c r="H29" s="776"/>
      <c r="I29" s="433"/>
      <c r="J29" s="803"/>
      <c r="K29" s="518"/>
      <c r="L29" s="1207"/>
      <c r="M29" s="1207"/>
      <c r="N29" s="1209" t="str">
        <f t="shared" si="16"/>
        <v/>
      </c>
      <c r="O29" s="1209" t="str">
        <f t="shared" si="17"/>
        <v/>
      </c>
      <c r="P29" s="1283" t="str">
        <f t="shared" si="18"/>
        <v/>
      </c>
      <c r="Q29" s="518"/>
      <c r="R29" s="1076" t="str">
        <f t="shared" si="26"/>
        <v/>
      </c>
      <c r="S29" s="1076" t="str">
        <f t="shared" si="19"/>
        <v/>
      </c>
      <c r="T29" s="1078" t="str">
        <f t="shared" si="20"/>
        <v/>
      </c>
      <c r="U29" s="599"/>
      <c r="V29" s="804"/>
      <c r="W29" s="1110"/>
      <c r="X29" s="1218"/>
      <c r="Y29" s="1253" t="e">
        <f>ROUND(VLOOKUP(H29,tab!$A$61:$V$103,I29+2,FALSE),0)</f>
        <v>#N/A</v>
      </c>
      <c r="Z29" s="1252">
        <f>tab!$D$48</f>
        <v>0.62</v>
      </c>
      <c r="AA29" s="1284" t="e">
        <f t="shared" si="21"/>
        <v>#N/A</v>
      </c>
      <c r="AB29" s="1284" t="e">
        <f t="shared" si="22"/>
        <v>#N/A</v>
      </c>
      <c r="AC29" s="1284" t="e">
        <f t="shared" si="23"/>
        <v>#N/A</v>
      </c>
      <c r="AD29" s="1286" t="e">
        <f t="shared" si="24"/>
        <v>#VALUE!</v>
      </c>
      <c r="AE29" s="1286">
        <f t="shared" si="25"/>
        <v>0</v>
      </c>
      <c r="AF29" s="1254">
        <f>IF(H29&gt;8,tab!$D$49,tab!$D$52)</f>
        <v>0.4</v>
      </c>
      <c r="AG29" s="1255">
        <f t="shared" si="10"/>
        <v>0</v>
      </c>
      <c r="AH29" s="1251">
        <f t="shared" si="11"/>
        <v>0</v>
      </c>
      <c r="AI29" s="1278" t="b">
        <f>DATE(YEAR(tab!$E$3),MONTH(G29),DAY(G29))&gt;tab!$E$3</f>
        <v>0</v>
      </c>
      <c r="AJ29" s="1255">
        <f t="shared" si="12"/>
        <v>115</v>
      </c>
      <c r="AK29" s="1199">
        <f t="shared" si="13"/>
        <v>30</v>
      </c>
      <c r="AL29" s="1199">
        <f t="shared" si="14"/>
        <v>30</v>
      </c>
      <c r="AM29" s="1205">
        <f t="shared" si="15"/>
        <v>0</v>
      </c>
    </row>
    <row r="30" spans="2:50" ht="12.75" customHeight="1" x14ac:dyDescent="0.2">
      <c r="B30" s="466"/>
      <c r="C30" s="135"/>
      <c r="D30" s="432"/>
      <c r="E30" s="432"/>
      <c r="F30" s="776"/>
      <c r="G30" s="802"/>
      <c r="H30" s="776"/>
      <c r="I30" s="433"/>
      <c r="J30" s="803"/>
      <c r="K30" s="518"/>
      <c r="L30" s="1207"/>
      <c r="M30" s="1207"/>
      <c r="N30" s="1209" t="str">
        <f t="shared" si="16"/>
        <v/>
      </c>
      <c r="O30" s="1209" t="str">
        <f t="shared" si="17"/>
        <v/>
      </c>
      <c r="P30" s="1283" t="str">
        <f t="shared" si="18"/>
        <v/>
      </c>
      <c r="Q30" s="518"/>
      <c r="R30" s="1076" t="str">
        <f t="shared" si="26"/>
        <v/>
      </c>
      <c r="S30" s="1076" t="str">
        <f t="shared" si="19"/>
        <v/>
      </c>
      <c r="T30" s="1078" t="str">
        <f t="shared" si="20"/>
        <v/>
      </c>
      <c r="U30" s="599"/>
      <c r="V30" s="804"/>
      <c r="W30" s="1110"/>
      <c r="X30" s="1218"/>
      <c r="Y30" s="1253" t="e">
        <f>ROUND(VLOOKUP(H30,tab!$A$61:$V$103,I30+2,FALSE),0)</f>
        <v>#N/A</v>
      </c>
      <c r="Z30" s="1252">
        <f>tab!$D$48</f>
        <v>0.62</v>
      </c>
      <c r="AA30" s="1284" t="e">
        <f t="shared" si="21"/>
        <v>#N/A</v>
      </c>
      <c r="AB30" s="1284" t="e">
        <f t="shared" si="22"/>
        <v>#N/A</v>
      </c>
      <c r="AC30" s="1284" t="e">
        <f t="shared" si="23"/>
        <v>#N/A</v>
      </c>
      <c r="AD30" s="1286" t="e">
        <f t="shared" si="24"/>
        <v>#VALUE!</v>
      </c>
      <c r="AE30" s="1286">
        <f t="shared" si="25"/>
        <v>0</v>
      </c>
      <c r="AF30" s="1254">
        <f>IF(H30&gt;8,tab!$D$49,tab!$D$52)</f>
        <v>0.4</v>
      </c>
      <c r="AG30" s="1255">
        <f t="shared" si="10"/>
        <v>0</v>
      </c>
      <c r="AH30" s="1251">
        <f t="shared" si="11"/>
        <v>0</v>
      </c>
      <c r="AI30" s="1278" t="b">
        <f>DATE(YEAR(tab!$E$3),MONTH(G30),DAY(G30))&gt;tab!$E$3</f>
        <v>0</v>
      </c>
      <c r="AJ30" s="1255">
        <f t="shared" si="12"/>
        <v>115</v>
      </c>
      <c r="AK30" s="1199">
        <f t="shared" si="13"/>
        <v>30</v>
      </c>
      <c r="AL30" s="1199">
        <f t="shared" si="14"/>
        <v>30</v>
      </c>
      <c r="AM30" s="1205">
        <f t="shared" si="15"/>
        <v>0</v>
      </c>
    </row>
    <row r="31" spans="2:50" ht="12.75" customHeight="1" x14ac:dyDescent="0.2">
      <c r="B31" s="466"/>
      <c r="C31" s="135"/>
      <c r="D31" s="432"/>
      <c r="E31" s="432"/>
      <c r="F31" s="776"/>
      <c r="G31" s="802"/>
      <c r="H31" s="776"/>
      <c r="I31" s="433"/>
      <c r="J31" s="803"/>
      <c r="K31" s="518"/>
      <c r="L31" s="1207"/>
      <c r="M31" s="1207"/>
      <c r="N31" s="1209" t="str">
        <f t="shared" si="16"/>
        <v/>
      </c>
      <c r="O31" s="1209" t="str">
        <f t="shared" si="17"/>
        <v/>
      </c>
      <c r="P31" s="1283" t="str">
        <f t="shared" si="18"/>
        <v/>
      </c>
      <c r="Q31" s="518"/>
      <c r="R31" s="1076" t="str">
        <f t="shared" si="26"/>
        <v/>
      </c>
      <c r="S31" s="1076" t="str">
        <f t="shared" si="19"/>
        <v/>
      </c>
      <c r="T31" s="1078" t="str">
        <f t="shared" si="20"/>
        <v/>
      </c>
      <c r="U31" s="599"/>
      <c r="V31" s="804"/>
      <c r="W31" s="1110"/>
      <c r="X31" s="1218"/>
      <c r="Y31" s="1253" t="e">
        <f>ROUND(VLOOKUP(H31,tab!$A$61:$V$103,I31+2,FALSE),0)</f>
        <v>#N/A</v>
      </c>
      <c r="Z31" s="1252">
        <f>tab!$D$48</f>
        <v>0.62</v>
      </c>
      <c r="AA31" s="1284" t="e">
        <f t="shared" si="21"/>
        <v>#N/A</v>
      </c>
      <c r="AB31" s="1284" t="e">
        <f t="shared" si="22"/>
        <v>#N/A</v>
      </c>
      <c r="AC31" s="1284" t="e">
        <f t="shared" si="23"/>
        <v>#N/A</v>
      </c>
      <c r="AD31" s="1286" t="e">
        <f t="shared" si="24"/>
        <v>#VALUE!</v>
      </c>
      <c r="AE31" s="1286">
        <f t="shared" si="25"/>
        <v>0</v>
      </c>
      <c r="AF31" s="1254">
        <f>IF(H31&gt;8,tab!$D$49,tab!$D$52)</f>
        <v>0.4</v>
      </c>
      <c r="AG31" s="1255">
        <f t="shared" si="10"/>
        <v>0</v>
      </c>
      <c r="AH31" s="1251">
        <f t="shared" si="11"/>
        <v>0</v>
      </c>
      <c r="AI31" s="1278" t="b">
        <f>DATE(YEAR(tab!$E$3),MONTH(G31),DAY(G31))&gt;tab!$E$3</f>
        <v>0</v>
      </c>
      <c r="AJ31" s="1255">
        <f t="shared" si="12"/>
        <v>115</v>
      </c>
      <c r="AK31" s="1199">
        <f t="shared" si="13"/>
        <v>30</v>
      </c>
      <c r="AL31" s="1199">
        <f t="shared" si="14"/>
        <v>30</v>
      </c>
      <c r="AM31" s="1205">
        <f t="shared" si="15"/>
        <v>0</v>
      </c>
    </row>
    <row r="32" spans="2:50" ht="12.75" customHeight="1" x14ac:dyDescent="0.2">
      <c r="B32" s="466"/>
      <c r="C32" s="135"/>
      <c r="D32" s="432"/>
      <c r="E32" s="432"/>
      <c r="F32" s="776"/>
      <c r="G32" s="802"/>
      <c r="H32" s="776"/>
      <c r="I32" s="433"/>
      <c r="J32" s="803"/>
      <c r="K32" s="518"/>
      <c r="L32" s="1207"/>
      <c r="M32" s="1207"/>
      <c r="N32" s="1209" t="str">
        <f t="shared" si="16"/>
        <v/>
      </c>
      <c r="O32" s="1209" t="str">
        <f t="shared" si="17"/>
        <v/>
      </c>
      <c r="P32" s="1283" t="str">
        <f t="shared" si="18"/>
        <v/>
      </c>
      <c r="Q32" s="518"/>
      <c r="R32" s="1076" t="str">
        <f t="shared" si="26"/>
        <v/>
      </c>
      <c r="S32" s="1076" t="str">
        <f t="shared" si="19"/>
        <v/>
      </c>
      <c r="T32" s="1078" t="str">
        <f t="shared" si="20"/>
        <v/>
      </c>
      <c r="U32" s="599"/>
      <c r="V32" s="804"/>
      <c r="W32" s="1110"/>
      <c r="X32" s="1218"/>
      <c r="Y32" s="1253" t="e">
        <f>ROUND(VLOOKUP(H32,tab!$A$61:$V$103,I32+2,FALSE),0)</f>
        <v>#N/A</v>
      </c>
      <c r="Z32" s="1252">
        <f>tab!$D$48</f>
        <v>0.62</v>
      </c>
      <c r="AA32" s="1284" t="e">
        <f t="shared" si="21"/>
        <v>#N/A</v>
      </c>
      <c r="AB32" s="1284" t="e">
        <f t="shared" si="22"/>
        <v>#N/A</v>
      </c>
      <c r="AC32" s="1284" t="e">
        <f t="shared" si="23"/>
        <v>#N/A</v>
      </c>
      <c r="AD32" s="1286" t="e">
        <f t="shared" si="24"/>
        <v>#VALUE!</v>
      </c>
      <c r="AE32" s="1286">
        <f t="shared" si="25"/>
        <v>0</v>
      </c>
      <c r="AF32" s="1254">
        <f>IF(H32&gt;8,tab!$D$49,tab!$D$52)</f>
        <v>0.4</v>
      </c>
      <c r="AG32" s="1255">
        <f t="shared" si="10"/>
        <v>0</v>
      </c>
      <c r="AH32" s="1251">
        <f t="shared" si="11"/>
        <v>0</v>
      </c>
      <c r="AI32" s="1278" t="b">
        <f>DATE(YEAR(tab!$E$3),MONTH(G32),DAY(G32))&gt;tab!$E$3</f>
        <v>0</v>
      </c>
      <c r="AJ32" s="1255">
        <f t="shared" si="12"/>
        <v>115</v>
      </c>
      <c r="AK32" s="1199">
        <f t="shared" si="13"/>
        <v>30</v>
      </c>
      <c r="AL32" s="1199">
        <f t="shared" si="14"/>
        <v>30</v>
      </c>
      <c r="AM32" s="1205">
        <f t="shared" si="15"/>
        <v>0</v>
      </c>
    </row>
    <row r="33" spans="2:39" ht="12.75" customHeight="1" x14ac:dyDescent="0.2">
      <c r="B33" s="466"/>
      <c r="C33" s="135"/>
      <c r="D33" s="432"/>
      <c r="E33" s="432"/>
      <c r="F33" s="776"/>
      <c r="G33" s="802"/>
      <c r="H33" s="776"/>
      <c r="I33" s="433"/>
      <c r="J33" s="803"/>
      <c r="K33" s="518"/>
      <c r="L33" s="1207"/>
      <c r="M33" s="1207"/>
      <c r="N33" s="1209" t="str">
        <f t="shared" si="16"/>
        <v/>
      </c>
      <c r="O33" s="1209" t="str">
        <f t="shared" si="17"/>
        <v/>
      </c>
      <c r="P33" s="1283" t="str">
        <f t="shared" si="18"/>
        <v/>
      </c>
      <c r="Q33" s="518"/>
      <c r="R33" s="1076" t="str">
        <f t="shared" si="26"/>
        <v/>
      </c>
      <c r="S33" s="1076" t="str">
        <f t="shared" si="19"/>
        <v/>
      </c>
      <c r="T33" s="1078" t="str">
        <f t="shared" si="20"/>
        <v/>
      </c>
      <c r="U33" s="599"/>
      <c r="V33" s="804"/>
      <c r="W33" s="1110"/>
      <c r="X33" s="1218"/>
      <c r="Y33" s="1253" t="e">
        <f>ROUND(VLOOKUP(H33,tab!$A$61:$V$103,I33+2,FALSE),0)</f>
        <v>#N/A</v>
      </c>
      <c r="Z33" s="1252">
        <f>tab!$D$48</f>
        <v>0.62</v>
      </c>
      <c r="AA33" s="1284" t="e">
        <f t="shared" si="21"/>
        <v>#N/A</v>
      </c>
      <c r="AB33" s="1284" t="e">
        <f t="shared" si="22"/>
        <v>#N/A</v>
      </c>
      <c r="AC33" s="1284" t="e">
        <f t="shared" si="23"/>
        <v>#N/A</v>
      </c>
      <c r="AD33" s="1286" t="e">
        <f t="shared" si="24"/>
        <v>#VALUE!</v>
      </c>
      <c r="AE33" s="1286">
        <f t="shared" si="25"/>
        <v>0</v>
      </c>
      <c r="AF33" s="1254">
        <f>IF(H33&gt;8,tab!$D$49,tab!$D$52)</f>
        <v>0.4</v>
      </c>
      <c r="AG33" s="1255">
        <f t="shared" si="10"/>
        <v>0</v>
      </c>
      <c r="AH33" s="1251">
        <f t="shared" si="11"/>
        <v>0</v>
      </c>
      <c r="AI33" s="1278" t="b">
        <f>DATE(YEAR(tab!$E$3),MONTH(G33),DAY(G33))&gt;tab!$E$3</f>
        <v>0</v>
      </c>
      <c r="AJ33" s="1255">
        <f t="shared" si="12"/>
        <v>115</v>
      </c>
      <c r="AK33" s="1199">
        <f t="shared" si="13"/>
        <v>30</v>
      </c>
      <c r="AL33" s="1199">
        <f t="shared" si="14"/>
        <v>30</v>
      </c>
      <c r="AM33" s="1205">
        <f t="shared" si="15"/>
        <v>0</v>
      </c>
    </row>
    <row r="34" spans="2:39" ht="12.75" customHeight="1" x14ac:dyDescent="0.2">
      <c r="B34" s="466"/>
      <c r="C34" s="135"/>
      <c r="D34" s="432"/>
      <c r="E34" s="432"/>
      <c r="F34" s="776"/>
      <c r="G34" s="802"/>
      <c r="H34" s="776"/>
      <c r="I34" s="433"/>
      <c r="J34" s="803"/>
      <c r="K34" s="518"/>
      <c r="L34" s="1207"/>
      <c r="M34" s="1207"/>
      <c r="N34" s="1209" t="str">
        <f t="shared" si="16"/>
        <v/>
      </c>
      <c r="O34" s="1209" t="str">
        <f t="shared" si="17"/>
        <v/>
      </c>
      <c r="P34" s="1283" t="str">
        <f t="shared" si="18"/>
        <v/>
      </c>
      <c r="Q34" s="518"/>
      <c r="R34" s="1076" t="str">
        <f t="shared" si="26"/>
        <v/>
      </c>
      <c r="S34" s="1076" t="str">
        <f t="shared" si="19"/>
        <v/>
      </c>
      <c r="T34" s="1078" t="str">
        <f t="shared" si="20"/>
        <v/>
      </c>
      <c r="U34" s="599"/>
      <c r="V34" s="804"/>
      <c r="W34" s="1110"/>
      <c r="X34" s="1218"/>
      <c r="Y34" s="1253" t="e">
        <f>ROUND(VLOOKUP(H34,tab!$A$61:$V$103,I34+2,FALSE),0)</f>
        <v>#N/A</v>
      </c>
      <c r="Z34" s="1252">
        <f>tab!$D$48</f>
        <v>0.62</v>
      </c>
      <c r="AA34" s="1284" t="e">
        <f t="shared" si="21"/>
        <v>#N/A</v>
      </c>
      <c r="AB34" s="1284" t="e">
        <f t="shared" si="22"/>
        <v>#N/A</v>
      </c>
      <c r="AC34" s="1284" t="e">
        <f t="shared" si="23"/>
        <v>#N/A</v>
      </c>
      <c r="AD34" s="1286" t="e">
        <f t="shared" si="24"/>
        <v>#VALUE!</v>
      </c>
      <c r="AE34" s="1286">
        <f t="shared" si="25"/>
        <v>0</v>
      </c>
      <c r="AF34" s="1254">
        <f>IF(H34&gt;8,tab!$D$49,tab!$D$52)</f>
        <v>0.4</v>
      </c>
      <c r="AG34" s="1255">
        <f t="shared" si="10"/>
        <v>0</v>
      </c>
      <c r="AH34" s="1251">
        <f t="shared" si="11"/>
        <v>0</v>
      </c>
      <c r="AI34" s="1278" t="b">
        <f>DATE(YEAR(tab!$E$3),MONTH(G34),DAY(G34))&gt;tab!$E$3</f>
        <v>0</v>
      </c>
      <c r="AJ34" s="1255">
        <f t="shared" si="12"/>
        <v>115</v>
      </c>
      <c r="AK34" s="1199">
        <f t="shared" si="13"/>
        <v>30</v>
      </c>
      <c r="AL34" s="1199">
        <f t="shared" si="14"/>
        <v>30</v>
      </c>
      <c r="AM34" s="1205">
        <f t="shared" si="15"/>
        <v>0</v>
      </c>
    </row>
    <row r="35" spans="2:39" ht="12.75" customHeight="1" x14ac:dyDescent="0.2">
      <c r="B35" s="466"/>
      <c r="C35" s="135"/>
      <c r="D35" s="432"/>
      <c r="E35" s="432"/>
      <c r="F35" s="776"/>
      <c r="G35" s="802"/>
      <c r="H35" s="776"/>
      <c r="I35" s="433"/>
      <c r="J35" s="803"/>
      <c r="K35" s="518"/>
      <c r="L35" s="1207"/>
      <c r="M35" s="1207"/>
      <c r="N35" s="1209" t="str">
        <f t="shared" si="16"/>
        <v/>
      </c>
      <c r="O35" s="1209" t="str">
        <f t="shared" si="17"/>
        <v/>
      </c>
      <c r="P35" s="1283" t="str">
        <f t="shared" si="18"/>
        <v/>
      </c>
      <c r="Q35" s="518"/>
      <c r="R35" s="1076" t="str">
        <f t="shared" si="26"/>
        <v/>
      </c>
      <c r="S35" s="1076" t="str">
        <f t="shared" si="19"/>
        <v/>
      </c>
      <c r="T35" s="1078" t="str">
        <f t="shared" si="20"/>
        <v/>
      </c>
      <c r="U35" s="599"/>
      <c r="V35" s="804"/>
      <c r="W35" s="1110"/>
      <c r="X35" s="1218"/>
      <c r="Y35" s="1253" t="e">
        <f>ROUND(VLOOKUP(H35,tab!$A$61:$V$103,I35+2,FALSE),0)</f>
        <v>#N/A</v>
      </c>
      <c r="Z35" s="1252">
        <f>tab!$D$48</f>
        <v>0.62</v>
      </c>
      <c r="AA35" s="1284" t="e">
        <f t="shared" si="21"/>
        <v>#N/A</v>
      </c>
      <c r="AB35" s="1284" t="e">
        <f t="shared" si="22"/>
        <v>#N/A</v>
      </c>
      <c r="AC35" s="1284" t="e">
        <f t="shared" si="23"/>
        <v>#N/A</v>
      </c>
      <c r="AD35" s="1286" t="e">
        <f t="shared" si="24"/>
        <v>#VALUE!</v>
      </c>
      <c r="AE35" s="1286">
        <f t="shared" si="25"/>
        <v>0</v>
      </c>
      <c r="AF35" s="1254">
        <f>IF(H35&gt;8,tab!$D$49,tab!$D$52)</f>
        <v>0.4</v>
      </c>
      <c r="AG35" s="1255">
        <f t="shared" si="10"/>
        <v>0</v>
      </c>
      <c r="AH35" s="1251">
        <f t="shared" si="11"/>
        <v>0</v>
      </c>
      <c r="AI35" s="1278" t="b">
        <f>DATE(YEAR(tab!$E$3),MONTH(G35),DAY(G35))&gt;tab!$E$3</f>
        <v>0</v>
      </c>
      <c r="AJ35" s="1255">
        <f t="shared" si="12"/>
        <v>115</v>
      </c>
      <c r="AK35" s="1199">
        <f t="shared" si="13"/>
        <v>30</v>
      </c>
      <c r="AL35" s="1199">
        <f t="shared" si="14"/>
        <v>30</v>
      </c>
      <c r="AM35" s="1205">
        <f t="shared" si="15"/>
        <v>0</v>
      </c>
    </row>
    <row r="36" spans="2:39" ht="12.75" customHeight="1" x14ac:dyDescent="0.2">
      <c r="B36" s="466"/>
      <c r="C36" s="135"/>
      <c r="D36" s="432"/>
      <c r="E36" s="432"/>
      <c r="F36" s="776"/>
      <c r="G36" s="802"/>
      <c r="H36" s="776"/>
      <c r="I36" s="433"/>
      <c r="J36" s="803"/>
      <c r="K36" s="518"/>
      <c r="L36" s="1207"/>
      <c r="M36" s="1207"/>
      <c r="N36" s="1209" t="str">
        <f t="shared" si="16"/>
        <v/>
      </c>
      <c r="O36" s="1209" t="str">
        <f t="shared" si="17"/>
        <v/>
      </c>
      <c r="P36" s="1283" t="str">
        <f t="shared" si="18"/>
        <v/>
      </c>
      <c r="Q36" s="518"/>
      <c r="R36" s="1076" t="str">
        <f t="shared" si="26"/>
        <v/>
      </c>
      <c r="S36" s="1076" t="str">
        <f t="shared" si="19"/>
        <v/>
      </c>
      <c r="T36" s="1078" t="str">
        <f t="shared" si="20"/>
        <v/>
      </c>
      <c r="U36" s="599"/>
      <c r="V36" s="804"/>
      <c r="W36" s="1110"/>
      <c r="X36" s="1218"/>
      <c r="Y36" s="1253" t="e">
        <f>ROUND(VLOOKUP(H36,tab!$A$61:$V$103,I36+2,FALSE),0)</f>
        <v>#N/A</v>
      </c>
      <c r="Z36" s="1252">
        <f>tab!$D$48</f>
        <v>0.62</v>
      </c>
      <c r="AA36" s="1284" t="e">
        <f t="shared" si="21"/>
        <v>#N/A</v>
      </c>
      <c r="AB36" s="1284" t="e">
        <f t="shared" si="22"/>
        <v>#N/A</v>
      </c>
      <c r="AC36" s="1284" t="e">
        <f t="shared" si="23"/>
        <v>#N/A</v>
      </c>
      <c r="AD36" s="1286" t="e">
        <f t="shared" si="24"/>
        <v>#VALUE!</v>
      </c>
      <c r="AE36" s="1286">
        <f t="shared" si="25"/>
        <v>0</v>
      </c>
      <c r="AF36" s="1254">
        <f>IF(H36&gt;8,tab!$D$49,tab!$D$52)</f>
        <v>0.4</v>
      </c>
      <c r="AG36" s="1255">
        <f t="shared" si="10"/>
        <v>0</v>
      </c>
      <c r="AH36" s="1251">
        <f t="shared" si="11"/>
        <v>0</v>
      </c>
      <c r="AI36" s="1278" t="b">
        <f>DATE(YEAR(tab!$E$3),MONTH(G36),DAY(G36))&gt;tab!$E$3</f>
        <v>0</v>
      </c>
      <c r="AJ36" s="1255">
        <f t="shared" si="12"/>
        <v>115</v>
      </c>
      <c r="AK36" s="1199">
        <f t="shared" si="13"/>
        <v>30</v>
      </c>
      <c r="AL36" s="1199">
        <f t="shared" si="14"/>
        <v>30</v>
      </c>
      <c r="AM36" s="1205">
        <f t="shared" si="15"/>
        <v>0</v>
      </c>
    </row>
    <row r="37" spans="2:39" ht="12.75" customHeight="1" x14ac:dyDescent="0.2">
      <c r="B37" s="466"/>
      <c r="C37" s="135"/>
      <c r="D37" s="432"/>
      <c r="E37" s="432"/>
      <c r="F37" s="776"/>
      <c r="G37" s="802"/>
      <c r="H37" s="776"/>
      <c r="I37" s="433"/>
      <c r="J37" s="803"/>
      <c r="K37" s="518"/>
      <c r="L37" s="1207"/>
      <c r="M37" s="1207"/>
      <c r="N37" s="1209" t="str">
        <f t="shared" si="16"/>
        <v/>
      </c>
      <c r="O37" s="1209" t="str">
        <f t="shared" si="17"/>
        <v/>
      </c>
      <c r="P37" s="1283" t="str">
        <f t="shared" si="18"/>
        <v/>
      </c>
      <c r="Q37" s="518"/>
      <c r="R37" s="1076" t="str">
        <f t="shared" si="26"/>
        <v/>
      </c>
      <c r="S37" s="1076" t="str">
        <f t="shared" si="19"/>
        <v/>
      </c>
      <c r="T37" s="1078" t="str">
        <f t="shared" si="20"/>
        <v/>
      </c>
      <c r="U37" s="599"/>
      <c r="V37" s="804"/>
      <c r="W37" s="1110"/>
      <c r="X37" s="1218"/>
      <c r="Y37" s="1253" t="e">
        <f>ROUND(VLOOKUP(H37,tab!$A$61:$V$103,I37+2,FALSE),0)</f>
        <v>#N/A</v>
      </c>
      <c r="Z37" s="1252">
        <f>tab!$D$48</f>
        <v>0.62</v>
      </c>
      <c r="AA37" s="1284" t="e">
        <f t="shared" si="21"/>
        <v>#N/A</v>
      </c>
      <c r="AB37" s="1284" t="e">
        <f t="shared" si="22"/>
        <v>#N/A</v>
      </c>
      <c r="AC37" s="1284" t="e">
        <f t="shared" si="23"/>
        <v>#N/A</v>
      </c>
      <c r="AD37" s="1286" t="e">
        <f t="shared" si="24"/>
        <v>#VALUE!</v>
      </c>
      <c r="AE37" s="1286">
        <f t="shared" si="25"/>
        <v>0</v>
      </c>
      <c r="AF37" s="1254">
        <f>IF(H37&gt;8,tab!$D$49,tab!$D$52)</f>
        <v>0.4</v>
      </c>
      <c r="AG37" s="1255">
        <f t="shared" si="10"/>
        <v>0</v>
      </c>
      <c r="AH37" s="1251">
        <f t="shared" si="11"/>
        <v>0</v>
      </c>
      <c r="AI37" s="1278" t="b">
        <f>DATE(YEAR(tab!$E$3),MONTH(G37),DAY(G37))&gt;tab!$E$3</f>
        <v>0</v>
      </c>
      <c r="AJ37" s="1255">
        <f t="shared" si="12"/>
        <v>115</v>
      </c>
      <c r="AK37" s="1199">
        <f t="shared" si="13"/>
        <v>30</v>
      </c>
      <c r="AL37" s="1199">
        <f t="shared" si="14"/>
        <v>30</v>
      </c>
      <c r="AM37" s="1205">
        <f t="shared" si="15"/>
        <v>0</v>
      </c>
    </row>
    <row r="38" spans="2:39" ht="12.75" customHeight="1" x14ac:dyDescent="0.2">
      <c r="B38" s="466"/>
      <c r="C38" s="135"/>
      <c r="D38" s="432"/>
      <c r="E38" s="432"/>
      <c r="F38" s="776"/>
      <c r="G38" s="802"/>
      <c r="H38" s="776"/>
      <c r="I38" s="433"/>
      <c r="J38" s="803"/>
      <c r="K38" s="518"/>
      <c r="L38" s="1207"/>
      <c r="M38" s="1207"/>
      <c r="N38" s="1209" t="str">
        <f t="shared" si="16"/>
        <v/>
      </c>
      <c r="O38" s="1209" t="str">
        <f t="shared" si="17"/>
        <v/>
      </c>
      <c r="P38" s="1283" t="str">
        <f t="shared" si="18"/>
        <v/>
      </c>
      <c r="Q38" s="518"/>
      <c r="R38" s="1076" t="str">
        <f t="shared" si="26"/>
        <v/>
      </c>
      <c r="S38" s="1076" t="str">
        <f t="shared" si="19"/>
        <v/>
      </c>
      <c r="T38" s="1078" t="str">
        <f t="shared" si="20"/>
        <v/>
      </c>
      <c r="U38" s="599"/>
      <c r="V38" s="804"/>
      <c r="W38" s="1110"/>
      <c r="X38" s="1218"/>
      <c r="Y38" s="1253" t="e">
        <f>ROUND(VLOOKUP(H38,tab!$A$61:$V$103,I38+2,FALSE),0)</f>
        <v>#N/A</v>
      </c>
      <c r="Z38" s="1252">
        <f>tab!$D$48</f>
        <v>0.62</v>
      </c>
      <c r="AA38" s="1284" t="e">
        <f t="shared" si="21"/>
        <v>#N/A</v>
      </c>
      <c r="AB38" s="1284" t="e">
        <f t="shared" si="22"/>
        <v>#N/A</v>
      </c>
      <c r="AC38" s="1284" t="e">
        <f t="shared" si="23"/>
        <v>#N/A</v>
      </c>
      <c r="AD38" s="1286" t="e">
        <f t="shared" si="24"/>
        <v>#VALUE!</v>
      </c>
      <c r="AE38" s="1286">
        <f t="shared" si="25"/>
        <v>0</v>
      </c>
      <c r="AF38" s="1254">
        <f>IF(H38&gt;8,tab!$D$49,tab!$D$52)</f>
        <v>0.4</v>
      </c>
      <c r="AG38" s="1255">
        <f t="shared" si="10"/>
        <v>0</v>
      </c>
      <c r="AH38" s="1251">
        <f t="shared" si="11"/>
        <v>0</v>
      </c>
      <c r="AI38" s="1278" t="b">
        <f>DATE(YEAR(tab!$E$3),MONTH(G38),DAY(G38))&gt;tab!$E$3</f>
        <v>0</v>
      </c>
      <c r="AJ38" s="1255">
        <f t="shared" si="12"/>
        <v>115</v>
      </c>
      <c r="AK38" s="1199">
        <f t="shared" si="13"/>
        <v>30</v>
      </c>
      <c r="AL38" s="1199">
        <f t="shared" si="14"/>
        <v>30</v>
      </c>
      <c r="AM38" s="1205">
        <f t="shared" si="15"/>
        <v>0</v>
      </c>
    </row>
    <row r="39" spans="2:39" ht="12.75" customHeight="1" x14ac:dyDescent="0.2">
      <c r="B39" s="466"/>
      <c r="C39" s="135"/>
      <c r="D39" s="432"/>
      <c r="E39" s="432"/>
      <c r="F39" s="776"/>
      <c r="G39" s="802"/>
      <c r="H39" s="776"/>
      <c r="I39" s="433"/>
      <c r="J39" s="803"/>
      <c r="K39" s="518"/>
      <c r="L39" s="1207"/>
      <c r="M39" s="1207"/>
      <c r="N39" s="1209" t="str">
        <f t="shared" si="16"/>
        <v/>
      </c>
      <c r="O39" s="1209" t="str">
        <f t="shared" si="17"/>
        <v/>
      </c>
      <c r="P39" s="1283" t="str">
        <f t="shared" si="18"/>
        <v/>
      </c>
      <c r="Q39" s="518"/>
      <c r="R39" s="1076" t="str">
        <f t="shared" si="26"/>
        <v/>
      </c>
      <c r="S39" s="1076" t="str">
        <f t="shared" si="19"/>
        <v/>
      </c>
      <c r="T39" s="1078" t="str">
        <f t="shared" si="20"/>
        <v/>
      </c>
      <c r="U39" s="599"/>
      <c r="V39" s="804"/>
      <c r="W39" s="1110"/>
      <c r="X39" s="1218"/>
      <c r="Y39" s="1253" t="e">
        <f>ROUND(VLOOKUP(H39,tab!$A$61:$V$103,I39+2,FALSE),0)</f>
        <v>#N/A</v>
      </c>
      <c r="Z39" s="1252">
        <f>tab!$D$48</f>
        <v>0.62</v>
      </c>
      <c r="AA39" s="1284" t="e">
        <f t="shared" si="21"/>
        <v>#N/A</v>
      </c>
      <c r="AB39" s="1284" t="e">
        <f t="shared" si="22"/>
        <v>#N/A</v>
      </c>
      <c r="AC39" s="1284" t="e">
        <f t="shared" si="23"/>
        <v>#N/A</v>
      </c>
      <c r="AD39" s="1286" t="e">
        <f t="shared" si="24"/>
        <v>#VALUE!</v>
      </c>
      <c r="AE39" s="1286">
        <f t="shared" si="25"/>
        <v>0</v>
      </c>
      <c r="AF39" s="1254">
        <f>IF(H39&gt;8,tab!$D$49,tab!$D$52)</f>
        <v>0.4</v>
      </c>
      <c r="AG39" s="1255">
        <f t="shared" si="10"/>
        <v>0</v>
      </c>
      <c r="AH39" s="1251">
        <f t="shared" si="11"/>
        <v>0</v>
      </c>
      <c r="AI39" s="1278" t="b">
        <f>DATE(YEAR(tab!$E$3),MONTH(G39),DAY(G39))&gt;tab!$E$3</f>
        <v>0</v>
      </c>
      <c r="AJ39" s="1255">
        <f t="shared" si="12"/>
        <v>115</v>
      </c>
      <c r="AK39" s="1199">
        <f t="shared" si="13"/>
        <v>30</v>
      </c>
      <c r="AL39" s="1199">
        <f t="shared" si="14"/>
        <v>30</v>
      </c>
      <c r="AM39" s="1205">
        <f t="shared" si="15"/>
        <v>0</v>
      </c>
    </row>
    <row r="40" spans="2:39" ht="12.75" customHeight="1" x14ac:dyDescent="0.2">
      <c r="B40" s="466"/>
      <c r="C40" s="135"/>
      <c r="D40" s="432"/>
      <c r="E40" s="432"/>
      <c r="F40" s="776"/>
      <c r="G40" s="802"/>
      <c r="H40" s="776"/>
      <c r="I40" s="433"/>
      <c r="J40" s="803"/>
      <c r="K40" s="518"/>
      <c r="L40" s="1207"/>
      <c r="M40" s="1207"/>
      <c r="N40" s="1209" t="str">
        <f t="shared" si="16"/>
        <v/>
      </c>
      <c r="O40" s="1209" t="str">
        <f t="shared" si="17"/>
        <v/>
      </c>
      <c r="P40" s="1283" t="str">
        <f t="shared" si="18"/>
        <v/>
      </c>
      <c r="Q40" s="518"/>
      <c r="R40" s="1076" t="str">
        <f t="shared" si="26"/>
        <v/>
      </c>
      <c r="S40" s="1076" t="str">
        <f t="shared" si="19"/>
        <v/>
      </c>
      <c r="T40" s="1078" t="str">
        <f t="shared" si="20"/>
        <v/>
      </c>
      <c r="U40" s="599"/>
      <c r="V40" s="804"/>
      <c r="W40" s="1110"/>
      <c r="X40" s="1218"/>
      <c r="Y40" s="1253" t="e">
        <f>ROUND(VLOOKUP(H40,tab!$A$61:$V$103,I40+2,FALSE),0)</f>
        <v>#N/A</v>
      </c>
      <c r="Z40" s="1252">
        <f>tab!$D$48</f>
        <v>0.62</v>
      </c>
      <c r="AA40" s="1284" t="e">
        <f t="shared" si="21"/>
        <v>#N/A</v>
      </c>
      <c r="AB40" s="1284" t="e">
        <f t="shared" si="22"/>
        <v>#N/A</v>
      </c>
      <c r="AC40" s="1284" t="e">
        <f t="shared" si="23"/>
        <v>#N/A</v>
      </c>
      <c r="AD40" s="1286" t="e">
        <f t="shared" si="24"/>
        <v>#VALUE!</v>
      </c>
      <c r="AE40" s="1286">
        <f t="shared" si="25"/>
        <v>0</v>
      </c>
      <c r="AF40" s="1254">
        <f>IF(H40&gt;8,tab!$D$49,tab!$D$52)</f>
        <v>0.4</v>
      </c>
      <c r="AG40" s="1255">
        <f t="shared" si="10"/>
        <v>0</v>
      </c>
      <c r="AH40" s="1251">
        <f t="shared" si="11"/>
        <v>0</v>
      </c>
      <c r="AI40" s="1278" t="b">
        <f>DATE(YEAR(tab!$E$3),MONTH(G40),DAY(G40))&gt;tab!$E$3</f>
        <v>0</v>
      </c>
      <c r="AJ40" s="1255">
        <f t="shared" si="12"/>
        <v>115</v>
      </c>
      <c r="AK40" s="1199">
        <f t="shared" si="13"/>
        <v>30</v>
      </c>
      <c r="AL40" s="1199">
        <f t="shared" si="14"/>
        <v>30</v>
      </c>
      <c r="AM40" s="1205">
        <f t="shared" si="15"/>
        <v>0</v>
      </c>
    </row>
    <row r="41" spans="2:39" ht="12.75" customHeight="1" x14ac:dyDescent="0.2">
      <c r="B41" s="466"/>
      <c r="C41" s="135"/>
      <c r="D41" s="432"/>
      <c r="E41" s="432"/>
      <c r="F41" s="776"/>
      <c r="G41" s="802"/>
      <c r="H41" s="776"/>
      <c r="I41" s="433"/>
      <c r="J41" s="803"/>
      <c r="K41" s="518"/>
      <c r="L41" s="1207"/>
      <c r="M41" s="1207"/>
      <c r="N41" s="1209" t="str">
        <f t="shared" si="16"/>
        <v/>
      </c>
      <c r="O41" s="1209" t="str">
        <f t="shared" si="17"/>
        <v/>
      </c>
      <c r="P41" s="1283" t="str">
        <f t="shared" si="18"/>
        <v/>
      </c>
      <c r="Q41" s="518"/>
      <c r="R41" s="1076" t="str">
        <f t="shared" si="26"/>
        <v/>
      </c>
      <c r="S41" s="1076" t="str">
        <f t="shared" si="19"/>
        <v/>
      </c>
      <c r="T41" s="1078" t="str">
        <f t="shared" si="20"/>
        <v/>
      </c>
      <c r="U41" s="599"/>
      <c r="V41" s="804"/>
      <c r="W41" s="1110"/>
      <c r="X41" s="1218"/>
      <c r="Y41" s="1253" t="e">
        <f>ROUND(VLOOKUP(H41,tab!$A$61:$V$103,I41+2,FALSE),0)</f>
        <v>#N/A</v>
      </c>
      <c r="Z41" s="1252">
        <f>tab!$D$48</f>
        <v>0.62</v>
      </c>
      <c r="AA41" s="1284" t="e">
        <f t="shared" si="21"/>
        <v>#N/A</v>
      </c>
      <c r="AB41" s="1284" t="e">
        <f t="shared" si="22"/>
        <v>#N/A</v>
      </c>
      <c r="AC41" s="1284" t="e">
        <f t="shared" si="23"/>
        <v>#N/A</v>
      </c>
      <c r="AD41" s="1286" t="e">
        <f t="shared" si="24"/>
        <v>#VALUE!</v>
      </c>
      <c r="AE41" s="1286">
        <f t="shared" si="25"/>
        <v>0</v>
      </c>
      <c r="AF41" s="1254">
        <f>IF(H41&gt;8,tab!$D$49,tab!$D$52)</f>
        <v>0.4</v>
      </c>
      <c r="AG41" s="1255">
        <f t="shared" si="10"/>
        <v>0</v>
      </c>
      <c r="AH41" s="1251">
        <f t="shared" si="11"/>
        <v>0</v>
      </c>
      <c r="AI41" s="1278" t="b">
        <f>DATE(YEAR(tab!$E$3),MONTH(G41),DAY(G41))&gt;tab!$E$3</f>
        <v>0</v>
      </c>
      <c r="AJ41" s="1255">
        <f t="shared" si="12"/>
        <v>115</v>
      </c>
      <c r="AK41" s="1199">
        <f t="shared" si="13"/>
        <v>30</v>
      </c>
      <c r="AL41" s="1199">
        <f t="shared" si="14"/>
        <v>30</v>
      </c>
      <c r="AM41" s="1205">
        <f t="shared" si="15"/>
        <v>0</v>
      </c>
    </row>
    <row r="42" spans="2:39" ht="12.75" customHeight="1" x14ac:dyDescent="0.2">
      <c r="B42" s="466"/>
      <c r="C42" s="135"/>
      <c r="D42" s="432"/>
      <c r="E42" s="432"/>
      <c r="F42" s="776"/>
      <c r="G42" s="802"/>
      <c r="H42" s="776"/>
      <c r="I42" s="433"/>
      <c r="J42" s="803"/>
      <c r="K42" s="518"/>
      <c r="L42" s="1207"/>
      <c r="M42" s="1207"/>
      <c r="N42" s="1209" t="str">
        <f t="shared" si="16"/>
        <v/>
      </c>
      <c r="O42" s="1209" t="str">
        <f t="shared" si="17"/>
        <v/>
      </c>
      <c r="P42" s="1283" t="str">
        <f t="shared" si="18"/>
        <v/>
      </c>
      <c r="Q42" s="518"/>
      <c r="R42" s="1076" t="str">
        <f t="shared" si="26"/>
        <v/>
      </c>
      <c r="S42" s="1076" t="str">
        <f t="shared" si="19"/>
        <v/>
      </c>
      <c r="T42" s="1078" t="str">
        <f t="shared" si="20"/>
        <v/>
      </c>
      <c r="U42" s="599"/>
      <c r="V42" s="804"/>
      <c r="W42" s="1110"/>
      <c r="X42" s="1218"/>
      <c r="Y42" s="1253" t="e">
        <f>ROUND(VLOOKUP(H42,tab!$A$61:$V$103,I42+2,FALSE),0)</f>
        <v>#N/A</v>
      </c>
      <c r="Z42" s="1252">
        <f>tab!$D$48</f>
        <v>0.62</v>
      </c>
      <c r="AA42" s="1284" t="e">
        <f t="shared" si="21"/>
        <v>#N/A</v>
      </c>
      <c r="AB42" s="1284" t="e">
        <f t="shared" si="22"/>
        <v>#N/A</v>
      </c>
      <c r="AC42" s="1284" t="e">
        <f t="shared" si="23"/>
        <v>#N/A</v>
      </c>
      <c r="AD42" s="1286" t="e">
        <f t="shared" si="24"/>
        <v>#VALUE!</v>
      </c>
      <c r="AE42" s="1286">
        <f t="shared" si="25"/>
        <v>0</v>
      </c>
      <c r="AF42" s="1254">
        <f>IF(H42&gt;8,tab!$D$49,tab!$D$52)</f>
        <v>0.4</v>
      </c>
      <c r="AG42" s="1255">
        <f t="shared" si="10"/>
        <v>0</v>
      </c>
      <c r="AH42" s="1251">
        <f t="shared" si="11"/>
        <v>0</v>
      </c>
      <c r="AI42" s="1278" t="b">
        <f>DATE(YEAR(tab!$E$3),MONTH(G42),DAY(G42))&gt;tab!$E$3</f>
        <v>0</v>
      </c>
      <c r="AJ42" s="1255">
        <f t="shared" si="12"/>
        <v>115</v>
      </c>
      <c r="AK42" s="1199">
        <f t="shared" si="13"/>
        <v>30</v>
      </c>
      <c r="AL42" s="1199">
        <f t="shared" si="14"/>
        <v>30</v>
      </c>
      <c r="AM42" s="1205">
        <f t="shared" si="15"/>
        <v>0</v>
      </c>
    </row>
    <row r="43" spans="2:39" ht="12.75" customHeight="1" x14ac:dyDescent="0.2">
      <c r="B43" s="466"/>
      <c r="C43" s="135"/>
      <c r="D43" s="432"/>
      <c r="E43" s="432"/>
      <c r="F43" s="776"/>
      <c r="G43" s="802"/>
      <c r="H43" s="776"/>
      <c r="I43" s="433"/>
      <c r="J43" s="803"/>
      <c r="K43" s="518"/>
      <c r="L43" s="1207"/>
      <c r="M43" s="1207"/>
      <c r="N43" s="1209" t="str">
        <f t="shared" si="16"/>
        <v/>
      </c>
      <c r="O43" s="1209" t="str">
        <f t="shared" si="17"/>
        <v/>
      </c>
      <c r="P43" s="1283" t="str">
        <f t="shared" si="18"/>
        <v/>
      </c>
      <c r="Q43" s="518"/>
      <c r="R43" s="1076" t="str">
        <f t="shared" si="26"/>
        <v/>
      </c>
      <c r="S43" s="1076" t="str">
        <f t="shared" si="19"/>
        <v/>
      </c>
      <c r="T43" s="1078" t="str">
        <f t="shared" si="20"/>
        <v/>
      </c>
      <c r="U43" s="599"/>
      <c r="V43" s="804"/>
      <c r="W43" s="1110"/>
      <c r="X43" s="1218"/>
      <c r="Y43" s="1253" t="e">
        <f>ROUND(VLOOKUP(H43,tab!$A$61:$V$103,I43+2,FALSE),0)</f>
        <v>#N/A</v>
      </c>
      <c r="Z43" s="1252">
        <f>tab!$D$48</f>
        <v>0.62</v>
      </c>
      <c r="AA43" s="1284" t="e">
        <f t="shared" si="21"/>
        <v>#N/A</v>
      </c>
      <c r="AB43" s="1284" t="e">
        <f t="shared" si="22"/>
        <v>#N/A</v>
      </c>
      <c r="AC43" s="1284" t="e">
        <f t="shared" si="23"/>
        <v>#N/A</v>
      </c>
      <c r="AD43" s="1286" t="e">
        <f t="shared" si="24"/>
        <v>#VALUE!</v>
      </c>
      <c r="AE43" s="1286">
        <f t="shared" si="25"/>
        <v>0</v>
      </c>
      <c r="AF43" s="1254">
        <f>IF(H43&gt;8,tab!$D$49,tab!$D$52)</f>
        <v>0.4</v>
      </c>
      <c r="AG43" s="1255">
        <f t="shared" si="10"/>
        <v>0</v>
      </c>
      <c r="AH43" s="1251">
        <f t="shared" si="11"/>
        <v>0</v>
      </c>
      <c r="AI43" s="1278" t="b">
        <f>DATE(YEAR(tab!$E$3),MONTH(G43),DAY(G43))&gt;tab!$E$3</f>
        <v>0</v>
      </c>
      <c r="AJ43" s="1255">
        <f t="shared" si="12"/>
        <v>115</v>
      </c>
      <c r="AK43" s="1199">
        <f t="shared" si="13"/>
        <v>30</v>
      </c>
      <c r="AL43" s="1199">
        <f t="shared" si="14"/>
        <v>30</v>
      </c>
      <c r="AM43" s="1205">
        <f t="shared" si="15"/>
        <v>0</v>
      </c>
    </row>
    <row r="44" spans="2:39" ht="12.75" customHeight="1" x14ac:dyDescent="0.2">
      <c r="B44" s="466"/>
      <c r="C44" s="135"/>
      <c r="D44" s="432"/>
      <c r="E44" s="432"/>
      <c r="F44" s="776"/>
      <c r="G44" s="802"/>
      <c r="H44" s="776"/>
      <c r="I44" s="433"/>
      <c r="J44" s="803"/>
      <c r="K44" s="518"/>
      <c r="L44" s="1207"/>
      <c r="M44" s="1207"/>
      <c r="N44" s="1209" t="str">
        <f t="shared" si="16"/>
        <v/>
      </c>
      <c r="O44" s="1209" t="str">
        <f t="shared" si="17"/>
        <v/>
      </c>
      <c r="P44" s="1283" t="str">
        <f t="shared" si="18"/>
        <v/>
      </c>
      <c r="Q44" s="518"/>
      <c r="R44" s="1076" t="str">
        <f t="shared" si="26"/>
        <v/>
      </c>
      <c r="S44" s="1076" t="str">
        <f t="shared" si="19"/>
        <v/>
      </c>
      <c r="T44" s="1078" t="str">
        <f t="shared" si="20"/>
        <v/>
      </c>
      <c r="U44" s="599"/>
      <c r="V44" s="804"/>
      <c r="W44" s="1110"/>
      <c r="X44" s="1218"/>
      <c r="Y44" s="1253" t="e">
        <f>ROUND(VLOOKUP(H44,tab!$A$61:$V$103,I44+2,FALSE),0)</f>
        <v>#N/A</v>
      </c>
      <c r="Z44" s="1252">
        <f>tab!$D$48</f>
        <v>0.62</v>
      </c>
      <c r="AA44" s="1284" t="e">
        <f t="shared" si="21"/>
        <v>#N/A</v>
      </c>
      <c r="AB44" s="1284" t="e">
        <f t="shared" si="22"/>
        <v>#N/A</v>
      </c>
      <c r="AC44" s="1284" t="e">
        <f t="shared" si="23"/>
        <v>#N/A</v>
      </c>
      <c r="AD44" s="1286" t="e">
        <f t="shared" si="24"/>
        <v>#VALUE!</v>
      </c>
      <c r="AE44" s="1286">
        <f t="shared" si="25"/>
        <v>0</v>
      </c>
      <c r="AF44" s="1254">
        <f>IF(H44&gt;8,tab!$D$49,tab!$D$52)</f>
        <v>0.4</v>
      </c>
      <c r="AG44" s="1255">
        <f t="shared" si="10"/>
        <v>0</v>
      </c>
      <c r="AH44" s="1251">
        <f t="shared" si="11"/>
        <v>0</v>
      </c>
      <c r="AI44" s="1278" t="b">
        <f>DATE(YEAR(tab!$E$3),MONTH(G44),DAY(G44))&gt;tab!$E$3</f>
        <v>0</v>
      </c>
      <c r="AJ44" s="1255">
        <f t="shared" si="12"/>
        <v>115</v>
      </c>
      <c r="AK44" s="1199">
        <f t="shared" si="13"/>
        <v>30</v>
      </c>
      <c r="AL44" s="1199">
        <f t="shared" si="14"/>
        <v>30</v>
      </c>
      <c r="AM44" s="1205">
        <f t="shared" si="15"/>
        <v>0</v>
      </c>
    </row>
    <row r="45" spans="2:39" ht="12.75" customHeight="1" x14ac:dyDescent="0.2">
      <c r="B45" s="466"/>
      <c r="C45" s="135"/>
      <c r="D45" s="432"/>
      <c r="E45" s="432"/>
      <c r="F45" s="776"/>
      <c r="G45" s="802"/>
      <c r="H45" s="776"/>
      <c r="I45" s="433"/>
      <c r="J45" s="803"/>
      <c r="K45" s="518"/>
      <c r="L45" s="1207"/>
      <c r="M45" s="1207"/>
      <c r="N45" s="1209" t="str">
        <f t="shared" si="16"/>
        <v/>
      </c>
      <c r="O45" s="1209" t="str">
        <f t="shared" si="17"/>
        <v/>
      </c>
      <c r="P45" s="1283" t="str">
        <f t="shared" si="18"/>
        <v/>
      </c>
      <c r="Q45" s="518"/>
      <c r="R45" s="1076" t="str">
        <f t="shared" si="26"/>
        <v/>
      </c>
      <c r="S45" s="1076" t="str">
        <f t="shared" si="19"/>
        <v/>
      </c>
      <c r="T45" s="1078" t="str">
        <f t="shared" si="20"/>
        <v/>
      </c>
      <c r="U45" s="599"/>
      <c r="V45" s="804"/>
      <c r="W45" s="1110"/>
      <c r="X45" s="1218"/>
      <c r="Y45" s="1253" t="e">
        <f>ROUND(VLOOKUP(H45,tab!$A$61:$V$103,I45+2,FALSE),0)</f>
        <v>#N/A</v>
      </c>
      <c r="Z45" s="1252">
        <f>tab!$D$48</f>
        <v>0.62</v>
      </c>
      <c r="AA45" s="1284" t="e">
        <f t="shared" si="21"/>
        <v>#N/A</v>
      </c>
      <c r="AB45" s="1284" t="e">
        <f t="shared" si="22"/>
        <v>#N/A</v>
      </c>
      <c r="AC45" s="1284" t="e">
        <f t="shared" si="23"/>
        <v>#N/A</v>
      </c>
      <c r="AD45" s="1286" t="e">
        <f t="shared" si="24"/>
        <v>#VALUE!</v>
      </c>
      <c r="AE45" s="1286">
        <f t="shared" si="25"/>
        <v>0</v>
      </c>
      <c r="AF45" s="1254">
        <f>IF(H45&gt;8,tab!$D$49,tab!$D$52)</f>
        <v>0.4</v>
      </c>
      <c r="AG45" s="1255">
        <f t="shared" si="10"/>
        <v>0</v>
      </c>
      <c r="AH45" s="1251">
        <f t="shared" si="11"/>
        <v>0</v>
      </c>
      <c r="AI45" s="1278" t="b">
        <f>DATE(YEAR(tab!$E$3),MONTH(G45),DAY(G45))&gt;tab!$E$3</f>
        <v>0</v>
      </c>
      <c r="AJ45" s="1255">
        <f t="shared" si="12"/>
        <v>115</v>
      </c>
      <c r="AK45" s="1199">
        <f t="shared" si="13"/>
        <v>30</v>
      </c>
      <c r="AL45" s="1199">
        <f t="shared" si="14"/>
        <v>30</v>
      </c>
      <c r="AM45" s="1205">
        <f t="shared" si="15"/>
        <v>0</v>
      </c>
    </row>
    <row r="46" spans="2:39" ht="12.75" customHeight="1" x14ac:dyDescent="0.2">
      <c r="B46" s="466"/>
      <c r="C46" s="135"/>
      <c r="D46" s="432"/>
      <c r="E46" s="432"/>
      <c r="F46" s="776"/>
      <c r="G46" s="802"/>
      <c r="H46" s="776"/>
      <c r="I46" s="433"/>
      <c r="J46" s="803"/>
      <c r="K46" s="518"/>
      <c r="L46" s="1207"/>
      <c r="M46" s="1207"/>
      <c r="N46" s="1209" t="str">
        <f t="shared" si="16"/>
        <v/>
      </c>
      <c r="O46" s="1209" t="str">
        <f t="shared" si="17"/>
        <v/>
      </c>
      <c r="P46" s="1283" t="str">
        <f t="shared" si="18"/>
        <v/>
      </c>
      <c r="Q46" s="518"/>
      <c r="R46" s="1076" t="str">
        <f t="shared" si="26"/>
        <v/>
      </c>
      <c r="S46" s="1076" t="str">
        <f t="shared" si="19"/>
        <v/>
      </c>
      <c r="T46" s="1078" t="str">
        <f t="shared" si="20"/>
        <v/>
      </c>
      <c r="U46" s="599"/>
      <c r="V46" s="804"/>
      <c r="W46" s="1110"/>
      <c r="X46" s="1218"/>
      <c r="Y46" s="1253" t="e">
        <f>ROUND(VLOOKUP(H46,tab!$A$61:$V$103,I46+2,FALSE),0)</f>
        <v>#N/A</v>
      </c>
      <c r="Z46" s="1252">
        <f>tab!$D$48</f>
        <v>0.62</v>
      </c>
      <c r="AA46" s="1284" t="e">
        <f t="shared" si="21"/>
        <v>#N/A</v>
      </c>
      <c r="AB46" s="1284" t="e">
        <f t="shared" si="22"/>
        <v>#N/A</v>
      </c>
      <c r="AC46" s="1284" t="e">
        <f t="shared" si="23"/>
        <v>#N/A</v>
      </c>
      <c r="AD46" s="1286" t="e">
        <f t="shared" si="24"/>
        <v>#VALUE!</v>
      </c>
      <c r="AE46" s="1286">
        <f t="shared" si="25"/>
        <v>0</v>
      </c>
      <c r="AF46" s="1254">
        <f>IF(H46&gt;8,tab!$D$49,tab!$D$52)</f>
        <v>0.4</v>
      </c>
      <c r="AG46" s="1255">
        <f t="shared" si="10"/>
        <v>0</v>
      </c>
      <c r="AH46" s="1251">
        <f t="shared" si="11"/>
        <v>0</v>
      </c>
      <c r="AI46" s="1278" t="b">
        <f>DATE(YEAR(tab!$E$3),MONTH(G46),DAY(G46))&gt;tab!$E$3</f>
        <v>0</v>
      </c>
      <c r="AJ46" s="1255">
        <f t="shared" si="12"/>
        <v>115</v>
      </c>
      <c r="AK46" s="1199">
        <f t="shared" si="13"/>
        <v>30</v>
      </c>
      <c r="AL46" s="1199">
        <f t="shared" si="14"/>
        <v>30</v>
      </c>
      <c r="AM46" s="1205">
        <f t="shared" si="15"/>
        <v>0</v>
      </c>
    </row>
    <row r="47" spans="2:39" ht="12.75" customHeight="1" x14ac:dyDescent="0.2">
      <c r="B47" s="466"/>
      <c r="C47" s="135"/>
      <c r="D47" s="432"/>
      <c r="E47" s="432"/>
      <c r="F47" s="776"/>
      <c r="G47" s="802"/>
      <c r="H47" s="776"/>
      <c r="I47" s="433"/>
      <c r="J47" s="803"/>
      <c r="K47" s="518"/>
      <c r="L47" s="1207"/>
      <c r="M47" s="1207"/>
      <c r="N47" s="1209" t="str">
        <f t="shared" si="16"/>
        <v/>
      </c>
      <c r="O47" s="1209" t="str">
        <f t="shared" si="17"/>
        <v/>
      </c>
      <c r="P47" s="1283" t="str">
        <f t="shared" si="18"/>
        <v/>
      </c>
      <c r="Q47" s="518"/>
      <c r="R47" s="1076" t="str">
        <f t="shared" si="26"/>
        <v/>
      </c>
      <c r="S47" s="1076" t="str">
        <f t="shared" si="19"/>
        <v/>
      </c>
      <c r="T47" s="1078" t="str">
        <f t="shared" si="20"/>
        <v/>
      </c>
      <c r="U47" s="599"/>
      <c r="V47" s="804"/>
      <c r="W47" s="1110"/>
      <c r="X47" s="1218"/>
      <c r="Y47" s="1253" t="e">
        <f>ROUND(VLOOKUP(H47,tab!$A$61:$V$103,I47+2,FALSE),0)</f>
        <v>#N/A</v>
      </c>
      <c r="Z47" s="1252">
        <f>tab!$D$48</f>
        <v>0.62</v>
      </c>
      <c r="AA47" s="1284" t="e">
        <f t="shared" si="21"/>
        <v>#N/A</v>
      </c>
      <c r="AB47" s="1284" t="e">
        <f t="shared" si="22"/>
        <v>#N/A</v>
      </c>
      <c r="AC47" s="1284" t="e">
        <f t="shared" si="23"/>
        <v>#N/A</v>
      </c>
      <c r="AD47" s="1286" t="e">
        <f t="shared" si="24"/>
        <v>#VALUE!</v>
      </c>
      <c r="AE47" s="1286">
        <f t="shared" si="25"/>
        <v>0</v>
      </c>
      <c r="AF47" s="1254">
        <f>IF(H47&gt;8,tab!$D$49,tab!$D$52)</f>
        <v>0.4</v>
      </c>
      <c r="AG47" s="1255">
        <f t="shared" si="10"/>
        <v>0</v>
      </c>
      <c r="AH47" s="1251">
        <f t="shared" si="11"/>
        <v>0</v>
      </c>
      <c r="AI47" s="1278" t="b">
        <f>DATE(YEAR(tab!$E$3),MONTH(G47),DAY(G47))&gt;tab!$E$3</f>
        <v>0</v>
      </c>
      <c r="AJ47" s="1255">
        <f t="shared" si="12"/>
        <v>115</v>
      </c>
      <c r="AK47" s="1199">
        <f t="shared" si="13"/>
        <v>30</v>
      </c>
      <c r="AL47" s="1199">
        <f t="shared" si="14"/>
        <v>30</v>
      </c>
      <c r="AM47" s="1205">
        <f t="shared" si="15"/>
        <v>0</v>
      </c>
    </row>
    <row r="48" spans="2:39" ht="12.75" customHeight="1" x14ac:dyDescent="0.2">
      <c r="B48" s="466"/>
      <c r="C48" s="135"/>
      <c r="D48" s="432"/>
      <c r="E48" s="432"/>
      <c r="F48" s="776"/>
      <c r="G48" s="802"/>
      <c r="H48" s="776"/>
      <c r="I48" s="433"/>
      <c r="J48" s="803"/>
      <c r="K48" s="518"/>
      <c r="L48" s="1207"/>
      <c r="M48" s="1207"/>
      <c r="N48" s="1209" t="str">
        <f t="shared" si="16"/>
        <v/>
      </c>
      <c r="O48" s="1209" t="str">
        <f t="shared" si="17"/>
        <v/>
      </c>
      <c r="P48" s="1283" t="str">
        <f t="shared" si="18"/>
        <v/>
      </c>
      <c r="Q48" s="518"/>
      <c r="R48" s="1076" t="str">
        <f t="shared" si="26"/>
        <v/>
      </c>
      <c r="S48" s="1076" t="str">
        <f t="shared" si="19"/>
        <v/>
      </c>
      <c r="T48" s="1078" t="str">
        <f t="shared" si="20"/>
        <v/>
      </c>
      <c r="U48" s="599"/>
      <c r="V48" s="804"/>
      <c r="W48" s="1110"/>
      <c r="X48" s="1218"/>
      <c r="Y48" s="1253" t="e">
        <f>ROUND(VLOOKUP(H48,tab!$A$61:$V$103,I48+2,FALSE),0)</f>
        <v>#N/A</v>
      </c>
      <c r="Z48" s="1252">
        <f>tab!$D$48</f>
        <v>0.62</v>
      </c>
      <c r="AA48" s="1284" t="e">
        <f t="shared" si="21"/>
        <v>#N/A</v>
      </c>
      <c r="AB48" s="1284" t="e">
        <f t="shared" si="22"/>
        <v>#N/A</v>
      </c>
      <c r="AC48" s="1284" t="e">
        <f t="shared" si="23"/>
        <v>#N/A</v>
      </c>
      <c r="AD48" s="1286" t="e">
        <f t="shared" si="24"/>
        <v>#VALUE!</v>
      </c>
      <c r="AE48" s="1286">
        <f t="shared" si="25"/>
        <v>0</v>
      </c>
      <c r="AF48" s="1254">
        <f>IF(H48&gt;8,tab!$D$49,tab!$D$52)</f>
        <v>0.4</v>
      </c>
      <c r="AG48" s="1255">
        <f t="shared" ref="AG48:AG70" si="27">IF(F48&lt;25,0,IF(F48=25,25,IF(F48&lt;40,0,IF(F48=40,40,IF(F48&gt;=40,0)))))</f>
        <v>0</v>
      </c>
      <c r="AH48" s="1251">
        <f t="shared" ref="AH48:AH70" si="28">IF(AG48=25,(Y48*1.08*(J48)/2),IF(AG48=40,(Y48*1.08*(J48)),IF(AG48=0,0)))</f>
        <v>0</v>
      </c>
      <c r="AI48" s="1278" t="b">
        <f>DATE(YEAR(tab!$E$3),MONTH(G48),DAY(G48))&gt;tab!$E$3</f>
        <v>0</v>
      </c>
      <c r="AJ48" s="1255">
        <f t="shared" ref="AJ48:AJ70" si="29">YEAR($E$9)-YEAR(G48)-AI48</f>
        <v>115</v>
      </c>
      <c r="AK48" s="1199">
        <f t="shared" ref="AK48:AK70" si="30">IF((G48=""),30,AJ48)</f>
        <v>30</v>
      </c>
      <c r="AL48" s="1199">
        <f t="shared" ref="AL48:AL70" si="31">IF((AK48)&gt;50,50,(AK48))</f>
        <v>30</v>
      </c>
      <c r="AM48" s="1205">
        <f t="shared" ref="AM48:AM70" si="32">(AL48*(SUM(J48:J48)))</f>
        <v>0</v>
      </c>
    </row>
    <row r="49" spans="2:39" ht="12.75" customHeight="1" x14ac:dyDescent="0.2">
      <c r="B49" s="466"/>
      <c r="C49" s="135"/>
      <c r="D49" s="432"/>
      <c r="E49" s="432"/>
      <c r="F49" s="776"/>
      <c r="G49" s="802"/>
      <c r="H49" s="776"/>
      <c r="I49" s="433"/>
      <c r="J49" s="803"/>
      <c r="K49" s="518"/>
      <c r="L49" s="1207"/>
      <c r="M49" s="1207"/>
      <c r="N49" s="1209" t="str">
        <f t="shared" si="16"/>
        <v/>
      </c>
      <c r="O49" s="1209" t="str">
        <f t="shared" si="17"/>
        <v/>
      </c>
      <c r="P49" s="1283" t="str">
        <f t="shared" si="18"/>
        <v/>
      </c>
      <c r="Q49" s="518"/>
      <c r="R49" s="1076" t="str">
        <f t="shared" si="26"/>
        <v/>
      </c>
      <c r="S49" s="1076" t="str">
        <f t="shared" si="19"/>
        <v/>
      </c>
      <c r="T49" s="1078" t="str">
        <f t="shared" si="20"/>
        <v/>
      </c>
      <c r="U49" s="599"/>
      <c r="V49" s="804"/>
      <c r="W49" s="1110"/>
      <c r="X49" s="1218"/>
      <c r="Y49" s="1253" t="e">
        <f>ROUND(VLOOKUP(H49,tab!$A$61:$V$103,I49+2,FALSE),0)</f>
        <v>#N/A</v>
      </c>
      <c r="Z49" s="1252">
        <f>tab!$D$48</f>
        <v>0.62</v>
      </c>
      <c r="AA49" s="1284" t="e">
        <f t="shared" si="21"/>
        <v>#N/A</v>
      </c>
      <c r="AB49" s="1284" t="e">
        <f t="shared" si="22"/>
        <v>#N/A</v>
      </c>
      <c r="AC49" s="1284" t="e">
        <f t="shared" si="23"/>
        <v>#N/A</v>
      </c>
      <c r="AD49" s="1286" t="e">
        <f t="shared" si="24"/>
        <v>#VALUE!</v>
      </c>
      <c r="AE49" s="1286">
        <f t="shared" si="25"/>
        <v>0</v>
      </c>
      <c r="AF49" s="1254">
        <f>IF(H49&gt;8,tab!$D$49,tab!$D$52)</f>
        <v>0.4</v>
      </c>
      <c r="AG49" s="1255">
        <f t="shared" si="27"/>
        <v>0</v>
      </c>
      <c r="AH49" s="1251">
        <f t="shared" si="28"/>
        <v>0</v>
      </c>
      <c r="AI49" s="1278" t="b">
        <f>DATE(YEAR(tab!$E$3),MONTH(G49),DAY(G49))&gt;tab!$E$3</f>
        <v>0</v>
      </c>
      <c r="AJ49" s="1255">
        <f t="shared" si="29"/>
        <v>115</v>
      </c>
      <c r="AK49" s="1199">
        <f t="shared" si="30"/>
        <v>30</v>
      </c>
      <c r="AL49" s="1199">
        <f t="shared" si="31"/>
        <v>30</v>
      </c>
      <c r="AM49" s="1205">
        <f t="shared" si="32"/>
        <v>0</v>
      </c>
    </row>
    <row r="50" spans="2:39" ht="12.75" customHeight="1" x14ac:dyDescent="0.2">
      <c r="B50" s="466"/>
      <c r="C50" s="135"/>
      <c r="D50" s="432"/>
      <c r="E50" s="432"/>
      <c r="F50" s="776"/>
      <c r="G50" s="802"/>
      <c r="H50" s="776"/>
      <c r="I50" s="433"/>
      <c r="J50" s="803"/>
      <c r="K50" s="518"/>
      <c r="L50" s="1207"/>
      <c r="M50" s="1207"/>
      <c r="N50" s="1209" t="str">
        <f t="shared" si="16"/>
        <v/>
      </c>
      <c r="O50" s="1209" t="str">
        <f t="shared" si="17"/>
        <v/>
      </c>
      <c r="P50" s="1283" t="str">
        <f t="shared" si="18"/>
        <v/>
      </c>
      <c r="Q50" s="518"/>
      <c r="R50" s="1076" t="str">
        <f t="shared" si="26"/>
        <v/>
      </c>
      <c r="S50" s="1076" t="str">
        <f t="shared" si="19"/>
        <v/>
      </c>
      <c r="T50" s="1078" t="str">
        <f t="shared" si="20"/>
        <v/>
      </c>
      <c r="U50" s="599"/>
      <c r="V50" s="804"/>
      <c r="W50" s="1110"/>
      <c r="X50" s="1218"/>
      <c r="Y50" s="1253" t="e">
        <f>ROUND(VLOOKUP(H50,tab!$A$61:$V$103,I50+2,FALSE),0)</f>
        <v>#N/A</v>
      </c>
      <c r="Z50" s="1252">
        <f>tab!$D$48</f>
        <v>0.62</v>
      </c>
      <c r="AA50" s="1284" t="e">
        <f t="shared" si="21"/>
        <v>#N/A</v>
      </c>
      <c r="AB50" s="1284" t="e">
        <f t="shared" si="22"/>
        <v>#N/A</v>
      </c>
      <c r="AC50" s="1284" t="e">
        <f t="shared" si="23"/>
        <v>#N/A</v>
      </c>
      <c r="AD50" s="1286" t="e">
        <f t="shared" si="24"/>
        <v>#VALUE!</v>
      </c>
      <c r="AE50" s="1286">
        <f t="shared" si="25"/>
        <v>0</v>
      </c>
      <c r="AF50" s="1254">
        <f>IF(H50&gt;8,tab!$D$49,tab!$D$52)</f>
        <v>0.4</v>
      </c>
      <c r="AG50" s="1255">
        <f t="shared" si="27"/>
        <v>0</v>
      </c>
      <c r="AH50" s="1251">
        <f t="shared" si="28"/>
        <v>0</v>
      </c>
      <c r="AI50" s="1278" t="b">
        <f>DATE(YEAR(tab!$E$3),MONTH(G50),DAY(G50))&gt;tab!$E$3</f>
        <v>0</v>
      </c>
      <c r="AJ50" s="1255">
        <f t="shared" si="29"/>
        <v>115</v>
      </c>
      <c r="AK50" s="1199">
        <f t="shared" si="30"/>
        <v>30</v>
      </c>
      <c r="AL50" s="1199">
        <f t="shared" si="31"/>
        <v>30</v>
      </c>
      <c r="AM50" s="1205">
        <f t="shared" si="32"/>
        <v>0</v>
      </c>
    </row>
    <row r="51" spans="2:39" ht="12.75" customHeight="1" x14ac:dyDescent="0.2">
      <c r="B51" s="466"/>
      <c r="C51" s="135"/>
      <c r="D51" s="432"/>
      <c r="E51" s="432"/>
      <c r="F51" s="776"/>
      <c r="G51" s="802"/>
      <c r="H51" s="776"/>
      <c r="I51" s="433"/>
      <c r="J51" s="803"/>
      <c r="K51" s="518"/>
      <c r="L51" s="1207"/>
      <c r="M51" s="1207"/>
      <c r="N51" s="1209" t="str">
        <f t="shared" si="16"/>
        <v/>
      </c>
      <c r="O51" s="1209" t="str">
        <f t="shared" si="17"/>
        <v/>
      </c>
      <c r="P51" s="1283" t="str">
        <f t="shared" si="18"/>
        <v/>
      </c>
      <c r="Q51" s="518"/>
      <c r="R51" s="1076" t="str">
        <f t="shared" si="26"/>
        <v/>
      </c>
      <c r="S51" s="1076" t="str">
        <f t="shared" si="19"/>
        <v/>
      </c>
      <c r="T51" s="1078" t="str">
        <f t="shared" si="20"/>
        <v/>
      </c>
      <c r="U51" s="599"/>
      <c r="V51" s="804"/>
      <c r="W51" s="1110"/>
      <c r="X51" s="1218"/>
      <c r="Y51" s="1253" t="e">
        <f>ROUND(VLOOKUP(H51,tab!$A$61:$V$103,I51+2,FALSE),0)</f>
        <v>#N/A</v>
      </c>
      <c r="Z51" s="1252">
        <f>tab!$D$48</f>
        <v>0.62</v>
      </c>
      <c r="AA51" s="1284" t="e">
        <f t="shared" si="21"/>
        <v>#N/A</v>
      </c>
      <c r="AB51" s="1284" t="e">
        <f t="shared" si="22"/>
        <v>#N/A</v>
      </c>
      <c r="AC51" s="1284" t="e">
        <f t="shared" si="23"/>
        <v>#N/A</v>
      </c>
      <c r="AD51" s="1286" t="e">
        <f t="shared" si="24"/>
        <v>#VALUE!</v>
      </c>
      <c r="AE51" s="1286">
        <f t="shared" si="25"/>
        <v>0</v>
      </c>
      <c r="AF51" s="1254">
        <f>IF(H51&gt;8,tab!$D$49,tab!$D$52)</f>
        <v>0.4</v>
      </c>
      <c r="AG51" s="1255">
        <f t="shared" si="27"/>
        <v>0</v>
      </c>
      <c r="AH51" s="1251">
        <f t="shared" si="28"/>
        <v>0</v>
      </c>
      <c r="AI51" s="1278" t="b">
        <f>DATE(YEAR(tab!$E$3),MONTH(G51),DAY(G51))&gt;tab!$E$3</f>
        <v>0</v>
      </c>
      <c r="AJ51" s="1255">
        <f t="shared" si="29"/>
        <v>115</v>
      </c>
      <c r="AK51" s="1199">
        <f t="shared" si="30"/>
        <v>30</v>
      </c>
      <c r="AL51" s="1199">
        <f t="shared" si="31"/>
        <v>30</v>
      </c>
      <c r="AM51" s="1205">
        <f t="shared" si="32"/>
        <v>0</v>
      </c>
    </row>
    <row r="52" spans="2:39" ht="12.75" customHeight="1" x14ac:dyDescent="0.2">
      <c r="B52" s="466"/>
      <c r="C52" s="135"/>
      <c r="D52" s="432"/>
      <c r="E52" s="432"/>
      <c r="F52" s="776"/>
      <c r="G52" s="802"/>
      <c r="H52" s="776"/>
      <c r="I52" s="433"/>
      <c r="J52" s="803"/>
      <c r="K52" s="518"/>
      <c r="L52" s="1207"/>
      <c r="M52" s="1207"/>
      <c r="N52" s="1209" t="str">
        <f t="shared" si="16"/>
        <v/>
      </c>
      <c r="O52" s="1209" t="str">
        <f t="shared" si="17"/>
        <v/>
      </c>
      <c r="P52" s="1283" t="str">
        <f t="shared" si="18"/>
        <v/>
      </c>
      <c r="Q52" s="518"/>
      <c r="R52" s="1076" t="str">
        <f t="shared" si="26"/>
        <v/>
      </c>
      <c r="S52" s="1076" t="str">
        <f t="shared" si="19"/>
        <v/>
      </c>
      <c r="T52" s="1078" t="str">
        <f t="shared" si="20"/>
        <v/>
      </c>
      <c r="U52" s="599"/>
      <c r="V52" s="804"/>
      <c r="W52" s="1110"/>
      <c r="X52" s="1218"/>
      <c r="Y52" s="1253" t="e">
        <f>ROUND(VLOOKUP(H52,tab!$A$61:$V$103,I52+2,FALSE),0)</f>
        <v>#N/A</v>
      </c>
      <c r="Z52" s="1252">
        <f>tab!$D$48</f>
        <v>0.62</v>
      </c>
      <c r="AA52" s="1284" t="e">
        <f t="shared" si="21"/>
        <v>#N/A</v>
      </c>
      <c r="AB52" s="1284" t="e">
        <f t="shared" si="22"/>
        <v>#N/A</v>
      </c>
      <c r="AC52" s="1284" t="e">
        <f t="shared" si="23"/>
        <v>#N/A</v>
      </c>
      <c r="AD52" s="1286" t="e">
        <f t="shared" si="24"/>
        <v>#VALUE!</v>
      </c>
      <c r="AE52" s="1286">
        <f t="shared" si="25"/>
        <v>0</v>
      </c>
      <c r="AF52" s="1254">
        <f>IF(H52&gt;8,tab!$D$49,tab!$D$52)</f>
        <v>0.4</v>
      </c>
      <c r="AG52" s="1255">
        <f t="shared" si="27"/>
        <v>0</v>
      </c>
      <c r="AH52" s="1251">
        <f t="shared" si="28"/>
        <v>0</v>
      </c>
      <c r="AI52" s="1278" t="b">
        <f>DATE(YEAR(tab!$E$3),MONTH(G52),DAY(G52))&gt;tab!$E$3</f>
        <v>0</v>
      </c>
      <c r="AJ52" s="1255">
        <f t="shared" si="29"/>
        <v>115</v>
      </c>
      <c r="AK52" s="1199">
        <f t="shared" si="30"/>
        <v>30</v>
      </c>
      <c r="AL52" s="1199">
        <f t="shared" si="31"/>
        <v>30</v>
      </c>
      <c r="AM52" s="1205">
        <f t="shared" si="32"/>
        <v>0</v>
      </c>
    </row>
    <row r="53" spans="2:39" ht="12.75" customHeight="1" x14ac:dyDescent="0.2">
      <c r="B53" s="466"/>
      <c r="C53" s="135"/>
      <c r="D53" s="432"/>
      <c r="E53" s="432"/>
      <c r="F53" s="776"/>
      <c r="G53" s="802"/>
      <c r="H53" s="776"/>
      <c r="I53" s="433"/>
      <c r="J53" s="803"/>
      <c r="K53" s="518"/>
      <c r="L53" s="1207"/>
      <c r="M53" s="1207"/>
      <c r="N53" s="1209" t="str">
        <f t="shared" si="16"/>
        <v/>
      </c>
      <c r="O53" s="1209" t="str">
        <f t="shared" si="17"/>
        <v/>
      </c>
      <c r="P53" s="1283" t="str">
        <f t="shared" si="18"/>
        <v/>
      </c>
      <c r="Q53" s="518"/>
      <c r="R53" s="1076" t="str">
        <f t="shared" si="26"/>
        <v/>
      </c>
      <c r="S53" s="1076" t="str">
        <f t="shared" si="19"/>
        <v/>
      </c>
      <c r="T53" s="1078" t="str">
        <f t="shared" si="20"/>
        <v/>
      </c>
      <c r="U53" s="599"/>
      <c r="V53" s="804"/>
      <c r="W53" s="1110"/>
      <c r="X53" s="1218"/>
      <c r="Y53" s="1253" t="e">
        <f>ROUND(VLOOKUP(H53,tab!$A$61:$V$103,I53+2,FALSE),0)</f>
        <v>#N/A</v>
      </c>
      <c r="Z53" s="1252">
        <f>tab!$D$48</f>
        <v>0.62</v>
      </c>
      <c r="AA53" s="1284" t="e">
        <f t="shared" si="21"/>
        <v>#N/A</v>
      </c>
      <c r="AB53" s="1284" t="e">
        <f t="shared" si="22"/>
        <v>#N/A</v>
      </c>
      <c r="AC53" s="1284" t="e">
        <f t="shared" si="23"/>
        <v>#N/A</v>
      </c>
      <c r="AD53" s="1286" t="e">
        <f t="shared" si="24"/>
        <v>#VALUE!</v>
      </c>
      <c r="AE53" s="1286">
        <f t="shared" si="25"/>
        <v>0</v>
      </c>
      <c r="AF53" s="1254">
        <f>IF(H53&gt;8,tab!$D$49,tab!$D$52)</f>
        <v>0.4</v>
      </c>
      <c r="AG53" s="1255">
        <f t="shared" si="27"/>
        <v>0</v>
      </c>
      <c r="AH53" s="1251">
        <f t="shared" si="28"/>
        <v>0</v>
      </c>
      <c r="AI53" s="1278" t="b">
        <f>DATE(YEAR(tab!$E$3),MONTH(G53),DAY(G53))&gt;tab!$E$3</f>
        <v>0</v>
      </c>
      <c r="AJ53" s="1255">
        <f t="shared" si="29"/>
        <v>115</v>
      </c>
      <c r="AK53" s="1199">
        <f t="shared" si="30"/>
        <v>30</v>
      </c>
      <c r="AL53" s="1199">
        <f t="shared" si="31"/>
        <v>30</v>
      </c>
      <c r="AM53" s="1205">
        <f t="shared" si="32"/>
        <v>0</v>
      </c>
    </row>
    <row r="54" spans="2:39" ht="12.75" customHeight="1" x14ac:dyDescent="0.2">
      <c r="B54" s="466"/>
      <c r="C54" s="135"/>
      <c r="D54" s="432"/>
      <c r="E54" s="432"/>
      <c r="F54" s="776"/>
      <c r="G54" s="802"/>
      <c r="H54" s="776"/>
      <c r="I54" s="433"/>
      <c r="J54" s="803"/>
      <c r="K54" s="518"/>
      <c r="L54" s="1207"/>
      <c r="M54" s="1207"/>
      <c r="N54" s="1209" t="str">
        <f t="shared" si="16"/>
        <v/>
      </c>
      <c r="O54" s="1209" t="str">
        <f t="shared" si="17"/>
        <v/>
      </c>
      <c r="P54" s="1283" t="str">
        <f t="shared" si="18"/>
        <v/>
      </c>
      <c r="Q54" s="518"/>
      <c r="R54" s="1076" t="str">
        <f t="shared" si="26"/>
        <v/>
      </c>
      <c r="S54" s="1076" t="str">
        <f t="shared" si="19"/>
        <v/>
      </c>
      <c r="T54" s="1078" t="str">
        <f t="shared" si="20"/>
        <v/>
      </c>
      <c r="U54" s="599"/>
      <c r="V54" s="804"/>
      <c r="W54" s="1110"/>
      <c r="X54" s="1218"/>
      <c r="Y54" s="1253" t="e">
        <f>ROUND(VLOOKUP(H54,tab!$A$61:$V$103,I54+2,FALSE),0)</f>
        <v>#N/A</v>
      </c>
      <c r="Z54" s="1252">
        <f>tab!$D$48</f>
        <v>0.62</v>
      </c>
      <c r="AA54" s="1284" t="e">
        <f t="shared" si="21"/>
        <v>#N/A</v>
      </c>
      <c r="AB54" s="1284" t="e">
        <f t="shared" si="22"/>
        <v>#N/A</v>
      </c>
      <c r="AC54" s="1284" t="e">
        <f t="shared" si="23"/>
        <v>#N/A</v>
      </c>
      <c r="AD54" s="1286" t="e">
        <f t="shared" si="24"/>
        <v>#VALUE!</v>
      </c>
      <c r="AE54" s="1286">
        <f t="shared" si="25"/>
        <v>0</v>
      </c>
      <c r="AF54" s="1254">
        <f>IF(H54&gt;8,tab!$D$49,tab!$D$52)</f>
        <v>0.4</v>
      </c>
      <c r="AG54" s="1255">
        <f t="shared" si="27"/>
        <v>0</v>
      </c>
      <c r="AH54" s="1251">
        <f t="shared" si="28"/>
        <v>0</v>
      </c>
      <c r="AI54" s="1278" t="b">
        <f>DATE(YEAR(tab!$E$3),MONTH(G54),DAY(G54))&gt;tab!$E$3</f>
        <v>0</v>
      </c>
      <c r="AJ54" s="1255">
        <f t="shared" si="29"/>
        <v>115</v>
      </c>
      <c r="AK54" s="1199">
        <f t="shared" si="30"/>
        <v>30</v>
      </c>
      <c r="AL54" s="1199">
        <f t="shared" si="31"/>
        <v>30</v>
      </c>
      <c r="AM54" s="1205">
        <f t="shared" si="32"/>
        <v>0</v>
      </c>
    </row>
    <row r="55" spans="2:39" ht="12.75" customHeight="1" x14ac:dyDescent="0.2">
      <c r="B55" s="466"/>
      <c r="C55" s="135"/>
      <c r="D55" s="432"/>
      <c r="E55" s="432"/>
      <c r="F55" s="776"/>
      <c r="G55" s="802"/>
      <c r="H55" s="776"/>
      <c r="I55" s="433"/>
      <c r="J55" s="803"/>
      <c r="K55" s="518"/>
      <c r="L55" s="1207"/>
      <c r="M55" s="1207"/>
      <c r="N55" s="1209" t="str">
        <f t="shared" si="16"/>
        <v/>
      </c>
      <c r="O55" s="1209" t="str">
        <f t="shared" si="17"/>
        <v/>
      </c>
      <c r="P55" s="1283" t="str">
        <f t="shared" si="18"/>
        <v/>
      </c>
      <c r="Q55" s="518"/>
      <c r="R55" s="1076" t="str">
        <f t="shared" si="26"/>
        <v/>
      </c>
      <c r="S55" s="1076" t="str">
        <f t="shared" si="19"/>
        <v/>
      </c>
      <c r="T55" s="1078" t="str">
        <f t="shared" si="20"/>
        <v/>
      </c>
      <c r="U55" s="599"/>
      <c r="V55" s="804"/>
      <c r="W55" s="1110"/>
      <c r="X55" s="1218"/>
      <c r="Y55" s="1253" t="e">
        <f>ROUND(VLOOKUP(H55,tab!$A$61:$V$103,I55+2,FALSE),0)</f>
        <v>#N/A</v>
      </c>
      <c r="Z55" s="1252">
        <f>tab!$D$48</f>
        <v>0.62</v>
      </c>
      <c r="AA55" s="1284" t="e">
        <f t="shared" si="21"/>
        <v>#N/A</v>
      </c>
      <c r="AB55" s="1284" t="e">
        <f t="shared" si="22"/>
        <v>#N/A</v>
      </c>
      <c r="AC55" s="1284" t="e">
        <f t="shared" si="23"/>
        <v>#N/A</v>
      </c>
      <c r="AD55" s="1286" t="e">
        <f t="shared" si="24"/>
        <v>#VALUE!</v>
      </c>
      <c r="AE55" s="1286">
        <f t="shared" si="25"/>
        <v>0</v>
      </c>
      <c r="AF55" s="1254">
        <f>IF(H55&gt;8,tab!$D$49,tab!$D$52)</f>
        <v>0.4</v>
      </c>
      <c r="AG55" s="1255">
        <f t="shared" si="27"/>
        <v>0</v>
      </c>
      <c r="AH55" s="1251">
        <f t="shared" si="28"/>
        <v>0</v>
      </c>
      <c r="AI55" s="1278" t="b">
        <f>DATE(YEAR(tab!$E$3),MONTH(G55),DAY(G55))&gt;tab!$E$3</f>
        <v>0</v>
      </c>
      <c r="AJ55" s="1255">
        <f t="shared" si="29"/>
        <v>115</v>
      </c>
      <c r="AK55" s="1199">
        <f t="shared" si="30"/>
        <v>30</v>
      </c>
      <c r="AL55" s="1199">
        <f t="shared" si="31"/>
        <v>30</v>
      </c>
      <c r="AM55" s="1205">
        <f t="shared" si="32"/>
        <v>0</v>
      </c>
    </row>
    <row r="56" spans="2:39" ht="12.75" customHeight="1" x14ac:dyDescent="0.2">
      <c r="B56" s="466"/>
      <c r="C56" s="135"/>
      <c r="D56" s="432"/>
      <c r="E56" s="432"/>
      <c r="F56" s="776"/>
      <c r="G56" s="802"/>
      <c r="H56" s="776"/>
      <c r="I56" s="433"/>
      <c r="J56" s="803"/>
      <c r="K56" s="518"/>
      <c r="L56" s="1207"/>
      <c r="M56" s="1207"/>
      <c r="N56" s="1209" t="str">
        <f t="shared" si="16"/>
        <v/>
      </c>
      <c r="O56" s="1209" t="str">
        <f t="shared" si="17"/>
        <v/>
      </c>
      <c r="P56" s="1283" t="str">
        <f t="shared" si="18"/>
        <v/>
      </c>
      <c r="Q56" s="518"/>
      <c r="R56" s="1076" t="str">
        <f t="shared" si="26"/>
        <v/>
      </c>
      <c r="S56" s="1076" t="str">
        <f t="shared" si="19"/>
        <v/>
      </c>
      <c r="T56" s="1078" t="str">
        <f t="shared" si="20"/>
        <v/>
      </c>
      <c r="U56" s="599"/>
      <c r="V56" s="804"/>
      <c r="W56" s="1110"/>
      <c r="X56" s="1218"/>
      <c r="Y56" s="1253" t="e">
        <f>ROUND(VLOOKUP(H56,tab!$A$61:$V$103,I56+2,FALSE),0)</f>
        <v>#N/A</v>
      </c>
      <c r="Z56" s="1252">
        <f>tab!$D$48</f>
        <v>0.62</v>
      </c>
      <c r="AA56" s="1284" t="e">
        <f t="shared" si="21"/>
        <v>#N/A</v>
      </c>
      <c r="AB56" s="1284" t="e">
        <f t="shared" si="22"/>
        <v>#N/A</v>
      </c>
      <c r="AC56" s="1284" t="e">
        <f t="shared" si="23"/>
        <v>#N/A</v>
      </c>
      <c r="AD56" s="1286" t="e">
        <f t="shared" si="24"/>
        <v>#VALUE!</v>
      </c>
      <c r="AE56" s="1286">
        <f t="shared" si="25"/>
        <v>0</v>
      </c>
      <c r="AF56" s="1254">
        <f>IF(H56&gt;8,tab!$D$49,tab!$D$52)</f>
        <v>0.4</v>
      </c>
      <c r="AG56" s="1255">
        <f t="shared" si="27"/>
        <v>0</v>
      </c>
      <c r="AH56" s="1251">
        <f t="shared" si="28"/>
        <v>0</v>
      </c>
      <c r="AI56" s="1278" t="b">
        <f>DATE(YEAR(tab!$E$3),MONTH(G56),DAY(G56))&gt;tab!$E$3</f>
        <v>0</v>
      </c>
      <c r="AJ56" s="1255">
        <f t="shared" si="29"/>
        <v>115</v>
      </c>
      <c r="AK56" s="1199">
        <f t="shared" si="30"/>
        <v>30</v>
      </c>
      <c r="AL56" s="1199">
        <f t="shared" si="31"/>
        <v>30</v>
      </c>
      <c r="AM56" s="1205">
        <f t="shared" si="32"/>
        <v>0</v>
      </c>
    </row>
    <row r="57" spans="2:39" ht="12.75" customHeight="1" x14ac:dyDescent="0.2">
      <c r="B57" s="466"/>
      <c r="C57" s="135"/>
      <c r="D57" s="432"/>
      <c r="E57" s="432"/>
      <c r="F57" s="776"/>
      <c r="G57" s="802"/>
      <c r="H57" s="776"/>
      <c r="I57" s="433"/>
      <c r="J57" s="803"/>
      <c r="K57" s="518"/>
      <c r="L57" s="1207"/>
      <c r="M57" s="1207"/>
      <c r="N57" s="1209" t="str">
        <f t="shared" si="16"/>
        <v/>
      </c>
      <c r="O57" s="1209" t="str">
        <f t="shared" si="17"/>
        <v/>
      </c>
      <c r="P57" s="1283" t="str">
        <f t="shared" si="18"/>
        <v/>
      </c>
      <c r="Q57" s="518"/>
      <c r="R57" s="1076" t="str">
        <f t="shared" si="26"/>
        <v/>
      </c>
      <c r="S57" s="1076" t="str">
        <f t="shared" si="19"/>
        <v/>
      </c>
      <c r="T57" s="1078" t="str">
        <f t="shared" si="20"/>
        <v/>
      </c>
      <c r="U57" s="599"/>
      <c r="V57" s="804"/>
      <c r="W57" s="1110"/>
      <c r="X57" s="1218"/>
      <c r="Y57" s="1253" t="e">
        <f>ROUND(VLOOKUP(H57,tab!$A$61:$V$103,I57+2,FALSE),0)</f>
        <v>#N/A</v>
      </c>
      <c r="Z57" s="1252">
        <f>tab!$D$48</f>
        <v>0.62</v>
      </c>
      <c r="AA57" s="1284" t="e">
        <f t="shared" si="21"/>
        <v>#N/A</v>
      </c>
      <c r="AB57" s="1284" t="e">
        <f t="shared" si="22"/>
        <v>#N/A</v>
      </c>
      <c r="AC57" s="1284" t="e">
        <f t="shared" si="23"/>
        <v>#N/A</v>
      </c>
      <c r="AD57" s="1286" t="e">
        <f t="shared" si="24"/>
        <v>#VALUE!</v>
      </c>
      <c r="AE57" s="1286">
        <f t="shared" si="25"/>
        <v>0</v>
      </c>
      <c r="AF57" s="1254">
        <f>IF(H57&gt;8,tab!$D$49,tab!$D$52)</f>
        <v>0.4</v>
      </c>
      <c r="AG57" s="1255">
        <f t="shared" si="27"/>
        <v>0</v>
      </c>
      <c r="AH57" s="1251">
        <f t="shared" si="28"/>
        <v>0</v>
      </c>
      <c r="AI57" s="1278" t="b">
        <f>DATE(YEAR(tab!$E$3),MONTH(G57),DAY(G57))&gt;tab!$E$3</f>
        <v>0</v>
      </c>
      <c r="AJ57" s="1255">
        <f t="shared" si="29"/>
        <v>115</v>
      </c>
      <c r="AK57" s="1199">
        <f t="shared" si="30"/>
        <v>30</v>
      </c>
      <c r="AL57" s="1199">
        <f t="shared" si="31"/>
        <v>30</v>
      </c>
      <c r="AM57" s="1205">
        <f t="shared" si="32"/>
        <v>0</v>
      </c>
    </row>
    <row r="58" spans="2:39" ht="12.75" customHeight="1" x14ac:dyDescent="0.2">
      <c r="B58" s="466"/>
      <c r="C58" s="135"/>
      <c r="D58" s="432"/>
      <c r="E58" s="432"/>
      <c r="F58" s="776"/>
      <c r="G58" s="802"/>
      <c r="H58" s="776"/>
      <c r="I58" s="433"/>
      <c r="J58" s="803"/>
      <c r="K58" s="518"/>
      <c r="L58" s="1207"/>
      <c r="M58" s="1207"/>
      <c r="N58" s="1209" t="str">
        <f t="shared" si="16"/>
        <v/>
      </c>
      <c r="O58" s="1209" t="str">
        <f t="shared" si="17"/>
        <v/>
      </c>
      <c r="P58" s="1283" t="str">
        <f t="shared" si="18"/>
        <v/>
      </c>
      <c r="Q58" s="518"/>
      <c r="R58" s="1076" t="str">
        <f t="shared" si="26"/>
        <v/>
      </c>
      <c r="S58" s="1076" t="str">
        <f t="shared" si="19"/>
        <v/>
      </c>
      <c r="T58" s="1078" t="str">
        <f t="shared" si="20"/>
        <v/>
      </c>
      <c r="U58" s="599"/>
      <c r="V58" s="804"/>
      <c r="W58" s="1110"/>
      <c r="X58" s="1218"/>
      <c r="Y58" s="1253" t="e">
        <f>ROUND(VLOOKUP(H58,tab!$A$61:$V$103,I58+2,FALSE),0)</f>
        <v>#N/A</v>
      </c>
      <c r="Z58" s="1252">
        <f>tab!$D$48</f>
        <v>0.62</v>
      </c>
      <c r="AA58" s="1284" t="e">
        <f t="shared" si="21"/>
        <v>#N/A</v>
      </c>
      <c r="AB58" s="1284" t="e">
        <f t="shared" si="22"/>
        <v>#N/A</v>
      </c>
      <c r="AC58" s="1284" t="e">
        <f t="shared" si="23"/>
        <v>#N/A</v>
      </c>
      <c r="AD58" s="1286" t="e">
        <f t="shared" si="24"/>
        <v>#VALUE!</v>
      </c>
      <c r="AE58" s="1286">
        <f t="shared" si="25"/>
        <v>0</v>
      </c>
      <c r="AF58" s="1254">
        <f>IF(H58&gt;8,tab!$D$49,tab!$D$52)</f>
        <v>0.4</v>
      </c>
      <c r="AG58" s="1255">
        <f t="shared" si="27"/>
        <v>0</v>
      </c>
      <c r="AH58" s="1251">
        <f t="shared" si="28"/>
        <v>0</v>
      </c>
      <c r="AI58" s="1278" t="b">
        <f>DATE(YEAR(tab!$E$3),MONTH(G58),DAY(G58))&gt;tab!$E$3</f>
        <v>0</v>
      </c>
      <c r="AJ58" s="1255">
        <f t="shared" si="29"/>
        <v>115</v>
      </c>
      <c r="AK58" s="1199">
        <f t="shared" si="30"/>
        <v>30</v>
      </c>
      <c r="AL58" s="1199">
        <f t="shared" si="31"/>
        <v>30</v>
      </c>
      <c r="AM58" s="1205">
        <f t="shared" si="32"/>
        <v>0</v>
      </c>
    </row>
    <row r="59" spans="2:39" ht="12.75" customHeight="1" x14ac:dyDescent="0.2">
      <c r="B59" s="466"/>
      <c r="C59" s="135"/>
      <c r="D59" s="432"/>
      <c r="E59" s="432"/>
      <c r="F59" s="776"/>
      <c r="G59" s="802"/>
      <c r="H59" s="776"/>
      <c r="I59" s="433"/>
      <c r="J59" s="803"/>
      <c r="K59" s="518"/>
      <c r="L59" s="1207"/>
      <c r="M59" s="1207"/>
      <c r="N59" s="1209" t="str">
        <f t="shared" si="16"/>
        <v/>
      </c>
      <c r="O59" s="1209" t="str">
        <f t="shared" si="17"/>
        <v/>
      </c>
      <c r="P59" s="1283" t="str">
        <f t="shared" si="18"/>
        <v/>
      </c>
      <c r="Q59" s="518"/>
      <c r="R59" s="1076" t="str">
        <f t="shared" si="26"/>
        <v/>
      </c>
      <c r="S59" s="1076" t="str">
        <f t="shared" si="19"/>
        <v/>
      </c>
      <c r="T59" s="1078" t="str">
        <f t="shared" si="20"/>
        <v/>
      </c>
      <c r="U59" s="599"/>
      <c r="V59" s="804"/>
      <c r="W59" s="1110"/>
      <c r="X59" s="1218"/>
      <c r="Y59" s="1253" t="e">
        <f>ROUND(VLOOKUP(H59,tab!$A$61:$V$103,I59+2,FALSE),0)</f>
        <v>#N/A</v>
      </c>
      <c r="Z59" s="1252">
        <f>tab!$D$48</f>
        <v>0.62</v>
      </c>
      <c r="AA59" s="1284" t="e">
        <f t="shared" si="21"/>
        <v>#N/A</v>
      </c>
      <c r="AB59" s="1284" t="e">
        <f t="shared" si="22"/>
        <v>#N/A</v>
      </c>
      <c r="AC59" s="1284" t="e">
        <f t="shared" si="23"/>
        <v>#N/A</v>
      </c>
      <c r="AD59" s="1286" t="e">
        <f t="shared" si="24"/>
        <v>#VALUE!</v>
      </c>
      <c r="AE59" s="1286">
        <f t="shared" si="25"/>
        <v>0</v>
      </c>
      <c r="AF59" s="1254">
        <f>IF(H59&gt;8,tab!$D$49,tab!$D$52)</f>
        <v>0.4</v>
      </c>
      <c r="AG59" s="1255">
        <f t="shared" si="27"/>
        <v>0</v>
      </c>
      <c r="AH59" s="1251">
        <f t="shared" si="28"/>
        <v>0</v>
      </c>
      <c r="AI59" s="1278" t="b">
        <f>DATE(YEAR(tab!$E$3),MONTH(G59),DAY(G59))&gt;tab!$E$3</f>
        <v>0</v>
      </c>
      <c r="AJ59" s="1255">
        <f t="shared" si="29"/>
        <v>115</v>
      </c>
      <c r="AK59" s="1199">
        <f t="shared" si="30"/>
        <v>30</v>
      </c>
      <c r="AL59" s="1199">
        <f t="shared" si="31"/>
        <v>30</v>
      </c>
      <c r="AM59" s="1205">
        <f t="shared" si="32"/>
        <v>0</v>
      </c>
    </row>
    <row r="60" spans="2:39" ht="12.75" customHeight="1" x14ac:dyDescent="0.2">
      <c r="B60" s="466"/>
      <c r="C60" s="135"/>
      <c r="D60" s="432"/>
      <c r="E60" s="432"/>
      <c r="F60" s="776"/>
      <c r="G60" s="802"/>
      <c r="H60" s="776"/>
      <c r="I60" s="433"/>
      <c r="J60" s="803"/>
      <c r="K60" s="518"/>
      <c r="L60" s="1207"/>
      <c r="M60" s="1207"/>
      <c r="N60" s="1209" t="str">
        <f t="shared" si="16"/>
        <v/>
      </c>
      <c r="O60" s="1209" t="str">
        <f t="shared" si="17"/>
        <v/>
      </c>
      <c r="P60" s="1283" t="str">
        <f t="shared" si="18"/>
        <v/>
      </c>
      <c r="Q60" s="518"/>
      <c r="R60" s="1076" t="str">
        <f t="shared" si="26"/>
        <v/>
      </c>
      <c r="S60" s="1076" t="str">
        <f t="shared" si="19"/>
        <v/>
      </c>
      <c r="T60" s="1078" t="str">
        <f t="shared" si="20"/>
        <v/>
      </c>
      <c r="U60" s="599"/>
      <c r="V60" s="804"/>
      <c r="W60" s="1110"/>
      <c r="X60" s="1218"/>
      <c r="Y60" s="1253" t="e">
        <f>ROUND(VLOOKUP(H60,tab!$A$61:$V$103,I60+2,FALSE),0)</f>
        <v>#N/A</v>
      </c>
      <c r="Z60" s="1252">
        <f>tab!$D$48</f>
        <v>0.62</v>
      </c>
      <c r="AA60" s="1284" t="e">
        <f t="shared" si="21"/>
        <v>#N/A</v>
      </c>
      <c r="AB60" s="1284" t="e">
        <f t="shared" si="22"/>
        <v>#N/A</v>
      </c>
      <c r="AC60" s="1284" t="e">
        <f t="shared" si="23"/>
        <v>#N/A</v>
      </c>
      <c r="AD60" s="1286" t="e">
        <f t="shared" si="24"/>
        <v>#VALUE!</v>
      </c>
      <c r="AE60" s="1286">
        <f t="shared" si="25"/>
        <v>0</v>
      </c>
      <c r="AF60" s="1254">
        <f>IF(H60&gt;8,tab!$D$49,tab!$D$52)</f>
        <v>0.4</v>
      </c>
      <c r="AG60" s="1255">
        <f t="shared" si="27"/>
        <v>0</v>
      </c>
      <c r="AH60" s="1251">
        <f t="shared" si="28"/>
        <v>0</v>
      </c>
      <c r="AI60" s="1278" t="b">
        <f>DATE(YEAR(tab!$E$3),MONTH(G60),DAY(G60))&gt;tab!$E$3</f>
        <v>0</v>
      </c>
      <c r="AJ60" s="1255">
        <f t="shared" si="29"/>
        <v>115</v>
      </c>
      <c r="AK60" s="1199">
        <f t="shared" si="30"/>
        <v>30</v>
      </c>
      <c r="AL60" s="1199">
        <f t="shared" si="31"/>
        <v>30</v>
      </c>
      <c r="AM60" s="1205">
        <f t="shared" si="32"/>
        <v>0</v>
      </c>
    </row>
    <row r="61" spans="2:39" ht="12.75" customHeight="1" x14ac:dyDescent="0.2">
      <c r="B61" s="466"/>
      <c r="C61" s="135"/>
      <c r="D61" s="432"/>
      <c r="E61" s="432"/>
      <c r="F61" s="776"/>
      <c r="G61" s="802"/>
      <c r="H61" s="776"/>
      <c r="I61" s="433"/>
      <c r="J61" s="803"/>
      <c r="K61" s="518"/>
      <c r="L61" s="1207"/>
      <c r="M61" s="1207"/>
      <c r="N61" s="1209" t="str">
        <f t="shared" si="16"/>
        <v/>
      </c>
      <c r="O61" s="1209" t="str">
        <f t="shared" si="17"/>
        <v/>
      </c>
      <c r="P61" s="1283" t="str">
        <f t="shared" si="18"/>
        <v/>
      </c>
      <c r="Q61" s="518"/>
      <c r="R61" s="1076" t="str">
        <f t="shared" si="26"/>
        <v/>
      </c>
      <c r="S61" s="1076" t="str">
        <f t="shared" si="19"/>
        <v/>
      </c>
      <c r="T61" s="1078" t="str">
        <f t="shared" si="20"/>
        <v/>
      </c>
      <c r="U61" s="599"/>
      <c r="V61" s="804"/>
      <c r="W61" s="1110"/>
      <c r="X61" s="1218"/>
      <c r="Y61" s="1253" t="e">
        <f>ROUND(VLOOKUP(H61,tab!$A$61:$V$103,I61+2,FALSE),0)</f>
        <v>#N/A</v>
      </c>
      <c r="Z61" s="1252">
        <f>tab!$D$48</f>
        <v>0.62</v>
      </c>
      <c r="AA61" s="1284" t="e">
        <f t="shared" si="21"/>
        <v>#N/A</v>
      </c>
      <c r="AB61" s="1284" t="e">
        <f t="shared" si="22"/>
        <v>#N/A</v>
      </c>
      <c r="AC61" s="1284" t="e">
        <f t="shared" si="23"/>
        <v>#N/A</v>
      </c>
      <c r="AD61" s="1286" t="e">
        <f t="shared" si="24"/>
        <v>#VALUE!</v>
      </c>
      <c r="AE61" s="1286">
        <f t="shared" si="25"/>
        <v>0</v>
      </c>
      <c r="AF61" s="1254">
        <f>IF(H61&gt;8,tab!$D$49,tab!$D$52)</f>
        <v>0.4</v>
      </c>
      <c r="AG61" s="1255">
        <f t="shared" si="27"/>
        <v>0</v>
      </c>
      <c r="AH61" s="1251">
        <f t="shared" si="28"/>
        <v>0</v>
      </c>
      <c r="AI61" s="1278" t="b">
        <f>DATE(YEAR(tab!$E$3),MONTH(G61),DAY(G61))&gt;tab!$E$3</f>
        <v>0</v>
      </c>
      <c r="AJ61" s="1255">
        <f t="shared" si="29"/>
        <v>115</v>
      </c>
      <c r="AK61" s="1199">
        <f t="shared" si="30"/>
        <v>30</v>
      </c>
      <c r="AL61" s="1199">
        <f t="shared" si="31"/>
        <v>30</v>
      </c>
      <c r="AM61" s="1205">
        <f t="shared" si="32"/>
        <v>0</v>
      </c>
    </row>
    <row r="62" spans="2:39" ht="12.75" customHeight="1" x14ac:dyDescent="0.2">
      <c r="B62" s="466"/>
      <c r="C62" s="135"/>
      <c r="D62" s="432"/>
      <c r="E62" s="432"/>
      <c r="F62" s="776"/>
      <c r="G62" s="802"/>
      <c r="H62" s="776"/>
      <c r="I62" s="433"/>
      <c r="J62" s="803"/>
      <c r="K62" s="518"/>
      <c r="L62" s="1207"/>
      <c r="M62" s="1207"/>
      <c r="N62" s="1209" t="str">
        <f t="shared" si="16"/>
        <v/>
      </c>
      <c r="O62" s="1209" t="str">
        <f t="shared" si="17"/>
        <v/>
      </c>
      <c r="P62" s="1283" t="str">
        <f t="shared" si="18"/>
        <v/>
      </c>
      <c r="Q62" s="518"/>
      <c r="R62" s="1076" t="str">
        <f t="shared" si="26"/>
        <v/>
      </c>
      <c r="S62" s="1076" t="str">
        <f t="shared" si="19"/>
        <v/>
      </c>
      <c r="T62" s="1078" t="str">
        <f t="shared" si="20"/>
        <v/>
      </c>
      <c r="U62" s="599"/>
      <c r="V62" s="804"/>
      <c r="W62" s="1110"/>
      <c r="X62" s="1218"/>
      <c r="Y62" s="1253" t="e">
        <f>ROUND(VLOOKUP(H62,tab!$A$61:$V$103,I62+2,FALSE),0)</f>
        <v>#N/A</v>
      </c>
      <c r="Z62" s="1252">
        <f>tab!$D$48</f>
        <v>0.62</v>
      </c>
      <c r="AA62" s="1284" t="e">
        <f t="shared" si="21"/>
        <v>#N/A</v>
      </c>
      <c r="AB62" s="1284" t="e">
        <f t="shared" si="22"/>
        <v>#N/A</v>
      </c>
      <c r="AC62" s="1284" t="e">
        <f t="shared" si="23"/>
        <v>#N/A</v>
      </c>
      <c r="AD62" s="1286" t="e">
        <f t="shared" si="24"/>
        <v>#VALUE!</v>
      </c>
      <c r="AE62" s="1286">
        <f t="shared" si="25"/>
        <v>0</v>
      </c>
      <c r="AF62" s="1254">
        <f>IF(H62&gt;8,tab!$D$49,tab!$D$52)</f>
        <v>0.4</v>
      </c>
      <c r="AG62" s="1255">
        <f t="shared" si="27"/>
        <v>0</v>
      </c>
      <c r="AH62" s="1251">
        <f t="shared" si="28"/>
        <v>0</v>
      </c>
      <c r="AI62" s="1278" t="b">
        <f>DATE(YEAR(tab!$E$3),MONTH(G62),DAY(G62))&gt;tab!$E$3</f>
        <v>0</v>
      </c>
      <c r="AJ62" s="1255">
        <f t="shared" si="29"/>
        <v>115</v>
      </c>
      <c r="AK62" s="1199">
        <f t="shared" si="30"/>
        <v>30</v>
      </c>
      <c r="AL62" s="1199">
        <f t="shared" si="31"/>
        <v>30</v>
      </c>
      <c r="AM62" s="1205">
        <f t="shared" si="32"/>
        <v>0</v>
      </c>
    </row>
    <row r="63" spans="2:39" ht="12.75" customHeight="1" x14ac:dyDescent="0.2">
      <c r="B63" s="466"/>
      <c r="C63" s="135"/>
      <c r="D63" s="432"/>
      <c r="E63" s="432"/>
      <c r="F63" s="776"/>
      <c r="G63" s="802"/>
      <c r="H63" s="776"/>
      <c r="I63" s="433"/>
      <c r="J63" s="803"/>
      <c r="K63" s="518"/>
      <c r="L63" s="1207"/>
      <c r="M63" s="1207"/>
      <c r="N63" s="1209" t="str">
        <f t="shared" si="16"/>
        <v/>
      </c>
      <c r="O63" s="1209" t="str">
        <f t="shared" si="17"/>
        <v/>
      </c>
      <c r="P63" s="1283" t="str">
        <f t="shared" si="18"/>
        <v/>
      </c>
      <c r="Q63" s="518"/>
      <c r="R63" s="1076" t="str">
        <f t="shared" si="26"/>
        <v/>
      </c>
      <c r="S63" s="1076" t="str">
        <f t="shared" si="19"/>
        <v/>
      </c>
      <c r="T63" s="1078" t="str">
        <f t="shared" si="20"/>
        <v/>
      </c>
      <c r="U63" s="599"/>
      <c r="V63" s="804"/>
      <c r="W63" s="1110"/>
      <c r="X63" s="1218"/>
      <c r="Y63" s="1253" t="e">
        <f>ROUND(VLOOKUP(H63,tab!$A$61:$V$103,I63+2,FALSE),0)</f>
        <v>#N/A</v>
      </c>
      <c r="Z63" s="1252">
        <f>tab!$D$48</f>
        <v>0.62</v>
      </c>
      <c r="AA63" s="1284" t="e">
        <f t="shared" si="21"/>
        <v>#N/A</v>
      </c>
      <c r="AB63" s="1284" t="e">
        <f t="shared" si="22"/>
        <v>#N/A</v>
      </c>
      <c r="AC63" s="1284" t="e">
        <f t="shared" si="23"/>
        <v>#N/A</v>
      </c>
      <c r="AD63" s="1286" t="e">
        <f t="shared" si="24"/>
        <v>#VALUE!</v>
      </c>
      <c r="AE63" s="1286">
        <f t="shared" si="25"/>
        <v>0</v>
      </c>
      <c r="AF63" s="1254">
        <f>IF(H63&gt;8,tab!$D$49,tab!$D$52)</f>
        <v>0.4</v>
      </c>
      <c r="AG63" s="1255">
        <f t="shared" si="27"/>
        <v>0</v>
      </c>
      <c r="AH63" s="1251">
        <f t="shared" si="28"/>
        <v>0</v>
      </c>
      <c r="AI63" s="1278" t="b">
        <f>DATE(YEAR(tab!$E$3),MONTH(G63),DAY(G63))&gt;tab!$E$3</f>
        <v>0</v>
      </c>
      <c r="AJ63" s="1255">
        <f t="shared" si="29"/>
        <v>115</v>
      </c>
      <c r="AK63" s="1199">
        <f t="shared" si="30"/>
        <v>30</v>
      </c>
      <c r="AL63" s="1199">
        <f t="shared" si="31"/>
        <v>30</v>
      </c>
      <c r="AM63" s="1205">
        <f t="shared" si="32"/>
        <v>0</v>
      </c>
    </row>
    <row r="64" spans="2:39" ht="12.75" customHeight="1" x14ac:dyDescent="0.2">
      <c r="B64" s="466"/>
      <c r="C64" s="135"/>
      <c r="D64" s="432"/>
      <c r="E64" s="432"/>
      <c r="F64" s="776"/>
      <c r="G64" s="802"/>
      <c r="H64" s="776"/>
      <c r="I64" s="433"/>
      <c r="J64" s="803"/>
      <c r="K64" s="518"/>
      <c r="L64" s="1207"/>
      <c r="M64" s="1207"/>
      <c r="N64" s="1209" t="str">
        <f t="shared" si="16"/>
        <v/>
      </c>
      <c r="O64" s="1209" t="str">
        <f t="shared" si="17"/>
        <v/>
      </c>
      <c r="P64" s="1283" t="str">
        <f t="shared" si="18"/>
        <v/>
      </c>
      <c r="Q64" s="518"/>
      <c r="R64" s="1076" t="str">
        <f t="shared" si="26"/>
        <v/>
      </c>
      <c r="S64" s="1076" t="str">
        <f t="shared" si="19"/>
        <v/>
      </c>
      <c r="T64" s="1078" t="str">
        <f t="shared" si="20"/>
        <v/>
      </c>
      <c r="U64" s="599"/>
      <c r="V64" s="804"/>
      <c r="W64" s="1110"/>
      <c r="X64" s="1218"/>
      <c r="Y64" s="1253" t="e">
        <f>ROUND(VLOOKUP(H64,tab!$A$61:$V$103,I64+2,FALSE),0)</f>
        <v>#N/A</v>
      </c>
      <c r="Z64" s="1252">
        <f>tab!$D$48</f>
        <v>0.62</v>
      </c>
      <c r="AA64" s="1284" t="e">
        <f t="shared" si="21"/>
        <v>#N/A</v>
      </c>
      <c r="AB64" s="1284" t="e">
        <f t="shared" si="22"/>
        <v>#N/A</v>
      </c>
      <c r="AC64" s="1284" t="e">
        <f t="shared" si="23"/>
        <v>#N/A</v>
      </c>
      <c r="AD64" s="1286" t="e">
        <f t="shared" si="24"/>
        <v>#VALUE!</v>
      </c>
      <c r="AE64" s="1286">
        <f t="shared" si="25"/>
        <v>0</v>
      </c>
      <c r="AF64" s="1254">
        <f>IF(H64&gt;8,tab!$D$49,tab!$D$52)</f>
        <v>0.4</v>
      </c>
      <c r="AG64" s="1255">
        <f t="shared" si="27"/>
        <v>0</v>
      </c>
      <c r="AH64" s="1251">
        <f t="shared" si="28"/>
        <v>0</v>
      </c>
      <c r="AI64" s="1278" t="b">
        <f>DATE(YEAR(tab!$E$3),MONTH(G64),DAY(G64))&gt;tab!$E$3</f>
        <v>0</v>
      </c>
      <c r="AJ64" s="1255">
        <f t="shared" si="29"/>
        <v>115</v>
      </c>
      <c r="AK64" s="1199">
        <f t="shared" si="30"/>
        <v>30</v>
      </c>
      <c r="AL64" s="1199">
        <f t="shared" si="31"/>
        <v>30</v>
      </c>
      <c r="AM64" s="1205">
        <f t="shared" si="32"/>
        <v>0</v>
      </c>
    </row>
    <row r="65" spans="2:50" ht="12.75" customHeight="1" x14ac:dyDescent="0.2">
      <c r="B65" s="466"/>
      <c r="C65" s="135"/>
      <c r="D65" s="432"/>
      <c r="E65" s="432"/>
      <c r="F65" s="776"/>
      <c r="G65" s="802"/>
      <c r="H65" s="776"/>
      <c r="I65" s="433"/>
      <c r="J65" s="803"/>
      <c r="K65" s="518"/>
      <c r="L65" s="1207"/>
      <c r="M65" s="1207"/>
      <c r="N65" s="1209" t="str">
        <f t="shared" si="16"/>
        <v/>
      </c>
      <c r="O65" s="1209" t="str">
        <f t="shared" si="17"/>
        <v/>
      </c>
      <c r="P65" s="1283" t="str">
        <f t="shared" si="18"/>
        <v/>
      </c>
      <c r="Q65" s="518"/>
      <c r="R65" s="1076" t="str">
        <f t="shared" si="26"/>
        <v/>
      </c>
      <c r="S65" s="1076" t="str">
        <f t="shared" si="19"/>
        <v/>
      </c>
      <c r="T65" s="1078" t="str">
        <f t="shared" si="20"/>
        <v/>
      </c>
      <c r="U65" s="599"/>
      <c r="V65" s="804"/>
      <c r="W65" s="1110"/>
      <c r="X65" s="1218"/>
      <c r="Y65" s="1253" t="e">
        <f>ROUND(VLOOKUP(H65,tab!$A$61:$V$103,I65+2,FALSE),0)</f>
        <v>#N/A</v>
      </c>
      <c r="Z65" s="1252">
        <f>tab!$D$48</f>
        <v>0.62</v>
      </c>
      <c r="AA65" s="1284" t="e">
        <f t="shared" si="21"/>
        <v>#N/A</v>
      </c>
      <c r="AB65" s="1284" t="e">
        <f t="shared" si="22"/>
        <v>#N/A</v>
      </c>
      <c r="AC65" s="1284" t="e">
        <f t="shared" si="23"/>
        <v>#N/A</v>
      </c>
      <c r="AD65" s="1286" t="e">
        <f t="shared" si="24"/>
        <v>#VALUE!</v>
      </c>
      <c r="AE65" s="1286">
        <f t="shared" si="25"/>
        <v>0</v>
      </c>
      <c r="AF65" s="1254">
        <f>IF(H65&gt;8,tab!$D$49,tab!$D$52)</f>
        <v>0.4</v>
      </c>
      <c r="AG65" s="1255">
        <f t="shared" si="27"/>
        <v>0</v>
      </c>
      <c r="AH65" s="1251">
        <f t="shared" si="28"/>
        <v>0</v>
      </c>
      <c r="AI65" s="1278" t="b">
        <f>DATE(YEAR(tab!$E$3),MONTH(G65),DAY(G65))&gt;tab!$E$3</f>
        <v>0</v>
      </c>
      <c r="AJ65" s="1255">
        <f t="shared" si="29"/>
        <v>115</v>
      </c>
      <c r="AK65" s="1199">
        <f t="shared" si="30"/>
        <v>30</v>
      </c>
      <c r="AL65" s="1199">
        <f t="shared" si="31"/>
        <v>30</v>
      </c>
      <c r="AM65" s="1205">
        <f t="shared" si="32"/>
        <v>0</v>
      </c>
    </row>
    <row r="66" spans="2:50" ht="12.75" customHeight="1" x14ac:dyDescent="0.2">
      <c r="B66" s="466"/>
      <c r="C66" s="135"/>
      <c r="D66" s="432"/>
      <c r="E66" s="432"/>
      <c r="F66" s="776"/>
      <c r="G66" s="802"/>
      <c r="H66" s="776"/>
      <c r="I66" s="433"/>
      <c r="J66" s="803"/>
      <c r="K66" s="518"/>
      <c r="L66" s="1207"/>
      <c r="M66" s="1207"/>
      <c r="N66" s="1209" t="str">
        <f t="shared" si="16"/>
        <v/>
      </c>
      <c r="O66" s="1209" t="str">
        <f t="shared" si="17"/>
        <v/>
      </c>
      <c r="P66" s="1283" t="str">
        <f t="shared" si="18"/>
        <v/>
      </c>
      <c r="Q66" s="518"/>
      <c r="R66" s="1076" t="str">
        <f t="shared" si="26"/>
        <v/>
      </c>
      <c r="S66" s="1076" t="str">
        <f t="shared" si="19"/>
        <v/>
      </c>
      <c r="T66" s="1078" t="str">
        <f t="shared" si="20"/>
        <v/>
      </c>
      <c r="U66" s="599"/>
      <c r="V66" s="804"/>
      <c r="W66" s="1110"/>
      <c r="X66" s="1218"/>
      <c r="Y66" s="1253" t="e">
        <f>ROUND(VLOOKUP(H66,tab!$A$61:$V$103,I66+2,FALSE),0)</f>
        <v>#N/A</v>
      </c>
      <c r="Z66" s="1252">
        <f>tab!$D$48</f>
        <v>0.62</v>
      </c>
      <c r="AA66" s="1284" t="e">
        <f t="shared" si="21"/>
        <v>#N/A</v>
      </c>
      <c r="AB66" s="1284" t="e">
        <f t="shared" si="22"/>
        <v>#N/A</v>
      </c>
      <c r="AC66" s="1284" t="e">
        <f t="shared" si="23"/>
        <v>#N/A</v>
      </c>
      <c r="AD66" s="1286" t="e">
        <f t="shared" si="24"/>
        <v>#VALUE!</v>
      </c>
      <c r="AE66" s="1286">
        <f t="shared" si="25"/>
        <v>0</v>
      </c>
      <c r="AF66" s="1254">
        <f>IF(H66&gt;8,tab!$D$49,tab!$D$52)</f>
        <v>0.4</v>
      </c>
      <c r="AG66" s="1255">
        <f t="shared" si="27"/>
        <v>0</v>
      </c>
      <c r="AH66" s="1251">
        <f t="shared" si="28"/>
        <v>0</v>
      </c>
      <c r="AI66" s="1278" t="b">
        <f>DATE(YEAR(tab!$E$3),MONTH(G66),DAY(G66))&gt;tab!$E$3</f>
        <v>0</v>
      </c>
      <c r="AJ66" s="1255">
        <f t="shared" si="29"/>
        <v>115</v>
      </c>
      <c r="AK66" s="1199">
        <f t="shared" si="30"/>
        <v>30</v>
      </c>
      <c r="AL66" s="1199">
        <f t="shared" si="31"/>
        <v>30</v>
      </c>
      <c r="AM66" s="1205">
        <f t="shared" si="32"/>
        <v>0</v>
      </c>
    </row>
    <row r="67" spans="2:50" ht="12.75" customHeight="1" x14ac:dyDescent="0.2">
      <c r="B67" s="466"/>
      <c r="C67" s="135"/>
      <c r="D67" s="432"/>
      <c r="E67" s="432"/>
      <c r="F67" s="776"/>
      <c r="G67" s="802"/>
      <c r="H67" s="776"/>
      <c r="I67" s="433"/>
      <c r="J67" s="803"/>
      <c r="K67" s="518"/>
      <c r="L67" s="1207"/>
      <c r="M67" s="1207"/>
      <c r="N67" s="1209" t="str">
        <f t="shared" si="16"/>
        <v/>
      </c>
      <c r="O67" s="1209" t="str">
        <f t="shared" si="17"/>
        <v/>
      </c>
      <c r="P67" s="1283" t="str">
        <f t="shared" si="18"/>
        <v/>
      </c>
      <c r="Q67" s="518"/>
      <c r="R67" s="1076" t="str">
        <f t="shared" si="26"/>
        <v/>
      </c>
      <c r="S67" s="1076" t="str">
        <f t="shared" si="19"/>
        <v/>
      </c>
      <c r="T67" s="1078" t="str">
        <f t="shared" si="20"/>
        <v/>
      </c>
      <c r="U67" s="599"/>
      <c r="V67" s="804"/>
      <c r="W67" s="1110"/>
      <c r="X67" s="1218"/>
      <c r="Y67" s="1253" t="e">
        <f>ROUND(VLOOKUP(H67,tab!$A$61:$V$103,I67+2,FALSE),0)</f>
        <v>#N/A</v>
      </c>
      <c r="Z67" s="1252">
        <f>tab!$D$48</f>
        <v>0.62</v>
      </c>
      <c r="AA67" s="1284" t="e">
        <f t="shared" si="21"/>
        <v>#N/A</v>
      </c>
      <c r="AB67" s="1284" t="e">
        <f t="shared" si="22"/>
        <v>#N/A</v>
      </c>
      <c r="AC67" s="1284" t="e">
        <f t="shared" si="23"/>
        <v>#N/A</v>
      </c>
      <c r="AD67" s="1286" t="e">
        <f t="shared" si="24"/>
        <v>#VALUE!</v>
      </c>
      <c r="AE67" s="1286">
        <f t="shared" si="25"/>
        <v>0</v>
      </c>
      <c r="AF67" s="1254">
        <f>IF(H67&gt;8,tab!$D$49,tab!$D$52)</f>
        <v>0.4</v>
      </c>
      <c r="AG67" s="1255">
        <f t="shared" si="27"/>
        <v>0</v>
      </c>
      <c r="AH67" s="1251">
        <f t="shared" si="28"/>
        <v>0</v>
      </c>
      <c r="AI67" s="1278" t="b">
        <f>DATE(YEAR(tab!$E$3),MONTH(G67),DAY(G67))&gt;tab!$E$3</f>
        <v>0</v>
      </c>
      <c r="AJ67" s="1255">
        <f t="shared" si="29"/>
        <v>115</v>
      </c>
      <c r="AK67" s="1199">
        <f t="shared" si="30"/>
        <v>30</v>
      </c>
      <c r="AL67" s="1199">
        <f t="shared" si="31"/>
        <v>30</v>
      </c>
      <c r="AM67" s="1205">
        <f t="shared" si="32"/>
        <v>0</v>
      </c>
    </row>
    <row r="68" spans="2:50" ht="12.75" customHeight="1" x14ac:dyDescent="0.2">
      <c r="B68" s="466"/>
      <c r="C68" s="135"/>
      <c r="D68" s="432"/>
      <c r="E68" s="432"/>
      <c r="F68" s="776"/>
      <c r="G68" s="802"/>
      <c r="H68" s="776"/>
      <c r="I68" s="433"/>
      <c r="J68" s="803"/>
      <c r="K68" s="518"/>
      <c r="L68" s="1207"/>
      <c r="M68" s="1207"/>
      <c r="N68" s="1209" t="str">
        <f t="shared" si="16"/>
        <v/>
      </c>
      <c r="O68" s="1209" t="str">
        <f t="shared" si="17"/>
        <v/>
      </c>
      <c r="P68" s="1283" t="str">
        <f t="shared" si="18"/>
        <v/>
      </c>
      <c r="Q68" s="518"/>
      <c r="R68" s="1076" t="str">
        <f t="shared" si="26"/>
        <v/>
      </c>
      <c r="S68" s="1076" t="str">
        <f t="shared" si="19"/>
        <v/>
      </c>
      <c r="T68" s="1078" t="str">
        <f t="shared" si="20"/>
        <v/>
      </c>
      <c r="U68" s="599"/>
      <c r="V68" s="804"/>
      <c r="W68" s="1110"/>
      <c r="X68" s="1218"/>
      <c r="Y68" s="1253" t="e">
        <f>ROUND(VLOOKUP(H68,tab!$A$61:$V$103,I68+2,FALSE),0)</f>
        <v>#N/A</v>
      </c>
      <c r="Z68" s="1252">
        <f>tab!$D$48</f>
        <v>0.62</v>
      </c>
      <c r="AA68" s="1284" t="e">
        <f t="shared" si="21"/>
        <v>#N/A</v>
      </c>
      <c r="AB68" s="1284" t="e">
        <f t="shared" si="22"/>
        <v>#N/A</v>
      </c>
      <c r="AC68" s="1284" t="e">
        <f t="shared" si="23"/>
        <v>#N/A</v>
      </c>
      <c r="AD68" s="1286" t="e">
        <f t="shared" si="24"/>
        <v>#VALUE!</v>
      </c>
      <c r="AE68" s="1286">
        <f t="shared" si="25"/>
        <v>0</v>
      </c>
      <c r="AF68" s="1254">
        <f>IF(H68&gt;8,tab!$D$49,tab!$D$52)</f>
        <v>0.4</v>
      </c>
      <c r="AG68" s="1255">
        <f t="shared" si="27"/>
        <v>0</v>
      </c>
      <c r="AH68" s="1251">
        <f t="shared" si="28"/>
        <v>0</v>
      </c>
      <c r="AI68" s="1278" t="b">
        <f>DATE(YEAR(tab!$E$3),MONTH(G68),DAY(G68))&gt;tab!$E$3</f>
        <v>0</v>
      </c>
      <c r="AJ68" s="1255">
        <f t="shared" si="29"/>
        <v>115</v>
      </c>
      <c r="AK68" s="1199">
        <f t="shared" si="30"/>
        <v>30</v>
      </c>
      <c r="AL68" s="1199">
        <f t="shared" si="31"/>
        <v>30</v>
      </c>
      <c r="AM68" s="1205">
        <f t="shared" si="32"/>
        <v>0</v>
      </c>
    </row>
    <row r="69" spans="2:50" ht="12.75" customHeight="1" x14ac:dyDescent="0.2">
      <c r="B69" s="466"/>
      <c r="C69" s="135"/>
      <c r="D69" s="432"/>
      <c r="E69" s="432"/>
      <c r="F69" s="776"/>
      <c r="G69" s="802"/>
      <c r="H69" s="776"/>
      <c r="I69" s="433"/>
      <c r="J69" s="803"/>
      <c r="K69" s="518"/>
      <c r="L69" s="1207"/>
      <c r="M69" s="1207"/>
      <c r="N69" s="1209" t="str">
        <f t="shared" si="16"/>
        <v/>
      </c>
      <c r="O69" s="1209" t="str">
        <f t="shared" si="17"/>
        <v/>
      </c>
      <c r="P69" s="1283" t="str">
        <f t="shared" si="18"/>
        <v/>
      </c>
      <c r="Q69" s="518"/>
      <c r="R69" s="1076" t="str">
        <f t="shared" si="26"/>
        <v/>
      </c>
      <c r="S69" s="1076" t="str">
        <f t="shared" si="19"/>
        <v/>
      </c>
      <c r="T69" s="1078" t="str">
        <f t="shared" si="20"/>
        <v/>
      </c>
      <c r="U69" s="599"/>
      <c r="V69" s="804"/>
      <c r="W69" s="1110"/>
      <c r="X69" s="1218"/>
      <c r="Y69" s="1253" t="e">
        <f>ROUND(VLOOKUP(H69,tab!$A$61:$V$103,I69+2,FALSE),0)</f>
        <v>#N/A</v>
      </c>
      <c r="Z69" s="1252">
        <f>tab!$D$48</f>
        <v>0.62</v>
      </c>
      <c r="AA69" s="1284" t="e">
        <f t="shared" si="21"/>
        <v>#N/A</v>
      </c>
      <c r="AB69" s="1284" t="e">
        <f t="shared" si="22"/>
        <v>#N/A</v>
      </c>
      <c r="AC69" s="1284" t="e">
        <f t="shared" si="23"/>
        <v>#N/A</v>
      </c>
      <c r="AD69" s="1286" t="e">
        <f t="shared" si="24"/>
        <v>#VALUE!</v>
      </c>
      <c r="AE69" s="1286">
        <f t="shared" si="25"/>
        <v>0</v>
      </c>
      <c r="AF69" s="1254">
        <f>IF(H69&gt;8,tab!$D$49,tab!$D$52)</f>
        <v>0.4</v>
      </c>
      <c r="AG69" s="1255">
        <f t="shared" si="27"/>
        <v>0</v>
      </c>
      <c r="AH69" s="1251">
        <f t="shared" si="28"/>
        <v>0</v>
      </c>
      <c r="AI69" s="1278" t="b">
        <f>DATE(YEAR(tab!$E$3),MONTH(G69),DAY(G69))&gt;tab!$E$3</f>
        <v>0</v>
      </c>
      <c r="AJ69" s="1255">
        <f t="shared" si="29"/>
        <v>115</v>
      </c>
      <c r="AK69" s="1199">
        <f t="shared" si="30"/>
        <v>30</v>
      </c>
      <c r="AL69" s="1199">
        <f t="shared" si="31"/>
        <v>30</v>
      </c>
      <c r="AM69" s="1205">
        <f t="shared" si="32"/>
        <v>0</v>
      </c>
    </row>
    <row r="70" spans="2:50" ht="12.75" customHeight="1" x14ac:dyDescent="0.2">
      <c r="B70" s="466"/>
      <c r="C70" s="135"/>
      <c r="D70" s="432"/>
      <c r="E70" s="432"/>
      <c r="F70" s="776"/>
      <c r="G70" s="802"/>
      <c r="H70" s="776"/>
      <c r="I70" s="433"/>
      <c r="J70" s="803"/>
      <c r="K70" s="518"/>
      <c r="L70" s="1207"/>
      <c r="M70" s="1207"/>
      <c r="N70" s="1209" t="str">
        <f t="shared" si="16"/>
        <v/>
      </c>
      <c r="O70" s="1209" t="str">
        <f t="shared" si="17"/>
        <v/>
      </c>
      <c r="P70" s="1283" t="str">
        <f t="shared" si="18"/>
        <v/>
      </c>
      <c r="Q70" s="518"/>
      <c r="R70" s="1076" t="str">
        <f t="shared" si="26"/>
        <v/>
      </c>
      <c r="S70" s="1076" t="str">
        <f t="shared" si="19"/>
        <v/>
      </c>
      <c r="T70" s="1078" t="str">
        <f t="shared" si="20"/>
        <v/>
      </c>
      <c r="U70" s="599"/>
      <c r="V70" s="804"/>
      <c r="W70" s="1110"/>
      <c r="X70" s="1218"/>
      <c r="Y70" s="1253" t="e">
        <f>ROUND(VLOOKUP(H70,tab!$A$61:$V$103,I70+2,FALSE),0)</f>
        <v>#N/A</v>
      </c>
      <c r="Z70" s="1252">
        <f>tab!$D$48</f>
        <v>0.62</v>
      </c>
      <c r="AA70" s="1284" t="e">
        <f t="shared" si="21"/>
        <v>#N/A</v>
      </c>
      <c r="AB70" s="1284" t="e">
        <f t="shared" si="22"/>
        <v>#N/A</v>
      </c>
      <c r="AC70" s="1284" t="e">
        <f t="shared" si="23"/>
        <v>#N/A</v>
      </c>
      <c r="AD70" s="1286" t="e">
        <f t="shared" si="24"/>
        <v>#VALUE!</v>
      </c>
      <c r="AE70" s="1286">
        <f t="shared" si="25"/>
        <v>0</v>
      </c>
      <c r="AF70" s="1254">
        <f>IF(H70&gt;8,tab!$D$49,tab!$D$52)</f>
        <v>0.4</v>
      </c>
      <c r="AG70" s="1255">
        <f t="shared" si="27"/>
        <v>0</v>
      </c>
      <c r="AH70" s="1251">
        <f t="shared" si="28"/>
        <v>0</v>
      </c>
      <c r="AI70" s="1278" t="b">
        <f>DATE(YEAR(tab!$E$3),MONTH(G70),DAY(G70))&gt;tab!$E$3</f>
        <v>0</v>
      </c>
      <c r="AJ70" s="1255">
        <f t="shared" si="29"/>
        <v>115</v>
      </c>
      <c r="AK70" s="1199">
        <f t="shared" si="30"/>
        <v>30</v>
      </c>
      <c r="AL70" s="1199">
        <f t="shared" si="31"/>
        <v>30</v>
      </c>
      <c r="AM70" s="1205">
        <f t="shared" si="32"/>
        <v>0</v>
      </c>
    </row>
    <row r="71" spans="2:50" ht="12.75" customHeight="1" x14ac:dyDescent="0.2">
      <c r="B71" s="466"/>
      <c r="C71" s="491"/>
      <c r="D71" s="609"/>
      <c r="E71" s="805"/>
      <c r="F71" s="805"/>
      <c r="G71" s="806"/>
      <c r="H71" s="805"/>
      <c r="I71" s="807"/>
      <c r="J71" s="1111">
        <f>SUM(J16:J70)</f>
        <v>1</v>
      </c>
      <c r="L71" s="1208">
        <f t="shared" ref="L71:O71" si="33">SUM(L16:L70)</f>
        <v>0</v>
      </c>
      <c r="M71" s="1208">
        <f t="shared" si="33"/>
        <v>0</v>
      </c>
      <c r="N71" s="1208">
        <f>SUM(N16:N70)</f>
        <v>40</v>
      </c>
      <c r="O71" s="1208">
        <f t="shared" si="33"/>
        <v>0</v>
      </c>
      <c r="P71" s="1208">
        <f>SUM(P16:P70)</f>
        <v>40</v>
      </c>
      <c r="R71" s="1112">
        <f t="shared" ref="R71:T71" si="34">SUM(R16:R70)</f>
        <v>58602.295985533456</v>
      </c>
      <c r="S71" s="1113">
        <f t="shared" si="34"/>
        <v>1447.8640144665462</v>
      </c>
      <c r="T71" s="1112">
        <f t="shared" si="34"/>
        <v>60050.16</v>
      </c>
      <c r="U71" s="494"/>
      <c r="V71" s="469"/>
      <c r="Y71" s="1253" t="e">
        <f>ROUND(VLOOKUP(H71,tab!$A$61:$V$103,I71+2,FALSE),0)</f>
        <v>#N/A</v>
      </c>
      <c r="Z71" s="1252">
        <f>tab!$D$48</f>
        <v>0.62</v>
      </c>
      <c r="AA71" s="1256"/>
      <c r="AB71" s="1256"/>
      <c r="AC71" s="1256"/>
      <c r="AG71" s="1257">
        <f>SUM(AG16:AG70)</f>
        <v>0</v>
      </c>
      <c r="AH71" s="1258">
        <f>SUM(AH16:AH70)</f>
        <v>0</v>
      </c>
      <c r="AI71" s="1279"/>
      <c r="AJ71" s="1279"/>
    </row>
    <row r="72" spans="2:50" ht="12.75" customHeight="1" x14ac:dyDescent="0.2">
      <c r="B72" s="466"/>
      <c r="H72" s="590"/>
      <c r="K72" s="484"/>
      <c r="Q72" s="484"/>
      <c r="R72" s="782"/>
      <c r="S72" s="808"/>
      <c r="V72" s="469"/>
      <c r="Y72" s="1237"/>
      <c r="Z72" s="1288"/>
      <c r="AA72" s="1256"/>
      <c r="AB72" s="1256"/>
      <c r="AC72" s="1256"/>
      <c r="AG72" s="1257"/>
      <c r="AH72" s="1258"/>
    </row>
    <row r="73" spans="2:50" ht="12.75" customHeight="1" x14ac:dyDescent="0.2">
      <c r="B73" s="496"/>
      <c r="C73" s="497"/>
      <c r="D73" s="809"/>
      <c r="E73" s="809"/>
      <c r="F73" s="631"/>
      <c r="G73" s="810"/>
      <c r="H73" s="631"/>
      <c r="I73" s="811"/>
      <c r="J73" s="812"/>
      <c r="K73" s="497"/>
      <c r="L73" s="813"/>
      <c r="M73" s="813"/>
      <c r="N73" s="813"/>
      <c r="O73" s="813"/>
      <c r="P73" s="813"/>
      <c r="Q73" s="497"/>
      <c r="R73" s="440"/>
      <c r="S73" s="632"/>
      <c r="T73" s="884"/>
      <c r="U73" s="497"/>
      <c r="V73" s="498"/>
      <c r="Y73" s="1253"/>
      <c r="Z73" s="1261"/>
      <c r="AA73" s="1261"/>
      <c r="AB73" s="1261"/>
      <c r="AC73" s="1261"/>
      <c r="AG73" s="1255"/>
      <c r="AH73" s="1251"/>
      <c r="AI73" s="1278"/>
      <c r="AM73" s="1205"/>
    </row>
    <row r="74" spans="2:50" ht="12.75" customHeight="1" x14ac:dyDescent="0.2">
      <c r="B74" s="462"/>
      <c r="C74" s="463"/>
      <c r="D74" s="789"/>
      <c r="E74" s="789"/>
      <c r="F74" s="592"/>
      <c r="G74" s="790"/>
      <c r="H74" s="592"/>
      <c r="I74" s="791"/>
      <c r="J74" s="814"/>
      <c r="K74" s="463"/>
      <c r="L74" s="792"/>
      <c r="M74" s="792"/>
      <c r="N74" s="792"/>
      <c r="O74" s="792"/>
      <c r="P74" s="792"/>
      <c r="Q74" s="463"/>
      <c r="R74" s="779"/>
      <c r="S74" s="815"/>
      <c r="T74" s="886"/>
      <c r="U74" s="463"/>
      <c r="V74" s="465"/>
      <c r="Y74" s="1253"/>
      <c r="Z74" s="1261"/>
      <c r="AA74" s="1261"/>
      <c r="AB74" s="1261"/>
      <c r="AC74" s="1261"/>
      <c r="AG74" s="1255"/>
      <c r="AH74" s="1251"/>
      <c r="AI74" s="1278"/>
      <c r="AM74" s="1205"/>
    </row>
    <row r="75" spans="2:50" ht="12.75" customHeight="1" x14ac:dyDescent="0.2">
      <c r="B75" s="466"/>
      <c r="C75" s="467"/>
      <c r="D75" s="794"/>
      <c r="E75" s="794"/>
      <c r="F75" s="593"/>
      <c r="G75" s="795"/>
      <c r="H75" s="593"/>
      <c r="I75" s="796"/>
      <c r="J75" s="816"/>
      <c r="K75" s="467"/>
      <c r="L75" s="797"/>
      <c r="M75" s="797"/>
      <c r="N75" s="797"/>
      <c r="O75" s="797"/>
      <c r="P75" s="797"/>
      <c r="Q75" s="467"/>
      <c r="R75" s="780"/>
      <c r="S75" s="630"/>
      <c r="T75" s="887"/>
      <c r="U75" s="467"/>
      <c r="V75" s="469"/>
      <c r="Y75" s="1253"/>
      <c r="Z75" s="1261"/>
      <c r="AA75" s="1261"/>
      <c r="AB75" s="1261"/>
      <c r="AC75" s="1261"/>
      <c r="AG75" s="1255"/>
      <c r="AH75" s="1251"/>
      <c r="AI75" s="1278"/>
      <c r="AM75" s="1205"/>
    </row>
    <row r="76" spans="2:50" ht="12.75" customHeight="1" x14ac:dyDescent="0.2">
      <c r="B76" s="466"/>
      <c r="C76" s="467" t="s">
        <v>200</v>
      </c>
      <c r="D76" s="794"/>
      <c r="E76" s="800" t="str">
        <f>dir!E30</f>
        <v>2016/17</v>
      </c>
      <c r="F76" s="593"/>
      <c r="G76" s="795"/>
      <c r="H76" s="593"/>
      <c r="I76" s="796"/>
      <c r="J76" s="816"/>
      <c r="K76" s="467"/>
      <c r="L76" s="797"/>
      <c r="M76" s="797"/>
      <c r="N76" s="797"/>
      <c r="O76" s="797"/>
      <c r="P76" s="797"/>
      <c r="Q76" s="467"/>
      <c r="R76" s="780"/>
      <c r="S76" s="630"/>
      <c r="T76" s="887"/>
      <c r="U76" s="467"/>
      <c r="V76" s="469"/>
      <c r="Y76" s="1253"/>
      <c r="Z76" s="1261"/>
      <c r="AA76" s="1261"/>
      <c r="AB76" s="1261"/>
      <c r="AC76" s="1261"/>
      <c r="AG76" s="1255"/>
      <c r="AH76" s="1251"/>
      <c r="AI76" s="1278"/>
      <c r="AM76" s="1205"/>
    </row>
    <row r="77" spans="2:50" ht="12.75" customHeight="1" x14ac:dyDescent="0.2">
      <c r="B77" s="466"/>
      <c r="C77" s="467" t="s">
        <v>213</v>
      </c>
      <c r="D77" s="794"/>
      <c r="E77" s="800">
        <f>dir!E31</f>
        <v>42644</v>
      </c>
      <c r="F77" s="593"/>
      <c r="G77" s="795"/>
      <c r="H77" s="593"/>
      <c r="I77" s="796"/>
      <c r="J77" s="816"/>
      <c r="K77" s="467"/>
      <c r="L77" s="797"/>
      <c r="M77" s="797"/>
      <c r="N77" s="797"/>
      <c r="O77" s="797"/>
      <c r="P77" s="797"/>
      <c r="Q77" s="467"/>
      <c r="R77" s="780"/>
      <c r="S77" s="630"/>
      <c r="T77" s="887"/>
      <c r="U77" s="467"/>
      <c r="V77" s="469"/>
      <c r="Y77" s="1253"/>
      <c r="Z77" s="1261"/>
      <c r="AA77" s="1261"/>
      <c r="AB77" s="1261"/>
      <c r="AC77" s="1261"/>
      <c r="AG77" s="1255"/>
      <c r="AH77" s="1251"/>
      <c r="AI77" s="1278"/>
      <c r="AM77" s="1205"/>
    </row>
    <row r="78" spans="2:50" ht="12.75" customHeight="1" x14ac:dyDescent="0.2">
      <c r="B78" s="466"/>
      <c r="C78" s="467"/>
      <c r="D78" s="794"/>
      <c r="E78" s="794"/>
      <c r="F78" s="593"/>
      <c r="G78" s="795"/>
      <c r="H78" s="593"/>
      <c r="I78" s="796"/>
      <c r="J78" s="816"/>
      <c r="K78" s="467"/>
      <c r="L78" s="797"/>
      <c r="M78" s="797"/>
      <c r="N78" s="797"/>
      <c r="O78" s="797"/>
      <c r="P78" s="797"/>
      <c r="Q78" s="467"/>
      <c r="R78" s="780"/>
      <c r="S78" s="630"/>
      <c r="T78" s="887"/>
      <c r="U78" s="467"/>
      <c r="V78" s="469"/>
      <c r="Y78" s="1253"/>
      <c r="Z78" s="1261"/>
      <c r="AA78" s="1261"/>
      <c r="AB78" s="1261"/>
      <c r="AC78" s="1261"/>
      <c r="AG78" s="1255"/>
      <c r="AH78" s="1251"/>
      <c r="AI78" s="1278"/>
      <c r="AM78" s="1205"/>
    </row>
    <row r="79" spans="2:50" ht="12.75" customHeight="1" x14ac:dyDescent="0.2">
      <c r="B79" s="466"/>
      <c r="C79" s="774"/>
      <c r="D79" s="1090"/>
      <c r="E79" s="1091"/>
      <c r="F79" s="1092"/>
      <c r="G79" s="1093"/>
      <c r="H79" s="1094"/>
      <c r="I79" s="1094"/>
      <c r="J79" s="1095"/>
      <c r="K79" s="1096"/>
      <c r="L79" s="1094"/>
      <c r="M79" s="1094"/>
      <c r="N79" s="1094"/>
      <c r="O79" s="1094"/>
      <c r="P79" s="1094"/>
      <c r="Q79" s="1096"/>
      <c r="R79" s="1096"/>
      <c r="S79" s="1097"/>
      <c r="T79" s="1098"/>
      <c r="U79" s="482"/>
      <c r="V79" s="469"/>
      <c r="AN79" s="1202"/>
      <c r="AO79" s="1202"/>
      <c r="AP79" s="1202"/>
      <c r="AQ79" s="1202"/>
      <c r="AR79" s="1106"/>
      <c r="AS79" s="785"/>
      <c r="AT79" s="787"/>
      <c r="AU79" s="799"/>
      <c r="AV79" s="786"/>
    </row>
    <row r="80" spans="2:50" ht="12.75" customHeight="1" x14ac:dyDescent="0.2">
      <c r="B80" s="466"/>
      <c r="C80" s="139"/>
      <c r="D80" s="1191" t="s">
        <v>306</v>
      </c>
      <c r="E80" s="1036"/>
      <c r="F80" s="1036"/>
      <c r="G80" s="1036"/>
      <c r="H80" s="1036"/>
      <c r="I80" s="1036"/>
      <c r="J80" s="1036"/>
      <c r="K80" s="1055"/>
      <c r="L80" s="1191" t="s">
        <v>553</v>
      </c>
      <c r="M80" s="1193"/>
      <c r="N80" s="1191"/>
      <c r="O80" s="1191"/>
      <c r="P80" s="1291"/>
      <c r="Q80" s="1055"/>
      <c r="R80" s="1191" t="s">
        <v>554</v>
      </c>
      <c r="S80" s="1194"/>
      <c r="T80" s="1292"/>
      <c r="U80" s="1293"/>
      <c r="V80" s="426"/>
      <c r="W80" s="427"/>
      <c r="X80" s="427"/>
      <c r="Y80" s="1221"/>
      <c r="Z80" s="1294"/>
      <c r="AD80" s="1295"/>
      <c r="AE80" s="1295"/>
      <c r="AF80" s="1222"/>
      <c r="AG80" s="1248"/>
      <c r="AH80" s="1249"/>
      <c r="AM80" s="1199"/>
      <c r="AU80" s="454"/>
      <c r="AV80" s="454"/>
      <c r="AW80" s="817"/>
      <c r="AX80" s="817"/>
    </row>
    <row r="81" spans="2:50" ht="12.75" customHeight="1" x14ac:dyDescent="0.2">
      <c r="B81" s="466"/>
      <c r="C81" s="139"/>
      <c r="D81" s="1030" t="s">
        <v>545</v>
      </c>
      <c r="E81" s="1030" t="s">
        <v>201</v>
      </c>
      <c r="F81" s="1057" t="s">
        <v>151</v>
      </c>
      <c r="G81" s="1058" t="s">
        <v>295</v>
      </c>
      <c r="H81" s="1057" t="s">
        <v>226</v>
      </c>
      <c r="I81" s="1057" t="s">
        <v>247</v>
      </c>
      <c r="J81" s="1059" t="s">
        <v>154</v>
      </c>
      <c r="K81" s="1034"/>
      <c r="L81" s="1060" t="s">
        <v>530</v>
      </c>
      <c r="M81" s="1060" t="s">
        <v>531</v>
      </c>
      <c r="N81" s="1060" t="s">
        <v>529</v>
      </c>
      <c r="O81" s="1060" t="s">
        <v>530</v>
      </c>
      <c r="P81" s="1296" t="s">
        <v>555</v>
      </c>
      <c r="Q81" s="1034"/>
      <c r="R81" s="1195" t="s">
        <v>212</v>
      </c>
      <c r="S81" s="1062" t="s">
        <v>556</v>
      </c>
      <c r="T81" s="1063" t="s">
        <v>212</v>
      </c>
      <c r="U81" s="1297"/>
      <c r="V81" s="429"/>
      <c r="W81" s="430"/>
      <c r="X81" s="430"/>
      <c r="Y81" s="1068" t="s">
        <v>325</v>
      </c>
      <c r="Z81" s="1285" t="s">
        <v>548</v>
      </c>
      <c r="AA81" s="1259" t="s">
        <v>549</v>
      </c>
      <c r="AB81" s="1259" t="s">
        <v>549</v>
      </c>
      <c r="AC81" s="1259" t="s">
        <v>546</v>
      </c>
      <c r="AD81" s="1206" t="s">
        <v>539</v>
      </c>
      <c r="AE81" s="1206" t="s">
        <v>540</v>
      </c>
      <c r="AF81" s="1259"/>
      <c r="AG81" s="1250" t="s">
        <v>319</v>
      </c>
      <c r="AH81" s="1249" t="s">
        <v>459</v>
      </c>
      <c r="AI81" s="1069" t="s">
        <v>300</v>
      </c>
      <c r="AJ81" s="1069" t="s">
        <v>301</v>
      </c>
      <c r="AK81" s="1217" t="s">
        <v>153</v>
      </c>
      <c r="AL81" s="1217" t="s">
        <v>224</v>
      </c>
      <c r="AM81" s="1216" t="s">
        <v>208</v>
      </c>
      <c r="AU81" s="454"/>
      <c r="AV81" s="454"/>
      <c r="AW81" s="817"/>
      <c r="AX81" s="818"/>
    </row>
    <row r="82" spans="2:50" ht="12.75" customHeight="1" x14ac:dyDescent="0.2">
      <c r="B82" s="466"/>
      <c r="C82" s="139"/>
      <c r="D82" s="1036"/>
      <c r="E82" s="1030"/>
      <c r="F82" s="1057" t="s">
        <v>152</v>
      </c>
      <c r="G82" s="1058" t="s">
        <v>296</v>
      </c>
      <c r="H82" s="1057"/>
      <c r="I82" s="1057"/>
      <c r="J82" s="1059" t="s">
        <v>299</v>
      </c>
      <c r="K82" s="1034"/>
      <c r="L82" s="1060" t="s">
        <v>533</v>
      </c>
      <c r="M82" s="1060" t="s">
        <v>534</v>
      </c>
      <c r="N82" s="1060" t="s">
        <v>532</v>
      </c>
      <c r="O82" s="1060" t="s">
        <v>544</v>
      </c>
      <c r="P82" s="1296" t="s">
        <v>291</v>
      </c>
      <c r="Q82" s="1034"/>
      <c r="R82" s="1061" t="s">
        <v>557</v>
      </c>
      <c r="S82" s="1062" t="s">
        <v>535</v>
      </c>
      <c r="T82" s="1063" t="s">
        <v>291</v>
      </c>
      <c r="U82" s="1040"/>
      <c r="V82" s="151"/>
      <c r="W82" s="144"/>
      <c r="X82" s="144"/>
      <c r="Y82" s="1068" t="s">
        <v>217</v>
      </c>
      <c r="Z82" s="1071">
        <f>tab!$E$48</f>
        <v>0.62</v>
      </c>
      <c r="AA82" s="1259" t="s">
        <v>550</v>
      </c>
      <c r="AB82" s="1259" t="s">
        <v>551</v>
      </c>
      <c r="AC82" s="1259" t="s">
        <v>552</v>
      </c>
      <c r="AD82" s="1206" t="s">
        <v>542</v>
      </c>
      <c r="AE82" s="1206" t="s">
        <v>542</v>
      </c>
      <c r="AG82" s="1250"/>
      <c r="AH82" s="1251" t="s">
        <v>246</v>
      </c>
      <c r="AI82" s="1206" t="s">
        <v>297</v>
      </c>
      <c r="AJ82" s="1206" t="s">
        <v>297</v>
      </c>
      <c r="AK82" s="1217"/>
      <c r="AL82" s="1217" t="s">
        <v>208</v>
      </c>
      <c r="AM82" s="1216"/>
      <c r="AU82" s="454"/>
      <c r="AV82" s="454"/>
      <c r="AX82" s="801"/>
    </row>
    <row r="83" spans="2:50" ht="12.75" customHeight="1" x14ac:dyDescent="0.2">
      <c r="B83" s="466"/>
      <c r="C83" s="135"/>
      <c r="D83" s="1036"/>
      <c r="E83" s="1036"/>
      <c r="F83" s="1099"/>
      <c r="G83" s="1100"/>
      <c r="H83" s="1057"/>
      <c r="I83" s="1057"/>
      <c r="J83" s="1059"/>
      <c r="K83" s="1036"/>
      <c r="L83" s="1060"/>
      <c r="M83" s="1060"/>
      <c r="N83" s="1060"/>
      <c r="O83" s="1060"/>
      <c r="P83" s="1060"/>
      <c r="Q83" s="1036"/>
      <c r="R83" s="1101"/>
      <c r="S83" s="1062"/>
      <c r="T83" s="1102"/>
      <c r="U83" s="487"/>
      <c r="V83" s="469"/>
      <c r="Y83" s="1068"/>
      <c r="Z83" s="1222"/>
      <c r="AA83" s="1222"/>
      <c r="AB83" s="1222"/>
      <c r="AC83" s="1222"/>
      <c r="AG83" s="1250"/>
      <c r="AH83" s="1251"/>
      <c r="AM83" s="1216"/>
      <c r="AU83" s="454"/>
      <c r="AV83" s="454"/>
      <c r="AX83" s="801"/>
    </row>
    <row r="84" spans="2:50" ht="12.75" customHeight="1" x14ac:dyDescent="0.2">
      <c r="B84" s="466"/>
      <c r="C84" s="135"/>
      <c r="D84" s="432" t="str">
        <f>IF(op!D16="","",op!D16)</f>
        <v/>
      </c>
      <c r="E84" s="432" t="str">
        <f>IF(op!E16="","",op!E16)</f>
        <v>nn</v>
      </c>
      <c r="F84" s="776" t="str">
        <f>IF(op!F16="","",op!F16+1)</f>
        <v/>
      </c>
      <c r="G84" s="802">
        <f>IF(op!G16="","",op!G16)</f>
        <v>26665</v>
      </c>
      <c r="H84" s="776" t="str">
        <f>IF(op!H16=0,"",op!H16)</f>
        <v>LB</v>
      </c>
      <c r="I84" s="433">
        <f>IF(J84="","",IF(op!I16&gt;LOOKUP(H84,schaal2013,regels2013),op!I16-1,IF(op!I16=LOOKUP(H84,schaal2013,regels2013),op!I16,I16+1)))</f>
        <v>11</v>
      </c>
      <c r="J84" s="803">
        <f>IF(op!J16="","",op!J16)</f>
        <v>1</v>
      </c>
      <c r="K84" s="518"/>
      <c r="L84" s="1207">
        <f>IF(op!L16="",0,op!L16)</f>
        <v>0</v>
      </c>
      <c r="M84" s="1207">
        <f>IF(op!M16="",0,op!M16)</f>
        <v>0</v>
      </c>
      <c r="N84" s="1209">
        <f t="shared" ref="N84:N138" si="35">IF(J84="","",IF((J84*40)&gt;40,40,((J84*40))))</f>
        <v>40</v>
      </c>
      <c r="O84" s="1209">
        <f t="shared" ref="O84:O138" si="36">IF(J84="","",IF(I84&lt;4,(40*J84),0))</f>
        <v>0</v>
      </c>
      <c r="P84" s="1283">
        <f t="shared" ref="P84:P138" si="37">IF(J84="","",(SUM(L84:O84)))</f>
        <v>40</v>
      </c>
      <c r="Q84" s="518"/>
      <c r="R84" s="1076">
        <f>IF(J84="","",(((1659*J84)-P84)*AB84))</f>
        <v>60651.194647377939</v>
      </c>
      <c r="S84" s="1076">
        <f t="shared" ref="S84:S138" si="38">IF(J84="","",(P84*AC84)+(AA84*AD84)+((AE84*AA84*(1-AF84))))</f>
        <v>1498.4853526220616</v>
      </c>
      <c r="T84" s="1078">
        <f t="shared" ref="T84:T138" si="39">IF(J84="","",(R84+S84))</f>
        <v>62149.68</v>
      </c>
      <c r="U84" s="599"/>
      <c r="V84" s="804"/>
      <c r="W84" s="1110"/>
      <c r="X84" s="1218"/>
      <c r="Y84" s="1253">
        <f>ROUND(VLOOKUP(H84,tab!$A$61:$V$103,I84+2,FALSE),0)</f>
        <v>3197</v>
      </c>
      <c r="Z84" s="1252">
        <f>tab!$E$48</f>
        <v>0.62</v>
      </c>
      <c r="AA84" s="1284">
        <f t="shared" ref="AA84:AA138" si="40">(Y84*12/1659)</f>
        <v>23.124773960216999</v>
      </c>
      <c r="AB84" s="1284">
        <f t="shared" ref="AB84:AB138" si="41">(Y84*12*(1+Z84))/1659</f>
        <v>37.462133815551539</v>
      </c>
      <c r="AC84" s="1284">
        <f t="shared" ref="AC84:AC138" si="42">AB84-AA84</f>
        <v>14.33735985533454</v>
      </c>
      <c r="AD84" s="1286">
        <f t="shared" ref="AD84:AD138" si="43">(N84+O84)</f>
        <v>40</v>
      </c>
      <c r="AE84" s="1286">
        <f t="shared" ref="AE84:AE138" si="44">(L84+M84)</f>
        <v>0</v>
      </c>
      <c r="AF84" s="1254">
        <f>IF(H84&gt;8,tab!$D$49,tab!$D$52)</f>
        <v>0.5</v>
      </c>
      <c r="AG84" s="1255">
        <f t="shared" ref="AG84:AG115" si="45">IF(F84&lt;25,0,IF(F84=25,25,IF(F84&lt;40,0,IF(F84=40,40,IF(F84&gt;=40,0)))))</f>
        <v>0</v>
      </c>
      <c r="AH84" s="1251">
        <f t="shared" ref="AH84:AH115" si="46">IF(AG84=25,(Y84*1.08*(J84)/2),IF(AG84=40,(Y84*1.08*(J84)),IF(AG84=0,0)))</f>
        <v>0</v>
      </c>
      <c r="AI84" s="1278" t="b">
        <f>DATE(YEAR(tab!$F$3),MONTH(G84),DAY(G84))&gt;tab!$F$3</f>
        <v>0</v>
      </c>
      <c r="AJ84" s="1255">
        <f t="shared" ref="AJ84:AJ115" si="47">YEAR($E$77)-YEAR(G84)-AI84</f>
        <v>43</v>
      </c>
      <c r="AK84" s="1199">
        <f t="shared" ref="AK84:AK115" si="48">IF((G84=""),30,AJ84)</f>
        <v>43</v>
      </c>
      <c r="AL84" s="1199">
        <f t="shared" ref="AL84:AL115" si="49">IF((AK84)&gt;50,50,(AK84))</f>
        <v>43</v>
      </c>
      <c r="AM84" s="1205">
        <f t="shared" ref="AM84:AM115" si="50">(AL84*(SUM(J84:J84)))</f>
        <v>43</v>
      </c>
      <c r="AS84" s="819"/>
    </row>
    <row r="85" spans="2:50" ht="12.75" customHeight="1" x14ac:dyDescent="0.2">
      <c r="B85" s="466"/>
      <c r="C85" s="135"/>
      <c r="D85" s="432" t="str">
        <f>IF(op!D17="","",op!D17)</f>
        <v/>
      </c>
      <c r="E85" s="432" t="str">
        <f>IF(op!E17="","",op!E17)</f>
        <v/>
      </c>
      <c r="F85" s="776" t="str">
        <f>IF(op!F17="","",op!F17+1)</f>
        <v/>
      </c>
      <c r="G85" s="802" t="str">
        <f>IF(op!G17="","",op!G17)</f>
        <v/>
      </c>
      <c r="H85" s="776" t="str">
        <f>IF(op!H17=0,"",op!H17)</f>
        <v/>
      </c>
      <c r="I85" s="433" t="str">
        <f>IF(J85="","",IF(op!I17&gt;LOOKUP(H85,schaal2013,regels2013),op!I17-1,IF(op!I17=LOOKUP(H85,schaal2013,regels2013),op!I17,I17+1)))</f>
        <v/>
      </c>
      <c r="J85" s="803" t="str">
        <f>IF(op!J17="","",op!J17)</f>
        <v/>
      </c>
      <c r="K85" s="518"/>
      <c r="L85" s="1207">
        <f>IF(op!L17="",0,op!L17)</f>
        <v>0</v>
      </c>
      <c r="M85" s="1207">
        <f>IF(op!M17="",0,op!M17)</f>
        <v>0</v>
      </c>
      <c r="N85" s="1209" t="str">
        <f t="shared" si="35"/>
        <v/>
      </c>
      <c r="O85" s="1209" t="str">
        <f t="shared" si="36"/>
        <v/>
      </c>
      <c r="P85" s="1283" t="str">
        <f t="shared" si="37"/>
        <v/>
      </c>
      <c r="Q85" s="518"/>
      <c r="R85" s="1076" t="str">
        <f>IF(J85="","",(((1659*J85)-P85)*AB85))</f>
        <v/>
      </c>
      <c r="S85" s="1076" t="str">
        <f t="shared" si="38"/>
        <v/>
      </c>
      <c r="T85" s="1078" t="str">
        <f t="shared" si="39"/>
        <v/>
      </c>
      <c r="U85" s="599"/>
      <c r="V85" s="804"/>
      <c r="W85" s="1110"/>
      <c r="X85" s="1218"/>
      <c r="Y85" s="1253" t="e">
        <f>ROUND(VLOOKUP(H85,tab!$A$61:$V$103,I85+2,FALSE),0)</f>
        <v>#VALUE!</v>
      </c>
      <c r="Z85" s="1252">
        <f>tab!$E$48</f>
        <v>0.62</v>
      </c>
      <c r="AA85" s="1284" t="e">
        <f t="shared" si="40"/>
        <v>#VALUE!</v>
      </c>
      <c r="AB85" s="1284" t="e">
        <f t="shared" si="41"/>
        <v>#VALUE!</v>
      </c>
      <c r="AC85" s="1284" t="e">
        <f t="shared" si="42"/>
        <v>#VALUE!</v>
      </c>
      <c r="AD85" s="1286" t="e">
        <f t="shared" si="43"/>
        <v>#VALUE!</v>
      </c>
      <c r="AE85" s="1286">
        <f t="shared" si="44"/>
        <v>0</v>
      </c>
      <c r="AF85" s="1254">
        <f>IF(H85&gt;8,tab!$D$49,tab!$D$52)</f>
        <v>0.5</v>
      </c>
      <c r="AG85" s="1255">
        <f t="shared" si="45"/>
        <v>0</v>
      </c>
      <c r="AH85" s="1251">
        <f t="shared" si="46"/>
        <v>0</v>
      </c>
      <c r="AI85" s="1278" t="e">
        <f>DATE(YEAR(tab!$F$3),MONTH(G85),DAY(G85))&gt;tab!$F$3</f>
        <v>#VALUE!</v>
      </c>
      <c r="AJ85" s="1255" t="e">
        <f t="shared" si="47"/>
        <v>#VALUE!</v>
      </c>
      <c r="AK85" s="1199">
        <f t="shared" si="48"/>
        <v>30</v>
      </c>
      <c r="AL85" s="1199">
        <f t="shared" si="49"/>
        <v>30</v>
      </c>
      <c r="AM85" s="1205">
        <f t="shared" si="50"/>
        <v>0</v>
      </c>
      <c r="AS85" s="819"/>
    </row>
    <row r="86" spans="2:50" ht="12.75" customHeight="1" x14ac:dyDescent="0.2">
      <c r="B86" s="466"/>
      <c r="C86" s="135"/>
      <c r="D86" s="432" t="str">
        <f>IF(op!D18="","",op!D18)</f>
        <v/>
      </c>
      <c r="E86" s="432" t="str">
        <f>IF(op!E18="","",op!E18)</f>
        <v/>
      </c>
      <c r="F86" s="776" t="str">
        <f>IF(op!F18="","",op!F18+1)</f>
        <v/>
      </c>
      <c r="G86" s="802" t="str">
        <f>IF(op!G18="","",op!G18)</f>
        <v/>
      </c>
      <c r="H86" s="776" t="str">
        <f>IF(op!H18=0,"",op!H18)</f>
        <v/>
      </c>
      <c r="I86" s="433" t="str">
        <f>IF(J86="","",IF(op!I18&gt;LOOKUP(H86,schaal2013,regels2013),op!I18-1,IF(op!I18=LOOKUP(H86,schaal2013,regels2013),op!I18,I18+1)))</f>
        <v/>
      </c>
      <c r="J86" s="803" t="str">
        <f>IF(op!J18="","",op!J18)</f>
        <v/>
      </c>
      <c r="K86" s="518"/>
      <c r="L86" s="1207">
        <f>IF(op!L18="",0,op!L18)</f>
        <v>0</v>
      </c>
      <c r="M86" s="1207">
        <f>IF(op!M18="",0,op!M18)</f>
        <v>0</v>
      </c>
      <c r="N86" s="1209" t="str">
        <f t="shared" si="35"/>
        <v/>
      </c>
      <c r="O86" s="1209" t="str">
        <f t="shared" si="36"/>
        <v/>
      </c>
      <c r="P86" s="1283" t="str">
        <f t="shared" si="37"/>
        <v/>
      </c>
      <c r="Q86" s="518"/>
      <c r="R86" s="1076" t="str">
        <f t="shared" ref="R86:R138" si="51">IF(J86="","",(((1659*J86)-P86)*AB86))</f>
        <v/>
      </c>
      <c r="S86" s="1076" t="str">
        <f t="shared" si="38"/>
        <v/>
      </c>
      <c r="T86" s="1078" t="str">
        <f t="shared" si="39"/>
        <v/>
      </c>
      <c r="U86" s="599"/>
      <c r="V86" s="804"/>
      <c r="W86" s="1110"/>
      <c r="X86" s="1218"/>
      <c r="Y86" s="1253" t="e">
        <f>ROUND(VLOOKUP(H86,tab!$A$61:$V$103,I86+2,FALSE),0)</f>
        <v>#VALUE!</v>
      </c>
      <c r="Z86" s="1252">
        <f>tab!$E$48</f>
        <v>0.62</v>
      </c>
      <c r="AA86" s="1284" t="e">
        <f t="shared" si="40"/>
        <v>#VALUE!</v>
      </c>
      <c r="AB86" s="1284" t="e">
        <f t="shared" si="41"/>
        <v>#VALUE!</v>
      </c>
      <c r="AC86" s="1284" t="e">
        <f t="shared" si="42"/>
        <v>#VALUE!</v>
      </c>
      <c r="AD86" s="1286" t="e">
        <f t="shared" si="43"/>
        <v>#VALUE!</v>
      </c>
      <c r="AE86" s="1286">
        <f t="shared" si="44"/>
        <v>0</v>
      </c>
      <c r="AF86" s="1254">
        <f>IF(H86&gt;8,tab!$D$49,tab!$D$52)</f>
        <v>0.5</v>
      </c>
      <c r="AG86" s="1255">
        <f t="shared" si="45"/>
        <v>0</v>
      </c>
      <c r="AH86" s="1251">
        <f t="shared" si="46"/>
        <v>0</v>
      </c>
      <c r="AI86" s="1278" t="e">
        <f>DATE(YEAR(tab!$F$3),MONTH(G86),DAY(G86))&gt;tab!$F$3</f>
        <v>#VALUE!</v>
      </c>
      <c r="AJ86" s="1255" t="e">
        <f t="shared" si="47"/>
        <v>#VALUE!</v>
      </c>
      <c r="AK86" s="1199">
        <f t="shared" si="48"/>
        <v>30</v>
      </c>
      <c r="AL86" s="1199">
        <f t="shared" si="49"/>
        <v>30</v>
      </c>
      <c r="AM86" s="1205">
        <f t="shared" si="50"/>
        <v>0</v>
      </c>
      <c r="AS86" s="819"/>
    </row>
    <row r="87" spans="2:50" ht="12.75" customHeight="1" x14ac:dyDescent="0.2">
      <c r="B87" s="466"/>
      <c r="C87" s="135"/>
      <c r="D87" s="432" t="str">
        <f>IF(op!D19="","",op!D19)</f>
        <v/>
      </c>
      <c r="E87" s="432" t="str">
        <f>IF(op!E19="","",op!E19)</f>
        <v/>
      </c>
      <c r="F87" s="776" t="str">
        <f>IF(op!F19="","",op!F19+1)</f>
        <v/>
      </c>
      <c r="G87" s="802" t="str">
        <f>IF(op!G19="","",op!G19)</f>
        <v/>
      </c>
      <c r="H87" s="776" t="str">
        <f>IF(op!H19=0,"",op!H19)</f>
        <v/>
      </c>
      <c r="I87" s="433" t="str">
        <f>IF(J87="","",IF(op!I19&gt;LOOKUP(H87,schaal2013,regels2013),op!I19-1,IF(op!I19=LOOKUP(H87,schaal2013,regels2013),op!I19,I19+1)))</f>
        <v/>
      </c>
      <c r="J87" s="803" t="str">
        <f>IF(op!J19="","",op!J19)</f>
        <v/>
      </c>
      <c r="K87" s="518"/>
      <c r="L87" s="1207">
        <f>IF(op!L19="",0,op!L19)</f>
        <v>0</v>
      </c>
      <c r="M87" s="1207">
        <f>IF(op!M19="",0,op!M19)</f>
        <v>0</v>
      </c>
      <c r="N87" s="1209" t="str">
        <f t="shared" si="35"/>
        <v/>
      </c>
      <c r="O87" s="1209" t="str">
        <f t="shared" si="36"/>
        <v/>
      </c>
      <c r="P87" s="1283" t="str">
        <f t="shared" si="37"/>
        <v/>
      </c>
      <c r="Q87" s="518"/>
      <c r="R87" s="1076" t="str">
        <f t="shared" si="51"/>
        <v/>
      </c>
      <c r="S87" s="1076" t="str">
        <f t="shared" si="38"/>
        <v/>
      </c>
      <c r="T87" s="1078" t="str">
        <f t="shared" si="39"/>
        <v/>
      </c>
      <c r="U87" s="599"/>
      <c r="V87" s="804"/>
      <c r="W87" s="1110"/>
      <c r="X87" s="1218"/>
      <c r="Y87" s="1253" t="e">
        <f>ROUND(VLOOKUP(H87,tab!$A$61:$V$103,I87+2,FALSE),0)</f>
        <v>#VALUE!</v>
      </c>
      <c r="Z87" s="1252">
        <f>tab!$E$48</f>
        <v>0.62</v>
      </c>
      <c r="AA87" s="1284" t="e">
        <f t="shared" si="40"/>
        <v>#VALUE!</v>
      </c>
      <c r="AB87" s="1284" t="e">
        <f t="shared" si="41"/>
        <v>#VALUE!</v>
      </c>
      <c r="AC87" s="1284" t="e">
        <f t="shared" si="42"/>
        <v>#VALUE!</v>
      </c>
      <c r="AD87" s="1286" t="e">
        <f t="shared" si="43"/>
        <v>#VALUE!</v>
      </c>
      <c r="AE87" s="1286">
        <f t="shared" si="44"/>
        <v>0</v>
      </c>
      <c r="AF87" s="1254">
        <f>IF(H87&gt;8,tab!$D$49,tab!$D$52)</f>
        <v>0.5</v>
      </c>
      <c r="AG87" s="1255">
        <f t="shared" si="45"/>
        <v>0</v>
      </c>
      <c r="AH87" s="1251">
        <f t="shared" si="46"/>
        <v>0</v>
      </c>
      <c r="AI87" s="1278" t="e">
        <f>DATE(YEAR(tab!$F$3),MONTH(G87),DAY(G87))&gt;tab!$F$3</f>
        <v>#VALUE!</v>
      </c>
      <c r="AJ87" s="1255" t="e">
        <f t="shared" si="47"/>
        <v>#VALUE!</v>
      </c>
      <c r="AK87" s="1199">
        <f t="shared" si="48"/>
        <v>30</v>
      </c>
      <c r="AL87" s="1199">
        <f t="shared" si="49"/>
        <v>30</v>
      </c>
      <c r="AM87" s="1205">
        <f t="shared" si="50"/>
        <v>0</v>
      </c>
      <c r="AS87" s="819"/>
    </row>
    <row r="88" spans="2:50" ht="12.75" customHeight="1" x14ac:dyDescent="0.2">
      <c r="B88" s="466"/>
      <c r="C88" s="135"/>
      <c r="D88" s="432" t="str">
        <f>IF(op!D20="","",op!D20)</f>
        <v/>
      </c>
      <c r="E88" s="432" t="str">
        <f>IF(op!E20="","",op!E20)</f>
        <v/>
      </c>
      <c r="F88" s="776" t="str">
        <f>IF(op!F20="","",op!F20+1)</f>
        <v/>
      </c>
      <c r="G88" s="802" t="str">
        <f>IF(op!G20="","",op!G20)</f>
        <v/>
      </c>
      <c r="H88" s="776" t="str">
        <f>IF(op!H20=0,"",op!H20)</f>
        <v/>
      </c>
      <c r="I88" s="433" t="str">
        <f>IF(J88="","",IF(op!I20&gt;LOOKUP(H88,schaal2013,regels2013),op!I20-1,IF(op!I20=LOOKUP(H88,schaal2013,regels2013),op!I20,I20+1)))</f>
        <v/>
      </c>
      <c r="J88" s="803" t="str">
        <f>IF(op!J20="","",op!J20)</f>
        <v/>
      </c>
      <c r="K88" s="518"/>
      <c r="L88" s="1207">
        <f>IF(op!L20="",0,op!L20)</f>
        <v>0</v>
      </c>
      <c r="M88" s="1207">
        <f>IF(op!M20="",0,op!M20)</f>
        <v>0</v>
      </c>
      <c r="N88" s="1209" t="str">
        <f t="shared" si="35"/>
        <v/>
      </c>
      <c r="O88" s="1209" t="str">
        <f t="shared" si="36"/>
        <v/>
      </c>
      <c r="P88" s="1283" t="str">
        <f t="shared" si="37"/>
        <v/>
      </c>
      <c r="Q88" s="518"/>
      <c r="R88" s="1076" t="str">
        <f t="shared" si="51"/>
        <v/>
      </c>
      <c r="S88" s="1076" t="str">
        <f t="shared" si="38"/>
        <v/>
      </c>
      <c r="T88" s="1078" t="str">
        <f t="shared" si="39"/>
        <v/>
      </c>
      <c r="U88" s="599"/>
      <c r="V88" s="804"/>
      <c r="W88" s="1110"/>
      <c r="X88" s="1218"/>
      <c r="Y88" s="1253" t="e">
        <f>ROUND(VLOOKUP(H88,tab!$A$61:$V$103,I88+2,FALSE),0)</f>
        <v>#VALUE!</v>
      </c>
      <c r="Z88" s="1252">
        <f>tab!$E$48</f>
        <v>0.62</v>
      </c>
      <c r="AA88" s="1284" t="e">
        <f t="shared" si="40"/>
        <v>#VALUE!</v>
      </c>
      <c r="AB88" s="1284" t="e">
        <f t="shared" si="41"/>
        <v>#VALUE!</v>
      </c>
      <c r="AC88" s="1284" t="e">
        <f t="shared" si="42"/>
        <v>#VALUE!</v>
      </c>
      <c r="AD88" s="1286" t="e">
        <f t="shared" si="43"/>
        <v>#VALUE!</v>
      </c>
      <c r="AE88" s="1286">
        <f t="shared" si="44"/>
        <v>0</v>
      </c>
      <c r="AF88" s="1254">
        <f>IF(H88&gt;8,tab!$D$49,tab!$D$52)</f>
        <v>0.5</v>
      </c>
      <c r="AG88" s="1255">
        <f t="shared" si="45"/>
        <v>0</v>
      </c>
      <c r="AH88" s="1251">
        <f t="shared" si="46"/>
        <v>0</v>
      </c>
      <c r="AI88" s="1278" t="e">
        <f>DATE(YEAR(tab!$F$3),MONTH(G88),DAY(G88))&gt;tab!$F$3</f>
        <v>#VALUE!</v>
      </c>
      <c r="AJ88" s="1255" t="e">
        <f t="shared" si="47"/>
        <v>#VALUE!</v>
      </c>
      <c r="AK88" s="1199">
        <f t="shared" si="48"/>
        <v>30</v>
      </c>
      <c r="AL88" s="1199">
        <f t="shared" si="49"/>
        <v>30</v>
      </c>
      <c r="AM88" s="1205">
        <f t="shared" si="50"/>
        <v>0</v>
      </c>
      <c r="AS88" s="819"/>
    </row>
    <row r="89" spans="2:50" ht="12.75" customHeight="1" x14ac:dyDescent="0.2">
      <c r="B89" s="466"/>
      <c r="C89" s="135"/>
      <c r="D89" s="432" t="str">
        <f>IF(op!D21="","",op!D21)</f>
        <v/>
      </c>
      <c r="E89" s="432" t="str">
        <f>IF(op!E21="","",op!E21)</f>
        <v/>
      </c>
      <c r="F89" s="776" t="str">
        <f>IF(op!F21="","",op!F21+1)</f>
        <v/>
      </c>
      <c r="G89" s="802" t="str">
        <f>IF(op!G21="","",op!G21)</f>
        <v/>
      </c>
      <c r="H89" s="776" t="str">
        <f>IF(op!H21=0,"",op!H21)</f>
        <v/>
      </c>
      <c r="I89" s="433" t="str">
        <f>IF(J89="","",IF(op!I21&gt;LOOKUP(H89,schaal2013,regels2013),op!I21-1,IF(op!I21=LOOKUP(H89,schaal2013,regels2013),op!I21,I21+1)))</f>
        <v/>
      </c>
      <c r="J89" s="803" t="str">
        <f>IF(op!J21="","",op!J21)</f>
        <v/>
      </c>
      <c r="K89" s="518"/>
      <c r="L89" s="1207">
        <f>IF(op!L21="",0,op!L21)</f>
        <v>0</v>
      </c>
      <c r="M89" s="1207">
        <f>IF(op!M21="",0,op!M21)</f>
        <v>0</v>
      </c>
      <c r="N89" s="1209" t="str">
        <f t="shared" si="35"/>
        <v/>
      </c>
      <c r="O89" s="1209" t="str">
        <f t="shared" si="36"/>
        <v/>
      </c>
      <c r="P89" s="1283" t="str">
        <f t="shared" si="37"/>
        <v/>
      </c>
      <c r="Q89" s="518"/>
      <c r="R89" s="1076" t="str">
        <f t="shared" si="51"/>
        <v/>
      </c>
      <c r="S89" s="1076" t="str">
        <f t="shared" si="38"/>
        <v/>
      </c>
      <c r="T89" s="1078" t="str">
        <f t="shared" si="39"/>
        <v/>
      </c>
      <c r="U89" s="599"/>
      <c r="V89" s="804"/>
      <c r="W89" s="1110"/>
      <c r="X89" s="1218"/>
      <c r="Y89" s="1253" t="e">
        <f>ROUND(VLOOKUP(H89,tab!$A$61:$V$103,I89+2,FALSE),0)</f>
        <v>#VALUE!</v>
      </c>
      <c r="Z89" s="1252">
        <f>tab!$E$48</f>
        <v>0.62</v>
      </c>
      <c r="AA89" s="1284" t="e">
        <f t="shared" si="40"/>
        <v>#VALUE!</v>
      </c>
      <c r="AB89" s="1284" t="e">
        <f t="shared" si="41"/>
        <v>#VALUE!</v>
      </c>
      <c r="AC89" s="1284" t="e">
        <f t="shared" si="42"/>
        <v>#VALUE!</v>
      </c>
      <c r="AD89" s="1286" t="e">
        <f t="shared" si="43"/>
        <v>#VALUE!</v>
      </c>
      <c r="AE89" s="1286">
        <f t="shared" si="44"/>
        <v>0</v>
      </c>
      <c r="AF89" s="1254">
        <f>IF(H89&gt;8,tab!$D$49,tab!$D$52)</f>
        <v>0.5</v>
      </c>
      <c r="AG89" s="1255">
        <f t="shared" si="45"/>
        <v>0</v>
      </c>
      <c r="AH89" s="1251">
        <f t="shared" si="46"/>
        <v>0</v>
      </c>
      <c r="AI89" s="1278" t="e">
        <f>DATE(YEAR(tab!$F$3),MONTH(G89),DAY(G89))&gt;tab!$F$3</f>
        <v>#VALUE!</v>
      </c>
      <c r="AJ89" s="1255" t="e">
        <f t="shared" si="47"/>
        <v>#VALUE!</v>
      </c>
      <c r="AK89" s="1199">
        <f t="shared" si="48"/>
        <v>30</v>
      </c>
      <c r="AL89" s="1199">
        <f t="shared" si="49"/>
        <v>30</v>
      </c>
      <c r="AM89" s="1205">
        <f t="shared" si="50"/>
        <v>0</v>
      </c>
      <c r="AS89" s="819"/>
    </row>
    <row r="90" spans="2:50" ht="12.75" customHeight="1" x14ac:dyDescent="0.2">
      <c r="B90" s="466"/>
      <c r="C90" s="135"/>
      <c r="D90" s="432" t="str">
        <f>IF(op!D22="","",op!D22)</f>
        <v/>
      </c>
      <c r="E90" s="432" t="str">
        <f>IF(op!E22="","",op!E22)</f>
        <v/>
      </c>
      <c r="F90" s="776" t="str">
        <f>IF(op!F22="","",op!F22+1)</f>
        <v/>
      </c>
      <c r="G90" s="802" t="str">
        <f>IF(op!G22="","",op!G22)</f>
        <v/>
      </c>
      <c r="H90" s="776" t="str">
        <f>IF(op!H22=0,"",op!H22)</f>
        <v/>
      </c>
      <c r="I90" s="433" t="str">
        <f>IF(J90="","",IF(op!I22&gt;LOOKUP(H90,schaal2013,regels2013),op!I22-1,IF(op!I22=LOOKUP(H90,schaal2013,regels2013),op!I22,I22+1)))</f>
        <v/>
      </c>
      <c r="J90" s="803" t="str">
        <f>IF(op!J22="","",op!J22)</f>
        <v/>
      </c>
      <c r="K90" s="518"/>
      <c r="L90" s="1207">
        <f>IF(op!L22="",0,op!L22)</f>
        <v>0</v>
      </c>
      <c r="M90" s="1207">
        <f>IF(op!M22="",0,op!M22)</f>
        <v>0</v>
      </c>
      <c r="N90" s="1209" t="str">
        <f t="shared" si="35"/>
        <v/>
      </c>
      <c r="O90" s="1209" t="str">
        <f t="shared" si="36"/>
        <v/>
      </c>
      <c r="P90" s="1283" t="str">
        <f t="shared" si="37"/>
        <v/>
      </c>
      <c r="Q90" s="518"/>
      <c r="R90" s="1076" t="str">
        <f t="shared" si="51"/>
        <v/>
      </c>
      <c r="S90" s="1076" t="str">
        <f t="shared" si="38"/>
        <v/>
      </c>
      <c r="T90" s="1078" t="str">
        <f t="shared" si="39"/>
        <v/>
      </c>
      <c r="U90" s="599"/>
      <c r="V90" s="804"/>
      <c r="W90" s="1110"/>
      <c r="X90" s="1218"/>
      <c r="Y90" s="1253" t="e">
        <f>ROUND(VLOOKUP(H90,tab!$A$61:$V$103,I90+2,FALSE),0)</f>
        <v>#VALUE!</v>
      </c>
      <c r="Z90" s="1252">
        <f>tab!$E$48</f>
        <v>0.62</v>
      </c>
      <c r="AA90" s="1284" t="e">
        <f t="shared" si="40"/>
        <v>#VALUE!</v>
      </c>
      <c r="AB90" s="1284" t="e">
        <f t="shared" si="41"/>
        <v>#VALUE!</v>
      </c>
      <c r="AC90" s="1284" t="e">
        <f t="shared" si="42"/>
        <v>#VALUE!</v>
      </c>
      <c r="AD90" s="1286" t="e">
        <f t="shared" si="43"/>
        <v>#VALUE!</v>
      </c>
      <c r="AE90" s="1286">
        <f t="shared" si="44"/>
        <v>0</v>
      </c>
      <c r="AF90" s="1254">
        <f>IF(H90&gt;8,tab!$D$49,tab!$D$52)</f>
        <v>0.5</v>
      </c>
      <c r="AG90" s="1255">
        <f t="shared" si="45"/>
        <v>0</v>
      </c>
      <c r="AH90" s="1251">
        <f t="shared" si="46"/>
        <v>0</v>
      </c>
      <c r="AI90" s="1278" t="e">
        <f>DATE(YEAR(tab!$F$3),MONTH(G90),DAY(G90))&gt;tab!$F$3</f>
        <v>#VALUE!</v>
      </c>
      <c r="AJ90" s="1255" t="e">
        <f t="shared" si="47"/>
        <v>#VALUE!</v>
      </c>
      <c r="AK90" s="1199">
        <f t="shared" si="48"/>
        <v>30</v>
      </c>
      <c r="AL90" s="1199">
        <f t="shared" si="49"/>
        <v>30</v>
      </c>
      <c r="AM90" s="1205">
        <f t="shared" si="50"/>
        <v>0</v>
      </c>
      <c r="AS90" s="819"/>
    </row>
    <row r="91" spans="2:50" ht="12.75" customHeight="1" x14ac:dyDescent="0.2">
      <c r="B91" s="466"/>
      <c r="C91" s="135"/>
      <c r="D91" s="432" t="str">
        <f>IF(op!D23="","",op!D23)</f>
        <v/>
      </c>
      <c r="E91" s="432" t="str">
        <f>IF(op!E23="","",op!E23)</f>
        <v/>
      </c>
      <c r="F91" s="776" t="str">
        <f>IF(op!F23="","",op!F23+1)</f>
        <v/>
      </c>
      <c r="G91" s="802" t="str">
        <f>IF(op!G23="","",op!G23)</f>
        <v/>
      </c>
      <c r="H91" s="776" t="str">
        <f>IF(op!H23=0,"",op!H23)</f>
        <v/>
      </c>
      <c r="I91" s="433" t="str">
        <f>IF(J91="","",IF(op!I23&gt;LOOKUP(H91,schaal2013,regels2013),op!I23-1,IF(op!I23=LOOKUP(H91,schaal2013,regels2013),op!I23,I23+1)))</f>
        <v/>
      </c>
      <c r="J91" s="803" t="str">
        <f>IF(op!J23="","",op!J23)</f>
        <v/>
      </c>
      <c r="K91" s="518"/>
      <c r="L91" s="1207">
        <f>IF(op!L23="",0,op!L23)</f>
        <v>0</v>
      </c>
      <c r="M91" s="1207">
        <f>IF(op!M23="",0,op!M23)</f>
        <v>0</v>
      </c>
      <c r="N91" s="1209" t="str">
        <f t="shared" si="35"/>
        <v/>
      </c>
      <c r="O91" s="1209" t="str">
        <f t="shared" si="36"/>
        <v/>
      </c>
      <c r="P91" s="1283" t="str">
        <f t="shared" si="37"/>
        <v/>
      </c>
      <c r="Q91" s="518"/>
      <c r="R91" s="1076" t="str">
        <f t="shared" si="51"/>
        <v/>
      </c>
      <c r="S91" s="1076" t="str">
        <f t="shared" si="38"/>
        <v/>
      </c>
      <c r="T91" s="1078" t="str">
        <f t="shared" si="39"/>
        <v/>
      </c>
      <c r="U91" s="599"/>
      <c r="V91" s="804"/>
      <c r="W91" s="1110"/>
      <c r="X91" s="1218"/>
      <c r="Y91" s="1253" t="e">
        <f>ROUND(VLOOKUP(H91,tab!$A$61:$V$103,I91+2,FALSE),0)</f>
        <v>#VALUE!</v>
      </c>
      <c r="Z91" s="1252">
        <f>tab!$E$48</f>
        <v>0.62</v>
      </c>
      <c r="AA91" s="1284" t="e">
        <f t="shared" si="40"/>
        <v>#VALUE!</v>
      </c>
      <c r="AB91" s="1284" t="e">
        <f t="shared" si="41"/>
        <v>#VALUE!</v>
      </c>
      <c r="AC91" s="1284" t="e">
        <f t="shared" si="42"/>
        <v>#VALUE!</v>
      </c>
      <c r="AD91" s="1286" t="e">
        <f t="shared" si="43"/>
        <v>#VALUE!</v>
      </c>
      <c r="AE91" s="1286">
        <f t="shared" si="44"/>
        <v>0</v>
      </c>
      <c r="AF91" s="1254">
        <f>IF(H91&gt;8,tab!$D$49,tab!$D$52)</f>
        <v>0.5</v>
      </c>
      <c r="AG91" s="1255">
        <f t="shared" si="45"/>
        <v>0</v>
      </c>
      <c r="AH91" s="1251">
        <f t="shared" si="46"/>
        <v>0</v>
      </c>
      <c r="AI91" s="1278" t="e">
        <f>DATE(YEAR(tab!$F$3),MONTH(G91),DAY(G91))&gt;tab!$F$3</f>
        <v>#VALUE!</v>
      </c>
      <c r="AJ91" s="1255" t="e">
        <f t="shared" si="47"/>
        <v>#VALUE!</v>
      </c>
      <c r="AK91" s="1199">
        <f t="shared" si="48"/>
        <v>30</v>
      </c>
      <c r="AL91" s="1199">
        <f t="shared" si="49"/>
        <v>30</v>
      </c>
      <c r="AM91" s="1205">
        <f t="shared" si="50"/>
        <v>0</v>
      </c>
      <c r="AS91" s="819"/>
    </row>
    <row r="92" spans="2:50" ht="12.75" customHeight="1" x14ac:dyDescent="0.2">
      <c r="B92" s="466"/>
      <c r="C92" s="135"/>
      <c r="D92" s="432" t="str">
        <f>IF(op!D24="","",op!D24)</f>
        <v/>
      </c>
      <c r="E92" s="432" t="str">
        <f>IF(op!E24="","",op!E24)</f>
        <v/>
      </c>
      <c r="F92" s="776" t="str">
        <f>IF(op!F24="","",op!F24+1)</f>
        <v/>
      </c>
      <c r="G92" s="802" t="str">
        <f>IF(op!G24="","",op!G24)</f>
        <v/>
      </c>
      <c r="H92" s="776" t="str">
        <f>IF(op!H24=0,"",op!H24)</f>
        <v/>
      </c>
      <c r="I92" s="433" t="str">
        <f>IF(J92="","",IF(op!I24&gt;LOOKUP(H92,schaal2013,regels2013),op!I24-1,IF(op!I24=LOOKUP(H92,schaal2013,regels2013),op!I24,I24+1)))</f>
        <v/>
      </c>
      <c r="J92" s="803" t="str">
        <f>IF(op!J24="","",op!J24)</f>
        <v/>
      </c>
      <c r="K92" s="518"/>
      <c r="L92" s="1207">
        <f>IF(op!L24="",0,op!L24)</f>
        <v>0</v>
      </c>
      <c r="M92" s="1207">
        <f>IF(op!M24="",0,op!M24)</f>
        <v>0</v>
      </c>
      <c r="N92" s="1209" t="str">
        <f t="shared" si="35"/>
        <v/>
      </c>
      <c r="O92" s="1209" t="str">
        <f t="shared" si="36"/>
        <v/>
      </c>
      <c r="P92" s="1283" t="str">
        <f t="shared" si="37"/>
        <v/>
      </c>
      <c r="Q92" s="518"/>
      <c r="R92" s="1076" t="str">
        <f t="shared" si="51"/>
        <v/>
      </c>
      <c r="S92" s="1076" t="str">
        <f t="shared" si="38"/>
        <v/>
      </c>
      <c r="T92" s="1078" t="str">
        <f t="shared" si="39"/>
        <v/>
      </c>
      <c r="U92" s="599"/>
      <c r="V92" s="804"/>
      <c r="W92" s="1110"/>
      <c r="X92" s="1218"/>
      <c r="Y92" s="1253" t="e">
        <f>ROUND(VLOOKUP(H92,tab!$A$61:$V$103,I92+2,FALSE),0)</f>
        <v>#VALUE!</v>
      </c>
      <c r="Z92" s="1252">
        <f>tab!$E$48</f>
        <v>0.62</v>
      </c>
      <c r="AA92" s="1284" t="e">
        <f t="shared" si="40"/>
        <v>#VALUE!</v>
      </c>
      <c r="AB92" s="1284" t="e">
        <f t="shared" si="41"/>
        <v>#VALUE!</v>
      </c>
      <c r="AC92" s="1284" t="e">
        <f t="shared" si="42"/>
        <v>#VALUE!</v>
      </c>
      <c r="AD92" s="1286" t="e">
        <f t="shared" si="43"/>
        <v>#VALUE!</v>
      </c>
      <c r="AE92" s="1286">
        <f t="shared" si="44"/>
        <v>0</v>
      </c>
      <c r="AF92" s="1254">
        <f>IF(H92&gt;8,tab!$D$49,tab!$D$52)</f>
        <v>0.5</v>
      </c>
      <c r="AG92" s="1255">
        <f t="shared" si="45"/>
        <v>0</v>
      </c>
      <c r="AH92" s="1251">
        <f t="shared" si="46"/>
        <v>0</v>
      </c>
      <c r="AI92" s="1278" t="e">
        <f>DATE(YEAR(tab!$F$3),MONTH(G92),DAY(G92))&gt;tab!$F$3</f>
        <v>#VALUE!</v>
      </c>
      <c r="AJ92" s="1255" t="e">
        <f t="shared" si="47"/>
        <v>#VALUE!</v>
      </c>
      <c r="AK92" s="1199">
        <f t="shared" si="48"/>
        <v>30</v>
      </c>
      <c r="AL92" s="1199">
        <f t="shared" si="49"/>
        <v>30</v>
      </c>
      <c r="AM92" s="1205">
        <f t="shared" si="50"/>
        <v>0</v>
      </c>
      <c r="AS92" s="819"/>
    </row>
    <row r="93" spans="2:50" ht="12.75" customHeight="1" x14ac:dyDescent="0.2">
      <c r="B93" s="466"/>
      <c r="C93" s="135"/>
      <c r="D93" s="432" t="str">
        <f>IF(op!D25="","",op!D25)</f>
        <v/>
      </c>
      <c r="E93" s="432" t="str">
        <f>IF(op!E25="","",op!E25)</f>
        <v/>
      </c>
      <c r="F93" s="776" t="str">
        <f>IF(op!F25="","",op!F25+1)</f>
        <v/>
      </c>
      <c r="G93" s="802" t="str">
        <f>IF(op!G25="","",op!G25)</f>
        <v/>
      </c>
      <c r="H93" s="776" t="str">
        <f>IF(op!H25=0,"",op!H25)</f>
        <v/>
      </c>
      <c r="I93" s="433" t="str">
        <f>IF(J93="","",IF(op!I25&gt;LOOKUP(H93,schaal2013,regels2013),op!I25-1,IF(op!I25=LOOKUP(H93,schaal2013,regels2013),op!I25,I25+1)))</f>
        <v/>
      </c>
      <c r="J93" s="803" t="str">
        <f>IF(op!J25="","",op!J25)</f>
        <v/>
      </c>
      <c r="K93" s="518"/>
      <c r="L93" s="1207">
        <f>IF(op!L25="",0,op!L25)</f>
        <v>0</v>
      </c>
      <c r="M93" s="1207">
        <f>IF(op!M25="",0,op!M25)</f>
        <v>0</v>
      </c>
      <c r="N93" s="1209" t="str">
        <f t="shared" si="35"/>
        <v/>
      </c>
      <c r="O93" s="1209" t="str">
        <f t="shared" si="36"/>
        <v/>
      </c>
      <c r="P93" s="1283" t="str">
        <f t="shared" si="37"/>
        <v/>
      </c>
      <c r="Q93" s="518"/>
      <c r="R93" s="1076" t="str">
        <f t="shared" si="51"/>
        <v/>
      </c>
      <c r="S93" s="1076" t="str">
        <f t="shared" si="38"/>
        <v/>
      </c>
      <c r="T93" s="1078" t="str">
        <f t="shared" si="39"/>
        <v/>
      </c>
      <c r="U93" s="599"/>
      <c r="V93" s="804"/>
      <c r="W93" s="1110"/>
      <c r="X93" s="1218"/>
      <c r="Y93" s="1253" t="e">
        <f>ROUND(VLOOKUP(H93,tab!$A$61:$V$103,I93+2,FALSE),0)</f>
        <v>#VALUE!</v>
      </c>
      <c r="Z93" s="1252">
        <f>tab!$E$48</f>
        <v>0.62</v>
      </c>
      <c r="AA93" s="1284" t="e">
        <f t="shared" si="40"/>
        <v>#VALUE!</v>
      </c>
      <c r="AB93" s="1284" t="e">
        <f t="shared" si="41"/>
        <v>#VALUE!</v>
      </c>
      <c r="AC93" s="1284" t="e">
        <f t="shared" si="42"/>
        <v>#VALUE!</v>
      </c>
      <c r="AD93" s="1286" t="e">
        <f t="shared" si="43"/>
        <v>#VALUE!</v>
      </c>
      <c r="AE93" s="1286">
        <f t="shared" si="44"/>
        <v>0</v>
      </c>
      <c r="AF93" s="1254">
        <f>IF(H93&gt;8,tab!$D$49,tab!$D$52)</f>
        <v>0.5</v>
      </c>
      <c r="AG93" s="1255">
        <f t="shared" si="45"/>
        <v>0</v>
      </c>
      <c r="AH93" s="1251">
        <f t="shared" si="46"/>
        <v>0</v>
      </c>
      <c r="AI93" s="1278" t="e">
        <f>DATE(YEAR(tab!$F$3),MONTH(G93),DAY(G93))&gt;tab!$F$3</f>
        <v>#VALUE!</v>
      </c>
      <c r="AJ93" s="1255" t="e">
        <f t="shared" si="47"/>
        <v>#VALUE!</v>
      </c>
      <c r="AK93" s="1199">
        <f t="shared" si="48"/>
        <v>30</v>
      </c>
      <c r="AL93" s="1199">
        <f t="shared" si="49"/>
        <v>30</v>
      </c>
      <c r="AM93" s="1205">
        <f t="shared" si="50"/>
        <v>0</v>
      </c>
      <c r="AS93" s="819"/>
    </row>
    <row r="94" spans="2:50" ht="12.75" customHeight="1" x14ac:dyDescent="0.2">
      <c r="B94" s="466"/>
      <c r="C94" s="135"/>
      <c r="D94" s="432" t="str">
        <f>IF(op!D26="","",op!D26)</f>
        <v/>
      </c>
      <c r="E94" s="432" t="str">
        <f>IF(op!E26="","",op!E26)</f>
        <v/>
      </c>
      <c r="F94" s="776" t="str">
        <f>IF(op!F26="","",op!F26+1)</f>
        <v/>
      </c>
      <c r="G94" s="802" t="str">
        <f>IF(op!G26="","",op!G26)</f>
        <v/>
      </c>
      <c r="H94" s="776" t="str">
        <f>IF(op!H26=0,"",op!H26)</f>
        <v/>
      </c>
      <c r="I94" s="433" t="str">
        <f>IF(J94="","",IF(op!I26&gt;LOOKUP(H94,schaal2013,regels2013),op!I26-1,IF(op!I26=LOOKUP(H94,schaal2013,regels2013),op!I26,I26+1)))</f>
        <v/>
      </c>
      <c r="J94" s="803" t="str">
        <f>IF(op!J26="","",op!J26)</f>
        <v/>
      </c>
      <c r="K94" s="518"/>
      <c r="L94" s="1207">
        <f>IF(op!L26="",0,op!L26)</f>
        <v>0</v>
      </c>
      <c r="M94" s="1207">
        <f>IF(op!M26="",0,op!M26)</f>
        <v>0</v>
      </c>
      <c r="N94" s="1209" t="str">
        <f t="shared" si="35"/>
        <v/>
      </c>
      <c r="O94" s="1209" t="str">
        <f t="shared" si="36"/>
        <v/>
      </c>
      <c r="P94" s="1283" t="str">
        <f t="shared" si="37"/>
        <v/>
      </c>
      <c r="Q94" s="518"/>
      <c r="R94" s="1076" t="str">
        <f t="shared" si="51"/>
        <v/>
      </c>
      <c r="S94" s="1076" t="str">
        <f t="shared" si="38"/>
        <v/>
      </c>
      <c r="T94" s="1078" t="str">
        <f t="shared" si="39"/>
        <v/>
      </c>
      <c r="U94" s="599"/>
      <c r="V94" s="804"/>
      <c r="W94" s="1110"/>
      <c r="X94" s="1218"/>
      <c r="Y94" s="1253" t="e">
        <f>ROUND(VLOOKUP(H94,tab!$A$61:$V$103,I94+2,FALSE),0)</f>
        <v>#VALUE!</v>
      </c>
      <c r="Z94" s="1252">
        <f>tab!$E$48</f>
        <v>0.62</v>
      </c>
      <c r="AA94" s="1284" t="e">
        <f t="shared" si="40"/>
        <v>#VALUE!</v>
      </c>
      <c r="AB94" s="1284" t="e">
        <f t="shared" si="41"/>
        <v>#VALUE!</v>
      </c>
      <c r="AC94" s="1284" t="e">
        <f t="shared" si="42"/>
        <v>#VALUE!</v>
      </c>
      <c r="AD94" s="1286" t="e">
        <f t="shared" si="43"/>
        <v>#VALUE!</v>
      </c>
      <c r="AE94" s="1286">
        <f t="shared" si="44"/>
        <v>0</v>
      </c>
      <c r="AF94" s="1254">
        <f>IF(H94&gt;8,tab!$D$49,tab!$D$52)</f>
        <v>0.5</v>
      </c>
      <c r="AG94" s="1255">
        <f t="shared" si="45"/>
        <v>0</v>
      </c>
      <c r="AH94" s="1251">
        <f t="shared" si="46"/>
        <v>0</v>
      </c>
      <c r="AI94" s="1278" t="e">
        <f>DATE(YEAR(tab!$F$3),MONTH(G94),DAY(G94))&gt;tab!$F$3</f>
        <v>#VALUE!</v>
      </c>
      <c r="AJ94" s="1255" t="e">
        <f t="shared" si="47"/>
        <v>#VALUE!</v>
      </c>
      <c r="AK94" s="1199">
        <f t="shared" si="48"/>
        <v>30</v>
      </c>
      <c r="AL94" s="1199">
        <f t="shared" si="49"/>
        <v>30</v>
      </c>
      <c r="AM94" s="1205">
        <f t="shared" si="50"/>
        <v>0</v>
      </c>
      <c r="AS94" s="819"/>
    </row>
    <row r="95" spans="2:50" ht="12.75" customHeight="1" x14ac:dyDescent="0.2">
      <c r="B95" s="466"/>
      <c r="C95" s="135"/>
      <c r="D95" s="432" t="str">
        <f>IF(op!D27="","",op!D27)</f>
        <v/>
      </c>
      <c r="E95" s="432" t="str">
        <f>IF(op!E27="","",op!E27)</f>
        <v/>
      </c>
      <c r="F95" s="776" t="str">
        <f>IF(op!F27="","",op!F27+1)</f>
        <v/>
      </c>
      <c r="G95" s="802" t="str">
        <f>IF(op!G27="","",op!G27)</f>
        <v/>
      </c>
      <c r="H95" s="776" t="str">
        <f>IF(op!H27=0,"",op!H27)</f>
        <v/>
      </c>
      <c r="I95" s="433" t="str">
        <f>IF(J95="","",IF(op!I27&gt;LOOKUP(H95,schaal2013,regels2013),op!I27-1,IF(op!I27=LOOKUP(H95,schaal2013,regels2013),op!I27,I27+1)))</f>
        <v/>
      </c>
      <c r="J95" s="803" t="str">
        <f>IF(op!J27="","",op!J27)</f>
        <v/>
      </c>
      <c r="K95" s="518"/>
      <c r="L95" s="1207">
        <f>IF(op!L27="",0,op!L27)</f>
        <v>0</v>
      </c>
      <c r="M95" s="1207">
        <f>IF(op!M27="",0,op!M27)</f>
        <v>0</v>
      </c>
      <c r="N95" s="1209" t="str">
        <f t="shared" si="35"/>
        <v/>
      </c>
      <c r="O95" s="1209" t="str">
        <f t="shared" si="36"/>
        <v/>
      </c>
      <c r="P95" s="1283" t="str">
        <f t="shared" si="37"/>
        <v/>
      </c>
      <c r="Q95" s="518"/>
      <c r="R95" s="1076" t="str">
        <f t="shared" si="51"/>
        <v/>
      </c>
      <c r="S95" s="1076" t="str">
        <f t="shared" si="38"/>
        <v/>
      </c>
      <c r="T95" s="1078" t="str">
        <f t="shared" si="39"/>
        <v/>
      </c>
      <c r="U95" s="599"/>
      <c r="V95" s="804"/>
      <c r="W95" s="1110"/>
      <c r="X95" s="1218"/>
      <c r="Y95" s="1253" t="e">
        <f>ROUND(VLOOKUP(H95,tab!$A$61:$V$103,I95+2,FALSE),0)</f>
        <v>#VALUE!</v>
      </c>
      <c r="Z95" s="1252">
        <f>tab!$E$48</f>
        <v>0.62</v>
      </c>
      <c r="AA95" s="1284" t="e">
        <f t="shared" si="40"/>
        <v>#VALUE!</v>
      </c>
      <c r="AB95" s="1284" t="e">
        <f t="shared" si="41"/>
        <v>#VALUE!</v>
      </c>
      <c r="AC95" s="1284" t="e">
        <f t="shared" si="42"/>
        <v>#VALUE!</v>
      </c>
      <c r="AD95" s="1286" t="e">
        <f t="shared" si="43"/>
        <v>#VALUE!</v>
      </c>
      <c r="AE95" s="1286">
        <f t="shared" si="44"/>
        <v>0</v>
      </c>
      <c r="AF95" s="1254">
        <f>IF(H95&gt;8,tab!$D$49,tab!$D$52)</f>
        <v>0.5</v>
      </c>
      <c r="AG95" s="1255">
        <f t="shared" si="45"/>
        <v>0</v>
      </c>
      <c r="AH95" s="1251">
        <f t="shared" si="46"/>
        <v>0</v>
      </c>
      <c r="AI95" s="1278" t="e">
        <f>DATE(YEAR(tab!$F$3),MONTH(G95),DAY(G95))&gt;tab!$F$3</f>
        <v>#VALUE!</v>
      </c>
      <c r="AJ95" s="1255" t="e">
        <f t="shared" si="47"/>
        <v>#VALUE!</v>
      </c>
      <c r="AK95" s="1199">
        <f t="shared" si="48"/>
        <v>30</v>
      </c>
      <c r="AL95" s="1199">
        <f t="shared" si="49"/>
        <v>30</v>
      </c>
      <c r="AM95" s="1205">
        <f t="shared" si="50"/>
        <v>0</v>
      </c>
      <c r="AS95" s="819"/>
    </row>
    <row r="96" spans="2:50" ht="12.75" customHeight="1" x14ac:dyDescent="0.2">
      <c r="B96" s="466"/>
      <c r="C96" s="135"/>
      <c r="D96" s="432" t="str">
        <f>IF(op!D28="","",op!D28)</f>
        <v/>
      </c>
      <c r="E96" s="432" t="str">
        <f>IF(op!E28="","",op!E28)</f>
        <v/>
      </c>
      <c r="F96" s="776" t="str">
        <f>IF(op!F28="","",op!F28+1)</f>
        <v/>
      </c>
      <c r="G96" s="802" t="str">
        <f>IF(op!G28="","",op!G28)</f>
        <v/>
      </c>
      <c r="H96" s="776" t="str">
        <f>IF(op!H28=0,"",op!H28)</f>
        <v/>
      </c>
      <c r="I96" s="433" t="str">
        <f>IF(J96="","",IF(op!I28&gt;LOOKUP(H96,schaal2013,regels2013),op!I28-1,IF(op!I28=LOOKUP(H96,schaal2013,regels2013),op!I28,I28+1)))</f>
        <v/>
      </c>
      <c r="J96" s="803" t="str">
        <f>IF(op!J28="","",op!J28)</f>
        <v/>
      </c>
      <c r="K96" s="518"/>
      <c r="L96" s="1207">
        <f>IF(op!L28="",0,op!L28)</f>
        <v>0</v>
      </c>
      <c r="M96" s="1207">
        <f>IF(op!M28="",0,op!M28)</f>
        <v>0</v>
      </c>
      <c r="N96" s="1209" t="str">
        <f t="shared" si="35"/>
        <v/>
      </c>
      <c r="O96" s="1209" t="str">
        <f t="shared" si="36"/>
        <v/>
      </c>
      <c r="P96" s="1283" t="str">
        <f t="shared" si="37"/>
        <v/>
      </c>
      <c r="Q96" s="518"/>
      <c r="R96" s="1076" t="str">
        <f t="shared" si="51"/>
        <v/>
      </c>
      <c r="S96" s="1076" t="str">
        <f t="shared" si="38"/>
        <v/>
      </c>
      <c r="T96" s="1078" t="str">
        <f t="shared" si="39"/>
        <v/>
      </c>
      <c r="U96" s="599"/>
      <c r="V96" s="804"/>
      <c r="W96" s="1110"/>
      <c r="X96" s="1218"/>
      <c r="Y96" s="1253" t="e">
        <f>ROUND(VLOOKUP(H96,tab!$A$61:$V$103,I96+2,FALSE),0)</f>
        <v>#VALUE!</v>
      </c>
      <c r="Z96" s="1252">
        <f>tab!$E$48</f>
        <v>0.62</v>
      </c>
      <c r="AA96" s="1284" t="e">
        <f t="shared" si="40"/>
        <v>#VALUE!</v>
      </c>
      <c r="AB96" s="1284" t="e">
        <f t="shared" si="41"/>
        <v>#VALUE!</v>
      </c>
      <c r="AC96" s="1284" t="e">
        <f t="shared" si="42"/>
        <v>#VALUE!</v>
      </c>
      <c r="AD96" s="1286" t="e">
        <f t="shared" si="43"/>
        <v>#VALUE!</v>
      </c>
      <c r="AE96" s="1286">
        <f t="shared" si="44"/>
        <v>0</v>
      </c>
      <c r="AF96" s="1254">
        <f>IF(H96&gt;8,tab!$D$49,tab!$D$52)</f>
        <v>0.5</v>
      </c>
      <c r="AG96" s="1255">
        <f t="shared" si="45"/>
        <v>0</v>
      </c>
      <c r="AH96" s="1251">
        <f t="shared" si="46"/>
        <v>0</v>
      </c>
      <c r="AI96" s="1278" t="e">
        <f>DATE(YEAR(tab!$F$3),MONTH(G96),DAY(G96))&gt;tab!$F$3</f>
        <v>#VALUE!</v>
      </c>
      <c r="AJ96" s="1255" t="e">
        <f t="shared" si="47"/>
        <v>#VALUE!</v>
      </c>
      <c r="AK96" s="1199">
        <f t="shared" si="48"/>
        <v>30</v>
      </c>
      <c r="AL96" s="1199">
        <f t="shared" si="49"/>
        <v>30</v>
      </c>
      <c r="AM96" s="1205">
        <f t="shared" si="50"/>
        <v>0</v>
      </c>
      <c r="AS96" s="819"/>
    </row>
    <row r="97" spans="2:45" ht="12.75" customHeight="1" x14ac:dyDescent="0.2">
      <c r="B97" s="466"/>
      <c r="C97" s="135"/>
      <c r="D97" s="432" t="str">
        <f>IF(op!D29="","",op!D29)</f>
        <v/>
      </c>
      <c r="E97" s="432" t="str">
        <f>IF(op!E29="","",op!E29)</f>
        <v/>
      </c>
      <c r="F97" s="776" t="str">
        <f>IF(op!F29="","",op!F29+1)</f>
        <v/>
      </c>
      <c r="G97" s="802" t="str">
        <f>IF(op!G29="","",op!G29)</f>
        <v/>
      </c>
      <c r="H97" s="776" t="str">
        <f>IF(op!H29=0,"",op!H29)</f>
        <v/>
      </c>
      <c r="I97" s="433" t="str">
        <f>IF(J97="","",IF(op!I29&gt;LOOKUP(H97,schaal2013,regels2013),op!I29-1,IF(op!I29=LOOKUP(H97,schaal2013,regels2013),op!I29,I29+1)))</f>
        <v/>
      </c>
      <c r="J97" s="803" t="str">
        <f>IF(op!J29="","",op!J29)</f>
        <v/>
      </c>
      <c r="K97" s="518"/>
      <c r="L97" s="1207">
        <f>IF(op!L29="",0,op!L29)</f>
        <v>0</v>
      </c>
      <c r="M97" s="1207">
        <f>IF(op!M29="",0,op!M29)</f>
        <v>0</v>
      </c>
      <c r="N97" s="1209" t="str">
        <f t="shared" si="35"/>
        <v/>
      </c>
      <c r="O97" s="1209" t="str">
        <f t="shared" si="36"/>
        <v/>
      </c>
      <c r="P97" s="1283" t="str">
        <f t="shared" si="37"/>
        <v/>
      </c>
      <c r="Q97" s="518"/>
      <c r="R97" s="1076" t="str">
        <f t="shared" si="51"/>
        <v/>
      </c>
      <c r="S97" s="1076" t="str">
        <f t="shared" si="38"/>
        <v/>
      </c>
      <c r="T97" s="1078" t="str">
        <f t="shared" si="39"/>
        <v/>
      </c>
      <c r="U97" s="599"/>
      <c r="V97" s="804"/>
      <c r="W97" s="1110"/>
      <c r="X97" s="1218"/>
      <c r="Y97" s="1253" t="e">
        <f>ROUND(VLOOKUP(H97,tab!$A$61:$V$103,I97+2,FALSE),0)</f>
        <v>#VALUE!</v>
      </c>
      <c r="Z97" s="1252">
        <f>tab!$E$48</f>
        <v>0.62</v>
      </c>
      <c r="AA97" s="1284" t="e">
        <f t="shared" si="40"/>
        <v>#VALUE!</v>
      </c>
      <c r="AB97" s="1284" t="e">
        <f t="shared" si="41"/>
        <v>#VALUE!</v>
      </c>
      <c r="AC97" s="1284" t="e">
        <f t="shared" si="42"/>
        <v>#VALUE!</v>
      </c>
      <c r="AD97" s="1286" t="e">
        <f t="shared" si="43"/>
        <v>#VALUE!</v>
      </c>
      <c r="AE97" s="1286">
        <f t="shared" si="44"/>
        <v>0</v>
      </c>
      <c r="AF97" s="1254">
        <f>IF(H97&gt;8,tab!$D$49,tab!$D$52)</f>
        <v>0.5</v>
      </c>
      <c r="AG97" s="1255">
        <f t="shared" si="45"/>
        <v>0</v>
      </c>
      <c r="AH97" s="1251">
        <f t="shared" si="46"/>
        <v>0</v>
      </c>
      <c r="AI97" s="1278" t="e">
        <f>DATE(YEAR(tab!$F$3),MONTH(G97),DAY(G97))&gt;tab!$F$3</f>
        <v>#VALUE!</v>
      </c>
      <c r="AJ97" s="1255" t="e">
        <f t="shared" si="47"/>
        <v>#VALUE!</v>
      </c>
      <c r="AK97" s="1199">
        <f t="shared" si="48"/>
        <v>30</v>
      </c>
      <c r="AL97" s="1199">
        <f t="shared" si="49"/>
        <v>30</v>
      </c>
      <c r="AM97" s="1205">
        <f t="shared" si="50"/>
        <v>0</v>
      </c>
      <c r="AS97" s="819"/>
    </row>
    <row r="98" spans="2:45" ht="12.75" customHeight="1" x14ac:dyDescent="0.2">
      <c r="B98" s="466"/>
      <c r="C98" s="135"/>
      <c r="D98" s="432" t="str">
        <f>IF(op!D30="","",op!D30)</f>
        <v/>
      </c>
      <c r="E98" s="432" t="str">
        <f>IF(op!E30="","",op!E30)</f>
        <v/>
      </c>
      <c r="F98" s="776" t="str">
        <f>IF(op!F30="","",op!F30+1)</f>
        <v/>
      </c>
      <c r="G98" s="802" t="str">
        <f>IF(op!G30="","",op!G30)</f>
        <v/>
      </c>
      <c r="H98" s="776" t="str">
        <f>IF(op!H30=0,"",op!H30)</f>
        <v/>
      </c>
      <c r="I98" s="433" t="str">
        <f>IF(J98="","",IF(op!I30&gt;LOOKUP(H98,schaal2013,regels2013),op!I30-1,IF(op!I30=LOOKUP(H98,schaal2013,regels2013),op!I30,I30+1)))</f>
        <v/>
      </c>
      <c r="J98" s="803" t="str">
        <f>IF(op!J30="","",op!J30)</f>
        <v/>
      </c>
      <c r="K98" s="518"/>
      <c r="L98" s="1207">
        <f>IF(op!L30="",0,op!L30)</f>
        <v>0</v>
      </c>
      <c r="M98" s="1207">
        <f>IF(op!M30="",0,op!M30)</f>
        <v>0</v>
      </c>
      <c r="N98" s="1209" t="str">
        <f t="shared" si="35"/>
        <v/>
      </c>
      <c r="O98" s="1209" t="str">
        <f t="shared" si="36"/>
        <v/>
      </c>
      <c r="P98" s="1283" t="str">
        <f t="shared" si="37"/>
        <v/>
      </c>
      <c r="Q98" s="518"/>
      <c r="R98" s="1076" t="str">
        <f t="shared" si="51"/>
        <v/>
      </c>
      <c r="S98" s="1076" t="str">
        <f t="shared" si="38"/>
        <v/>
      </c>
      <c r="T98" s="1078" t="str">
        <f t="shared" si="39"/>
        <v/>
      </c>
      <c r="U98" s="599"/>
      <c r="V98" s="804"/>
      <c r="W98" s="1110"/>
      <c r="X98" s="1218"/>
      <c r="Y98" s="1253" t="e">
        <f>ROUND(VLOOKUP(H98,tab!$A$61:$V$103,I98+2,FALSE),0)</f>
        <v>#VALUE!</v>
      </c>
      <c r="Z98" s="1252">
        <f>tab!$E$48</f>
        <v>0.62</v>
      </c>
      <c r="AA98" s="1284" t="e">
        <f t="shared" si="40"/>
        <v>#VALUE!</v>
      </c>
      <c r="AB98" s="1284" t="e">
        <f t="shared" si="41"/>
        <v>#VALUE!</v>
      </c>
      <c r="AC98" s="1284" t="e">
        <f t="shared" si="42"/>
        <v>#VALUE!</v>
      </c>
      <c r="AD98" s="1286" t="e">
        <f t="shared" si="43"/>
        <v>#VALUE!</v>
      </c>
      <c r="AE98" s="1286">
        <f t="shared" si="44"/>
        <v>0</v>
      </c>
      <c r="AF98" s="1254">
        <f>IF(H98&gt;8,tab!$D$49,tab!$D$52)</f>
        <v>0.5</v>
      </c>
      <c r="AG98" s="1255">
        <f t="shared" si="45"/>
        <v>0</v>
      </c>
      <c r="AH98" s="1251">
        <f t="shared" si="46"/>
        <v>0</v>
      </c>
      <c r="AI98" s="1278" t="e">
        <f>DATE(YEAR(tab!$F$3),MONTH(G98),DAY(G98))&gt;tab!$F$3</f>
        <v>#VALUE!</v>
      </c>
      <c r="AJ98" s="1255" t="e">
        <f t="shared" si="47"/>
        <v>#VALUE!</v>
      </c>
      <c r="AK98" s="1199">
        <f t="shared" si="48"/>
        <v>30</v>
      </c>
      <c r="AL98" s="1199">
        <f t="shared" si="49"/>
        <v>30</v>
      </c>
      <c r="AM98" s="1205">
        <f t="shared" si="50"/>
        <v>0</v>
      </c>
      <c r="AS98" s="819"/>
    </row>
    <row r="99" spans="2:45" ht="12.75" customHeight="1" x14ac:dyDescent="0.2">
      <c r="B99" s="466"/>
      <c r="C99" s="135"/>
      <c r="D99" s="432" t="str">
        <f>IF(op!D31="","",op!D31)</f>
        <v/>
      </c>
      <c r="E99" s="432" t="str">
        <f>IF(op!E31="","",op!E31)</f>
        <v/>
      </c>
      <c r="F99" s="776" t="str">
        <f>IF(op!F31="","",op!F31+1)</f>
        <v/>
      </c>
      <c r="G99" s="802" t="str">
        <f>IF(op!G31="","",op!G31)</f>
        <v/>
      </c>
      <c r="H99" s="776" t="str">
        <f>IF(op!H31=0,"",op!H31)</f>
        <v/>
      </c>
      <c r="I99" s="433" t="str">
        <f>IF(J99="","",IF(op!I31&gt;LOOKUP(H99,schaal2013,regels2013),op!I31-1,IF(op!I31=LOOKUP(H99,schaal2013,regels2013),op!I31,I31+1)))</f>
        <v/>
      </c>
      <c r="J99" s="803" t="str">
        <f>IF(op!J31="","",op!J31)</f>
        <v/>
      </c>
      <c r="K99" s="518"/>
      <c r="L99" s="1207">
        <f>IF(op!L31="",0,op!L31)</f>
        <v>0</v>
      </c>
      <c r="M99" s="1207">
        <f>IF(op!M31="",0,op!M31)</f>
        <v>0</v>
      </c>
      <c r="N99" s="1209" t="str">
        <f t="shared" si="35"/>
        <v/>
      </c>
      <c r="O99" s="1209" t="str">
        <f t="shared" si="36"/>
        <v/>
      </c>
      <c r="P99" s="1283" t="str">
        <f t="shared" si="37"/>
        <v/>
      </c>
      <c r="Q99" s="518"/>
      <c r="R99" s="1076" t="str">
        <f t="shared" si="51"/>
        <v/>
      </c>
      <c r="S99" s="1076" t="str">
        <f t="shared" si="38"/>
        <v/>
      </c>
      <c r="T99" s="1078" t="str">
        <f t="shared" si="39"/>
        <v/>
      </c>
      <c r="U99" s="599"/>
      <c r="V99" s="804"/>
      <c r="W99" s="1110"/>
      <c r="X99" s="1218"/>
      <c r="Y99" s="1253" t="e">
        <f>ROUND(VLOOKUP(H99,tab!$A$61:$V$103,I99+2,FALSE),0)</f>
        <v>#VALUE!</v>
      </c>
      <c r="Z99" s="1252">
        <f>tab!$E$48</f>
        <v>0.62</v>
      </c>
      <c r="AA99" s="1284" t="e">
        <f t="shared" si="40"/>
        <v>#VALUE!</v>
      </c>
      <c r="AB99" s="1284" t="e">
        <f t="shared" si="41"/>
        <v>#VALUE!</v>
      </c>
      <c r="AC99" s="1284" t="e">
        <f t="shared" si="42"/>
        <v>#VALUE!</v>
      </c>
      <c r="AD99" s="1286" t="e">
        <f t="shared" si="43"/>
        <v>#VALUE!</v>
      </c>
      <c r="AE99" s="1286">
        <f t="shared" si="44"/>
        <v>0</v>
      </c>
      <c r="AF99" s="1254">
        <f>IF(H99&gt;8,tab!$D$49,tab!$D$52)</f>
        <v>0.5</v>
      </c>
      <c r="AG99" s="1255">
        <f t="shared" si="45"/>
        <v>0</v>
      </c>
      <c r="AH99" s="1251">
        <f t="shared" si="46"/>
        <v>0</v>
      </c>
      <c r="AI99" s="1278" t="e">
        <f>DATE(YEAR(tab!$F$3),MONTH(G99),DAY(G99))&gt;tab!$F$3</f>
        <v>#VALUE!</v>
      </c>
      <c r="AJ99" s="1255" t="e">
        <f t="shared" si="47"/>
        <v>#VALUE!</v>
      </c>
      <c r="AK99" s="1199">
        <f t="shared" si="48"/>
        <v>30</v>
      </c>
      <c r="AL99" s="1199">
        <f t="shared" si="49"/>
        <v>30</v>
      </c>
      <c r="AM99" s="1205">
        <f t="shared" si="50"/>
        <v>0</v>
      </c>
      <c r="AS99" s="819"/>
    </row>
    <row r="100" spans="2:45" ht="12.75" customHeight="1" x14ac:dyDescent="0.2">
      <c r="B100" s="466"/>
      <c r="C100" s="135"/>
      <c r="D100" s="432" t="str">
        <f>IF(op!D32="","",op!D32)</f>
        <v/>
      </c>
      <c r="E100" s="432" t="str">
        <f>IF(op!E32="","",op!E32)</f>
        <v/>
      </c>
      <c r="F100" s="776" t="str">
        <f>IF(op!F32="","",op!F32+1)</f>
        <v/>
      </c>
      <c r="G100" s="802" t="str">
        <f>IF(op!G32="","",op!G32)</f>
        <v/>
      </c>
      <c r="H100" s="776" t="str">
        <f>IF(op!H32=0,"",op!H32)</f>
        <v/>
      </c>
      <c r="I100" s="433" t="str">
        <f>IF(J100="","",IF(op!I32&gt;LOOKUP(H100,schaal2013,regels2013),op!I32-1,IF(op!I32=LOOKUP(H100,schaal2013,regels2013),op!I32,I32+1)))</f>
        <v/>
      </c>
      <c r="J100" s="803" t="str">
        <f>IF(op!J32="","",op!J32)</f>
        <v/>
      </c>
      <c r="K100" s="518"/>
      <c r="L100" s="1207">
        <f>IF(op!L32="",0,op!L32)</f>
        <v>0</v>
      </c>
      <c r="M100" s="1207">
        <f>IF(op!M32="",0,op!M32)</f>
        <v>0</v>
      </c>
      <c r="N100" s="1209" t="str">
        <f t="shared" si="35"/>
        <v/>
      </c>
      <c r="O100" s="1209" t="str">
        <f t="shared" si="36"/>
        <v/>
      </c>
      <c r="P100" s="1283" t="str">
        <f t="shared" si="37"/>
        <v/>
      </c>
      <c r="Q100" s="518"/>
      <c r="R100" s="1076" t="str">
        <f t="shared" si="51"/>
        <v/>
      </c>
      <c r="S100" s="1076" t="str">
        <f t="shared" si="38"/>
        <v/>
      </c>
      <c r="T100" s="1078" t="str">
        <f t="shared" si="39"/>
        <v/>
      </c>
      <c r="U100" s="599"/>
      <c r="V100" s="804"/>
      <c r="W100" s="1110"/>
      <c r="X100" s="1218"/>
      <c r="Y100" s="1253" t="e">
        <f>ROUND(VLOOKUP(H100,tab!$A$61:$V$103,I100+2,FALSE),0)</f>
        <v>#VALUE!</v>
      </c>
      <c r="Z100" s="1252">
        <f>tab!$E$48</f>
        <v>0.62</v>
      </c>
      <c r="AA100" s="1284" t="e">
        <f t="shared" si="40"/>
        <v>#VALUE!</v>
      </c>
      <c r="AB100" s="1284" t="e">
        <f t="shared" si="41"/>
        <v>#VALUE!</v>
      </c>
      <c r="AC100" s="1284" t="e">
        <f t="shared" si="42"/>
        <v>#VALUE!</v>
      </c>
      <c r="AD100" s="1286" t="e">
        <f t="shared" si="43"/>
        <v>#VALUE!</v>
      </c>
      <c r="AE100" s="1286">
        <f t="shared" si="44"/>
        <v>0</v>
      </c>
      <c r="AF100" s="1254">
        <f>IF(H100&gt;8,tab!$D$49,tab!$D$52)</f>
        <v>0.5</v>
      </c>
      <c r="AG100" s="1255">
        <f t="shared" si="45"/>
        <v>0</v>
      </c>
      <c r="AH100" s="1251">
        <f t="shared" si="46"/>
        <v>0</v>
      </c>
      <c r="AI100" s="1278" t="e">
        <f>DATE(YEAR(tab!$F$3),MONTH(G100),DAY(G100))&gt;tab!$F$3</f>
        <v>#VALUE!</v>
      </c>
      <c r="AJ100" s="1255" t="e">
        <f t="shared" si="47"/>
        <v>#VALUE!</v>
      </c>
      <c r="AK100" s="1199">
        <f t="shared" si="48"/>
        <v>30</v>
      </c>
      <c r="AL100" s="1199">
        <f t="shared" si="49"/>
        <v>30</v>
      </c>
      <c r="AM100" s="1205">
        <f t="shared" si="50"/>
        <v>0</v>
      </c>
      <c r="AS100" s="819"/>
    </row>
    <row r="101" spans="2:45" ht="12.75" customHeight="1" x14ac:dyDescent="0.2">
      <c r="B101" s="466"/>
      <c r="C101" s="135"/>
      <c r="D101" s="432" t="str">
        <f>IF(op!D33="","",op!D33)</f>
        <v/>
      </c>
      <c r="E101" s="432" t="str">
        <f>IF(op!E33="","",op!E33)</f>
        <v/>
      </c>
      <c r="F101" s="776" t="str">
        <f>IF(op!F33="","",op!F33+1)</f>
        <v/>
      </c>
      <c r="G101" s="802" t="str">
        <f>IF(op!G33="","",op!G33)</f>
        <v/>
      </c>
      <c r="H101" s="776" t="str">
        <f>IF(op!H33=0,"",op!H33)</f>
        <v/>
      </c>
      <c r="I101" s="433" t="str">
        <f>IF(J101="","",IF(op!I33&gt;LOOKUP(H101,schaal2013,regels2013),op!I33-1,IF(op!I33=LOOKUP(H101,schaal2013,regels2013),op!I33,I33+1)))</f>
        <v/>
      </c>
      <c r="J101" s="803" t="str">
        <f>IF(op!J33="","",op!J33)</f>
        <v/>
      </c>
      <c r="K101" s="518"/>
      <c r="L101" s="1207">
        <f>IF(op!L33="",0,op!L33)</f>
        <v>0</v>
      </c>
      <c r="M101" s="1207">
        <f>IF(op!M33="",0,op!M33)</f>
        <v>0</v>
      </c>
      <c r="N101" s="1209" t="str">
        <f t="shared" si="35"/>
        <v/>
      </c>
      <c r="O101" s="1209" t="str">
        <f t="shared" si="36"/>
        <v/>
      </c>
      <c r="P101" s="1283" t="str">
        <f t="shared" si="37"/>
        <v/>
      </c>
      <c r="Q101" s="518"/>
      <c r="R101" s="1076" t="str">
        <f t="shared" si="51"/>
        <v/>
      </c>
      <c r="S101" s="1076" t="str">
        <f t="shared" si="38"/>
        <v/>
      </c>
      <c r="T101" s="1078" t="str">
        <f t="shared" si="39"/>
        <v/>
      </c>
      <c r="U101" s="599"/>
      <c r="V101" s="804"/>
      <c r="W101" s="1110"/>
      <c r="X101" s="1218"/>
      <c r="Y101" s="1253" t="e">
        <f>ROUND(VLOOKUP(H101,tab!$A$61:$V$103,I101+2,FALSE),0)</f>
        <v>#VALUE!</v>
      </c>
      <c r="Z101" s="1252">
        <f>tab!$E$48</f>
        <v>0.62</v>
      </c>
      <c r="AA101" s="1284" t="e">
        <f t="shared" si="40"/>
        <v>#VALUE!</v>
      </c>
      <c r="AB101" s="1284" t="e">
        <f t="shared" si="41"/>
        <v>#VALUE!</v>
      </c>
      <c r="AC101" s="1284" t="e">
        <f t="shared" si="42"/>
        <v>#VALUE!</v>
      </c>
      <c r="AD101" s="1286" t="e">
        <f t="shared" si="43"/>
        <v>#VALUE!</v>
      </c>
      <c r="AE101" s="1286">
        <f t="shared" si="44"/>
        <v>0</v>
      </c>
      <c r="AF101" s="1254">
        <f>IF(H101&gt;8,tab!$D$49,tab!$D$52)</f>
        <v>0.5</v>
      </c>
      <c r="AG101" s="1255">
        <f t="shared" si="45"/>
        <v>0</v>
      </c>
      <c r="AH101" s="1251">
        <f t="shared" si="46"/>
        <v>0</v>
      </c>
      <c r="AI101" s="1278" t="e">
        <f>DATE(YEAR(tab!$F$3),MONTH(G101),DAY(G101))&gt;tab!$F$3</f>
        <v>#VALUE!</v>
      </c>
      <c r="AJ101" s="1255" t="e">
        <f t="shared" si="47"/>
        <v>#VALUE!</v>
      </c>
      <c r="AK101" s="1199">
        <f t="shared" si="48"/>
        <v>30</v>
      </c>
      <c r="AL101" s="1199">
        <f t="shared" si="49"/>
        <v>30</v>
      </c>
      <c r="AM101" s="1205">
        <f t="shared" si="50"/>
        <v>0</v>
      </c>
      <c r="AS101" s="819"/>
    </row>
    <row r="102" spans="2:45" ht="12.75" customHeight="1" x14ac:dyDescent="0.2">
      <c r="B102" s="466"/>
      <c r="C102" s="135"/>
      <c r="D102" s="432" t="str">
        <f>IF(op!D34="","",op!D34)</f>
        <v/>
      </c>
      <c r="E102" s="432" t="str">
        <f>IF(op!E34="","",op!E34)</f>
        <v/>
      </c>
      <c r="F102" s="776" t="str">
        <f>IF(op!F34="","",op!F34+1)</f>
        <v/>
      </c>
      <c r="G102" s="802" t="str">
        <f>IF(op!G34="","",op!G34)</f>
        <v/>
      </c>
      <c r="H102" s="776" t="str">
        <f>IF(op!H34=0,"",op!H34)</f>
        <v/>
      </c>
      <c r="I102" s="433" t="str">
        <f>IF(J102="","",IF(op!I34&gt;LOOKUP(H102,schaal2013,regels2013),op!I34-1,IF(op!I34=LOOKUP(H102,schaal2013,regels2013),op!I34,I34+1)))</f>
        <v/>
      </c>
      <c r="J102" s="803" t="str">
        <f>IF(op!J34="","",op!J34)</f>
        <v/>
      </c>
      <c r="K102" s="518"/>
      <c r="L102" s="1207">
        <f>IF(op!L34="",0,op!L34)</f>
        <v>0</v>
      </c>
      <c r="M102" s="1207">
        <f>IF(op!M34="",0,op!M34)</f>
        <v>0</v>
      </c>
      <c r="N102" s="1209" t="str">
        <f t="shared" si="35"/>
        <v/>
      </c>
      <c r="O102" s="1209" t="str">
        <f t="shared" si="36"/>
        <v/>
      </c>
      <c r="P102" s="1283" t="str">
        <f t="shared" si="37"/>
        <v/>
      </c>
      <c r="Q102" s="518"/>
      <c r="R102" s="1076" t="str">
        <f t="shared" si="51"/>
        <v/>
      </c>
      <c r="S102" s="1076" t="str">
        <f t="shared" si="38"/>
        <v/>
      </c>
      <c r="T102" s="1078" t="str">
        <f t="shared" si="39"/>
        <v/>
      </c>
      <c r="U102" s="599"/>
      <c r="V102" s="804"/>
      <c r="W102" s="1110"/>
      <c r="X102" s="1218"/>
      <c r="Y102" s="1253" t="e">
        <f>ROUND(VLOOKUP(H102,tab!$A$61:$V$103,I102+2,FALSE),0)</f>
        <v>#VALUE!</v>
      </c>
      <c r="Z102" s="1252">
        <f>tab!$E$48</f>
        <v>0.62</v>
      </c>
      <c r="AA102" s="1284" t="e">
        <f t="shared" si="40"/>
        <v>#VALUE!</v>
      </c>
      <c r="AB102" s="1284" t="e">
        <f t="shared" si="41"/>
        <v>#VALUE!</v>
      </c>
      <c r="AC102" s="1284" t="e">
        <f t="shared" si="42"/>
        <v>#VALUE!</v>
      </c>
      <c r="AD102" s="1286" t="e">
        <f t="shared" si="43"/>
        <v>#VALUE!</v>
      </c>
      <c r="AE102" s="1286">
        <f t="shared" si="44"/>
        <v>0</v>
      </c>
      <c r="AF102" s="1254">
        <f>IF(H102&gt;8,tab!$D$49,tab!$D$52)</f>
        <v>0.5</v>
      </c>
      <c r="AG102" s="1255">
        <f t="shared" si="45"/>
        <v>0</v>
      </c>
      <c r="AH102" s="1251">
        <f t="shared" si="46"/>
        <v>0</v>
      </c>
      <c r="AI102" s="1278" t="e">
        <f>DATE(YEAR(tab!$F$3),MONTH(G102),DAY(G102))&gt;tab!$F$3</f>
        <v>#VALUE!</v>
      </c>
      <c r="AJ102" s="1255" t="e">
        <f t="shared" si="47"/>
        <v>#VALUE!</v>
      </c>
      <c r="AK102" s="1199">
        <f t="shared" si="48"/>
        <v>30</v>
      </c>
      <c r="AL102" s="1199">
        <f t="shared" si="49"/>
        <v>30</v>
      </c>
      <c r="AM102" s="1205">
        <f t="shared" si="50"/>
        <v>0</v>
      </c>
      <c r="AS102" s="819"/>
    </row>
    <row r="103" spans="2:45" ht="12.75" customHeight="1" x14ac:dyDescent="0.2">
      <c r="B103" s="466"/>
      <c r="C103" s="135"/>
      <c r="D103" s="432" t="str">
        <f>IF(op!D35="","",op!D35)</f>
        <v/>
      </c>
      <c r="E103" s="432" t="str">
        <f>IF(op!E35="","",op!E35)</f>
        <v/>
      </c>
      <c r="F103" s="776" t="str">
        <f>IF(op!F35="","",op!F35+1)</f>
        <v/>
      </c>
      <c r="G103" s="802" t="str">
        <f>IF(op!G35="","",op!G35)</f>
        <v/>
      </c>
      <c r="H103" s="776" t="str">
        <f>IF(op!H35=0,"",op!H35)</f>
        <v/>
      </c>
      <c r="I103" s="433" t="str">
        <f>IF(J103="","",IF(op!I35&gt;LOOKUP(H103,schaal2013,regels2013),op!I35-1,IF(op!I35=LOOKUP(H103,schaal2013,regels2013),op!I35,I35+1)))</f>
        <v/>
      </c>
      <c r="J103" s="803" t="str">
        <f>IF(op!J35="","",op!J35)</f>
        <v/>
      </c>
      <c r="K103" s="518"/>
      <c r="L103" s="1207">
        <f>IF(op!L35="",0,op!L35)</f>
        <v>0</v>
      </c>
      <c r="M103" s="1207">
        <f>IF(op!M35="",0,op!M35)</f>
        <v>0</v>
      </c>
      <c r="N103" s="1209" t="str">
        <f t="shared" si="35"/>
        <v/>
      </c>
      <c r="O103" s="1209" t="str">
        <f t="shared" si="36"/>
        <v/>
      </c>
      <c r="P103" s="1283" t="str">
        <f t="shared" si="37"/>
        <v/>
      </c>
      <c r="Q103" s="518"/>
      <c r="R103" s="1076" t="str">
        <f t="shared" si="51"/>
        <v/>
      </c>
      <c r="S103" s="1076" t="str">
        <f t="shared" si="38"/>
        <v/>
      </c>
      <c r="T103" s="1078" t="str">
        <f t="shared" si="39"/>
        <v/>
      </c>
      <c r="U103" s="599"/>
      <c r="V103" s="804"/>
      <c r="W103" s="1110"/>
      <c r="X103" s="1218"/>
      <c r="Y103" s="1253" t="e">
        <f>ROUND(VLOOKUP(H103,tab!$A$61:$V$103,I103+2,FALSE),0)</f>
        <v>#VALUE!</v>
      </c>
      <c r="Z103" s="1252">
        <f>tab!$E$48</f>
        <v>0.62</v>
      </c>
      <c r="AA103" s="1284" t="e">
        <f t="shared" si="40"/>
        <v>#VALUE!</v>
      </c>
      <c r="AB103" s="1284" t="e">
        <f t="shared" si="41"/>
        <v>#VALUE!</v>
      </c>
      <c r="AC103" s="1284" t="e">
        <f t="shared" si="42"/>
        <v>#VALUE!</v>
      </c>
      <c r="AD103" s="1286" t="e">
        <f t="shared" si="43"/>
        <v>#VALUE!</v>
      </c>
      <c r="AE103" s="1286">
        <f t="shared" si="44"/>
        <v>0</v>
      </c>
      <c r="AF103" s="1254">
        <f>IF(H103&gt;8,tab!$D$49,tab!$D$52)</f>
        <v>0.5</v>
      </c>
      <c r="AG103" s="1255">
        <f t="shared" si="45"/>
        <v>0</v>
      </c>
      <c r="AH103" s="1251">
        <f t="shared" si="46"/>
        <v>0</v>
      </c>
      <c r="AI103" s="1278" t="e">
        <f>DATE(YEAR(tab!$F$3),MONTH(G103),DAY(G103))&gt;tab!$F$3</f>
        <v>#VALUE!</v>
      </c>
      <c r="AJ103" s="1255" t="e">
        <f t="shared" si="47"/>
        <v>#VALUE!</v>
      </c>
      <c r="AK103" s="1199">
        <f t="shared" si="48"/>
        <v>30</v>
      </c>
      <c r="AL103" s="1199">
        <f t="shared" si="49"/>
        <v>30</v>
      </c>
      <c r="AM103" s="1205">
        <f t="shared" si="50"/>
        <v>0</v>
      </c>
      <c r="AS103" s="819"/>
    </row>
    <row r="104" spans="2:45" ht="12.75" customHeight="1" x14ac:dyDescent="0.2">
      <c r="B104" s="466"/>
      <c r="C104" s="135"/>
      <c r="D104" s="432" t="str">
        <f>IF(op!D36="","",op!D36)</f>
        <v/>
      </c>
      <c r="E104" s="432" t="str">
        <f>IF(op!E36="","",op!E36)</f>
        <v/>
      </c>
      <c r="F104" s="776" t="str">
        <f>IF(op!F36="","",op!F36+1)</f>
        <v/>
      </c>
      <c r="G104" s="802" t="str">
        <f>IF(op!G36="","",op!G36)</f>
        <v/>
      </c>
      <c r="H104" s="776" t="str">
        <f>IF(op!H36=0,"",op!H36)</f>
        <v/>
      </c>
      <c r="I104" s="433" t="str">
        <f>IF(J104="","",IF(op!I36&gt;LOOKUP(H104,schaal2013,regels2013),op!I36-1,IF(op!I36=LOOKUP(H104,schaal2013,regels2013),op!I36,I36+1)))</f>
        <v/>
      </c>
      <c r="J104" s="803" t="str">
        <f>IF(op!J36="","",op!J36)</f>
        <v/>
      </c>
      <c r="K104" s="518"/>
      <c r="L104" s="1207">
        <f>IF(op!L36="",0,op!L36)</f>
        <v>0</v>
      </c>
      <c r="M104" s="1207">
        <f>IF(op!M36="",0,op!M36)</f>
        <v>0</v>
      </c>
      <c r="N104" s="1209" t="str">
        <f t="shared" si="35"/>
        <v/>
      </c>
      <c r="O104" s="1209" t="str">
        <f t="shared" si="36"/>
        <v/>
      </c>
      <c r="P104" s="1283" t="str">
        <f t="shared" si="37"/>
        <v/>
      </c>
      <c r="Q104" s="518"/>
      <c r="R104" s="1076" t="str">
        <f t="shared" si="51"/>
        <v/>
      </c>
      <c r="S104" s="1076" t="str">
        <f t="shared" si="38"/>
        <v/>
      </c>
      <c r="T104" s="1078" t="str">
        <f t="shared" si="39"/>
        <v/>
      </c>
      <c r="U104" s="599"/>
      <c r="V104" s="804"/>
      <c r="W104" s="1110"/>
      <c r="X104" s="1218"/>
      <c r="Y104" s="1253" t="e">
        <f>ROUND(VLOOKUP(H104,tab!$A$61:$V$103,I104+2,FALSE),0)</f>
        <v>#VALUE!</v>
      </c>
      <c r="Z104" s="1252">
        <f>tab!$E$48</f>
        <v>0.62</v>
      </c>
      <c r="AA104" s="1284" t="e">
        <f t="shared" si="40"/>
        <v>#VALUE!</v>
      </c>
      <c r="AB104" s="1284" t="e">
        <f t="shared" si="41"/>
        <v>#VALUE!</v>
      </c>
      <c r="AC104" s="1284" t="e">
        <f t="shared" si="42"/>
        <v>#VALUE!</v>
      </c>
      <c r="AD104" s="1286" t="e">
        <f t="shared" si="43"/>
        <v>#VALUE!</v>
      </c>
      <c r="AE104" s="1286">
        <f t="shared" si="44"/>
        <v>0</v>
      </c>
      <c r="AF104" s="1254">
        <f>IF(H104&gt;8,tab!$D$49,tab!$D$52)</f>
        <v>0.5</v>
      </c>
      <c r="AG104" s="1255">
        <f t="shared" si="45"/>
        <v>0</v>
      </c>
      <c r="AH104" s="1251">
        <f t="shared" si="46"/>
        <v>0</v>
      </c>
      <c r="AI104" s="1278" t="e">
        <f>DATE(YEAR(tab!$F$3),MONTH(G104),DAY(G104))&gt;tab!$F$3</f>
        <v>#VALUE!</v>
      </c>
      <c r="AJ104" s="1255" t="e">
        <f t="shared" si="47"/>
        <v>#VALUE!</v>
      </c>
      <c r="AK104" s="1199">
        <f t="shared" si="48"/>
        <v>30</v>
      </c>
      <c r="AL104" s="1199">
        <f t="shared" si="49"/>
        <v>30</v>
      </c>
      <c r="AM104" s="1205">
        <f t="shared" si="50"/>
        <v>0</v>
      </c>
      <c r="AS104" s="819"/>
    </row>
    <row r="105" spans="2:45" ht="12.75" customHeight="1" x14ac:dyDescent="0.2">
      <c r="B105" s="466"/>
      <c r="C105" s="135"/>
      <c r="D105" s="432" t="str">
        <f>IF(op!D37="","",op!D37)</f>
        <v/>
      </c>
      <c r="E105" s="432" t="str">
        <f>IF(op!E37="","",op!E37)</f>
        <v/>
      </c>
      <c r="F105" s="776" t="str">
        <f>IF(op!F37="","",op!F37+1)</f>
        <v/>
      </c>
      <c r="G105" s="802" t="str">
        <f>IF(op!G37="","",op!G37)</f>
        <v/>
      </c>
      <c r="H105" s="776" t="str">
        <f>IF(op!H37=0,"",op!H37)</f>
        <v/>
      </c>
      <c r="I105" s="433" t="str">
        <f>IF(J105="","",IF(op!I37&gt;LOOKUP(H105,schaal2013,regels2013),op!I37-1,IF(op!I37=LOOKUP(H105,schaal2013,regels2013),op!I37,I37+1)))</f>
        <v/>
      </c>
      <c r="J105" s="803" t="str">
        <f>IF(op!J37="","",op!J37)</f>
        <v/>
      </c>
      <c r="K105" s="518"/>
      <c r="L105" s="1207">
        <f>IF(op!L37="",0,op!L37)</f>
        <v>0</v>
      </c>
      <c r="M105" s="1207">
        <f>IF(op!M37="",0,op!M37)</f>
        <v>0</v>
      </c>
      <c r="N105" s="1209" t="str">
        <f t="shared" si="35"/>
        <v/>
      </c>
      <c r="O105" s="1209" t="str">
        <f t="shared" si="36"/>
        <v/>
      </c>
      <c r="P105" s="1283" t="str">
        <f t="shared" si="37"/>
        <v/>
      </c>
      <c r="Q105" s="518"/>
      <c r="R105" s="1076" t="str">
        <f t="shared" si="51"/>
        <v/>
      </c>
      <c r="S105" s="1076" t="str">
        <f t="shared" si="38"/>
        <v/>
      </c>
      <c r="T105" s="1078" t="str">
        <f t="shared" si="39"/>
        <v/>
      </c>
      <c r="U105" s="599"/>
      <c r="V105" s="804"/>
      <c r="W105" s="1110"/>
      <c r="X105" s="1218"/>
      <c r="Y105" s="1253" t="e">
        <f>ROUND(VLOOKUP(H105,tab!$A$61:$V$103,I105+2,FALSE),0)</f>
        <v>#VALUE!</v>
      </c>
      <c r="Z105" s="1252">
        <f>tab!$E$48</f>
        <v>0.62</v>
      </c>
      <c r="AA105" s="1284" t="e">
        <f t="shared" si="40"/>
        <v>#VALUE!</v>
      </c>
      <c r="AB105" s="1284" t="e">
        <f t="shared" si="41"/>
        <v>#VALUE!</v>
      </c>
      <c r="AC105" s="1284" t="e">
        <f t="shared" si="42"/>
        <v>#VALUE!</v>
      </c>
      <c r="AD105" s="1286" t="e">
        <f t="shared" si="43"/>
        <v>#VALUE!</v>
      </c>
      <c r="AE105" s="1286">
        <f t="shared" si="44"/>
        <v>0</v>
      </c>
      <c r="AF105" s="1254">
        <f>IF(H105&gt;8,tab!$D$49,tab!$D$52)</f>
        <v>0.5</v>
      </c>
      <c r="AG105" s="1255">
        <f t="shared" si="45"/>
        <v>0</v>
      </c>
      <c r="AH105" s="1251">
        <f t="shared" si="46"/>
        <v>0</v>
      </c>
      <c r="AI105" s="1278" t="e">
        <f>DATE(YEAR(tab!$F$3),MONTH(G105),DAY(G105))&gt;tab!$F$3</f>
        <v>#VALUE!</v>
      </c>
      <c r="AJ105" s="1255" t="e">
        <f t="shared" si="47"/>
        <v>#VALUE!</v>
      </c>
      <c r="AK105" s="1199">
        <f t="shared" si="48"/>
        <v>30</v>
      </c>
      <c r="AL105" s="1199">
        <f t="shared" si="49"/>
        <v>30</v>
      </c>
      <c r="AM105" s="1205">
        <f t="shared" si="50"/>
        <v>0</v>
      </c>
      <c r="AS105" s="819"/>
    </row>
    <row r="106" spans="2:45" ht="12.75" customHeight="1" x14ac:dyDescent="0.2">
      <c r="B106" s="466"/>
      <c r="C106" s="135"/>
      <c r="D106" s="432" t="str">
        <f>IF(op!D38="","",op!D38)</f>
        <v/>
      </c>
      <c r="E106" s="432" t="str">
        <f>IF(op!E38="","",op!E38)</f>
        <v/>
      </c>
      <c r="F106" s="776" t="str">
        <f>IF(op!F38="","",op!F38+1)</f>
        <v/>
      </c>
      <c r="G106" s="802" t="str">
        <f>IF(op!G38="","",op!G38)</f>
        <v/>
      </c>
      <c r="H106" s="776" t="str">
        <f>IF(op!H38=0,"",op!H38)</f>
        <v/>
      </c>
      <c r="I106" s="433" t="str">
        <f>IF(J106="","",IF(op!I38&gt;LOOKUP(H106,schaal2013,regels2013),op!I38-1,IF(op!I38=LOOKUP(H106,schaal2013,regels2013),op!I38,I38+1)))</f>
        <v/>
      </c>
      <c r="J106" s="803" t="str">
        <f>IF(op!J38="","",op!J38)</f>
        <v/>
      </c>
      <c r="K106" s="518"/>
      <c r="L106" s="1207">
        <f>IF(op!L38="",0,op!L38)</f>
        <v>0</v>
      </c>
      <c r="M106" s="1207">
        <f>IF(op!M38="",0,op!M38)</f>
        <v>0</v>
      </c>
      <c r="N106" s="1209" t="str">
        <f t="shared" si="35"/>
        <v/>
      </c>
      <c r="O106" s="1209" t="str">
        <f t="shared" si="36"/>
        <v/>
      </c>
      <c r="P106" s="1283" t="str">
        <f t="shared" si="37"/>
        <v/>
      </c>
      <c r="Q106" s="518"/>
      <c r="R106" s="1076" t="str">
        <f t="shared" si="51"/>
        <v/>
      </c>
      <c r="S106" s="1076" t="str">
        <f t="shared" si="38"/>
        <v/>
      </c>
      <c r="T106" s="1078" t="str">
        <f t="shared" si="39"/>
        <v/>
      </c>
      <c r="U106" s="599"/>
      <c r="V106" s="804"/>
      <c r="W106" s="1110"/>
      <c r="X106" s="1218"/>
      <c r="Y106" s="1253" t="e">
        <f>ROUND(VLOOKUP(H106,tab!$A$61:$V$103,I106+2,FALSE),0)</f>
        <v>#VALUE!</v>
      </c>
      <c r="Z106" s="1252">
        <f>tab!$E$48</f>
        <v>0.62</v>
      </c>
      <c r="AA106" s="1284" t="e">
        <f t="shared" si="40"/>
        <v>#VALUE!</v>
      </c>
      <c r="AB106" s="1284" t="e">
        <f t="shared" si="41"/>
        <v>#VALUE!</v>
      </c>
      <c r="AC106" s="1284" t="e">
        <f t="shared" si="42"/>
        <v>#VALUE!</v>
      </c>
      <c r="AD106" s="1286" t="e">
        <f t="shared" si="43"/>
        <v>#VALUE!</v>
      </c>
      <c r="AE106" s="1286">
        <f t="shared" si="44"/>
        <v>0</v>
      </c>
      <c r="AF106" s="1254">
        <f>IF(H106&gt;8,tab!$D$49,tab!$D$52)</f>
        <v>0.5</v>
      </c>
      <c r="AG106" s="1255">
        <f t="shared" si="45"/>
        <v>0</v>
      </c>
      <c r="AH106" s="1251">
        <f t="shared" si="46"/>
        <v>0</v>
      </c>
      <c r="AI106" s="1278" t="e">
        <f>DATE(YEAR(tab!$F$3),MONTH(G106),DAY(G106))&gt;tab!$F$3</f>
        <v>#VALUE!</v>
      </c>
      <c r="AJ106" s="1255" t="e">
        <f t="shared" si="47"/>
        <v>#VALUE!</v>
      </c>
      <c r="AK106" s="1199">
        <f t="shared" si="48"/>
        <v>30</v>
      </c>
      <c r="AL106" s="1199">
        <f t="shared" si="49"/>
        <v>30</v>
      </c>
      <c r="AM106" s="1205">
        <f t="shared" si="50"/>
        <v>0</v>
      </c>
      <c r="AS106" s="819"/>
    </row>
    <row r="107" spans="2:45" ht="12.75" customHeight="1" x14ac:dyDescent="0.2">
      <c r="B107" s="466"/>
      <c r="C107" s="135"/>
      <c r="D107" s="432" t="str">
        <f>IF(op!D39="","",op!D39)</f>
        <v/>
      </c>
      <c r="E107" s="432" t="str">
        <f>IF(op!E39="","",op!E39)</f>
        <v/>
      </c>
      <c r="F107" s="776" t="str">
        <f>IF(op!F39="","",op!F39+1)</f>
        <v/>
      </c>
      <c r="G107" s="802" t="str">
        <f>IF(op!G39="","",op!G39)</f>
        <v/>
      </c>
      <c r="H107" s="776" t="str">
        <f>IF(op!H39=0,"",op!H39)</f>
        <v/>
      </c>
      <c r="I107" s="433" t="str">
        <f>IF(J107="","",IF(op!I39&gt;LOOKUP(H107,schaal2013,regels2013),op!I39-1,IF(op!I39=LOOKUP(H107,schaal2013,regels2013),op!I39,I39+1)))</f>
        <v/>
      </c>
      <c r="J107" s="803" t="str">
        <f>IF(op!J39="","",op!J39)</f>
        <v/>
      </c>
      <c r="K107" s="518"/>
      <c r="L107" s="1207">
        <f>IF(op!L39="",0,op!L39)</f>
        <v>0</v>
      </c>
      <c r="M107" s="1207">
        <f>IF(op!M39="",0,op!M39)</f>
        <v>0</v>
      </c>
      <c r="N107" s="1209" t="str">
        <f t="shared" si="35"/>
        <v/>
      </c>
      <c r="O107" s="1209" t="str">
        <f t="shared" si="36"/>
        <v/>
      </c>
      <c r="P107" s="1283" t="str">
        <f t="shared" si="37"/>
        <v/>
      </c>
      <c r="Q107" s="518"/>
      <c r="R107" s="1076" t="str">
        <f t="shared" si="51"/>
        <v/>
      </c>
      <c r="S107" s="1076" t="str">
        <f t="shared" si="38"/>
        <v/>
      </c>
      <c r="T107" s="1078" t="str">
        <f t="shared" si="39"/>
        <v/>
      </c>
      <c r="U107" s="599"/>
      <c r="V107" s="804"/>
      <c r="W107" s="1110"/>
      <c r="X107" s="1218"/>
      <c r="Y107" s="1253" t="e">
        <f>ROUND(VLOOKUP(H107,tab!$A$61:$V$103,I107+2,FALSE),0)</f>
        <v>#VALUE!</v>
      </c>
      <c r="Z107" s="1252">
        <f>tab!$E$48</f>
        <v>0.62</v>
      </c>
      <c r="AA107" s="1284" t="e">
        <f t="shared" si="40"/>
        <v>#VALUE!</v>
      </c>
      <c r="AB107" s="1284" t="e">
        <f t="shared" si="41"/>
        <v>#VALUE!</v>
      </c>
      <c r="AC107" s="1284" t="e">
        <f t="shared" si="42"/>
        <v>#VALUE!</v>
      </c>
      <c r="AD107" s="1286" t="e">
        <f t="shared" si="43"/>
        <v>#VALUE!</v>
      </c>
      <c r="AE107" s="1286">
        <f t="shared" si="44"/>
        <v>0</v>
      </c>
      <c r="AF107" s="1254">
        <f>IF(H107&gt;8,tab!$D$49,tab!$D$52)</f>
        <v>0.5</v>
      </c>
      <c r="AG107" s="1255">
        <f t="shared" si="45"/>
        <v>0</v>
      </c>
      <c r="AH107" s="1251">
        <f t="shared" si="46"/>
        <v>0</v>
      </c>
      <c r="AI107" s="1278" t="e">
        <f>DATE(YEAR(tab!$F$3),MONTH(G107),DAY(G107))&gt;tab!$F$3</f>
        <v>#VALUE!</v>
      </c>
      <c r="AJ107" s="1255" t="e">
        <f t="shared" si="47"/>
        <v>#VALUE!</v>
      </c>
      <c r="AK107" s="1199">
        <f t="shared" si="48"/>
        <v>30</v>
      </c>
      <c r="AL107" s="1199">
        <f t="shared" si="49"/>
        <v>30</v>
      </c>
      <c r="AM107" s="1205">
        <f t="shared" si="50"/>
        <v>0</v>
      </c>
      <c r="AS107" s="819"/>
    </row>
    <row r="108" spans="2:45" ht="12.75" customHeight="1" x14ac:dyDescent="0.2">
      <c r="B108" s="466"/>
      <c r="C108" s="135"/>
      <c r="D108" s="432" t="str">
        <f>IF(op!D40="","",op!D40)</f>
        <v/>
      </c>
      <c r="E108" s="432" t="str">
        <f>IF(op!E40="","",op!E40)</f>
        <v/>
      </c>
      <c r="F108" s="776" t="str">
        <f>IF(op!F40="","",op!F40+1)</f>
        <v/>
      </c>
      <c r="G108" s="802" t="str">
        <f>IF(op!G40="","",op!G40)</f>
        <v/>
      </c>
      <c r="H108" s="776" t="str">
        <f>IF(op!H40=0,"",op!H40)</f>
        <v/>
      </c>
      <c r="I108" s="433" t="str">
        <f>IF(J108="","",IF(op!I40&gt;LOOKUP(H108,schaal2013,regels2013),op!I40-1,IF(op!I40=LOOKUP(H108,schaal2013,regels2013),op!I40,I40+1)))</f>
        <v/>
      </c>
      <c r="J108" s="803" t="str">
        <f>IF(op!J40="","",op!J40)</f>
        <v/>
      </c>
      <c r="K108" s="518"/>
      <c r="L108" s="1207">
        <f>IF(op!L40="",0,op!L40)</f>
        <v>0</v>
      </c>
      <c r="M108" s="1207">
        <f>IF(op!M40="",0,op!M40)</f>
        <v>0</v>
      </c>
      <c r="N108" s="1209" t="str">
        <f t="shared" si="35"/>
        <v/>
      </c>
      <c r="O108" s="1209" t="str">
        <f t="shared" si="36"/>
        <v/>
      </c>
      <c r="P108" s="1283" t="str">
        <f t="shared" si="37"/>
        <v/>
      </c>
      <c r="Q108" s="518"/>
      <c r="R108" s="1076" t="str">
        <f t="shared" si="51"/>
        <v/>
      </c>
      <c r="S108" s="1076" t="str">
        <f t="shared" si="38"/>
        <v/>
      </c>
      <c r="T108" s="1078" t="str">
        <f t="shared" si="39"/>
        <v/>
      </c>
      <c r="U108" s="599"/>
      <c r="V108" s="804"/>
      <c r="W108" s="1110"/>
      <c r="X108" s="1218"/>
      <c r="Y108" s="1253" t="e">
        <f>ROUND(VLOOKUP(H108,tab!$A$61:$V$103,I108+2,FALSE),0)</f>
        <v>#VALUE!</v>
      </c>
      <c r="Z108" s="1252">
        <f>tab!$E$48</f>
        <v>0.62</v>
      </c>
      <c r="AA108" s="1284" t="e">
        <f t="shared" si="40"/>
        <v>#VALUE!</v>
      </c>
      <c r="AB108" s="1284" t="e">
        <f t="shared" si="41"/>
        <v>#VALUE!</v>
      </c>
      <c r="AC108" s="1284" t="e">
        <f t="shared" si="42"/>
        <v>#VALUE!</v>
      </c>
      <c r="AD108" s="1286" t="e">
        <f t="shared" si="43"/>
        <v>#VALUE!</v>
      </c>
      <c r="AE108" s="1286">
        <f t="shared" si="44"/>
        <v>0</v>
      </c>
      <c r="AF108" s="1254">
        <f>IF(H108&gt;8,tab!$D$49,tab!$D$52)</f>
        <v>0.5</v>
      </c>
      <c r="AG108" s="1255">
        <f t="shared" si="45"/>
        <v>0</v>
      </c>
      <c r="AH108" s="1251">
        <f t="shared" si="46"/>
        <v>0</v>
      </c>
      <c r="AI108" s="1278" t="e">
        <f>DATE(YEAR(tab!$F$3),MONTH(G108),DAY(G108))&gt;tab!$F$3</f>
        <v>#VALUE!</v>
      </c>
      <c r="AJ108" s="1255" t="e">
        <f t="shared" si="47"/>
        <v>#VALUE!</v>
      </c>
      <c r="AK108" s="1199">
        <f t="shared" si="48"/>
        <v>30</v>
      </c>
      <c r="AL108" s="1199">
        <f t="shared" si="49"/>
        <v>30</v>
      </c>
      <c r="AM108" s="1205">
        <f t="shared" si="50"/>
        <v>0</v>
      </c>
      <c r="AS108" s="819"/>
    </row>
    <row r="109" spans="2:45" ht="12.75" customHeight="1" x14ac:dyDescent="0.2">
      <c r="B109" s="466"/>
      <c r="C109" s="135"/>
      <c r="D109" s="432" t="str">
        <f>IF(op!D41="","",op!D41)</f>
        <v/>
      </c>
      <c r="E109" s="432" t="str">
        <f>IF(op!E41="","",op!E41)</f>
        <v/>
      </c>
      <c r="F109" s="776" t="str">
        <f>IF(op!F41="","",op!F41+1)</f>
        <v/>
      </c>
      <c r="G109" s="802" t="str">
        <f>IF(op!G41="","",op!G41)</f>
        <v/>
      </c>
      <c r="H109" s="776" t="str">
        <f>IF(op!H41=0,"",op!H41)</f>
        <v/>
      </c>
      <c r="I109" s="433" t="str">
        <f>IF(J109="","",IF(op!I41&gt;LOOKUP(H109,schaal2013,regels2013),op!I41-1,IF(op!I41=LOOKUP(H109,schaal2013,regels2013),op!I41,I41+1)))</f>
        <v/>
      </c>
      <c r="J109" s="803" t="str">
        <f>IF(op!J41="","",op!J41)</f>
        <v/>
      </c>
      <c r="K109" s="518"/>
      <c r="L109" s="1207">
        <f>IF(op!L41="",0,op!L41)</f>
        <v>0</v>
      </c>
      <c r="M109" s="1207">
        <f>IF(op!M41="",0,op!M41)</f>
        <v>0</v>
      </c>
      <c r="N109" s="1209" t="str">
        <f t="shared" si="35"/>
        <v/>
      </c>
      <c r="O109" s="1209" t="str">
        <f t="shared" si="36"/>
        <v/>
      </c>
      <c r="P109" s="1283" t="str">
        <f t="shared" si="37"/>
        <v/>
      </c>
      <c r="Q109" s="518"/>
      <c r="R109" s="1076" t="str">
        <f t="shared" si="51"/>
        <v/>
      </c>
      <c r="S109" s="1076" t="str">
        <f t="shared" si="38"/>
        <v/>
      </c>
      <c r="T109" s="1078" t="str">
        <f t="shared" si="39"/>
        <v/>
      </c>
      <c r="U109" s="599"/>
      <c r="V109" s="804"/>
      <c r="W109" s="1110"/>
      <c r="X109" s="1218"/>
      <c r="Y109" s="1253" t="e">
        <f>ROUND(VLOOKUP(H109,tab!$A$61:$V$103,I109+2,FALSE),0)</f>
        <v>#VALUE!</v>
      </c>
      <c r="Z109" s="1252">
        <f>tab!$E$48</f>
        <v>0.62</v>
      </c>
      <c r="AA109" s="1284" t="e">
        <f t="shared" si="40"/>
        <v>#VALUE!</v>
      </c>
      <c r="AB109" s="1284" t="e">
        <f t="shared" si="41"/>
        <v>#VALUE!</v>
      </c>
      <c r="AC109" s="1284" t="e">
        <f t="shared" si="42"/>
        <v>#VALUE!</v>
      </c>
      <c r="AD109" s="1286" t="e">
        <f t="shared" si="43"/>
        <v>#VALUE!</v>
      </c>
      <c r="AE109" s="1286">
        <f t="shared" si="44"/>
        <v>0</v>
      </c>
      <c r="AF109" s="1254">
        <f>IF(H109&gt;8,tab!$D$49,tab!$D$52)</f>
        <v>0.5</v>
      </c>
      <c r="AG109" s="1255">
        <f t="shared" si="45"/>
        <v>0</v>
      </c>
      <c r="AH109" s="1251">
        <f t="shared" si="46"/>
        <v>0</v>
      </c>
      <c r="AI109" s="1278" t="e">
        <f>DATE(YEAR(tab!$F$3),MONTH(G109),DAY(G109))&gt;tab!$F$3</f>
        <v>#VALUE!</v>
      </c>
      <c r="AJ109" s="1255" t="e">
        <f t="shared" si="47"/>
        <v>#VALUE!</v>
      </c>
      <c r="AK109" s="1199">
        <f t="shared" si="48"/>
        <v>30</v>
      </c>
      <c r="AL109" s="1199">
        <f t="shared" si="49"/>
        <v>30</v>
      </c>
      <c r="AM109" s="1205">
        <f t="shared" si="50"/>
        <v>0</v>
      </c>
      <c r="AS109" s="819"/>
    </row>
    <row r="110" spans="2:45" ht="12.75" customHeight="1" x14ac:dyDescent="0.2">
      <c r="B110" s="466"/>
      <c r="C110" s="135"/>
      <c r="D110" s="432" t="str">
        <f>IF(op!D42="","",op!D42)</f>
        <v/>
      </c>
      <c r="E110" s="432" t="str">
        <f>IF(op!E42="","",op!E42)</f>
        <v/>
      </c>
      <c r="F110" s="776" t="str">
        <f>IF(op!F42="","",op!F42+1)</f>
        <v/>
      </c>
      <c r="G110" s="802" t="str">
        <f>IF(op!G42="","",op!G42)</f>
        <v/>
      </c>
      <c r="H110" s="776" t="str">
        <f>IF(op!H42=0,"",op!H42)</f>
        <v/>
      </c>
      <c r="I110" s="433" t="str">
        <f>IF(J110="","",IF(op!I42&gt;LOOKUP(H110,schaal2013,regels2013),op!I42-1,IF(op!I42=LOOKUP(H110,schaal2013,regels2013),op!I42,I42+1)))</f>
        <v/>
      </c>
      <c r="J110" s="803" t="str">
        <f>IF(op!J42="","",op!J42)</f>
        <v/>
      </c>
      <c r="K110" s="518"/>
      <c r="L110" s="1207">
        <f>IF(op!L42="",0,op!L42)</f>
        <v>0</v>
      </c>
      <c r="M110" s="1207">
        <f>IF(op!M42="",0,op!M42)</f>
        <v>0</v>
      </c>
      <c r="N110" s="1209" t="str">
        <f t="shared" si="35"/>
        <v/>
      </c>
      <c r="O110" s="1209" t="str">
        <f t="shared" si="36"/>
        <v/>
      </c>
      <c r="P110" s="1283" t="str">
        <f t="shared" si="37"/>
        <v/>
      </c>
      <c r="Q110" s="518"/>
      <c r="R110" s="1076" t="str">
        <f t="shared" si="51"/>
        <v/>
      </c>
      <c r="S110" s="1076" t="str">
        <f t="shared" si="38"/>
        <v/>
      </c>
      <c r="T110" s="1078" t="str">
        <f t="shared" si="39"/>
        <v/>
      </c>
      <c r="U110" s="599"/>
      <c r="V110" s="804"/>
      <c r="W110" s="1110"/>
      <c r="X110" s="1218"/>
      <c r="Y110" s="1253" t="e">
        <f>ROUND(VLOOKUP(H110,tab!$A$61:$V$103,I110+2,FALSE),0)</f>
        <v>#VALUE!</v>
      </c>
      <c r="Z110" s="1252">
        <f>tab!$E$48</f>
        <v>0.62</v>
      </c>
      <c r="AA110" s="1284" t="e">
        <f t="shared" si="40"/>
        <v>#VALUE!</v>
      </c>
      <c r="AB110" s="1284" t="e">
        <f t="shared" si="41"/>
        <v>#VALUE!</v>
      </c>
      <c r="AC110" s="1284" t="e">
        <f t="shared" si="42"/>
        <v>#VALUE!</v>
      </c>
      <c r="AD110" s="1286" t="e">
        <f t="shared" si="43"/>
        <v>#VALUE!</v>
      </c>
      <c r="AE110" s="1286">
        <f t="shared" si="44"/>
        <v>0</v>
      </c>
      <c r="AF110" s="1254">
        <f>IF(H110&gt;8,tab!$D$49,tab!$D$52)</f>
        <v>0.5</v>
      </c>
      <c r="AG110" s="1255">
        <f t="shared" si="45"/>
        <v>0</v>
      </c>
      <c r="AH110" s="1251">
        <f t="shared" si="46"/>
        <v>0</v>
      </c>
      <c r="AI110" s="1278" t="e">
        <f>DATE(YEAR(tab!$F$3),MONTH(G110),DAY(G110))&gt;tab!$F$3</f>
        <v>#VALUE!</v>
      </c>
      <c r="AJ110" s="1255" t="e">
        <f t="shared" si="47"/>
        <v>#VALUE!</v>
      </c>
      <c r="AK110" s="1199">
        <f t="shared" si="48"/>
        <v>30</v>
      </c>
      <c r="AL110" s="1199">
        <f t="shared" si="49"/>
        <v>30</v>
      </c>
      <c r="AM110" s="1205">
        <f t="shared" si="50"/>
        <v>0</v>
      </c>
      <c r="AS110" s="819"/>
    </row>
    <row r="111" spans="2:45" ht="12.75" customHeight="1" x14ac:dyDescent="0.2">
      <c r="B111" s="466"/>
      <c r="C111" s="135"/>
      <c r="D111" s="432" t="str">
        <f>IF(op!D43="","",op!D43)</f>
        <v/>
      </c>
      <c r="E111" s="432" t="str">
        <f>IF(op!E43="","",op!E43)</f>
        <v/>
      </c>
      <c r="F111" s="776" t="str">
        <f>IF(op!F43="","",op!F43+1)</f>
        <v/>
      </c>
      <c r="G111" s="802" t="str">
        <f>IF(op!G43="","",op!G43)</f>
        <v/>
      </c>
      <c r="H111" s="776" t="str">
        <f>IF(op!H43=0,"",op!H43)</f>
        <v/>
      </c>
      <c r="I111" s="433" t="str">
        <f>IF(J111="","",IF(op!I43&gt;LOOKUP(H111,schaal2013,regels2013),op!I43-1,IF(op!I43=LOOKUP(H111,schaal2013,regels2013),op!I43,I43+1)))</f>
        <v/>
      </c>
      <c r="J111" s="803" t="str">
        <f>IF(op!J43="","",op!J43)</f>
        <v/>
      </c>
      <c r="K111" s="518"/>
      <c r="L111" s="1207">
        <f>IF(op!L43="",0,op!L43)</f>
        <v>0</v>
      </c>
      <c r="M111" s="1207">
        <f>IF(op!M43="",0,op!M43)</f>
        <v>0</v>
      </c>
      <c r="N111" s="1209" t="str">
        <f t="shared" si="35"/>
        <v/>
      </c>
      <c r="O111" s="1209" t="str">
        <f t="shared" si="36"/>
        <v/>
      </c>
      <c r="P111" s="1283" t="str">
        <f t="shared" si="37"/>
        <v/>
      </c>
      <c r="Q111" s="518"/>
      <c r="R111" s="1076" t="str">
        <f t="shared" si="51"/>
        <v/>
      </c>
      <c r="S111" s="1076" t="str">
        <f t="shared" si="38"/>
        <v/>
      </c>
      <c r="T111" s="1078" t="str">
        <f t="shared" si="39"/>
        <v/>
      </c>
      <c r="U111" s="599"/>
      <c r="V111" s="804"/>
      <c r="W111" s="1110"/>
      <c r="X111" s="1218"/>
      <c r="Y111" s="1253" t="e">
        <f>ROUND(VLOOKUP(H111,tab!$A$61:$V$103,I111+2,FALSE),0)</f>
        <v>#VALUE!</v>
      </c>
      <c r="Z111" s="1252">
        <f>tab!$E$48</f>
        <v>0.62</v>
      </c>
      <c r="AA111" s="1284" t="e">
        <f t="shared" si="40"/>
        <v>#VALUE!</v>
      </c>
      <c r="AB111" s="1284" t="e">
        <f t="shared" si="41"/>
        <v>#VALUE!</v>
      </c>
      <c r="AC111" s="1284" t="e">
        <f t="shared" si="42"/>
        <v>#VALUE!</v>
      </c>
      <c r="AD111" s="1286" t="e">
        <f t="shared" si="43"/>
        <v>#VALUE!</v>
      </c>
      <c r="AE111" s="1286">
        <f t="shared" si="44"/>
        <v>0</v>
      </c>
      <c r="AF111" s="1254">
        <f>IF(H111&gt;8,tab!$D$49,tab!$D$52)</f>
        <v>0.5</v>
      </c>
      <c r="AG111" s="1255">
        <f t="shared" si="45"/>
        <v>0</v>
      </c>
      <c r="AH111" s="1251">
        <f t="shared" si="46"/>
        <v>0</v>
      </c>
      <c r="AI111" s="1278" t="e">
        <f>DATE(YEAR(tab!$F$3),MONTH(G111),DAY(G111))&gt;tab!$F$3</f>
        <v>#VALUE!</v>
      </c>
      <c r="AJ111" s="1255" t="e">
        <f t="shared" si="47"/>
        <v>#VALUE!</v>
      </c>
      <c r="AK111" s="1199">
        <f t="shared" si="48"/>
        <v>30</v>
      </c>
      <c r="AL111" s="1199">
        <f t="shared" si="49"/>
        <v>30</v>
      </c>
      <c r="AM111" s="1205">
        <f t="shared" si="50"/>
        <v>0</v>
      </c>
      <c r="AS111" s="819"/>
    </row>
    <row r="112" spans="2:45" ht="12.75" customHeight="1" x14ac:dyDescent="0.2">
      <c r="B112" s="466"/>
      <c r="C112" s="135"/>
      <c r="D112" s="432" t="str">
        <f>IF(op!D44="","",op!D44)</f>
        <v/>
      </c>
      <c r="E112" s="432" t="str">
        <f>IF(op!E44="","",op!E44)</f>
        <v/>
      </c>
      <c r="F112" s="776" t="str">
        <f>IF(op!F44="","",op!F44+1)</f>
        <v/>
      </c>
      <c r="G112" s="802" t="str">
        <f>IF(op!G44="","",op!G44)</f>
        <v/>
      </c>
      <c r="H112" s="776" t="str">
        <f>IF(op!H44=0,"",op!H44)</f>
        <v/>
      </c>
      <c r="I112" s="433" t="str">
        <f>IF(J112="","",IF(op!I44&gt;LOOKUP(H112,schaal2013,regels2013),op!I44-1,IF(op!I44=LOOKUP(H112,schaal2013,regels2013),op!I44,I44+1)))</f>
        <v/>
      </c>
      <c r="J112" s="803" t="str">
        <f>IF(op!J44="","",op!J44)</f>
        <v/>
      </c>
      <c r="K112" s="518"/>
      <c r="L112" s="1207">
        <f>IF(op!L44="",0,op!L44)</f>
        <v>0</v>
      </c>
      <c r="M112" s="1207">
        <f>IF(op!M44="",0,op!M44)</f>
        <v>0</v>
      </c>
      <c r="N112" s="1209" t="str">
        <f t="shared" si="35"/>
        <v/>
      </c>
      <c r="O112" s="1209" t="str">
        <f t="shared" si="36"/>
        <v/>
      </c>
      <c r="P112" s="1283" t="str">
        <f t="shared" si="37"/>
        <v/>
      </c>
      <c r="Q112" s="518"/>
      <c r="R112" s="1076" t="str">
        <f t="shared" si="51"/>
        <v/>
      </c>
      <c r="S112" s="1076" t="str">
        <f t="shared" si="38"/>
        <v/>
      </c>
      <c r="T112" s="1078" t="str">
        <f t="shared" si="39"/>
        <v/>
      </c>
      <c r="U112" s="599"/>
      <c r="V112" s="804"/>
      <c r="W112" s="1110"/>
      <c r="X112" s="1218"/>
      <c r="Y112" s="1253" t="e">
        <f>ROUND(VLOOKUP(H112,tab!$A$61:$V$103,I112+2,FALSE),0)</f>
        <v>#VALUE!</v>
      </c>
      <c r="Z112" s="1252">
        <f>tab!$E$48</f>
        <v>0.62</v>
      </c>
      <c r="AA112" s="1284" t="e">
        <f t="shared" si="40"/>
        <v>#VALUE!</v>
      </c>
      <c r="AB112" s="1284" t="e">
        <f t="shared" si="41"/>
        <v>#VALUE!</v>
      </c>
      <c r="AC112" s="1284" t="e">
        <f t="shared" si="42"/>
        <v>#VALUE!</v>
      </c>
      <c r="AD112" s="1286" t="e">
        <f t="shared" si="43"/>
        <v>#VALUE!</v>
      </c>
      <c r="AE112" s="1286">
        <f t="shared" si="44"/>
        <v>0</v>
      </c>
      <c r="AF112" s="1254">
        <f>IF(H112&gt;8,tab!$D$49,tab!$D$52)</f>
        <v>0.5</v>
      </c>
      <c r="AG112" s="1255">
        <f t="shared" si="45"/>
        <v>0</v>
      </c>
      <c r="AH112" s="1251">
        <f t="shared" si="46"/>
        <v>0</v>
      </c>
      <c r="AI112" s="1278" t="e">
        <f>DATE(YEAR(tab!$F$3),MONTH(G112),DAY(G112))&gt;tab!$F$3</f>
        <v>#VALUE!</v>
      </c>
      <c r="AJ112" s="1255" t="e">
        <f t="shared" si="47"/>
        <v>#VALUE!</v>
      </c>
      <c r="AK112" s="1199">
        <f t="shared" si="48"/>
        <v>30</v>
      </c>
      <c r="AL112" s="1199">
        <f t="shared" si="49"/>
        <v>30</v>
      </c>
      <c r="AM112" s="1205">
        <f t="shared" si="50"/>
        <v>0</v>
      </c>
      <c r="AS112" s="819"/>
    </row>
    <row r="113" spans="2:45" ht="12.75" customHeight="1" x14ac:dyDescent="0.2">
      <c r="B113" s="466"/>
      <c r="C113" s="135"/>
      <c r="D113" s="432" t="str">
        <f>IF(op!D45="","",op!D45)</f>
        <v/>
      </c>
      <c r="E113" s="432" t="str">
        <f>IF(op!E45="","",op!E45)</f>
        <v/>
      </c>
      <c r="F113" s="776" t="str">
        <f>IF(op!F45="","",op!F45+1)</f>
        <v/>
      </c>
      <c r="G113" s="802" t="str">
        <f>IF(op!G45="","",op!G45)</f>
        <v/>
      </c>
      <c r="H113" s="776" t="str">
        <f>IF(op!H45=0,"",op!H45)</f>
        <v/>
      </c>
      <c r="I113" s="433" t="str">
        <f>IF(J113="","",IF(op!I45&gt;LOOKUP(H113,schaal2013,regels2013),op!I45-1,IF(op!I45=LOOKUP(H113,schaal2013,regels2013),op!I45,I45+1)))</f>
        <v/>
      </c>
      <c r="J113" s="803" t="str">
        <f>IF(op!J45="","",op!J45)</f>
        <v/>
      </c>
      <c r="K113" s="518"/>
      <c r="L113" s="1207">
        <f>IF(op!L45="",0,op!L45)</f>
        <v>0</v>
      </c>
      <c r="M113" s="1207">
        <f>IF(op!M45="",0,op!M45)</f>
        <v>0</v>
      </c>
      <c r="N113" s="1209" t="str">
        <f t="shared" si="35"/>
        <v/>
      </c>
      <c r="O113" s="1209" t="str">
        <f t="shared" si="36"/>
        <v/>
      </c>
      <c r="P113" s="1283" t="str">
        <f t="shared" si="37"/>
        <v/>
      </c>
      <c r="Q113" s="518"/>
      <c r="R113" s="1076" t="str">
        <f t="shared" si="51"/>
        <v/>
      </c>
      <c r="S113" s="1076" t="str">
        <f t="shared" si="38"/>
        <v/>
      </c>
      <c r="T113" s="1078" t="str">
        <f t="shared" si="39"/>
        <v/>
      </c>
      <c r="U113" s="599"/>
      <c r="V113" s="804"/>
      <c r="W113" s="1110"/>
      <c r="X113" s="1218"/>
      <c r="Y113" s="1253" t="e">
        <f>ROUND(VLOOKUP(H113,tab!$A$61:$V$103,I113+2,FALSE),0)</f>
        <v>#VALUE!</v>
      </c>
      <c r="Z113" s="1252">
        <f>tab!$E$48</f>
        <v>0.62</v>
      </c>
      <c r="AA113" s="1284" t="e">
        <f t="shared" si="40"/>
        <v>#VALUE!</v>
      </c>
      <c r="AB113" s="1284" t="e">
        <f t="shared" si="41"/>
        <v>#VALUE!</v>
      </c>
      <c r="AC113" s="1284" t="e">
        <f t="shared" si="42"/>
        <v>#VALUE!</v>
      </c>
      <c r="AD113" s="1286" t="e">
        <f t="shared" si="43"/>
        <v>#VALUE!</v>
      </c>
      <c r="AE113" s="1286">
        <f t="shared" si="44"/>
        <v>0</v>
      </c>
      <c r="AF113" s="1254">
        <f>IF(H113&gt;8,tab!$D$49,tab!$D$52)</f>
        <v>0.5</v>
      </c>
      <c r="AG113" s="1255">
        <f t="shared" si="45"/>
        <v>0</v>
      </c>
      <c r="AH113" s="1251">
        <f t="shared" si="46"/>
        <v>0</v>
      </c>
      <c r="AI113" s="1278" t="e">
        <f>DATE(YEAR(tab!$F$3),MONTH(G113),DAY(G113))&gt;tab!$F$3</f>
        <v>#VALUE!</v>
      </c>
      <c r="AJ113" s="1255" t="e">
        <f t="shared" si="47"/>
        <v>#VALUE!</v>
      </c>
      <c r="AK113" s="1199">
        <f t="shared" si="48"/>
        <v>30</v>
      </c>
      <c r="AL113" s="1199">
        <f t="shared" si="49"/>
        <v>30</v>
      </c>
      <c r="AM113" s="1205">
        <f t="shared" si="50"/>
        <v>0</v>
      </c>
      <c r="AS113" s="819"/>
    </row>
    <row r="114" spans="2:45" ht="12.75" customHeight="1" x14ac:dyDescent="0.2">
      <c r="B114" s="466"/>
      <c r="C114" s="135"/>
      <c r="D114" s="432" t="str">
        <f>IF(op!D46="","",op!D46)</f>
        <v/>
      </c>
      <c r="E114" s="432" t="str">
        <f>IF(op!E46="","",op!E46)</f>
        <v/>
      </c>
      <c r="F114" s="776" t="str">
        <f>IF(op!F46="","",op!F46+1)</f>
        <v/>
      </c>
      <c r="G114" s="802" t="str">
        <f>IF(op!G46="","",op!G46)</f>
        <v/>
      </c>
      <c r="H114" s="776" t="str">
        <f>IF(op!H46=0,"",op!H46)</f>
        <v/>
      </c>
      <c r="I114" s="433" t="str">
        <f>IF(J114="","",IF(op!I46&gt;LOOKUP(H114,schaal2013,regels2013),op!I46-1,IF(op!I46=LOOKUP(H114,schaal2013,regels2013),op!I46,I46+1)))</f>
        <v/>
      </c>
      <c r="J114" s="803" t="str">
        <f>IF(op!J46="","",op!J46)</f>
        <v/>
      </c>
      <c r="K114" s="518"/>
      <c r="L114" s="1207">
        <f>IF(op!L46="",0,op!L46)</f>
        <v>0</v>
      </c>
      <c r="M114" s="1207">
        <f>IF(op!M46="",0,op!M46)</f>
        <v>0</v>
      </c>
      <c r="N114" s="1209" t="str">
        <f t="shared" si="35"/>
        <v/>
      </c>
      <c r="O114" s="1209" t="str">
        <f t="shared" si="36"/>
        <v/>
      </c>
      <c r="P114" s="1283" t="str">
        <f t="shared" si="37"/>
        <v/>
      </c>
      <c r="Q114" s="518"/>
      <c r="R114" s="1076" t="str">
        <f t="shared" si="51"/>
        <v/>
      </c>
      <c r="S114" s="1076" t="str">
        <f t="shared" si="38"/>
        <v/>
      </c>
      <c r="T114" s="1078" t="str">
        <f t="shared" si="39"/>
        <v/>
      </c>
      <c r="U114" s="599"/>
      <c r="V114" s="804"/>
      <c r="W114" s="1110"/>
      <c r="X114" s="1218"/>
      <c r="Y114" s="1253" t="e">
        <f>ROUND(VLOOKUP(H114,tab!$A$61:$V$103,I114+2,FALSE),0)</f>
        <v>#VALUE!</v>
      </c>
      <c r="Z114" s="1252">
        <f>tab!$E$48</f>
        <v>0.62</v>
      </c>
      <c r="AA114" s="1284" t="e">
        <f t="shared" si="40"/>
        <v>#VALUE!</v>
      </c>
      <c r="AB114" s="1284" t="e">
        <f t="shared" si="41"/>
        <v>#VALUE!</v>
      </c>
      <c r="AC114" s="1284" t="e">
        <f t="shared" si="42"/>
        <v>#VALUE!</v>
      </c>
      <c r="AD114" s="1286" t="e">
        <f t="shared" si="43"/>
        <v>#VALUE!</v>
      </c>
      <c r="AE114" s="1286">
        <f t="shared" si="44"/>
        <v>0</v>
      </c>
      <c r="AF114" s="1254">
        <f>IF(H114&gt;8,tab!$D$49,tab!$D$52)</f>
        <v>0.5</v>
      </c>
      <c r="AG114" s="1255">
        <f t="shared" si="45"/>
        <v>0</v>
      </c>
      <c r="AH114" s="1251">
        <f t="shared" si="46"/>
        <v>0</v>
      </c>
      <c r="AI114" s="1278" t="e">
        <f>DATE(YEAR(tab!$F$3),MONTH(G114),DAY(G114))&gt;tab!$F$3</f>
        <v>#VALUE!</v>
      </c>
      <c r="AJ114" s="1255" t="e">
        <f t="shared" si="47"/>
        <v>#VALUE!</v>
      </c>
      <c r="AK114" s="1199">
        <f t="shared" si="48"/>
        <v>30</v>
      </c>
      <c r="AL114" s="1199">
        <f t="shared" si="49"/>
        <v>30</v>
      </c>
      <c r="AM114" s="1205">
        <f t="shared" si="50"/>
        <v>0</v>
      </c>
      <c r="AS114" s="819"/>
    </row>
    <row r="115" spans="2:45" ht="12.75" customHeight="1" x14ac:dyDescent="0.2">
      <c r="B115" s="466"/>
      <c r="C115" s="135"/>
      <c r="D115" s="432" t="str">
        <f>IF(op!D47="","",op!D47)</f>
        <v/>
      </c>
      <c r="E115" s="432" t="str">
        <f>IF(op!E47="","",op!E47)</f>
        <v/>
      </c>
      <c r="F115" s="776" t="str">
        <f>IF(op!F47="","",op!F47+1)</f>
        <v/>
      </c>
      <c r="G115" s="802" t="str">
        <f>IF(op!G47="","",op!G47)</f>
        <v/>
      </c>
      <c r="H115" s="776" t="str">
        <f>IF(op!H47=0,"",op!H47)</f>
        <v/>
      </c>
      <c r="I115" s="433" t="str">
        <f>IF(J115="","",IF(op!I47&gt;LOOKUP(H115,schaal2013,regels2013),op!I47-1,IF(op!I47=LOOKUP(H115,schaal2013,regels2013),op!I47,I47+1)))</f>
        <v/>
      </c>
      <c r="J115" s="803" t="str">
        <f>IF(op!J47="","",op!J47)</f>
        <v/>
      </c>
      <c r="K115" s="518"/>
      <c r="L115" s="1207">
        <f>IF(op!L47="",0,op!L47)</f>
        <v>0</v>
      </c>
      <c r="M115" s="1207">
        <f>IF(op!M47="",0,op!M47)</f>
        <v>0</v>
      </c>
      <c r="N115" s="1209" t="str">
        <f t="shared" si="35"/>
        <v/>
      </c>
      <c r="O115" s="1209" t="str">
        <f t="shared" si="36"/>
        <v/>
      </c>
      <c r="P115" s="1283" t="str">
        <f t="shared" si="37"/>
        <v/>
      </c>
      <c r="Q115" s="518"/>
      <c r="R115" s="1076" t="str">
        <f t="shared" si="51"/>
        <v/>
      </c>
      <c r="S115" s="1076" t="str">
        <f t="shared" si="38"/>
        <v/>
      </c>
      <c r="T115" s="1078" t="str">
        <f t="shared" si="39"/>
        <v/>
      </c>
      <c r="U115" s="599"/>
      <c r="V115" s="804"/>
      <c r="W115" s="1110"/>
      <c r="X115" s="1218"/>
      <c r="Y115" s="1253" t="e">
        <f>ROUND(VLOOKUP(H115,tab!$A$61:$V$103,I115+2,FALSE),0)</f>
        <v>#VALUE!</v>
      </c>
      <c r="Z115" s="1252">
        <f>tab!$E$48</f>
        <v>0.62</v>
      </c>
      <c r="AA115" s="1284" t="e">
        <f t="shared" si="40"/>
        <v>#VALUE!</v>
      </c>
      <c r="AB115" s="1284" t="e">
        <f t="shared" si="41"/>
        <v>#VALUE!</v>
      </c>
      <c r="AC115" s="1284" t="e">
        <f t="shared" si="42"/>
        <v>#VALUE!</v>
      </c>
      <c r="AD115" s="1286" t="e">
        <f t="shared" si="43"/>
        <v>#VALUE!</v>
      </c>
      <c r="AE115" s="1286">
        <f t="shared" si="44"/>
        <v>0</v>
      </c>
      <c r="AF115" s="1254">
        <f>IF(H115&gt;8,tab!$D$49,tab!$D$52)</f>
        <v>0.5</v>
      </c>
      <c r="AG115" s="1255">
        <f t="shared" si="45"/>
        <v>0</v>
      </c>
      <c r="AH115" s="1251">
        <f t="shared" si="46"/>
        <v>0</v>
      </c>
      <c r="AI115" s="1278" t="e">
        <f>DATE(YEAR(tab!$F$3),MONTH(G115),DAY(G115))&gt;tab!$F$3</f>
        <v>#VALUE!</v>
      </c>
      <c r="AJ115" s="1255" t="e">
        <f t="shared" si="47"/>
        <v>#VALUE!</v>
      </c>
      <c r="AK115" s="1199">
        <f t="shared" si="48"/>
        <v>30</v>
      </c>
      <c r="AL115" s="1199">
        <f t="shared" si="49"/>
        <v>30</v>
      </c>
      <c r="AM115" s="1205">
        <f t="shared" si="50"/>
        <v>0</v>
      </c>
      <c r="AS115" s="819"/>
    </row>
    <row r="116" spans="2:45" ht="12.75" customHeight="1" x14ac:dyDescent="0.2">
      <c r="B116" s="466"/>
      <c r="C116" s="135"/>
      <c r="D116" s="432" t="str">
        <f>IF(op!D48="","",op!D48)</f>
        <v/>
      </c>
      <c r="E116" s="432" t="str">
        <f>IF(op!E48="","",op!E48)</f>
        <v/>
      </c>
      <c r="F116" s="776" t="str">
        <f>IF(op!F48="","",op!F48+1)</f>
        <v/>
      </c>
      <c r="G116" s="802" t="str">
        <f>IF(op!G48="","",op!G48)</f>
        <v/>
      </c>
      <c r="H116" s="776" t="str">
        <f>IF(op!H48=0,"",op!H48)</f>
        <v/>
      </c>
      <c r="I116" s="433" t="str">
        <f>IF(J116="","",IF(op!I48&gt;LOOKUP(H116,schaal2013,regels2013),op!I48-1,IF(op!I48=LOOKUP(H116,schaal2013,regels2013),op!I48,I48+1)))</f>
        <v/>
      </c>
      <c r="J116" s="803" t="str">
        <f>IF(op!J48="","",op!J48)</f>
        <v/>
      </c>
      <c r="K116" s="518"/>
      <c r="L116" s="1207">
        <f>IF(op!L48="",0,op!L48)</f>
        <v>0</v>
      </c>
      <c r="M116" s="1207">
        <f>IF(op!M48="",0,op!M48)</f>
        <v>0</v>
      </c>
      <c r="N116" s="1209" t="str">
        <f t="shared" si="35"/>
        <v/>
      </c>
      <c r="O116" s="1209" t="str">
        <f t="shared" si="36"/>
        <v/>
      </c>
      <c r="P116" s="1283" t="str">
        <f t="shared" si="37"/>
        <v/>
      </c>
      <c r="Q116" s="518"/>
      <c r="R116" s="1076" t="str">
        <f t="shared" si="51"/>
        <v/>
      </c>
      <c r="S116" s="1076" t="str">
        <f t="shared" si="38"/>
        <v/>
      </c>
      <c r="T116" s="1078" t="str">
        <f t="shared" si="39"/>
        <v/>
      </c>
      <c r="U116" s="599"/>
      <c r="V116" s="804"/>
      <c r="W116" s="1110"/>
      <c r="X116" s="1218"/>
      <c r="Y116" s="1253" t="e">
        <f>ROUND(VLOOKUP(H116,tab!$A$61:$V$103,I116+2,FALSE),0)</f>
        <v>#VALUE!</v>
      </c>
      <c r="Z116" s="1252">
        <f>tab!$E$48</f>
        <v>0.62</v>
      </c>
      <c r="AA116" s="1284" t="e">
        <f t="shared" si="40"/>
        <v>#VALUE!</v>
      </c>
      <c r="AB116" s="1284" t="e">
        <f t="shared" si="41"/>
        <v>#VALUE!</v>
      </c>
      <c r="AC116" s="1284" t="e">
        <f t="shared" si="42"/>
        <v>#VALUE!</v>
      </c>
      <c r="AD116" s="1286" t="e">
        <f t="shared" si="43"/>
        <v>#VALUE!</v>
      </c>
      <c r="AE116" s="1286">
        <f t="shared" si="44"/>
        <v>0</v>
      </c>
      <c r="AF116" s="1254">
        <f>IF(H116&gt;8,tab!$D$49,tab!$D$52)</f>
        <v>0.5</v>
      </c>
      <c r="AG116" s="1255">
        <f t="shared" ref="AG116:AG138" si="52">IF(F116&lt;25,0,IF(F116=25,25,IF(F116&lt;40,0,IF(F116=40,40,IF(F116&gt;=40,0)))))</f>
        <v>0</v>
      </c>
      <c r="AH116" s="1251">
        <f t="shared" ref="AH116:AH138" si="53">IF(AG116=25,(Y116*1.08*(J116)/2),IF(AG116=40,(Y116*1.08*(J116)),IF(AG116=0,0)))</f>
        <v>0</v>
      </c>
      <c r="AI116" s="1278" t="e">
        <f>DATE(YEAR(tab!$F$3),MONTH(G116),DAY(G116))&gt;tab!$F$3</f>
        <v>#VALUE!</v>
      </c>
      <c r="AJ116" s="1255" t="e">
        <f t="shared" ref="AJ116:AJ138" si="54">YEAR($E$77)-YEAR(G116)-AI116</f>
        <v>#VALUE!</v>
      </c>
      <c r="AK116" s="1199">
        <f t="shared" ref="AK116:AK138" si="55">IF((G116=""),30,AJ116)</f>
        <v>30</v>
      </c>
      <c r="AL116" s="1199">
        <f t="shared" ref="AL116:AL138" si="56">IF((AK116)&gt;50,50,(AK116))</f>
        <v>30</v>
      </c>
      <c r="AM116" s="1205">
        <f t="shared" ref="AM116:AM138" si="57">(AL116*(SUM(J116:J116)))</f>
        <v>0</v>
      </c>
      <c r="AS116" s="819"/>
    </row>
    <row r="117" spans="2:45" ht="12.75" customHeight="1" x14ac:dyDescent="0.2">
      <c r="B117" s="466"/>
      <c r="C117" s="135"/>
      <c r="D117" s="432" t="str">
        <f>IF(op!D49="","",op!D49)</f>
        <v/>
      </c>
      <c r="E117" s="432" t="str">
        <f>IF(op!E49="","",op!E49)</f>
        <v/>
      </c>
      <c r="F117" s="776" t="str">
        <f>IF(op!F49="","",op!F49+1)</f>
        <v/>
      </c>
      <c r="G117" s="802" t="str">
        <f>IF(op!G49="","",op!G49)</f>
        <v/>
      </c>
      <c r="H117" s="776" t="str">
        <f>IF(op!H49=0,"",op!H49)</f>
        <v/>
      </c>
      <c r="I117" s="433" t="str">
        <f>IF(J117="","",IF(op!I49&gt;LOOKUP(H117,schaal2013,regels2013),op!I49-1,IF(op!I49=LOOKUP(H117,schaal2013,regels2013),op!I49,I49+1)))</f>
        <v/>
      </c>
      <c r="J117" s="803" t="str">
        <f>IF(op!J49="","",op!J49)</f>
        <v/>
      </c>
      <c r="K117" s="518"/>
      <c r="L117" s="1207">
        <f>IF(op!L49="",0,op!L49)</f>
        <v>0</v>
      </c>
      <c r="M117" s="1207">
        <f>IF(op!M49="",0,op!M49)</f>
        <v>0</v>
      </c>
      <c r="N117" s="1209" t="str">
        <f t="shared" si="35"/>
        <v/>
      </c>
      <c r="O117" s="1209" t="str">
        <f t="shared" si="36"/>
        <v/>
      </c>
      <c r="P117" s="1283" t="str">
        <f t="shared" si="37"/>
        <v/>
      </c>
      <c r="Q117" s="518"/>
      <c r="R117" s="1076" t="str">
        <f t="shared" si="51"/>
        <v/>
      </c>
      <c r="S117" s="1076" t="str">
        <f t="shared" si="38"/>
        <v/>
      </c>
      <c r="T117" s="1078" t="str">
        <f t="shared" si="39"/>
        <v/>
      </c>
      <c r="U117" s="599"/>
      <c r="V117" s="804"/>
      <c r="W117" s="1110"/>
      <c r="X117" s="1218"/>
      <c r="Y117" s="1253" t="e">
        <f>ROUND(VLOOKUP(H117,tab!$A$61:$V$103,I117+2,FALSE),0)</f>
        <v>#VALUE!</v>
      </c>
      <c r="Z117" s="1252">
        <f>tab!$E$48</f>
        <v>0.62</v>
      </c>
      <c r="AA117" s="1284" t="e">
        <f t="shared" si="40"/>
        <v>#VALUE!</v>
      </c>
      <c r="AB117" s="1284" t="e">
        <f t="shared" si="41"/>
        <v>#VALUE!</v>
      </c>
      <c r="AC117" s="1284" t="e">
        <f t="shared" si="42"/>
        <v>#VALUE!</v>
      </c>
      <c r="AD117" s="1286" t="e">
        <f t="shared" si="43"/>
        <v>#VALUE!</v>
      </c>
      <c r="AE117" s="1286">
        <f t="shared" si="44"/>
        <v>0</v>
      </c>
      <c r="AF117" s="1254">
        <f>IF(H117&gt;8,tab!$D$49,tab!$D$52)</f>
        <v>0.5</v>
      </c>
      <c r="AG117" s="1255">
        <f t="shared" si="52"/>
        <v>0</v>
      </c>
      <c r="AH117" s="1251">
        <f t="shared" si="53"/>
        <v>0</v>
      </c>
      <c r="AI117" s="1278" t="e">
        <f>DATE(YEAR(tab!$F$3),MONTH(G117),DAY(G117))&gt;tab!$F$3</f>
        <v>#VALUE!</v>
      </c>
      <c r="AJ117" s="1255" t="e">
        <f t="shared" si="54"/>
        <v>#VALUE!</v>
      </c>
      <c r="AK117" s="1199">
        <f t="shared" si="55"/>
        <v>30</v>
      </c>
      <c r="AL117" s="1199">
        <f t="shared" si="56"/>
        <v>30</v>
      </c>
      <c r="AM117" s="1205">
        <f t="shared" si="57"/>
        <v>0</v>
      </c>
      <c r="AS117" s="819"/>
    </row>
    <row r="118" spans="2:45" ht="12.75" customHeight="1" x14ac:dyDescent="0.2">
      <c r="B118" s="466"/>
      <c r="C118" s="135"/>
      <c r="D118" s="432" t="str">
        <f>IF(op!D50="","",op!D50)</f>
        <v/>
      </c>
      <c r="E118" s="432" t="str">
        <f>IF(op!E50="","",op!E50)</f>
        <v/>
      </c>
      <c r="F118" s="776" t="str">
        <f>IF(op!F50="","",op!F50+1)</f>
        <v/>
      </c>
      <c r="G118" s="802" t="str">
        <f>IF(op!G50="","",op!G50)</f>
        <v/>
      </c>
      <c r="H118" s="776" t="str">
        <f>IF(op!H50=0,"",op!H50)</f>
        <v/>
      </c>
      <c r="I118" s="433" t="str">
        <f>IF(J118="","",IF(op!I50&gt;LOOKUP(H118,schaal2013,regels2013),op!I50-1,IF(op!I50=LOOKUP(H118,schaal2013,regels2013),op!I50,I50+1)))</f>
        <v/>
      </c>
      <c r="J118" s="803" t="str">
        <f>IF(op!J50="","",op!J50)</f>
        <v/>
      </c>
      <c r="K118" s="518"/>
      <c r="L118" s="1207">
        <f>IF(op!L50="",0,op!L50)</f>
        <v>0</v>
      </c>
      <c r="M118" s="1207">
        <f>IF(op!M50="",0,op!M50)</f>
        <v>0</v>
      </c>
      <c r="N118" s="1209" t="str">
        <f t="shared" si="35"/>
        <v/>
      </c>
      <c r="O118" s="1209" t="str">
        <f t="shared" si="36"/>
        <v/>
      </c>
      <c r="P118" s="1283" t="str">
        <f t="shared" si="37"/>
        <v/>
      </c>
      <c r="Q118" s="518"/>
      <c r="R118" s="1076" t="str">
        <f t="shared" si="51"/>
        <v/>
      </c>
      <c r="S118" s="1076" t="str">
        <f t="shared" si="38"/>
        <v/>
      </c>
      <c r="T118" s="1078" t="str">
        <f t="shared" si="39"/>
        <v/>
      </c>
      <c r="U118" s="599"/>
      <c r="V118" s="804"/>
      <c r="W118" s="1110"/>
      <c r="X118" s="1218"/>
      <c r="Y118" s="1253" t="e">
        <f>ROUND(VLOOKUP(H118,tab!$A$61:$V$103,I118+2,FALSE),0)</f>
        <v>#VALUE!</v>
      </c>
      <c r="Z118" s="1252">
        <f>tab!$E$48</f>
        <v>0.62</v>
      </c>
      <c r="AA118" s="1284" t="e">
        <f t="shared" si="40"/>
        <v>#VALUE!</v>
      </c>
      <c r="AB118" s="1284" t="e">
        <f t="shared" si="41"/>
        <v>#VALUE!</v>
      </c>
      <c r="AC118" s="1284" t="e">
        <f t="shared" si="42"/>
        <v>#VALUE!</v>
      </c>
      <c r="AD118" s="1286" t="e">
        <f t="shared" si="43"/>
        <v>#VALUE!</v>
      </c>
      <c r="AE118" s="1286">
        <f t="shared" si="44"/>
        <v>0</v>
      </c>
      <c r="AF118" s="1254">
        <f>IF(H118&gt;8,tab!$D$49,tab!$D$52)</f>
        <v>0.5</v>
      </c>
      <c r="AG118" s="1255">
        <f t="shared" si="52"/>
        <v>0</v>
      </c>
      <c r="AH118" s="1251">
        <f t="shared" si="53"/>
        <v>0</v>
      </c>
      <c r="AI118" s="1278" t="e">
        <f>DATE(YEAR(tab!$F$3),MONTH(G118),DAY(G118))&gt;tab!$F$3</f>
        <v>#VALUE!</v>
      </c>
      <c r="AJ118" s="1255" t="e">
        <f t="shared" si="54"/>
        <v>#VALUE!</v>
      </c>
      <c r="AK118" s="1199">
        <f t="shared" si="55"/>
        <v>30</v>
      </c>
      <c r="AL118" s="1199">
        <f t="shared" si="56"/>
        <v>30</v>
      </c>
      <c r="AM118" s="1205">
        <f t="shared" si="57"/>
        <v>0</v>
      </c>
      <c r="AS118" s="819"/>
    </row>
    <row r="119" spans="2:45" ht="12.75" customHeight="1" x14ac:dyDescent="0.2">
      <c r="B119" s="466"/>
      <c r="C119" s="135"/>
      <c r="D119" s="432" t="str">
        <f>IF(op!D51="","",op!D51)</f>
        <v/>
      </c>
      <c r="E119" s="432" t="str">
        <f>IF(op!E51="","",op!E51)</f>
        <v/>
      </c>
      <c r="F119" s="776" t="str">
        <f>IF(op!F51="","",op!F51+1)</f>
        <v/>
      </c>
      <c r="G119" s="802" t="str">
        <f>IF(op!G51="","",op!G51)</f>
        <v/>
      </c>
      <c r="H119" s="776" t="str">
        <f>IF(op!H51=0,"",op!H51)</f>
        <v/>
      </c>
      <c r="I119" s="433" t="str">
        <f>IF(J119="","",IF(op!I51&gt;LOOKUP(H119,schaal2013,regels2013),op!I51-1,IF(op!I51=LOOKUP(H119,schaal2013,regels2013),op!I51,I51+1)))</f>
        <v/>
      </c>
      <c r="J119" s="803" t="str">
        <f>IF(op!J51="","",op!J51)</f>
        <v/>
      </c>
      <c r="K119" s="518"/>
      <c r="L119" s="1207">
        <f>IF(op!L51="",0,op!L51)</f>
        <v>0</v>
      </c>
      <c r="M119" s="1207">
        <f>IF(op!M51="",0,op!M51)</f>
        <v>0</v>
      </c>
      <c r="N119" s="1209" t="str">
        <f t="shared" si="35"/>
        <v/>
      </c>
      <c r="O119" s="1209" t="str">
        <f t="shared" si="36"/>
        <v/>
      </c>
      <c r="P119" s="1283" t="str">
        <f t="shared" si="37"/>
        <v/>
      </c>
      <c r="Q119" s="518"/>
      <c r="R119" s="1076" t="str">
        <f t="shared" si="51"/>
        <v/>
      </c>
      <c r="S119" s="1076" t="str">
        <f t="shared" si="38"/>
        <v/>
      </c>
      <c r="T119" s="1078" t="str">
        <f t="shared" si="39"/>
        <v/>
      </c>
      <c r="U119" s="599"/>
      <c r="V119" s="804"/>
      <c r="W119" s="1110"/>
      <c r="X119" s="1218"/>
      <c r="Y119" s="1253" t="e">
        <f>ROUND(VLOOKUP(H119,tab!$A$61:$V$103,I119+2,FALSE),0)</f>
        <v>#VALUE!</v>
      </c>
      <c r="Z119" s="1252">
        <f>tab!$E$48</f>
        <v>0.62</v>
      </c>
      <c r="AA119" s="1284" t="e">
        <f t="shared" si="40"/>
        <v>#VALUE!</v>
      </c>
      <c r="AB119" s="1284" t="e">
        <f t="shared" si="41"/>
        <v>#VALUE!</v>
      </c>
      <c r="AC119" s="1284" t="e">
        <f t="shared" si="42"/>
        <v>#VALUE!</v>
      </c>
      <c r="AD119" s="1286" t="e">
        <f t="shared" si="43"/>
        <v>#VALUE!</v>
      </c>
      <c r="AE119" s="1286">
        <f t="shared" si="44"/>
        <v>0</v>
      </c>
      <c r="AF119" s="1254">
        <f>IF(H119&gt;8,tab!$D$49,tab!$D$52)</f>
        <v>0.5</v>
      </c>
      <c r="AG119" s="1255">
        <f t="shared" si="52"/>
        <v>0</v>
      </c>
      <c r="AH119" s="1251">
        <f t="shared" si="53"/>
        <v>0</v>
      </c>
      <c r="AI119" s="1278" t="e">
        <f>DATE(YEAR(tab!$F$3),MONTH(G119),DAY(G119))&gt;tab!$F$3</f>
        <v>#VALUE!</v>
      </c>
      <c r="AJ119" s="1255" t="e">
        <f t="shared" si="54"/>
        <v>#VALUE!</v>
      </c>
      <c r="AK119" s="1199">
        <f t="shared" si="55"/>
        <v>30</v>
      </c>
      <c r="AL119" s="1199">
        <f t="shared" si="56"/>
        <v>30</v>
      </c>
      <c r="AM119" s="1205">
        <f t="shared" si="57"/>
        <v>0</v>
      </c>
      <c r="AS119" s="819"/>
    </row>
    <row r="120" spans="2:45" ht="12.75" customHeight="1" x14ac:dyDescent="0.2">
      <c r="B120" s="466"/>
      <c r="C120" s="135"/>
      <c r="D120" s="432" t="str">
        <f>IF(op!D52="","",op!D52)</f>
        <v/>
      </c>
      <c r="E120" s="432" t="str">
        <f>IF(op!E52="","",op!E52)</f>
        <v/>
      </c>
      <c r="F120" s="776" t="str">
        <f>IF(op!F52="","",op!F52+1)</f>
        <v/>
      </c>
      <c r="G120" s="802" t="str">
        <f>IF(op!G52="","",op!G52)</f>
        <v/>
      </c>
      <c r="H120" s="776" t="str">
        <f>IF(op!H52=0,"",op!H52)</f>
        <v/>
      </c>
      <c r="I120" s="433" t="str">
        <f>IF(J120="","",IF(op!I52&gt;LOOKUP(H120,schaal2013,regels2013),op!I52-1,IF(op!I52=LOOKUP(H120,schaal2013,regels2013),op!I52,I52+1)))</f>
        <v/>
      </c>
      <c r="J120" s="803" t="str">
        <f>IF(op!J52="","",op!J52)</f>
        <v/>
      </c>
      <c r="K120" s="518"/>
      <c r="L120" s="1207">
        <f>IF(op!L52="",0,op!L52)</f>
        <v>0</v>
      </c>
      <c r="M120" s="1207">
        <f>IF(op!M52="",0,op!M52)</f>
        <v>0</v>
      </c>
      <c r="N120" s="1209" t="str">
        <f t="shared" si="35"/>
        <v/>
      </c>
      <c r="O120" s="1209" t="str">
        <f t="shared" si="36"/>
        <v/>
      </c>
      <c r="P120" s="1283" t="str">
        <f t="shared" si="37"/>
        <v/>
      </c>
      <c r="Q120" s="518"/>
      <c r="R120" s="1076" t="str">
        <f t="shared" si="51"/>
        <v/>
      </c>
      <c r="S120" s="1076" t="str">
        <f t="shared" si="38"/>
        <v/>
      </c>
      <c r="T120" s="1078" t="str">
        <f t="shared" si="39"/>
        <v/>
      </c>
      <c r="U120" s="599"/>
      <c r="V120" s="804"/>
      <c r="W120" s="1110"/>
      <c r="X120" s="1218"/>
      <c r="Y120" s="1253" t="e">
        <f>ROUND(VLOOKUP(H120,tab!$A$61:$V$103,I120+2,FALSE),0)</f>
        <v>#VALUE!</v>
      </c>
      <c r="Z120" s="1252">
        <f>tab!$E$48</f>
        <v>0.62</v>
      </c>
      <c r="AA120" s="1284" t="e">
        <f t="shared" si="40"/>
        <v>#VALUE!</v>
      </c>
      <c r="AB120" s="1284" t="e">
        <f t="shared" si="41"/>
        <v>#VALUE!</v>
      </c>
      <c r="AC120" s="1284" t="e">
        <f t="shared" si="42"/>
        <v>#VALUE!</v>
      </c>
      <c r="AD120" s="1286" t="e">
        <f t="shared" si="43"/>
        <v>#VALUE!</v>
      </c>
      <c r="AE120" s="1286">
        <f t="shared" si="44"/>
        <v>0</v>
      </c>
      <c r="AF120" s="1254">
        <f>IF(H120&gt;8,tab!$D$49,tab!$D$52)</f>
        <v>0.5</v>
      </c>
      <c r="AG120" s="1255">
        <f t="shared" si="52"/>
        <v>0</v>
      </c>
      <c r="AH120" s="1251">
        <f t="shared" si="53"/>
        <v>0</v>
      </c>
      <c r="AI120" s="1278" t="e">
        <f>DATE(YEAR(tab!$F$3),MONTH(G120),DAY(G120))&gt;tab!$F$3</f>
        <v>#VALUE!</v>
      </c>
      <c r="AJ120" s="1255" t="e">
        <f t="shared" si="54"/>
        <v>#VALUE!</v>
      </c>
      <c r="AK120" s="1199">
        <f t="shared" si="55"/>
        <v>30</v>
      </c>
      <c r="AL120" s="1199">
        <f t="shared" si="56"/>
        <v>30</v>
      </c>
      <c r="AM120" s="1205">
        <f t="shared" si="57"/>
        <v>0</v>
      </c>
      <c r="AS120" s="819"/>
    </row>
    <row r="121" spans="2:45" ht="12.75" customHeight="1" x14ac:dyDescent="0.2">
      <c r="B121" s="466"/>
      <c r="C121" s="135"/>
      <c r="D121" s="432" t="str">
        <f>IF(op!D53="","",op!D53)</f>
        <v/>
      </c>
      <c r="E121" s="432" t="str">
        <f>IF(op!E53="","",op!E53)</f>
        <v/>
      </c>
      <c r="F121" s="776" t="str">
        <f>IF(op!F53="","",op!F53+1)</f>
        <v/>
      </c>
      <c r="G121" s="802" t="str">
        <f>IF(op!G53="","",op!G53)</f>
        <v/>
      </c>
      <c r="H121" s="776" t="str">
        <f>IF(op!H53=0,"",op!H53)</f>
        <v/>
      </c>
      <c r="I121" s="433" t="str">
        <f>IF(J121="","",IF(op!I53&gt;LOOKUP(H121,schaal2013,regels2013),op!I53-1,IF(op!I53=LOOKUP(H121,schaal2013,regels2013),op!I53,I53+1)))</f>
        <v/>
      </c>
      <c r="J121" s="803" t="str">
        <f>IF(op!J53="","",op!J53)</f>
        <v/>
      </c>
      <c r="K121" s="518"/>
      <c r="L121" s="1207">
        <f>IF(op!L53="",0,op!L53)</f>
        <v>0</v>
      </c>
      <c r="M121" s="1207">
        <f>IF(op!M53="",0,op!M53)</f>
        <v>0</v>
      </c>
      <c r="N121" s="1209" t="str">
        <f t="shared" si="35"/>
        <v/>
      </c>
      <c r="O121" s="1209" t="str">
        <f t="shared" si="36"/>
        <v/>
      </c>
      <c r="P121" s="1283" t="str">
        <f t="shared" si="37"/>
        <v/>
      </c>
      <c r="Q121" s="518"/>
      <c r="R121" s="1076" t="str">
        <f t="shared" si="51"/>
        <v/>
      </c>
      <c r="S121" s="1076" t="str">
        <f t="shared" si="38"/>
        <v/>
      </c>
      <c r="T121" s="1078" t="str">
        <f t="shared" si="39"/>
        <v/>
      </c>
      <c r="U121" s="599"/>
      <c r="V121" s="804"/>
      <c r="W121" s="1110"/>
      <c r="X121" s="1218"/>
      <c r="Y121" s="1253" t="e">
        <f>ROUND(VLOOKUP(H121,tab!$A$61:$V$103,I121+2,FALSE),0)</f>
        <v>#VALUE!</v>
      </c>
      <c r="Z121" s="1252">
        <f>tab!$E$48</f>
        <v>0.62</v>
      </c>
      <c r="AA121" s="1284" t="e">
        <f t="shared" si="40"/>
        <v>#VALUE!</v>
      </c>
      <c r="AB121" s="1284" t="e">
        <f t="shared" si="41"/>
        <v>#VALUE!</v>
      </c>
      <c r="AC121" s="1284" t="e">
        <f t="shared" si="42"/>
        <v>#VALUE!</v>
      </c>
      <c r="AD121" s="1286" t="e">
        <f t="shared" si="43"/>
        <v>#VALUE!</v>
      </c>
      <c r="AE121" s="1286">
        <f t="shared" si="44"/>
        <v>0</v>
      </c>
      <c r="AF121" s="1254">
        <f>IF(H121&gt;8,tab!$D$49,tab!$D$52)</f>
        <v>0.5</v>
      </c>
      <c r="AG121" s="1255">
        <f t="shared" si="52"/>
        <v>0</v>
      </c>
      <c r="AH121" s="1251">
        <f t="shared" si="53"/>
        <v>0</v>
      </c>
      <c r="AI121" s="1278" t="e">
        <f>DATE(YEAR(tab!$F$3),MONTH(G121),DAY(G121))&gt;tab!$F$3</f>
        <v>#VALUE!</v>
      </c>
      <c r="AJ121" s="1255" t="e">
        <f t="shared" si="54"/>
        <v>#VALUE!</v>
      </c>
      <c r="AK121" s="1199">
        <f t="shared" si="55"/>
        <v>30</v>
      </c>
      <c r="AL121" s="1199">
        <f t="shared" si="56"/>
        <v>30</v>
      </c>
      <c r="AM121" s="1205">
        <f t="shared" si="57"/>
        <v>0</v>
      </c>
      <c r="AS121" s="819"/>
    </row>
    <row r="122" spans="2:45" ht="12.75" customHeight="1" x14ac:dyDescent="0.2">
      <c r="B122" s="466"/>
      <c r="C122" s="135"/>
      <c r="D122" s="432" t="str">
        <f>IF(op!D54="","",op!D54)</f>
        <v/>
      </c>
      <c r="E122" s="432" t="str">
        <f>IF(op!E54="","",op!E54)</f>
        <v/>
      </c>
      <c r="F122" s="776" t="str">
        <f>IF(op!F54="","",op!F54+1)</f>
        <v/>
      </c>
      <c r="G122" s="802" t="str">
        <f>IF(op!G54="","",op!G54)</f>
        <v/>
      </c>
      <c r="H122" s="776" t="str">
        <f>IF(op!H54=0,"",op!H54)</f>
        <v/>
      </c>
      <c r="I122" s="433" t="str">
        <f>IF(J122="","",IF(op!I54&gt;LOOKUP(H122,schaal2013,regels2013),op!I54-1,IF(op!I54=LOOKUP(H122,schaal2013,regels2013),op!I54,I54+1)))</f>
        <v/>
      </c>
      <c r="J122" s="803" t="str">
        <f>IF(op!J54="","",op!J54)</f>
        <v/>
      </c>
      <c r="K122" s="518"/>
      <c r="L122" s="1207">
        <f>IF(op!L54="",0,op!L54)</f>
        <v>0</v>
      </c>
      <c r="M122" s="1207">
        <f>IF(op!M54="",0,op!M54)</f>
        <v>0</v>
      </c>
      <c r="N122" s="1209" t="str">
        <f t="shared" si="35"/>
        <v/>
      </c>
      <c r="O122" s="1209" t="str">
        <f t="shared" si="36"/>
        <v/>
      </c>
      <c r="P122" s="1283" t="str">
        <f t="shared" si="37"/>
        <v/>
      </c>
      <c r="Q122" s="518"/>
      <c r="R122" s="1076" t="str">
        <f t="shared" si="51"/>
        <v/>
      </c>
      <c r="S122" s="1076" t="str">
        <f t="shared" si="38"/>
        <v/>
      </c>
      <c r="T122" s="1078" t="str">
        <f t="shared" si="39"/>
        <v/>
      </c>
      <c r="U122" s="599"/>
      <c r="V122" s="804"/>
      <c r="W122" s="1110"/>
      <c r="X122" s="1218"/>
      <c r="Y122" s="1253" t="e">
        <f>ROUND(VLOOKUP(H122,tab!$A$61:$V$103,I122+2,FALSE),0)</f>
        <v>#VALUE!</v>
      </c>
      <c r="Z122" s="1252">
        <f>tab!$E$48</f>
        <v>0.62</v>
      </c>
      <c r="AA122" s="1284" t="e">
        <f t="shared" si="40"/>
        <v>#VALUE!</v>
      </c>
      <c r="AB122" s="1284" t="e">
        <f t="shared" si="41"/>
        <v>#VALUE!</v>
      </c>
      <c r="AC122" s="1284" t="e">
        <f t="shared" si="42"/>
        <v>#VALUE!</v>
      </c>
      <c r="AD122" s="1286" t="e">
        <f t="shared" si="43"/>
        <v>#VALUE!</v>
      </c>
      <c r="AE122" s="1286">
        <f t="shared" si="44"/>
        <v>0</v>
      </c>
      <c r="AF122" s="1254">
        <f>IF(H122&gt;8,tab!$D$49,tab!$D$52)</f>
        <v>0.5</v>
      </c>
      <c r="AG122" s="1255">
        <f t="shared" si="52"/>
        <v>0</v>
      </c>
      <c r="AH122" s="1251">
        <f t="shared" si="53"/>
        <v>0</v>
      </c>
      <c r="AI122" s="1278" t="e">
        <f>DATE(YEAR(tab!$F$3),MONTH(G122),DAY(G122))&gt;tab!$F$3</f>
        <v>#VALUE!</v>
      </c>
      <c r="AJ122" s="1255" t="e">
        <f t="shared" si="54"/>
        <v>#VALUE!</v>
      </c>
      <c r="AK122" s="1199">
        <f t="shared" si="55"/>
        <v>30</v>
      </c>
      <c r="AL122" s="1199">
        <f t="shared" si="56"/>
        <v>30</v>
      </c>
      <c r="AM122" s="1205">
        <f t="shared" si="57"/>
        <v>0</v>
      </c>
      <c r="AS122" s="819"/>
    </row>
    <row r="123" spans="2:45" ht="12.75" customHeight="1" x14ac:dyDescent="0.2">
      <c r="B123" s="466"/>
      <c r="C123" s="135"/>
      <c r="D123" s="432" t="str">
        <f>IF(op!D55="","",op!D55)</f>
        <v/>
      </c>
      <c r="E123" s="432" t="str">
        <f>IF(op!E55="","",op!E55)</f>
        <v/>
      </c>
      <c r="F123" s="776" t="str">
        <f>IF(op!F55="","",op!F55+1)</f>
        <v/>
      </c>
      <c r="G123" s="802" t="str">
        <f>IF(op!G55="","",op!G55)</f>
        <v/>
      </c>
      <c r="H123" s="776" t="str">
        <f>IF(op!H55=0,"",op!H55)</f>
        <v/>
      </c>
      <c r="I123" s="433" t="str">
        <f>IF(J123="","",IF(op!I55&gt;LOOKUP(H123,schaal2013,regels2013),op!I55-1,IF(op!I55=LOOKUP(H123,schaal2013,regels2013),op!I55,I55+1)))</f>
        <v/>
      </c>
      <c r="J123" s="803" t="str">
        <f>IF(op!J55="","",op!J55)</f>
        <v/>
      </c>
      <c r="K123" s="518"/>
      <c r="L123" s="1207">
        <f>IF(op!L55="",0,op!L55)</f>
        <v>0</v>
      </c>
      <c r="M123" s="1207">
        <f>IF(op!M55="",0,op!M55)</f>
        <v>0</v>
      </c>
      <c r="N123" s="1209" t="str">
        <f t="shared" si="35"/>
        <v/>
      </c>
      <c r="O123" s="1209" t="str">
        <f t="shared" si="36"/>
        <v/>
      </c>
      <c r="P123" s="1283" t="str">
        <f t="shared" si="37"/>
        <v/>
      </c>
      <c r="Q123" s="518"/>
      <c r="R123" s="1076" t="str">
        <f t="shared" si="51"/>
        <v/>
      </c>
      <c r="S123" s="1076" t="str">
        <f t="shared" si="38"/>
        <v/>
      </c>
      <c r="T123" s="1078" t="str">
        <f t="shared" si="39"/>
        <v/>
      </c>
      <c r="U123" s="599"/>
      <c r="V123" s="804"/>
      <c r="W123" s="1110"/>
      <c r="X123" s="1218"/>
      <c r="Y123" s="1253" t="e">
        <f>ROUND(VLOOKUP(H123,tab!$A$61:$V$103,I123+2,FALSE),0)</f>
        <v>#VALUE!</v>
      </c>
      <c r="Z123" s="1252">
        <f>tab!$E$48</f>
        <v>0.62</v>
      </c>
      <c r="AA123" s="1284" t="e">
        <f t="shared" si="40"/>
        <v>#VALUE!</v>
      </c>
      <c r="AB123" s="1284" t="e">
        <f t="shared" si="41"/>
        <v>#VALUE!</v>
      </c>
      <c r="AC123" s="1284" t="e">
        <f t="shared" si="42"/>
        <v>#VALUE!</v>
      </c>
      <c r="AD123" s="1286" t="e">
        <f t="shared" si="43"/>
        <v>#VALUE!</v>
      </c>
      <c r="AE123" s="1286">
        <f t="shared" si="44"/>
        <v>0</v>
      </c>
      <c r="AF123" s="1254">
        <f>IF(H123&gt;8,tab!$D$49,tab!$D$52)</f>
        <v>0.5</v>
      </c>
      <c r="AG123" s="1255">
        <f t="shared" si="52"/>
        <v>0</v>
      </c>
      <c r="AH123" s="1251">
        <f t="shared" si="53"/>
        <v>0</v>
      </c>
      <c r="AI123" s="1278" t="e">
        <f>DATE(YEAR(tab!$F$3),MONTH(G123),DAY(G123))&gt;tab!$F$3</f>
        <v>#VALUE!</v>
      </c>
      <c r="AJ123" s="1255" t="e">
        <f t="shared" si="54"/>
        <v>#VALUE!</v>
      </c>
      <c r="AK123" s="1199">
        <f t="shared" si="55"/>
        <v>30</v>
      </c>
      <c r="AL123" s="1199">
        <f t="shared" si="56"/>
        <v>30</v>
      </c>
      <c r="AM123" s="1205">
        <f t="shared" si="57"/>
        <v>0</v>
      </c>
      <c r="AS123" s="819"/>
    </row>
    <row r="124" spans="2:45" ht="12.75" customHeight="1" x14ac:dyDescent="0.2">
      <c r="B124" s="466"/>
      <c r="C124" s="135"/>
      <c r="D124" s="432" t="str">
        <f>IF(op!D56="","",op!D56)</f>
        <v/>
      </c>
      <c r="E124" s="432" t="str">
        <f>IF(op!E56="","",op!E56)</f>
        <v/>
      </c>
      <c r="F124" s="776" t="str">
        <f>IF(op!F56="","",op!F56+1)</f>
        <v/>
      </c>
      <c r="G124" s="802" t="str">
        <f>IF(op!G56="","",op!G56)</f>
        <v/>
      </c>
      <c r="H124" s="776" t="str">
        <f>IF(op!H56=0,"",op!H56)</f>
        <v/>
      </c>
      <c r="I124" s="433" t="str">
        <f>IF(J124="","",IF(op!I56&gt;LOOKUP(H124,schaal2013,regels2013),op!I56-1,IF(op!I56=LOOKUP(H124,schaal2013,regels2013),op!I56,I56+1)))</f>
        <v/>
      </c>
      <c r="J124" s="803" t="str">
        <f>IF(op!J56="","",op!J56)</f>
        <v/>
      </c>
      <c r="K124" s="518"/>
      <c r="L124" s="1207">
        <f>IF(op!L56="",0,op!L56)</f>
        <v>0</v>
      </c>
      <c r="M124" s="1207">
        <f>IF(op!M56="",0,op!M56)</f>
        <v>0</v>
      </c>
      <c r="N124" s="1209" t="str">
        <f t="shared" si="35"/>
        <v/>
      </c>
      <c r="O124" s="1209" t="str">
        <f t="shared" si="36"/>
        <v/>
      </c>
      <c r="P124" s="1283" t="str">
        <f t="shared" si="37"/>
        <v/>
      </c>
      <c r="Q124" s="518"/>
      <c r="R124" s="1076" t="str">
        <f t="shared" si="51"/>
        <v/>
      </c>
      <c r="S124" s="1076" t="str">
        <f t="shared" si="38"/>
        <v/>
      </c>
      <c r="T124" s="1078" t="str">
        <f t="shared" si="39"/>
        <v/>
      </c>
      <c r="U124" s="599"/>
      <c r="V124" s="804"/>
      <c r="W124" s="1110"/>
      <c r="X124" s="1218"/>
      <c r="Y124" s="1253" t="e">
        <f>ROUND(VLOOKUP(H124,tab!$A$61:$V$103,I124+2,FALSE),0)</f>
        <v>#VALUE!</v>
      </c>
      <c r="Z124" s="1252">
        <f>tab!$E$48</f>
        <v>0.62</v>
      </c>
      <c r="AA124" s="1284" t="e">
        <f t="shared" si="40"/>
        <v>#VALUE!</v>
      </c>
      <c r="AB124" s="1284" t="e">
        <f t="shared" si="41"/>
        <v>#VALUE!</v>
      </c>
      <c r="AC124" s="1284" t="e">
        <f t="shared" si="42"/>
        <v>#VALUE!</v>
      </c>
      <c r="AD124" s="1286" t="e">
        <f t="shared" si="43"/>
        <v>#VALUE!</v>
      </c>
      <c r="AE124" s="1286">
        <f t="shared" si="44"/>
        <v>0</v>
      </c>
      <c r="AF124" s="1254">
        <f>IF(H124&gt;8,tab!$D$49,tab!$D$52)</f>
        <v>0.5</v>
      </c>
      <c r="AG124" s="1255">
        <f t="shared" si="52"/>
        <v>0</v>
      </c>
      <c r="AH124" s="1251">
        <f t="shared" si="53"/>
        <v>0</v>
      </c>
      <c r="AI124" s="1278" t="e">
        <f>DATE(YEAR(tab!$F$3),MONTH(G124),DAY(G124))&gt;tab!$F$3</f>
        <v>#VALUE!</v>
      </c>
      <c r="AJ124" s="1255" t="e">
        <f t="shared" si="54"/>
        <v>#VALUE!</v>
      </c>
      <c r="AK124" s="1199">
        <f t="shared" si="55"/>
        <v>30</v>
      </c>
      <c r="AL124" s="1199">
        <f t="shared" si="56"/>
        <v>30</v>
      </c>
      <c r="AM124" s="1205">
        <f t="shared" si="57"/>
        <v>0</v>
      </c>
      <c r="AS124" s="819"/>
    </row>
    <row r="125" spans="2:45" ht="12.75" customHeight="1" x14ac:dyDescent="0.2">
      <c r="B125" s="466"/>
      <c r="C125" s="135"/>
      <c r="D125" s="432" t="str">
        <f>IF(op!D57="","",op!D57)</f>
        <v/>
      </c>
      <c r="E125" s="432" t="str">
        <f>IF(op!E57="","",op!E57)</f>
        <v/>
      </c>
      <c r="F125" s="776" t="str">
        <f>IF(op!F57="","",op!F57+1)</f>
        <v/>
      </c>
      <c r="G125" s="802" t="str">
        <f>IF(op!G57="","",op!G57)</f>
        <v/>
      </c>
      <c r="H125" s="776" t="str">
        <f>IF(op!H57=0,"",op!H57)</f>
        <v/>
      </c>
      <c r="I125" s="433" t="str">
        <f>IF(J125="","",IF(op!I57&gt;LOOKUP(H125,schaal2013,regels2013),op!I57-1,IF(op!I57=LOOKUP(H125,schaal2013,regels2013),op!I57,I57+1)))</f>
        <v/>
      </c>
      <c r="J125" s="803" t="str">
        <f>IF(op!J57="","",op!J57)</f>
        <v/>
      </c>
      <c r="K125" s="518"/>
      <c r="L125" s="1207">
        <f>IF(op!L57="",0,op!L57)</f>
        <v>0</v>
      </c>
      <c r="M125" s="1207">
        <f>IF(op!M57="",0,op!M57)</f>
        <v>0</v>
      </c>
      <c r="N125" s="1209" t="str">
        <f t="shared" si="35"/>
        <v/>
      </c>
      <c r="O125" s="1209" t="str">
        <f t="shared" si="36"/>
        <v/>
      </c>
      <c r="P125" s="1283" t="str">
        <f t="shared" si="37"/>
        <v/>
      </c>
      <c r="Q125" s="518"/>
      <c r="R125" s="1076" t="str">
        <f t="shared" si="51"/>
        <v/>
      </c>
      <c r="S125" s="1076" t="str">
        <f t="shared" si="38"/>
        <v/>
      </c>
      <c r="T125" s="1078" t="str">
        <f t="shared" si="39"/>
        <v/>
      </c>
      <c r="U125" s="599"/>
      <c r="V125" s="804"/>
      <c r="W125" s="1110"/>
      <c r="X125" s="1218"/>
      <c r="Y125" s="1253" t="e">
        <f>ROUND(VLOOKUP(H125,tab!$A$61:$V$103,I125+2,FALSE),0)</f>
        <v>#VALUE!</v>
      </c>
      <c r="Z125" s="1252">
        <f>tab!$E$48</f>
        <v>0.62</v>
      </c>
      <c r="AA125" s="1284" t="e">
        <f t="shared" si="40"/>
        <v>#VALUE!</v>
      </c>
      <c r="AB125" s="1284" t="e">
        <f t="shared" si="41"/>
        <v>#VALUE!</v>
      </c>
      <c r="AC125" s="1284" t="e">
        <f t="shared" si="42"/>
        <v>#VALUE!</v>
      </c>
      <c r="AD125" s="1286" t="e">
        <f t="shared" si="43"/>
        <v>#VALUE!</v>
      </c>
      <c r="AE125" s="1286">
        <f t="shared" si="44"/>
        <v>0</v>
      </c>
      <c r="AF125" s="1254">
        <f>IF(H125&gt;8,tab!$D$49,tab!$D$52)</f>
        <v>0.5</v>
      </c>
      <c r="AG125" s="1255">
        <f t="shared" si="52"/>
        <v>0</v>
      </c>
      <c r="AH125" s="1251">
        <f t="shared" si="53"/>
        <v>0</v>
      </c>
      <c r="AI125" s="1278" t="e">
        <f>DATE(YEAR(tab!$F$3),MONTH(G125),DAY(G125))&gt;tab!$F$3</f>
        <v>#VALUE!</v>
      </c>
      <c r="AJ125" s="1255" t="e">
        <f t="shared" si="54"/>
        <v>#VALUE!</v>
      </c>
      <c r="AK125" s="1199">
        <f t="shared" si="55"/>
        <v>30</v>
      </c>
      <c r="AL125" s="1199">
        <f t="shared" si="56"/>
        <v>30</v>
      </c>
      <c r="AM125" s="1205">
        <f t="shared" si="57"/>
        <v>0</v>
      </c>
      <c r="AS125" s="819"/>
    </row>
    <row r="126" spans="2:45" ht="12.75" customHeight="1" x14ac:dyDescent="0.2">
      <c r="B126" s="466"/>
      <c r="C126" s="135"/>
      <c r="D126" s="432" t="str">
        <f>IF(op!D58="","",op!D58)</f>
        <v/>
      </c>
      <c r="E126" s="432" t="str">
        <f>IF(op!E58="","",op!E58)</f>
        <v/>
      </c>
      <c r="F126" s="776" t="str">
        <f>IF(op!F58="","",op!F58+1)</f>
        <v/>
      </c>
      <c r="G126" s="802" t="str">
        <f>IF(op!G58="","",op!G58)</f>
        <v/>
      </c>
      <c r="H126" s="776" t="str">
        <f>IF(op!H58=0,"",op!H58)</f>
        <v/>
      </c>
      <c r="I126" s="433" t="str">
        <f>IF(J126="","",IF(op!I58&gt;LOOKUP(H126,schaal2013,regels2013),op!I58-1,IF(op!I58=LOOKUP(H126,schaal2013,regels2013),op!I58,I58+1)))</f>
        <v/>
      </c>
      <c r="J126" s="803" t="str">
        <f>IF(op!J58="","",op!J58)</f>
        <v/>
      </c>
      <c r="K126" s="518"/>
      <c r="L126" s="1207">
        <f>IF(op!L58="",0,op!L58)</f>
        <v>0</v>
      </c>
      <c r="M126" s="1207">
        <f>IF(op!M58="",0,op!M58)</f>
        <v>0</v>
      </c>
      <c r="N126" s="1209" t="str">
        <f t="shared" si="35"/>
        <v/>
      </c>
      <c r="O126" s="1209" t="str">
        <f t="shared" si="36"/>
        <v/>
      </c>
      <c r="P126" s="1283" t="str">
        <f t="shared" si="37"/>
        <v/>
      </c>
      <c r="Q126" s="518"/>
      <c r="R126" s="1076" t="str">
        <f t="shared" si="51"/>
        <v/>
      </c>
      <c r="S126" s="1076" t="str">
        <f t="shared" si="38"/>
        <v/>
      </c>
      <c r="T126" s="1078" t="str">
        <f t="shared" si="39"/>
        <v/>
      </c>
      <c r="U126" s="599"/>
      <c r="V126" s="804"/>
      <c r="W126" s="1110"/>
      <c r="X126" s="1218"/>
      <c r="Y126" s="1253" t="e">
        <f>ROUND(VLOOKUP(H126,tab!$A$61:$V$103,I126+2,FALSE),0)</f>
        <v>#VALUE!</v>
      </c>
      <c r="Z126" s="1252">
        <f>tab!$E$48</f>
        <v>0.62</v>
      </c>
      <c r="AA126" s="1284" t="e">
        <f t="shared" si="40"/>
        <v>#VALUE!</v>
      </c>
      <c r="AB126" s="1284" t="e">
        <f t="shared" si="41"/>
        <v>#VALUE!</v>
      </c>
      <c r="AC126" s="1284" t="e">
        <f t="shared" si="42"/>
        <v>#VALUE!</v>
      </c>
      <c r="AD126" s="1286" t="e">
        <f t="shared" si="43"/>
        <v>#VALUE!</v>
      </c>
      <c r="AE126" s="1286">
        <f t="shared" si="44"/>
        <v>0</v>
      </c>
      <c r="AF126" s="1254">
        <f>IF(H126&gt;8,tab!$D$49,tab!$D$52)</f>
        <v>0.5</v>
      </c>
      <c r="AG126" s="1255">
        <f t="shared" si="52"/>
        <v>0</v>
      </c>
      <c r="AH126" s="1251">
        <f t="shared" si="53"/>
        <v>0</v>
      </c>
      <c r="AI126" s="1278" t="e">
        <f>DATE(YEAR(tab!$F$3),MONTH(G126),DAY(G126))&gt;tab!$F$3</f>
        <v>#VALUE!</v>
      </c>
      <c r="AJ126" s="1255" t="e">
        <f t="shared" si="54"/>
        <v>#VALUE!</v>
      </c>
      <c r="AK126" s="1199">
        <f t="shared" si="55"/>
        <v>30</v>
      </c>
      <c r="AL126" s="1199">
        <f t="shared" si="56"/>
        <v>30</v>
      </c>
      <c r="AM126" s="1205">
        <f t="shared" si="57"/>
        <v>0</v>
      </c>
      <c r="AS126" s="819"/>
    </row>
    <row r="127" spans="2:45" ht="12.75" customHeight="1" x14ac:dyDescent="0.2">
      <c r="B127" s="466"/>
      <c r="C127" s="135"/>
      <c r="D127" s="432" t="str">
        <f>IF(op!D59="","",op!D59)</f>
        <v/>
      </c>
      <c r="E127" s="432" t="str">
        <f>IF(op!E59="","",op!E59)</f>
        <v/>
      </c>
      <c r="F127" s="776" t="str">
        <f>IF(op!F59="","",op!F59+1)</f>
        <v/>
      </c>
      <c r="G127" s="802" t="str">
        <f>IF(op!G59="","",op!G59)</f>
        <v/>
      </c>
      <c r="H127" s="776" t="str">
        <f>IF(op!H59=0,"",op!H59)</f>
        <v/>
      </c>
      <c r="I127" s="433" t="str">
        <f>IF(J127="","",IF(op!I59&gt;LOOKUP(H127,schaal2013,regels2013),op!I59-1,IF(op!I59=LOOKUP(H127,schaal2013,regels2013),op!I59,I59+1)))</f>
        <v/>
      </c>
      <c r="J127" s="803" t="str">
        <f>IF(op!J59="","",op!J59)</f>
        <v/>
      </c>
      <c r="K127" s="518"/>
      <c r="L127" s="1207">
        <f>IF(op!L59="",0,op!L59)</f>
        <v>0</v>
      </c>
      <c r="M127" s="1207">
        <f>IF(op!M59="",0,op!M59)</f>
        <v>0</v>
      </c>
      <c r="N127" s="1209" t="str">
        <f t="shared" si="35"/>
        <v/>
      </c>
      <c r="O127" s="1209" t="str">
        <f t="shared" si="36"/>
        <v/>
      </c>
      <c r="P127" s="1283" t="str">
        <f t="shared" si="37"/>
        <v/>
      </c>
      <c r="Q127" s="518"/>
      <c r="R127" s="1076" t="str">
        <f t="shared" si="51"/>
        <v/>
      </c>
      <c r="S127" s="1076" t="str">
        <f t="shared" si="38"/>
        <v/>
      </c>
      <c r="T127" s="1078" t="str">
        <f t="shared" si="39"/>
        <v/>
      </c>
      <c r="U127" s="599"/>
      <c r="V127" s="804"/>
      <c r="W127" s="1110"/>
      <c r="X127" s="1218"/>
      <c r="Y127" s="1253" t="e">
        <f>ROUND(VLOOKUP(H127,tab!$A$61:$V$103,I127+2,FALSE),0)</f>
        <v>#VALUE!</v>
      </c>
      <c r="Z127" s="1252">
        <f>tab!$E$48</f>
        <v>0.62</v>
      </c>
      <c r="AA127" s="1284" t="e">
        <f t="shared" si="40"/>
        <v>#VALUE!</v>
      </c>
      <c r="AB127" s="1284" t="e">
        <f t="shared" si="41"/>
        <v>#VALUE!</v>
      </c>
      <c r="AC127" s="1284" t="e">
        <f t="shared" si="42"/>
        <v>#VALUE!</v>
      </c>
      <c r="AD127" s="1286" t="e">
        <f t="shared" si="43"/>
        <v>#VALUE!</v>
      </c>
      <c r="AE127" s="1286">
        <f t="shared" si="44"/>
        <v>0</v>
      </c>
      <c r="AF127" s="1254">
        <f>IF(H127&gt;8,tab!$D$49,tab!$D$52)</f>
        <v>0.5</v>
      </c>
      <c r="AG127" s="1255">
        <f t="shared" si="52"/>
        <v>0</v>
      </c>
      <c r="AH127" s="1251">
        <f t="shared" si="53"/>
        <v>0</v>
      </c>
      <c r="AI127" s="1278" t="e">
        <f>DATE(YEAR(tab!$F$3),MONTH(G127),DAY(G127))&gt;tab!$F$3</f>
        <v>#VALUE!</v>
      </c>
      <c r="AJ127" s="1255" t="e">
        <f t="shared" si="54"/>
        <v>#VALUE!</v>
      </c>
      <c r="AK127" s="1199">
        <f t="shared" si="55"/>
        <v>30</v>
      </c>
      <c r="AL127" s="1199">
        <f t="shared" si="56"/>
        <v>30</v>
      </c>
      <c r="AM127" s="1205">
        <f t="shared" si="57"/>
        <v>0</v>
      </c>
      <c r="AS127" s="819"/>
    </row>
    <row r="128" spans="2:45" ht="12.75" customHeight="1" x14ac:dyDescent="0.2">
      <c r="B128" s="466"/>
      <c r="C128" s="135"/>
      <c r="D128" s="432" t="str">
        <f>IF(op!D60="","",op!D60)</f>
        <v/>
      </c>
      <c r="E128" s="432" t="str">
        <f>IF(op!E60="","",op!E60)</f>
        <v/>
      </c>
      <c r="F128" s="776" t="str">
        <f>IF(op!F60="","",op!F60+1)</f>
        <v/>
      </c>
      <c r="G128" s="802" t="str">
        <f>IF(op!G60="","",op!G60)</f>
        <v/>
      </c>
      <c r="H128" s="776" t="str">
        <f>IF(op!H60=0,"",op!H60)</f>
        <v/>
      </c>
      <c r="I128" s="433" t="str">
        <f>IF(J128="","",IF(op!I60&gt;LOOKUP(H128,schaal2013,regels2013),op!I60-1,IF(op!I60=LOOKUP(H128,schaal2013,regels2013),op!I60,I60+1)))</f>
        <v/>
      </c>
      <c r="J128" s="803" t="str">
        <f>IF(op!J60="","",op!J60)</f>
        <v/>
      </c>
      <c r="K128" s="518"/>
      <c r="L128" s="1207">
        <f>IF(op!L60="",0,op!L60)</f>
        <v>0</v>
      </c>
      <c r="M128" s="1207">
        <f>IF(op!M60="",0,op!M60)</f>
        <v>0</v>
      </c>
      <c r="N128" s="1209" t="str">
        <f t="shared" si="35"/>
        <v/>
      </c>
      <c r="O128" s="1209" t="str">
        <f t="shared" si="36"/>
        <v/>
      </c>
      <c r="P128" s="1283" t="str">
        <f t="shared" si="37"/>
        <v/>
      </c>
      <c r="Q128" s="518"/>
      <c r="R128" s="1076" t="str">
        <f t="shared" si="51"/>
        <v/>
      </c>
      <c r="S128" s="1076" t="str">
        <f t="shared" si="38"/>
        <v/>
      </c>
      <c r="T128" s="1078" t="str">
        <f t="shared" si="39"/>
        <v/>
      </c>
      <c r="U128" s="599"/>
      <c r="V128" s="804"/>
      <c r="W128" s="1110"/>
      <c r="X128" s="1218"/>
      <c r="Y128" s="1253" t="e">
        <f>ROUND(VLOOKUP(H128,tab!$A$61:$V$103,I128+2,FALSE),0)</f>
        <v>#VALUE!</v>
      </c>
      <c r="Z128" s="1252">
        <f>tab!$E$48</f>
        <v>0.62</v>
      </c>
      <c r="AA128" s="1284" t="e">
        <f t="shared" si="40"/>
        <v>#VALUE!</v>
      </c>
      <c r="AB128" s="1284" t="e">
        <f t="shared" si="41"/>
        <v>#VALUE!</v>
      </c>
      <c r="AC128" s="1284" t="e">
        <f t="shared" si="42"/>
        <v>#VALUE!</v>
      </c>
      <c r="AD128" s="1286" t="e">
        <f t="shared" si="43"/>
        <v>#VALUE!</v>
      </c>
      <c r="AE128" s="1286">
        <f t="shared" si="44"/>
        <v>0</v>
      </c>
      <c r="AF128" s="1254">
        <f>IF(H128&gt;8,tab!$D$49,tab!$D$52)</f>
        <v>0.5</v>
      </c>
      <c r="AG128" s="1255">
        <f t="shared" si="52"/>
        <v>0</v>
      </c>
      <c r="AH128" s="1251">
        <f t="shared" si="53"/>
        <v>0</v>
      </c>
      <c r="AI128" s="1278" t="e">
        <f>DATE(YEAR(tab!$F$3),MONTH(G128),DAY(G128))&gt;tab!$F$3</f>
        <v>#VALUE!</v>
      </c>
      <c r="AJ128" s="1255" t="e">
        <f t="shared" si="54"/>
        <v>#VALUE!</v>
      </c>
      <c r="AK128" s="1199">
        <f t="shared" si="55"/>
        <v>30</v>
      </c>
      <c r="AL128" s="1199">
        <f t="shared" si="56"/>
        <v>30</v>
      </c>
      <c r="AM128" s="1205">
        <f t="shared" si="57"/>
        <v>0</v>
      </c>
      <c r="AS128" s="819"/>
    </row>
    <row r="129" spans="2:45" ht="12.75" customHeight="1" x14ac:dyDescent="0.2">
      <c r="B129" s="466"/>
      <c r="C129" s="135"/>
      <c r="D129" s="432" t="str">
        <f>IF(op!D61="","",op!D61)</f>
        <v/>
      </c>
      <c r="E129" s="432" t="str">
        <f>IF(op!E61="","",op!E61)</f>
        <v/>
      </c>
      <c r="F129" s="776" t="str">
        <f>IF(op!F61="","",op!F61+1)</f>
        <v/>
      </c>
      <c r="G129" s="802" t="str">
        <f>IF(op!G61="","",op!G61)</f>
        <v/>
      </c>
      <c r="H129" s="776" t="str">
        <f>IF(op!H61=0,"",op!H61)</f>
        <v/>
      </c>
      <c r="I129" s="433" t="str">
        <f>IF(J129="","",IF(op!I61&gt;LOOKUP(H129,schaal2013,regels2013),op!I61-1,IF(op!I61=LOOKUP(H129,schaal2013,regels2013),op!I61,I61+1)))</f>
        <v/>
      </c>
      <c r="J129" s="803" t="str">
        <f>IF(op!J61="","",op!J61)</f>
        <v/>
      </c>
      <c r="K129" s="518"/>
      <c r="L129" s="1207">
        <f>IF(op!L61="",0,op!L61)</f>
        <v>0</v>
      </c>
      <c r="M129" s="1207">
        <f>IF(op!M61="",0,op!M61)</f>
        <v>0</v>
      </c>
      <c r="N129" s="1209" t="str">
        <f t="shared" si="35"/>
        <v/>
      </c>
      <c r="O129" s="1209" t="str">
        <f t="shared" si="36"/>
        <v/>
      </c>
      <c r="P129" s="1283" t="str">
        <f t="shared" si="37"/>
        <v/>
      </c>
      <c r="Q129" s="518"/>
      <c r="R129" s="1076" t="str">
        <f t="shared" si="51"/>
        <v/>
      </c>
      <c r="S129" s="1076" t="str">
        <f t="shared" si="38"/>
        <v/>
      </c>
      <c r="T129" s="1078" t="str">
        <f t="shared" si="39"/>
        <v/>
      </c>
      <c r="U129" s="599"/>
      <c r="V129" s="804"/>
      <c r="W129" s="1110"/>
      <c r="X129" s="1218"/>
      <c r="Y129" s="1253" t="e">
        <f>ROUND(VLOOKUP(H129,tab!$A$61:$V$103,I129+2,FALSE),0)</f>
        <v>#VALUE!</v>
      </c>
      <c r="Z129" s="1252">
        <f>tab!$E$48</f>
        <v>0.62</v>
      </c>
      <c r="AA129" s="1284" t="e">
        <f t="shared" si="40"/>
        <v>#VALUE!</v>
      </c>
      <c r="AB129" s="1284" t="e">
        <f t="shared" si="41"/>
        <v>#VALUE!</v>
      </c>
      <c r="AC129" s="1284" t="e">
        <f t="shared" si="42"/>
        <v>#VALUE!</v>
      </c>
      <c r="AD129" s="1286" t="e">
        <f t="shared" si="43"/>
        <v>#VALUE!</v>
      </c>
      <c r="AE129" s="1286">
        <f t="shared" si="44"/>
        <v>0</v>
      </c>
      <c r="AF129" s="1254">
        <f>IF(H129&gt;8,tab!$D$49,tab!$D$52)</f>
        <v>0.5</v>
      </c>
      <c r="AG129" s="1255">
        <f t="shared" si="52"/>
        <v>0</v>
      </c>
      <c r="AH129" s="1251">
        <f t="shared" si="53"/>
        <v>0</v>
      </c>
      <c r="AI129" s="1278" t="e">
        <f>DATE(YEAR(tab!$F$3),MONTH(G129),DAY(G129))&gt;tab!$F$3</f>
        <v>#VALUE!</v>
      </c>
      <c r="AJ129" s="1255" t="e">
        <f t="shared" si="54"/>
        <v>#VALUE!</v>
      </c>
      <c r="AK129" s="1199">
        <f t="shared" si="55"/>
        <v>30</v>
      </c>
      <c r="AL129" s="1199">
        <f t="shared" si="56"/>
        <v>30</v>
      </c>
      <c r="AM129" s="1205">
        <f t="shared" si="57"/>
        <v>0</v>
      </c>
      <c r="AS129" s="819"/>
    </row>
    <row r="130" spans="2:45" ht="12.75" customHeight="1" x14ac:dyDescent="0.2">
      <c r="B130" s="466"/>
      <c r="C130" s="135"/>
      <c r="D130" s="432" t="str">
        <f>IF(op!D62="","",op!D62)</f>
        <v/>
      </c>
      <c r="E130" s="432" t="str">
        <f>IF(op!E62="","",op!E62)</f>
        <v/>
      </c>
      <c r="F130" s="776" t="str">
        <f>IF(op!F62="","",op!F62+1)</f>
        <v/>
      </c>
      <c r="G130" s="802" t="str">
        <f>IF(op!G62="","",op!G62)</f>
        <v/>
      </c>
      <c r="H130" s="776" t="str">
        <f>IF(op!H62=0,"",op!H62)</f>
        <v/>
      </c>
      <c r="I130" s="433" t="str">
        <f>IF(J130="","",IF(op!I62&gt;LOOKUP(H130,schaal2013,regels2013),op!I62-1,IF(op!I62=LOOKUP(H130,schaal2013,regels2013),op!I62,I62+1)))</f>
        <v/>
      </c>
      <c r="J130" s="803" t="str">
        <f>IF(op!J62="","",op!J62)</f>
        <v/>
      </c>
      <c r="K130" s="518"/>
      <c r="L130" s="1207">
        <f>IF(op!L62="",0,op!L62)</f>
        <v>0</v>
      </c>
      <c r="M130" s="1207">
        <f>IF(op!M62="",0,op!M62)</f>
        <v>0</v>
      </c>
      <c r="N130" s="1209" t="str">
        <f t="shared" si="35"/>
        <v/>
      </c>
      <c r="O130" s="1209" t="str">
        <f t="shared" si="36"/>
        <v/>
      </c>
      <c r="P130" s="1283" t="str">
        <f t="shared" si="37"/>
        <v/>
      </c>
      <c r="Q130" s="518"/>
      <c r="R130" s="1076" t="str">
        <f t="shared" si="51"/>
        <v/>
      </c>
      <c r="S130" s="1076" t="str">
        <f t="shared" si="38"/>
        <v/>
      </c>
      <c r="T130" s="1078" t="str">
        <f t="shared" si="39"/>
        <v/>
      </c>
      <c r="U130" s="599"/>
      <c r="V130" s="804"/>
      <c r="W130" s="1110"/>
      <c r="X130" s="1218"/>
      <c r="Y130" s="1253" t="e">
        <f>ROUND(VLOOKUP(H130,tab!$A$61:$V$103,I130+2,FALSE),0)</f>
        <v>#VALUE!</v>
      </c>
      <c r="Z130" s="1252">
        <f>tab!$E$48</f>
        <v>0.62</v>
      </c>
      <c r="AA130" s="1284" t="e">
        <f t="shared" si="40"/>
        <v>#VALUE!</v>
      </c>
      <c r="AB130" s="1284" t="e">
        <f t="shared" si="41"/>
        <v>#VALUE!</v>
      </c>
      <c r="AC130" s="1284" t="e">
        <f t="shared" si="42"/>
        <v>#VALUE!</v>
      </c>
      <c r="AD130" s="1286" t="e">
        <f t="shared" si="43"/>
        <v>#VALUE!</v>
      </c>
      <c r="AE130" s="1286">
        <f t="shared" si="44"/>
        <v>0</v>
      </c>
      <c r="AF130" s="1254">
        <f>IF(H130&gt;8,tab!$D$49,tab!$D$52)</f>
        <v>0.5</v>
      </c>
      <c r="AG130" s="1255">
        <f t="shared" si="52"/>
        <v>0</v>
      </c>
      <c r="AH130" s="1251">
        <f t="shared" si="53"/>
        <v>0</v>
      </c>
      <c r="AI130" s="1278" t="e">
        <f>DATE(YEAR(tab!$F$3),MONTH(G130),DAY(G130))&gt;tab!$F$3</f>
        <v>#VALUE!</v>
      </c>
      <c r="AJ130" s="1255" t="e">
        <f t="shared" si="54"/>
        <v>#VALUE!</v>
      </c>
      <c r="AK130" s="1199">
        <f t="shared" si="55"/>
        <v>30</v>
      </c>
      <c r="AL130" s="1199">
        <f t="shared" si="56"/>
        <v>30</v>
      </c>
      <c r="AM130" s="1205">
        <f t="shared" si="57"/>
        <v>0</v>
      </c>
      <c r="AS130" s="819"/>
    </row>
    <row r="131" spans="2:45" ht="12.75" customHeight="1" x14ac:dyDescent="0.2">
      <c r="B131" s="466"/>
      <c r="C131" s="135"/>
      <c r="D131" s="432" t="str">
        <f>IF(op!D63="","",op!D63)</f>
        <v/>
      </c>
      <c r="E131" s="432" t="str">
        <f>IF(op!E63="","",op!E63)</f>
        <v/>
      </c>
      <c r="F131" s="776" t="str">
        <f>IF(op!F63="","",op!F63+1)</f>
        <v/>
      </c>
      <c r="G131" s="802" t="str">
        <f>IF(op!G63="","",op!G63)</f>
        <v/>
      </c>
      <c r="H131" s="776" t="str">
        <f>IF(op!H63=0,"",op!H63)</f>
        <v/>
      </c>
      <c r="I131" s="433" t="str">
        <f>IF(J131="","",IF(op!I63&gt;LOOKUP(H131,schaal2013,regels2013),op!I63-1,IF(op!I63=LOOKUP(H131,schaal2013,regels2013),op!I63,I63+1)))</f>
        <v/>
      </c>
      <c r="J131" s="803" t="str">
        <f>IF(op!J63="","",op!J63)</f>
        <v/>
      </c>
      <c r="K131" s="518"/>
      <c r="L131" s="1207">
        <f>IF(op!L63="",0,op!L63)</f>
        <v>0</v>
      </c>
      <c r="M131" s="1207">
        <f>IF(op!M63="",0,op!M63)</f>
        <v>0</v>
      </c>
      <c r="N131" s="1209" t="str">
        <f t="shared" si="35"/>
        <v/>
      </c>
      <c r="O131" s="1209" t="str">
        <f t="shared" si="36"/>
        <v/>
      </c>
      <c r="P131" s="1283" t="str">
        <f t="shared" si="37"/>
        <v/>
      </c>
      <c r="Q131" s="518"/>
      <c r="R131" s="1076" t="str">
        <f t="shared" si="51"/>
        <v/>
      </c>
      <c r="S131" s="1076" t="str">
        <f t="shared" si="38"/>
        <v/>
      </c>
      <c r="T131" s="1078" t="str">
        <f t="shared" si="39"/>
        <v/>
      </c>
      <c r="U131" s="599"/>
      <c r="V131" s="804"/>
      <c r="W131" s="1110"/>
      <c r="X131" s="1218"/>
      <c r="Y131" s="1253" t="e">
        <f>ROUND(VLOOKUP(H131,tab!$A$61:$V$103,I131+2,FALSE),0)</f>
        <v>#VALUE!</v>
      </c>
      <c r="Z131" s="1252">
        <f>tab!$E$48</f>
        <v>0.62</v>
      </c>
      <c r="AA131" s="1284" t="e">
        <f t="shared" si="40"/>
        <v>#VALUE!</v>
      </c>
      <c r="AB131" s="1284" t="e">
        <f t="shared" si="41"/>
        <v>#VALUE!</v>
      </c>
      <c r="AC131" s="1284" t="e">
        <f t="shared" si="42"/>
        <v>#VALUE!</v>
      </c>
      <c r="AD131" s="1286" t="e">
        <f t="shared" si="43"/>
        <v>#VALUE!</v>
      </c>
      <c r="AE131" s="1286">
        <f t="shared" si="44"/>
        <v>0</v>
      </c>
      <c r="AF131" s="1254">
        <f>IF(H131&gt;8,tab!$D$49,tab!$D$52)</f>
        <v>0.5</v>
      </c>
      <c r="AG131" s="1255">
        <f t="shared" si="52"/>
        <v>0</v>
      </c>
      <c r="AH131" s="1251">
        <f t="shared" si="53"/>
        <v>0</v>
      </c>
      <c r="AI131" s="1278" t="e">
        <f>DATE(YEAR(tab!$F$3),MONTH(G131),DAY(G131))&gt;tab!$F$3</f>
        <v>#VALUE!</v>
      </c>
      <c r="AJ131" s="1255" t="e">
        <f t="shared" si="54"/>
        <v>#VALUE!</v>
      </c>
      <c r="AK131" s="1199">
        <f t="shared" si="55"/>
        <v>30</v>
      </c>
      <c r="AL131" s="1199">
        <f t="shared" si="56"/>
        <v>30</v>
      </c>
      <c r="AM131" s="1205">
        <f t="shared" si="57"/>
        <v>0</v>
      </c>
      <c r="AS131" s="819"/>
    </row>
    <row r="132" spans="2:45" ht="12.75" customHeight="1" x14ac:dyDescent="0.2">
      <c r="B132" s="466"/>
      <c r="C132" s="135"/>
      <c r="D132" s="432" t="str">
        <f>IF(op!D64="","",op!D64)</f>
        <v/>
      </c>
      <c r="E132" s="432" t="str">
        <f>IF(op!E64="","",op!E64)</f>
        <v/>
      </c>
      <c r="F132" s="776" t="str">
        <f>IF(op!F64="","",op!F64+1)</f>
        <v/>
      </c>
      <c r="G132" s="802" t="str">
        <f>IF(op!G64="","",op!G64)</f>
        <v/>
      </c>
      <c r="H132" s="776" t="str">
        <f>IF(op!H64=0,"",op!H64)</f>
        <v/>
      </c>
      <c r="I132" s="433" t="str">
        <f>IF(J132="","",IF(op!I64&gt;LOOKUP(H132,schaal2013,regels2013),op!I64-1,IF(op!I64=LOOKUP(H132,schaal2013,regels2013),op!I64,I64+1)))</f>
        <v/>
      </c>
      <c r="J132" s="803" t="str">
        <f>IF(op!J64="","",op!J64)</f>
        <v/>
      </c>
      <c r="K132" s="518"/>
      <c r="L132" s="1207">
        <f>IF(op!L64="",0,op!L64)</f>
        <v>0</v>
      </c>
      <c r="M132" s="1207">
        <f>IF(op!M64="",0,op!M64)</f>
        <v>0</v>
      </c>
      <c r="N132" s="1209" t="str">
        <f t="shared" si="35"/>
        <v/>
      </c>
      <c r="O132" s="1209" t="str">
        <f t="shared" si="36"/>
        <v/>
      </c>
      <c r="P132" s="1283" t="str">
        <f t="shared" si="37"/>
        <v/>
      </c>
      <c r="Q132" s="518"/>
      <c r="R132" s="1076" t="str">
        <f t="shared" si="51"/>
        <v/>
      </c>
      <c r="S132" s="1076" t="str">
        <f t="shared" si="38"/>
        <v/>
      </c>
      <c r="T132" s="1078" t="str">
        <f t="shared" si="39"/>
        <v/>
      </c>
      <c r="U132" s="599"/>
      <c r="V132" s="804"/>
      <c r="W132" s="1110"/>
      <c r="X132" s="1218"/>
      <c r="Y132" s="1253" t="e">
        <f>ROUND(VLOOKUP(H132,tab!$A$61:$V$103,I132+2,FALSE),0)</f>
        <v>#VALUE!</v>
      </c>
      <c r="Z132" s="1252">
        <f>tab!$E$48</f>
        <v>0.62</v>
      </c>
      <c r="AA132" s="1284" t="e">
        <f t="shared" si="40"/>
        <v>#VALUE!</v>
      </c>
      <c r="AB132" s="1284" t="e">
        <f t="shared" si="41"/>
        <v>#VALUE!</v>
      </c>
      <c r="AC132" s="1284" t="e">
        <f t="shared" si="42"/>
        <v>#VALUE!</v>
      </c>
      <c r="AD132" s="1286" t="e">
        <f t="shared" si="43"/>
        <v>#VALUE!</v>
      </c>
      <c r="AE132" s="1286">
        <f t="shared" si="44"/>
        <v>0</v>
      </c>
      <c r="AF132" s="1254">
        <f>IF(H132&gt;8,tab!$D$49,tab!$D$52)</f>
        <v>0.5</v>
      </c>
      <c r="AG132" s="1255">
        <f t="shared" si="52"/>
        <v>0</v>
      </c>
      <c r="AH132" s="1251">
        <f t="shared" si="53"/>
        <v>0</v>
      </c>
      <c r="AI132" s="1278" t="e">
        <f>DATE(YEAR(tab!$F$3),MONTH(G132),DAY(G132))&gt;tab!$F$3</f>
        <v>#VALUE!</v>
      </c>
      <c r="AJ132" s="1255" t="e">
        <f t="shared" si="54"/>
        <v>#VALUE!</v>
      </c>
      <c r="AK132" s="1199">
        <f t="shared" si="55"/>
        <v>30</v>
      </c>
      <c r="AL132" s="1199">
        <f t="shared" si="56"/>
        <v>30</v>
      </c>
      <c r="AM132" s="1205">
        <f t="shared" si="57"/>
        <v>0</v>
      </c>
      <c r="AS132" s="819"/>
    </row>
    <row r="133" spans="2:45" ht="12.75" customHeight="1" x14ac:dyDescent="0.2">
      <c r="B133" s="466"/>
      <c r="C133" s="135"/>
      <c r="D133" s="432" t="str">
        <f>IF(op!D65="","",op!D65)</f>
        <v/>
      </c>
      <c r="E133" s="432" t="str">
        <f>IF(op!E65="","",op!E65)</f>
        <v/>
      </c>
      <c r="F133" s="776" t="str">
        <f>IF(op!F65="","",op!F65+1)</f>
        <v/>
      </c>
      <c r="G133" s="802" t="str">
        <f>IF(op!G65="","",op!G65)</f>
        <v/>
      </c>
      <c r="H133" s="776" t="str">
        <f>IF(op!H65=0,"",op!H65)</f>
        <v/>
      </c>
      <c r="I133" s="433" t="str">
        <f>IF(J133="","",IF(op!I65&gt;LOOKUP(H133,schaal2013,regels2013),op!I65-1,IF(op!I65=LOOKUP(H133,schaal2013,regels2013),op!I65,I65+1)))</f>
        <v/>
      </c>
      <c r="J133" s="803" t="str">
        <f>IF(op!J65="","",op!J65)</f>
        <v/>
      </c>
      <c r="K133" s="518"/>
      <c r="L133" s="1207">
        <f>IF(op!L65="",0,op!L65)</f>
        <v>0</v>
      </c>
      <c r="M133" s="1207">
        <f>IF(op!M65="",0,op!M65)</f>
        <v>0</v>
      </c>
      <c r="N133" s="1209" t="str">
        <f t="shared" si="35"/>
        <v/>
      </c>
      <c r="O133" s="1209" t="str">
        <f t="shared" si="36"/>
        <v/>
      </c>
      <c r="P133" s="1283" t="str">
        <f t="shared" si="37"/>
        <v/>
      </c>
      <c r="Q133" s="518"/>
      <c r="R133" s="1076" t="str">
        <f t="shared" si="51"/>
        <v/>
      </c>
      <c r="S133" s="1076" t="str">
        <f t="shared" si="38"/>
        <v/>
      </c>
      <c r="T133" s="1078" t="str">
        <f t="shared" si="39"/>
        <v/>
      </c>
      <c r="U133" s="599"/>
      <c r="V133" s="804"/>
      <c r="W133" s="1110"/>
      <c r="X133" s="1218"/>
      <c r="Y133" s="1253" t="e">
        <f>ROUND(VLOOKUP(H133,tab!$A$61:$V$103,I133+2,FALSE),0)</f>
        <v>#VALUE!</v>
      </c>
      <c r="Z133" s="1252">
        <f>tab!$E$48</f>
        <v>0.62</v>
      </c>
      <c r="AA133" s="1284" t="e">
        <f t="shared" si="40"/>
        <v>#VALUE!</v>
      </c>
      <c r="AB133" s="1284" t="e">
        <f t="shared" si="41"/>
        <v>#VALUE!</v>
      </c>
      <c r="AC133" s="1284" t="e">
        <f t="shared" si="42"/>
        <v>#VALUE!</v>
      </c>
      <c r="AD133" s="1286" t="e">
        <f t="shared" si="43"/>
        <v>#VALUE!</v>
      </c>
      <c r="AE133" s="1286">
        <f t="shared" si="44"/>
        <v>0</v>
      </c>
      <c r="AF133" s="1254">
        <f>IF(H133&gt;8,tab!$D$49,tab!$D$52)</f>
        <v>0.5</v>
      </c>
      <c r="AG133" s="1255">
        <f t="shared" si="52"/>
        <v>0</v>
      </c>
      <c r="AH133" s="1251">
        <f t="shared" si="53"/>
        <v>0</v>
      </c>
      <c r="AI133" s="1278" t="e">
        <f>DATE(YEAR(tab!$F$3),MONTH(G133),DAY(G133))&gt;tab!$F$3</f>
        <v>#VALUE!</v>
      </c>
      <c r="AJ133" s="1255" t="e">
        <f t="shared" si="54"/>
        <v>#VALUE!</v>
      </c>
      <c r="AK133" s="1199">
        <f t="shared" si="55"/>
        <v>30</v>
      </c>
      <c r="AL133" s="1199">
        <f t="shared" si="56"/>
        <v>30</v>
      </c>
      <c r="AM133" s="1205">
        <f t="shared" si="57"/>
        <v>0</v>
      </c>
      <c r="AS133" s="819"/>
    </row>
    <row r="134" spans="2:45" ht="12.75" customHeight="1" x14ac:dyDescent="0.2">
      <c r="B134" s="466"/>
      <c r="C134" s="135"/>
      <c r="D134" s="432" t="str">
        <f>IF(op!D66="","",op!D66)</f>
        <v/>
      </c>
      <c r="E134" s="432" t="str">
        <f>IF(op!E66="","",op!E66)</f>
        <v/>
      </c>
      <c r="F134" s="776" t="str">
        <f>IF(op!F66="","",op!F66+1)</f>
        <v/>
      </c>
      <c r="G134" s="802" t="str">
        <f>IF(op!G66="","",op!G66)</f>
        <v/>
      </c>
      <c r="H134" s="776" t="str">
        <f>IF(op!H66=0,"",op!H66)</f>
        <v/>
      </c>
      <c r="I134" s="433" t="str">
        <f>IF(J134="","",IF(op!I66&gt;LOOKUP(H134,schaal2013,regels2013),op!I66-1,IF(op!I66=LOOKUP(H134,schaal2013,regels2013),op!I66,I66+1)))</f>
        <v/>
      </c>
      <c r="J134" s="803" t="str">
        <f>IF(op!J66="","",op!J66)</f>
        <v/>
      </c>
      <c r="K134" s="518"/>
      <c r="L134" s="1207">
        <f>IF(op!L66="",0,op!L66)</f>
        <v>0</v>
      </c>
      <c r="M134" s="1207">
        <f>IF(op!M66="",0,op!M66)</f>
        <v>0</v>
      </c>
      <c r="N134" s="1209" t="str">
        <f t="shared" si="35"/>
        <v/>
      </c>
      <c r="O134" s="1209" t="str">
        <f t="shared" si="36"/>
        <v/>
      </c>
      <c r="P134" s="1283" t="str">
        <f t="shared" si="37"/>
        <v/>
      </c>
      <c r="Q134" s="518"/>
      <c r="R134" s="1076" t="str">
        <f t="shared" si="51"/>
        <v/>
      </c>
      <c r="S134" s="1076" t="str">
        <f t="shared" si="38"/>
        <v/>
      </c>
      <c r="T134" s="1078" t="str">
        <f t="shared" si="39"/>
        <v/>
      </c>
      <c r="U134" s="599"/>
      <c r="V134" s="804"/>
      <c r="W134" s="1110"/>
      <c r="X134" s="1218"/>
      <c r="Y134" s="1253" t="e">
        <f>ROUND(VLOOKUP(H134,tab!$A$61:$V$103,I134+2,FALSE),0)</f>
        <v>#VALUE!</v>
      </c>
      <c r="Z134" s="1252">
        <f>tab!$E$48</f>
        <v>0.62</v>
      </c>
      <c r="AA134" s="1284" t="e">
        <f t="shared" si="40"/>
        <v>#VALUE!</v>
      </c>
      <c r="AB134" s="1284" t="e">
        <f t="shared" si="41"/>
        <v>#VALUE!</v>
      </c>
      <c r="AC134" s="1284" t="e">
        <f t="shared" si="42"/>
        <v>#VALUE!</v>
      </c>
      <c r="AD134" s="1286" t="e">
        <f t="shared" si="43"/>
        <v>#VALUE!</v>
      </c>
      <c r="AE134" s="1286">
        <f t="shared" si="44"/>
        <v>0</v>
      </c>
      <c r="AF134" s="1254">
        <f>IF(H134&gt;8,tab!$D$49,tab!$D$52)</f>
        <v>0.5</v>
      </c>
      <c r="AG134" s="1255">
        <f t="shared" si="52"/>
        <v>0</v>
      </c>
      <c r="AH134" s="1251">
        <f t="shared" si="53"/>
        <v>0</v>
      </c>
      <c r="AI134" s="1278" t="e">
        <f>DATE(YEAR(tab!$F$3),MONTH(G134),DAY(G134))&gt;tab!$F$3</f>
        <v>#VALUE!</v>
      </c>
      <c r="AJ134" s="1255" t="e">
        <f t="shared" si="54"/>
        <v>#VALUE!</v>
      </c>
      <c r="AK134" s="1199">
        <f t="shared" si="55"/>
        <v>30</v>
      </c>
      <c r="AL134" s="1199">
        <f t="shared" si="56"/>
        <v>30</v>
      </c>
      <c r="AM134" s="1205">
        <f t="shared" si="57"/>
        <v>0</v>
      </c>
      <c r="AS134" s="819"/>
    </row>
    <row r="135" spans="2:45" ht="12.75" customHeight="1" x14ac:dyDescent="0.2">
      <c r="B135" s="466"/>
      <c r="C135" s="135"/>
      <c r="D135" s="432" t="str">
        <f>IF(op!D67="","",op!D67)</f>
        <v/>
      </c>
      <c r="E135" s="432" t="str">
        <f>IF(op!E67="","",op!E67)</f>
        <v/>
      </c>
      <c r="F135" s="776" t="str">
        <f>IF(op!F67="","",op!F67+1)</f>
        <v/>
      </c>
      <c r="G135" s="802" t="str">
        <f>IF(op!G67="","",op!G67)</f>
        <v/>
      </c>
      <c r="H135" s="776" t="str">
        <f>IF(op!H67=0,"",op!H67)</f>
        <v/>
      </c>
      <c r="I135" s="433" t="str">
        <f>IF(J135="","",IF(op!I67&gt;LOOKUP(H135,schaal2013,regels2013),op!I67-1,IF(op!I67=LOOKUP(H135,schaal2013,regels2013),op!I67,I67+1)))</f>
        <v/>
      </c>
      <c r="J135" s="803" t="str">
        <f>IF(op!J67="","",op!J67)</f>
        <v/>
      </c>
      <c r="K135" s="518"/>
      <c r="L135" s="1207">
        <f>IF(op!L67="",0,op!L67)</f>
        <v>0</v>
      </c>
      <c r="M135" s="1207">
        <f>IF(op!M67="",0,op!M67)</f>
        <v>0</v>
      </c>
      <c r="N135" s="1209" t="str">
        <f t="shared" si="35"/>
        <v/>
      </c>
      <c r="O135" s="1209" t="str">
        <f t="shared" si="36"/>
        <v/>
      </c>
      <c r="P135" s="1283" t="str">
        <f t="shared" si="37"/>
        <v/>
      </c>
      <c r="Q135" s="518"/>
      <c r="R135" s="1076" t="str">
        <f t="shared" si="51"/>
        <v/>
      </c>
      <c r="S135" s="1076" t="str">
        <f t="shared" si="38"/>
        <v/>
      </c>
      <c r="T135" s="1078" t="str">
        <f t="shared" si="39"/>
        <v/>
      </c>
      <c r="U135" s="599"/>
      <c r="V135" s="804"/>
      <c r="W135" s="1110"/>
      <c r="X135" s="1218"/>
      <c r="Y135" s="1253" t="e">
        <f>ROUND(VLOOKUP(H135,tab!$A$61:$V$103,I135+2,FALSE),0)</f>
        <v>#VALUE!</v>
      </c>
      <c r="Z135" s="1252">
        <f>tab!$E$48</f>
        <v>0.62</v>
      </c>
      <c r="AA135" s="1284" t="e">
        <f t="shared" si="40"/>
        <v>#VALUE!</v>
      </c>
      <c r="AB135" s="1284" t="e">
        <f t="shared" si="41"/>
        <v>#VALUE!</v>
      </c>
      <c r="AC135" s="1284" t="e">
        <f t="shared" si="42"/>
        <v>#VALUE!</v>
      </c>
      <c r="AD135" s="1286" t="e">
        <f t="shared" si="43"/>
        <v>#VALUE!</v>
      </c>
      <c r="AE135" s="1286">
        <f t="shared" si="44"/>
        <v>0</v>
      </c>
      <c r="AF135" s="1254">
        <f>IF(H135&gt;8,tab!$D$49,tab!$D$52)</f>
        <v>0.5</v>
      </c>
      <c r="AG135" s="1255">
        <f t="shared" si="52"/>
        <v>0</v>
      </c>
      <c r="AH135" s="1251">
        <f t="shared" si="53"/>
        <v>0</v>
      </c>
      <c r="AI135" s="1278" t="e">
        <f>DATE(YEAR(tab!$F$3),MONTH(G135),DAY(G135))&gt;tab!$F$3</f>
        <v>#VALUE!</v>
      </c>
      <c r="AJ135" s="1255" t="e">
        <f t="shared" si="54"/>
        <v>#VALUE!</v>
      </c>
      <c r="AK135" s="1199">
        <f t="shared" si="55"/>
        <v>30</v>
      </c>
      <c r="AL135" s="1199">
        <f t="shared" si="56"/>
        <v>30</v>
      </c>
      <c r="AM135" s="1205">
        <f t="shared" si="57"/>
        <v>0</v>
      </c>
      <c r="AS135" s="819"/>
    </row>
    <row r="136" spans="2:45" ht="12.75" customHeight="1" x14ac:dyDescent="0.2">
      <c r="B136" s="466"/>
      <c r="C136" s="135"/>
      <c r="D136" s="432" t="str">
        <f>IF(op!D68="","",op!D68)</f>
        <v/>
      </c>
      <c r="E136" s="432" t="str">
        <f>IF(op!E68="","",op!E68)</f>
        <v/>
      </c>
      <c r="F136" s="776" t="str">
        <f>IF(op!F68="","",op!F68+1)</f>
        <v/>
      </c>
      <c r="G136" s="802" t="str">
        <f>IF(op!G68="","",op!G68)</f>
        <v/>
      </c>
      <c r="H136" s="776" t="str">
        <f>IF(op!H68=0,"",op!H68)</f>
        <v/>
      </c>
      <c r="I136" s="433" t="str">
        <f>IF(J136="","",IF(op!I68&gt;LOOKUP(H136,schaal2013,regels2013),op!I68-1,IF(op!I68=LOOKUP(H136,schaal2013,regels2013),op!I68,I68+1)))</f>
        <v/>
      </c>
      <c r="J136" s="803" t="str">
        <f>IF(op!J68="","",op!J68)</f>
        <v/>
      </c>
      <c r="K136" s="518"/>
      <c r="L136" s="1207">
        <f>IF(op!L68="",0,op!L68)</f>
        <v>0</v>
      </c>
      <c r="M136" s="1207">
        <f>IF(op!M68="",0,op!M68)</f>
        <v>0</v>
      </c>
      <c r="N136" s="1209" t="str">
        <f t="shared" si="35"/>
        <v/>
      </c>
      <c r="O136" s="1209" t="str">
        <f t="shared" si="36"/>
        <v/>
      </c>
      <c r="P136" s="1283" t="str">
        <f t="shared" si="37"/>
        <v/>
      </c>
      <c r="Q136" s="518"/>
      <c r="R136" s="1076" t="str">
        <f t="shared" si="51"/>
        <v/>
      </c>
      <c r="S136" s="1076" t="str">
        <f t="shared" si="38"/>
        <v/>
      </c>
      <c r="T136" s="1078" t="str">
        <f t="shared" si="39"/>
        <v/>
      </c>
      <c r="U136" s="599"/>
      <c r="V136" s="804"/>
      <c r="W136" s="1110"/>
      <c r="X136" s="1218"/>
      <c r="Y136" s="1253" t="e">
        <f>ROUND(VLOOKUP(H136,tab!$A$61:$V$103,I136+2,FALSE),0)</f>
        <v>#VALUE!</v>
      </c>
      <c r="Z136" s="1252">
        <f>tab!$E$48</f>
        <v>0.62</v>
      </c>
      <c r="AA136" s="1284" t="e">
        <f t="shared" si="40"/>
        <v>#VALUE!</v>
      </c>
      <c r="AB136" s="1284" t="e">
        <f t="shared" si="41"/>
        <v>#VALUE!</v>
      </c>
      <c r="AC136" s="1284" t="e">
        <f t="shared" si="42"/>
        <v>#VALUE!</v>
      </c>
      <c r="AD136" s="1286" t="e">
        <f t="shared" si="43"/>
        <v>#VALUE!</v>
      </c>
      <c r="AE136" s="1286">
        <f t="shared" si="44"/>
        <v>0</v>
      </c>
      <c r="AF136" s="1254">
        <f>IF(H136&gt;8,tab!$D$49,tab!$D$52)</f>
        <v>0.5</v>
      </c>
      <c r="AG136" s="1255">
        <f t="shared" si="52"/>
        <v>0</v>
      </c>
      <c r="AH136" s="1251">
        <f t="shared" si="53"/>
        <v>0</v>
      </c>
      <c r="AI136" s="1278" t="e">
        <f>DATE(YEAR(tab!$F$3),MONTH(G136),DAY(G136))&gt;tab!$F$3</f>
        <v>#VALUE!</v>
      </c>
      <c r="AJ136" s="1255" t="e">
        <f t="shared" si="54"/>
        <v>#VALUE!</v>
      </c>
      <c r="AK136" s="1199">
        <f t="shared" si="55"/>
        <v>30</v>
      </c>
      <c r="AL136" s="1199">
        <f t="shared" si="56"/>
        <v>30</v>
      </c>
      <c r="AM136" s="1205">
        <f t="shared" si="57"/>
        <v>0</v>
      </c>
      <c r="AS136" s="819"/>
    </row>
    <row r="137" spans="2:45" ht="12.75" customHeight="1" x14ac:dyDescent="0.2">
      <c r="B137" s="466"/>
      <c r="C137" s="135"/>
      <c r="D137" s="432" t="str">
        <f>IF(op!D69="","",op!D69)</f>
        <v/>
      </c>
      <c r="E137" s="432" t="str">
        <f>IF(op!E69="","",op!E69)</f>
        <v/>
      </c>
      <c r="F137" s="776" t="str">
        <f>IF(op!F69="","",op!F69+1)</f>
        <v/>
      </c>
      <c r="G137" s="802" t="str">
        <f>IF(op!G69="","",op!G69)</f>
        <v/>
      </c>
      <c r="H137" s="776" t="str">
        <f>IF(op!H69=0,"",op!H69)</f>
        <v/>
      </c>
      <c r="I137" s="433" t="str">
        <f>IF(J137="","",IF(op!I69&gt;LOOKUP(H137,schaal2013,regels2013),op!I69-1,IF(op!I69=LOOKUP(H137,schaal2013,regels2013),op!I69,I69+1)))</f>
        <v/>
      </c>
      <c r="J137" s="803" t="str">
        <f>IF(op!J69="","",op!J69)</f>
        <v/>
      </c>
      <c r="K137" s="518"/>
      <c r="L137" s="1207">
        <f>IF(op!L69="",0,op!L69)</f>
        <v>0</v>
      </c>
      <c r="M137" s="1207">
        <f>IF(op!M69="",0,op!M69)</f>
        <v>0</v>
      </c>
      <c r="N137" s="1209" t="str">
        <f t="shared" si="35"/>
        <v/>
      </c>
      <c r="O137" s="1209" t="str">
        <f t="shared" si="36"/>
        <v/>
      </c>
      <c r="P137" s="1283" t="str">
        <f t="shared" si="37"/>
        <v/>
      </c>
      <c r="Q137" s="518"/>
      <c r="R137" s="1076" t="str">
        <f t="shared" si="51"/>
        <v/>
      </c>
      <c r="S137" s="1076" t="str">
        <f t="shared" si="38"/>
        <v/>
      </c>
      <c r="T137" s="1078" t="str">
        <f t="shared" si="39"/>
        <v/>
      </c>
      <c r="U137" s="599"/>
      <c r="V137" s="804"/>
      <c r="W137" s="1110"/>
      <c r="X137" s="1218"/>
      <c r="Y137" s="1253" t="e">
        <f>ROUND(VLOOKUP(H137,tab!$A$61:$V$103,I137+2,FALSE),0)</f>
        <v>#VALUE!</v>
      </c>
      <c r="Z137" s="1252">
        <f>tab!$E$48</f>
        <v>0.62</v>
      </c>
      <c r="AA137" s="1284" t="e">
        <f t="shared" si="40"/>
        <v>#VALUE!</v>
      </c>
      <c r="AB137" s="1284" t="e">
        <f t="shared" si="41"/>
        <v>#VALUE!</v>
      </c>
      <c r="AC137" s="1284" t="e">
        <f t="shared" si="42"/>
        <v>#VALUE!</v>
      </c>
      <c r="AD137" s="1286" t="e">
        <f t="shared" si="43"/>
        <v>#VALUE!</v>
      </c>
      <c r="AE137" s="1286">
        <f t="shared" si="44"/>
        <v>0</v>
      </c>
      <c r="AF137" s="1254">
        <f>IF(H137&gt;8,tab!$D$49,tab!$D$52)</f>
        <v>0.5</v>
      </c>
      <c r="AG137" s="1255">
        <f t="shared" si="52"/>
        <v>0</v>
      </c>
      <c r="AH137" s="1251">
        <f t="shared" si="53"/>
        <v>0</v>
      </c>
      <c r="AI137" s="1278" t="e">
        <f>DATE(YEAR(tab!$F$3),MONTH(G137),DAY(G137))&gt;tab!$F$3</f>
        <v>#VALUE!</v>
      </c>
      <c r="AJ137" s="1255" t="e">
        <f t="shared" si="54"/>
        <v>#VALUE!</v>
      </c>
      <c r="AK137" s="1199">
        <f t="shared" si="55"/>
        <v>30</v>
      </c>
      <c r="AL137" s="1199">
        <f t="shared" si="56"/>
        <v>30</v>
      </c>
      <c r="AM137" s="1205">
        <f t="shared" si="57"/>
        <v>0</v>
      </c>
      <c r="AS137" s="819"/>
    </row>
    <row r="138" spans="2:45" x14ac:dyDescent="0.2">
      <c r="B138" s="466"/>
      <c r="C138" s="135"/>
      <c r="D138" s="432" t="str">
        <f>IF(op!D70="","",op!D70)</f>
        <v/>
      </c>
      <c r="E138" s="432" t="str">
        <f>IF(op!E70="","",op!E70)</f>
        <v/>
      </c>
      <c r="F138" s="776" t="str">
        <f>IF(op!F70="","",op!F70+1)</f>
        <v/>
      </c>
      <c r="G138" s="802" t="str">
        <f>IF(op!G70="","",op!G70)</f>
        <v/>
      </c>
      <c r="H138" s="776" t="str">
        <f>IF(op!H70=0,"",op!H70)</f>
        <v/>
      </c>
      <c r="I138" s="433" t="str">
        <f>IF(J138="","",IF(op!I70&gt;LOOKUP(H138,schaal2013,regels2013),op!I70-1,IF(op!I70=LOOKUP(H138,schaal2013,regels2013),op!I70,I70+1)))</f>
        <v/>
      </c>
      <c r="J138" s="803" t="str">
        <f>IF(op!J70="","",op!J70)</f>
        <v/>
      </c>
      <c r="K138" s="518"/>
      <c r="L138" s="1207">
        <f>IF(op!L70="",0,op!L70)</f>
        <v>0</v>
      </c>
      <c r="M138" s="1207">
        <f>IF(op!M70="",0,op!M70)</f>
        <v>0</v>
      </c>
      <c r="N138" s="1209" t="str">
        <f t="shared" si="35"/>
        <v/>
      </c>
      <c r="O138" s="1209" t="str">
        <f t="shared" si="36"/>
        <v/>
      </c>
      <c r="P138" s="1283" t="str">
        <f t="shared" si="37"/>
        <v/>
      </c>
      <c r="Q138" s="518"/>
      <c r="R138" s="1076" t="str">
        <f t="shared" si="51"/>
        <v/>
      </c>
      <c r="S138" s="1076" t="str">
        <f t="shared" si="38"/>
        <v/>
      </c>
      <c r="T138" s="1078" t="str">
        <f t="shared" si="39"/>
        <v/>
      </c>
      <c r="U138" s="599"/>
      <c r="V138" s="804"/>
      <c r="W138" s="1110"/>
      <c r="X138" s="1218"/>
      <c r="Y138" s="1253" t="e">
        <f>ROUND(VLOOKUP(H138,tab!$A$61:$V$103,I138+2,FALSE),0)</f>
        <v>#VALUE!</v>
      </c>
      <c r="Z138" s="1252">
        <f>tab!$E$48</f>
        <v>0.62</v>
      </c>
      <c r="AA138" s="1284" t="e">
        <f t="shared" si="40"/>
        <v>#VALUE!</v>
      </c>
      <c r="AB138" s="1284" t="e">
        <f t="shared" si="41"/>
        <v>#VALUE!</v>
      </c>
      <c r="AC138" s="1284" t="e">
        <f t="shared" si="42"/>
        <v>#VALUE!</v>
      </c>
      <c r="AD138" s="1286" t="e">
        <f t="shared" si="43"/>
        <v>#VALUE!</v>
      </c>
      <c r="AE138" s="1286">
        <f t="shared" si="44"/>
        <v>0</v>
      </c>
      <c r="AF138" s="1254">
        <f>IF(H138&gt;8,tab!$D$49,tab!$D$52)</f>
        <v>0.5</v>
      </c>
      <c r="AG138" s="1255">
        <f t="shared" si="52"/>
        <v>0</v>
      </c>
      <c r="AH138" s="1251">
        <f t="shared" si="53"/>
        <v>0</v>
      </c>
      <c r="AI138" s="1278" t="e">
        <f>DATE(YEAR(tab!$F$3),MONTH(G138),DAY(G138))&gt;tab!$F$3</f>
        <v>#VALUE!</v>
      </c>
      <c r="AJ138" s="1255" t="e">
        <f t="shared" si="54"/>
        <v>#VALUE!</v>
      </c>
      <c r="AK138" s="1199">
        <f t="shared" si="55"/>
        <v>30</v>
      </c>
      <c r="AL138" s="1199">
        <f t="shared" si="56"/>
        <v>30</v>
      </c>
      <c r="AM138" s="1205">
        <f t="shared" si="57"/>
        <v>0</v>
      </c>
      <c r="AS138" s="819"/>
    </row>
    <row r="139" spans="2:45" x14ac:dyDescent="0.2">
      <c r="B139" s="466"/>
      <c r="C139" s="491"/>
      <c r="D139" s="609"/>
      <c r="E139" s="805"/>
      <c r="F139" s="805"/>
      <c r="G139" s="806"/>
      <c r="H139" s="805"/>
      <c r="I139" s="807"/>
      <c r="J139" s="1111">
        <f>SUM(J84:J138)</f>
        <v>1</v>
      </c>
      <c r="L139" s="1208">
        <f t="shared" ref="L139:P139" si="58">SUM(L84:L138)</f>
        <v>0</v>
      </c>
      <c r="M139" s="1208">
        <f t="shared" si="58"/>
        <v>0</v>
      </c>
      <c r="N139" s="1208">
        <f>SUM(N84:N138)</f>
        <v>40</v>
      </c>
      <c r="O139" s="1208">
        <f t="shared" si="58"/>
        <v>0</v>
      </c>
      <c r="P139" s="1208">
        <f t="shared" si="58"/>
        <v>40</v>
      </c>
      <c r="R139" s="1112">
        <f t="shared" ref="R139:T139" si="59">SUM(R84:R138)</f>
        <v>60651.194647377939</v>
      </c>
      <c r="S139" s="1113">
        <f t="shared" si="59"/>
        <v>1498.4853526220616</v>
      </c>
      <c r="T139" s="1112">
        <f t="shared" si="59"/>
        <v>62149.68</v>
      </c>
      <c r="U139" s="494"/>
      <c r="V139" s="469"/>
      <c r="Y139" s="1256" t="e">
        <f>SUM(Y84:Y138)</f>
        <v>#VALUE!</v>
      </c>
      <c r="Z139" s="1288"/>
      <c r="AA139" s="1256"/>
      <c r="AB139" s="1256"/>
      <c r="AC139" s="1256"/>
      <c r="AG139" s="1257">
        <f>SUM(AG84:AG138)</f>
        <v>0</v>
      </c>
      <c r="AH139" s="1258">
        <f>SUM(AH84:AH138)</f>
        <v>0</v>
      </c>
      <c r="AI139" s="1279"/>
      <c r="AJ139" s="1279"/>
      <c r="AS139" s="819"/>
    </row>
    <row r="140" spans="2:45" x14ac:dyDescent="0.2">
      <c r="B140" s="466"/>
      <c r="H140" s="590"/>
      <c r="K140" s="484"/>
      <c r="Q140" s="484"/>
      <c r="R140" s="782"/>
      <c r="S140" s="808"/>
      <c r="V140" s="469"/>
      <c r="Y140" s="1237"/>
      <c r="Z140" s="1288"/>
      <c r="AA140" s="1256"/>
      <c r="AB140" s="1256"/>
      <c r="AC140" s="1256"/>
      <c r="AG140" s="1257"/>
      <c r="AH140" s="1258"/>
      <c r="AS140" s="819"/>
    </row>
    <row r="141" spans="2:45" ht="12.75" customHeight="1" x14ac:dyDescent="0.2">
      <c r="B141" s="496"/>
      <c r="C141" s="497"/>
      <c r="D141" s="809"/>
      <c r="E141" s="809"/>
      <c r="F141" s="631"/>
      <c r="G141" s="810"/>
      <c r="H141" s="631"/>
      <c r="I141" s="811"/>
      <c r="J141" s="813"/>
      <c r="K141" s="809"/>
      <c r="L141" s="811"/>
      <c r="M141" s="811"/>
      <c r="N141" s="811"/>
      <c r="O141" s="811"/>
      <c r="P141" s="811"/>
      <c r="Q141" s="809"/>
      <c r="R141" s="781"/>
      <c r="S141" s="820"/>
      <c r="T141" s="587"/>
      <c r="U141" s="497"/>
      <c r="V141" s="498"/>
      <c r="Y141" s="1237"/>
      <c r="Z141" s="1288"/>
      <c r="AA141" s="1256"/>
      <c r="AB141" s="1256"/>
      <c r="AC141" s="1256"/>
      <c r="AG141" s="1257"/>
      <c r="AH141" s="1258"/>
    </row>
    <row r="142" spans="2:45" ht="12.75" customHeight="1" x14ac:dyDescent="0.2">
      <c r="H142" s="590"/>
      <c r="K142" s="484"/>
      <c r="Q142" s="484"/>
      <c r="R142" s="782"/>
      <c r="S142" s="808"/>
      <c r="Y142" s="1237"/>
      <c r="Z142" s="1288"/>
      <c r="AA142" s="1256"/>
      <c r="AB142" s="1256"/>
      <c r="AC142" s="1256"/>
      <c r="AG142" s="1257"/>
      <c r="AH142" s="1258"/>
    </row>
    <row r="143" spans="2:45" ht="12.75" customHeight="1" x14ac:dyDescent="0.2">
      <c r="H143" s="590"/>
      <c r="K143" s="484"/>
      <c r="Q143" s="484"/>
      <c r="R143" s="782"/>
      <c r="S143" s="808"/>
      <c r="Y143" s="1237"/>
      <c r="Z143" s="1288"/>
      <c r="AA143" s="1256"/>
      <c r="AB143" s="1256"/>
      <c r="AC143" s="1256"/>
      <c r="AG143" s="1257"/>
      <c r="AH143" s="1258"/>
    </row>
    <row r="144" spans="2:45" ht="12.75" customHeight="1" x14ac:dyDescent="0.2">
      <c r="C144" s="454" t="s">
        <v>200</v>
      </c>
      <c r="E144" s="821" t="str">
        <f>dir!E53</f>
        <v>2017/18</v>
      </c>
      <c r="H144" s="590"/>
      <c r="K144" s="484"/>
      <c r="Q144" s="484"/>
      <c r="R144" s="782"/>
      <c r="S144" s="808"/>
      <c r="Y144" s="1237"/>
      <c r="Z144" s="1288"/>
      <c r="AA144" s="1256"/>
      <c r="AB144" s="1256"/>
      <c r="AC144" s="1256"/>
      <c r="AG144" s="1257"/>
      <c r="AH144" s="1258"/>
    </row>
    <row r="145" spans="3:50" ht="12.75" customHeight="1" x14ac:dyDescent="0.2">
      <c r="C145" s="454" t="s">
        <v>213</v>
      </c>
      <c r="E145" s="821">
        <f>dir!E54</f>
        <v>43009</v>
      </c>
      <c r="H145" s="590"/>
      <c r="K145" s="484"/>
      <c r="Q145" s="484"/>
      <c r="R145" s="782"/>
      <c r="S145" s="808"/>
      <c r="Y145" s="1237"/>
      <c r="Z145" s="1288"/>
      <c r="AA145" s="1256"/>
      <c r="AB145" s="1256"/>
      <c r="AC145" s="1256"/>
      <c r="AG145" s="1257"/>
      <c r="AH145" s="1258"/>
    </row>
    <row r="146" spans="3:50" ht="12.75" customHeight="1" x14ac:dyDescent="0.2">
      <c r="D146" s="442"/>
      <c r="E146" s="442"/>
      <c r="F146" s="443"/>
      <c r="G146" s="444"/>
      <c r="H146" s="445"/>
      <c r="I146" s="445"/>
      <c r="J146" s="446"/>
      <c r="K146" s="484"/>
      <c r="L146" s="446"/>
      <c r="M146" s="446"/>
      <c r="N146" s="446"/>
      <c r="O146" s="446"/>
      <c r="P146" s="446"/>
      <c r="Q146" s="484"/>
      <c r="R146" s="783"/>
      <c r="S146" s="447"/>
      <c r="T146" s="447"/>
      <c r="Y146" s="1237"/>
      <c r="Z146" s="1289"/>
      <c r="AA146" s="1280"/>
      <c r="AB146" s="1280"/>
      <c r="AC146" s="1280"/>
      <c r="AG146" s="1281"/>
      <c r="AH146" s="1282"/>
      <c r="AI146" s="1279"/>
      <c r="AJ146" s="1279"/>
    </row>
    <row r="147" spans="3:50" ht="12.75" customHeight="1" x14ac:dyDescent="0.2">
      <c r="C147" s="774"/>
      <c r="D147" s="1090"/>
      <c r="E147" s="1091"/>
      <c r="F147" s="1092"/>
      <c r="G147" s="1093"/>
      <c r="H147" s="1094"/>
      <c r="I147" s="1094"/>
      <c r="J147" s="1095"/>
      <c r="K147" s="1096"/>
      <c r="L147" s="1094"/>
      <c r="M147" s="1094"/>
      <c r="N147" s="1094"/>
      <c r="O147" s="1094"/>
      <c r="P147" s="1094"/>
      <c r="Q147" s="1096"/>
      <c r="R147" s="1096"/>
      <c r="S147" s="1097"/>
      <c r="T147" s="1098"/>
      <c r="U147" s="482"/>
      <c r="V147" s="1221"/>
      <c r="W147" s="1221"/>
      <c r="AN147" s="1202"/>
      <c r="AO147" s="1202"/>
      <c r="AP147" s="1202"/>
      <c r="AQ147" s="1202"/>
      <c r="AR147" s="1106"/>
      <c r="AS147" s="785"/>
      <c r="AT147" s="787"/>
      <c r="AU147" s="799"/>
      <c r="AV147" s="786"/>
    </row>
    <row r="148" spans="3:50" ht="12.75" customHeight="1" x14ac:dyDescent="0.2">
      <c r="C148" s="139"/>
      <c r="D148" s="1191" t="s">
        <v>306</v>
      </c>
      <c r="E148" s="1036"/>
      <c r="F148" s="1036"/>
      <c r="G148" s="1036"/>
      <c r="H148" s="1036"/>
      <c r="I148" s="1036"/>
      <c r="J148" s="1036"/>
      <c r="K148" s="1055"/>
      <c r="L148" s="1191" t="s">
        <v>553</v>
      </c>
      <c r="M148" s="1193"/>
      <c r="N148" s="1191"/>
      <c r="O148" s="1191"/>
      <c r="P148" s="1291"/>
      <c r="Q148" s="1055"/>
      <c r="R148" s="1191" t="s">
        <v>554</v>
      </c>
      <c r="S148" s="1194"/>
      <c r="T148" s="1292"/>
      <c r="U148" s="1293"/>
      <c r="V148" s="1222"/>
      <c r="W148" s="1222"/>
      <c r="X148" s="427"/>
      <c r="Y148" s="1221"/>
      <c r="Z148" s="1294"/>
      <c r="AD148" s="1295"/>
      <c r="AE148" s="1295"/>
      <c r="AF148" s="1222"/>
      <c r="AG148" s="1248"/>
      <c r="AH148" s="1249"/>
      <c r="AM148" s="1199"/>
      <c r="AU148" s="454"/>
      <c r="AV148" s="454"/>
      <c r="AW148" s="817"/>
      <c r="AX148" s="817"/>
    </row>
    <row r="149" spans="3:50" ht="12.75" customHeight="1" x14ac:dyDescent="0.2">
      <c r="C149" s="139"/>
      <c r="D149" s="1030" t="s">
        <v>545</v>
      </c>
      <c r="E149" s="1030" t="s">
        <v>201</v>
      </c>
      <c r="F149" s="1057" t="s">
        <v>151</v>
      </c>
      <c r="G149" s="1058" t="s">
        <v>295</v>
      </c>
      <c r="H149" s="1057" t="s">
        <v>226</v>
      </c>
      <c r="I149" s="1057" t="s">
        <v>247</v>
      </c>
      <c r="J149" s="1059" t="s">
        <v>154</v>
      </c>
      <c r="K149" s="1034"/>
      <c r="L149" s="1060" t="s">
        <v>530</v>
      </c>
      <c r="M149" s="1060" t="s">
        <v>531</v>
      </c>
      <c r="N149" s="1060" t="s">
        <v>529</v>
      </c>
      <c r="O149" s="1060" t="s">
        <v>530</v>
      </c>
      <c r="P149" s="1296" t="s">
        <v>555</v>
      </c>
      <c r="Q149" s="1034"/>
      <c r="R149" s="1195" t="s">
        <v>212</v>
      </c>
      <c r="S149" s="1062" t="s">
        <v>556</v>
      </c>
      <c r="T149" s="1063" t="s">
        <v>212</v>
      </c>
      <c r="U149" s="1297"/>
      <c r="V149" s="1259"/>
      <c r="W149" s="1259"/>
      <c r="X149" s="430"/>
      <c r="Y149" s="1068" t="s">
        <v>325</v>
      </c>
      <c r="Z149" s="1285" t="s">
        <v>548</v>
      </c>
      <c r="AA149" s="1259" t="s">
        <v>549</v>
      </c>
      <c r="AB149" s="1259" t="s">
        <v>549</v>
      </c>
      <c r="AC149" s="1259" t="s">
        <v>546</v>
      </c>
      <c r="AD149" s="1206" t="s">
        <v>539</v>
      </c>
      <c r="AE149" s="1206" t="s">
        <v>540</v>
      </c>
      <c r="AF149" s="1259"/>
      <c r="AG149" s="1250" t="s">
        <v>319</v>
      </c>
      <c r="AH149" s="1249" t="s">
        <v>459</v>
      </c>
      <c r="AI149" s="1069" t="s">
        <v>300</v>
      </c>
      <c r="AJ149" s="1069" t="s">
        <v>301</v>
      </c>
      <c r="AK149" s="1217" t="s">
        <v>153</v>
      </c>
      <c r="AL149" s="1217" t="s">
        <v>224</v>
      </c>
      <c r="AM149" s="1216" t="s">
        <v>208</v>
      </c>
      <c r="AU149" s="454"/>
      <c r="AV149" s="454"/>
      <c r="AW149" s="817"/>
      <c r="AX149" s="818"/>
    </row>
    <row r="150" spans="3:50" ht="12.75" customHeight="1" x14ac:dyDescent="0.2">
      <c r="C150" s="139"/>
      <c r="D150" s="1036"/>
      <c r="E150" s="1030"/>
      <c r="F150" s="1057" t="s">
        <v>152</v>
      </c>
      <c r="G150" s="1058" t="s">
        <v>296</v>
      </c>
      <c r="H150" s="1057"/>
      <c r="I150" s="1057"/>
      <c r="J150" s="1059" t="s">
        <v>299</v>
      </c>
      <c r="K150" s="1034"/>
      <c r="L150" s="1060" t="s">
        <v>533</v>
      </c>
      <c r="M150" s="1060" t="s">
        <v>534</v>
      </c>
      <c r="N150" s="1060" t="s">
        <v>532</v>
      </c>
      <c r="O150" s="1060" t="s">
        <v>544</v>
      </c>
      <c r="P150" s="1296" t="s">
        <v>291</v>
      </c>
      <c r="Q150" s="1034"/>
      <c r="R150" s="1061" t="s">
        <v>557</v>
      </c>
      <c r="S150" s="1062" t="s">
        <v>535</v>
      </c>
      <c r="T150" s="1063" t="s">
        <v>291</v>
      </c>
      <c r="U150" s="1040"/>
      <c r="V150" s="1221"/>
      <c r="W150" s="1221"/>
      <c r="X150" s="144"/>
      <c r="Y150" s="1068" t="s">
        <v>217</v>
      </c>
      <c r="Z150" s="1071">
        <f>tab!$E$48</f>
        <v>0.62</v>
      </c>
      <c r="AA150" s="1259" t="s">
        <v>550</v>
      </c>
      <c r="AB150" s="1259" t="s">
        <v>551</v>
      </c>
      <c r="AC150" s="1259" t="s">
        <v>552</v>
      </c>
      <c r="AD150" s="1206" t="s">
        <v>542</v>
      </c>
      <c r="AE150" s="1206" t="s">
        <v>542</v>
      </c>
      <c r="AG150" s="1250"/>
      <c r="AH150" s="1251" t="s">
        <v>246</v>
      </c>
      <c r="AI150" s="1206" t="s">
        <v>297</v>
      </c>
      <c r="AJ150" s="1206" t="s">
        <v>297</v>
      </c>
      <c r="AK150" s="1217"/>
      <c r="AL150" s="1217" t="s">
        <v>208</v>
      </c>
      <c r="AM150" s="1216"/>
      <c r="AU150" s="454"/>
      <c r="AV150" s="454"/>
      <c r="AX150" s="801"/>
    </row>
    <row r="151" spans="3:50" ht="12.75" customHeight="1" x14ac:dyDescent="0.2">
      <c r="C151" s="135"/>
      <c r="D151" s="1036"/>
      <c r="E151" s="1036"/>
      <c r="F151" s="1099"/>
      <c r="G151" s="1100"/>
      <c r="H151" s="1057"/>
      <c r="I151" s="1057"/>
      <c r="J151" s="1059"/>
      <c r="K151" s="1036"/>
      <c r="L151" s="1060"/>
      <c r="M151" s="1060"/>
      <c r="N151" s="1060"/>
      <c r="O151" s="1060"/>
      <c r="P151" s="1060"/>
      <c r="Q151" s="1036"/>
      <c r="R151" s="1101"/>
      <c r="S151" s="1062"/>
      <c r="T151" s="1102"/>
      <c r="U151" s="487"/>
      <c r="V151" s="1221"/>
      <c r="W151" s="1221"/>
      <c r="Y151" s="1068"/>
      <c r="Z151" s="1222"/>
      <c r="AA151" s="1222"/>
      <c r="AB151" s="1222"/>
      <c r="AC151" s="1222"/>
      <c r="AG151" s="1250"/>
      <c r="AH151" s="1251"/>
      <c r="AM151" s="1216"/>
      <c r="AU151" s="454"/>
      <c r="AV151" s="454"/>
      <c r="AX151" s="801"/>
    </row>
    <row r="152" spans="3:50" ht="12.75" customHeight="1" x14ac:dyDescent="0.2">
      <c r="C152" s="135"/>
      <c r="D152" s="432" t="str">
        <f>IF(op!D84="","",op!D84)</f>
        <v/>
      </c>
      <c r="E152" s="432" t="str">
        <f>IF(op!E84=0,"",op!E84)</f>
        <v>nn</v>
      </c>
      <c r="F152" s="776" t="str">
        <f>IF(op!F84="","",op!F84+1)</f>
        <v/>
      </c>
      <c r="G152" s="802">
        <f>IF(op!G84="","",op!G84)</f>
        <v>26665</v>
      </c>
      <c r="H152" s="776" t="str">
        <f>IF(op!H84=0,"",op!H84)</f>
        <v>LB</v>
      </c>
      <c r="I152" s="433">
        <f>IF(J152="","",(IF(op!I84+1&gt;LOOKUP(H152,schaal2013,regels2013),op!I84,op!I84+1)))</f>
        <v>12</v>
      </c>
      <c r="J152" s="803">
        <f>IF(op!J84="","",op!J84)</f>
        <v>1</v>
      </c>
      <c r="K152" s="518"/>
      <c r="L152" s="1207">
        <f>IF(op!L84="","",op!L84)</f>
        <v>0</v>
      </c>
      <c r="M152" s="1207">
        <f>IF(op!M84="","",op!M84)</f>
        <v>0</v>
      </c>
      <c r="N152" s="1209">
        <f t="shared" ref="N152:N206" si="60">IF(J152="","",IF((J152*40)&gt;40,40,((J152*40))))</f>
        <v>40</v>
      </c>
      <c r="O152" s="1209">
        <f t="shared" ref="O152:O206" si="61">IF(J152="","",IF(I152&lt;4,(40*J152),0))</f>
        <v>0</v>
      </c>
      <c r="P152" s="1283">
        <f t="shared" ref="P152:P206" si="62">IF(J152="","",(SUM(L152:O152)))</f>
        <v>40</v>
      </c>
      <c r="Q152" s="518"/>
      <c r="R152" s="1076">
        <f>IF(J152="","",(((1659*J152)-P152)*AB152))</f>
        <v>62757.007160940331</v>
      </c>
      <c r="S152" s="1076">
        <f t="shared" ref="S152:S206" si="63">IF(J152="","",(P152*AC152)+(AA152*AD152)+((AE152*AA152*(1-AF152))))</f>
        <v>1550.5128390596747</v>
      </c>
      <c r="T152" s="1078">
        <f t="shared" ref="T152:T206" si="64">IF(J152="","",(R152+S152))</f>
        <v>64307.520000000004</v>
      </c>
      <c r="U152" s="599"/>
      <c r="V152" s="1261"/>
      <c r="W152" s="1261"/>
      <c r="X152" s="1218"/>
      <c r="Y152" s="1253">
        <f>ROUND(VLOOKUP(H152,tab!$A$61:$V$103,I152+2,FALSE),0)</f>
        <v>3308</v>
      </c>
      <c r="Z152" s="1252">
        <f>tab!$E$48</f>
        <v>0.62</v>
      </c>
      <c r="AA152" s="1284">
        <f t="shared" ref="AA152:AA206" si="65">(Y152*12/1659)</f>
        <v>23.927667269439421</v>
      </c>
      <c r="AB152" s="1284">
        <f t="shared" ref="AB152:AB206" si="66">(Y152*12*(1+Z152))/1659</f>
        <v>38.762820976491867</v>
      </c>
      <c r="AC152" s="1284">
        <f t="shared" ref="AC152:AC206" si="67">AB152-AA152</f>
        <v>14.835153707052445</v>
      </c>
      <c r="AD152" s="1286">
        <f t="shared" ref="AD152:AD206" si="68">(N152+O152)</f>
        <v>40</v>
      </c>
      <c r="AE152" s="1286">
        <f t="shared" ref="AE152:AE206" si="69">(L152+M152)</f>
        <v>0</v>
      </c>
      <c r="AF152" s="1254">
        <f>IF(H152&gt;8,tab!$D$49,tab!$D$52)</f>
        <v>0.5</v>
      </c>
      <c r="AG152" s="1255">
        <f t="shared" ref="AG152:AG183" si="70">IF(F152&lt;25,0,IF(F152=25,25,IF(F152&lt;40,0,IF(F152=40,40,IF(F152&gt;=40,0)))))</f>
        <v>0</v>
      </c>
      <c r="AH152" s="1251">
        <f t="shared" ref="AH152:AH183" si="71">IF(AG152=25,(Y152*1.08*(J152)/2),IF(AG152=40,(Y152*1.08*(J152)),IF(AG152=0,0)))</f>
        <v>0</v>
      </c>
      <c r="AI152" s="1278" t="b">
        <f>DATE(YEAR(tab!$G$3),MONTH(G152),DAY(G152))&gt;tab!$G$3</f>
        <v>0</v>
      </c>
      <c r="AJ152" s="1255">
        <f t="shared" ref="AJ152:AJ183" si="72">YEAR($E$145)-YEAR(G152)-AI152</f>
        <v>44</v>
      </c>
      <c r="AK152" s="1199">
        <f t="shared" ref="AK152:AK183" si="73">IF((G152=""),30,AJ152)</f>
        <v>44</v>
      </c>
      <c r="AL152" s="1199">
        <f t="shared" ref="AL152:AL183" si="74">IF((AK152)&gt;50,50,(AK152))</f>
        <v>44</v>
      </c>
      <c r="AM152" s="1205">
        <f t="shared" ref="AM152:AM183" si="75">(AL152*(SUM(J152:J152)))</f>
        <v>44</v>
      </c>
      <c r="AS152" s="819"/>
    </row>
    <row r="153" spans="3:50" ht="12.75" customHeight="1" x14ac:dyDescent="0.2">
      <c r="C153" s="135"/>
      <c r="D153" s="432" t="str">
        <f>IF(op!D85="","",op!D85)</f>
        <v/>
      </c>
      <c r="E153" s="432" t="str">
        <f>IF(op!E85=0,"",op!E85)</f>
        <v/>
      </c>
      <c r="F153" s="776" t="str">
        <f>IF(op!F85="","",op!F85+1)</f>
        <v/>
      </c>
      <c r="G153" s="802" t="str">
        <f>IF(op!G85="","",op!G85)</f>
        <v/>
      </c>
      <c r="H153" s="776" t="str">
        <f>IF(op!H85=0,"",op!H85)</f>
        <v/>
      </c>
      <c r="I153" s="433" t="str">
        <f>IF(J153="","",(IF(op!I85+1&gt;LOOKUP(H153,schaal2013,regels2013),op!I85,op!I85+1)))</f>
        <v/>
      </c>
      <c r="J153" s="803" t="str">
        <f>IF(op!J85="","",op!J85)</f>
        <v/>
      </c>
      <c r="K153" s="518"/>
      <c r="L153" s="1207">
        <f>IF(op!L85="","",op!L85)</f>
        <v>0</v>
      </c>
      <c r="M153" s="1207">
        <f>IF(op!M85="","",op!M85)</f>
        <v>0</v>
      </c>
      <c r="N153" s="1209" t="str">
        <f t="shared" si="60"/>
        <v/>
      </c>
      <c r="O153" s="1209" t="str">
        <f t="shared" si="61"/>
        <v/>
      </c>
      <c r="P153" s="1283" t="str">
        <f t="shared" si="62"/>
        <v/>
      </c>
      <c r="Q153" s="518"/>
      <c r="R153" s="1076" t="str">
        <f>IF(J153="","",(((1659*J153)-P153)*AB153))</f>
        <v/>
      </c>
      <c r="S153" s="1076" t="str">
        <f t="shared" si="63"/>
        <v/>
      </c>
      <c r="T153" s="1078" t="str">
        <f t="shared" si="64"/>
        <v/>
      </c>
      <c r="U153" s="599"/>
      <c r="V153" s="1261"/>
      <c r="W153" s="1261"/>
      <c r="X153" s="1218"/>
      <c r="Y153" s="1253" t="e">
        <f>ROUND(VLOOKUP(H153,tab!$A$61:$V$103,I153+2,FALSE),0)</f>
        <v>#VALUE!</v>
      </c>
      <c r="Z153" s="1252">
        <f>tab!$E$48</f>
        <v>0.62</v>
      </c>
      <c r="AA153" s="1284" t="e">
        <f t="shared" si="65"/>
        <v>#VALUE!</v>
      </c>
      <c r="AB153" s="1284" t="e">
        <f t="shared" si="66"/>
        <v>#VALUE!</v>
      </c>
      <c r="AC153" s="1284" t="e">
        <f t="shared" si="67"/>
        <v>#VALUE!</v>
      </c>
      <c r="AD153" s="1286" t="e">
        <f t="shared" si="68"/>
        <v>#VALUE!</v>
      </c>
      <c r="AE153" s="1286">
        <f t="shared" si="69"/>
        <v>0</v>
      </c>
      <c r="AF153" s="1254">
        <f>IF(H153&gt;8,tab!$D$49,tab!$D$52)</f>
        <v>0.5</v>
      </c>
      <c r="AG153" s="1255">
        <f t="shared" si="70"/>
        <v>0</v>
      </c>
      <c r="AH153" s="1251">
        <f t="shared" si="71"/>
        <v>0</v>
      </c>
      <c r="AI153" s="1278" t="e">
        <f>DATE(YEAR(tab!$G$3),MONTH(G153),DAY(G153))&gt;tab!$G$3</f>
        <v>#VALUE!</v>
      </c>
      <c r="AJ153" s="1255" t="e">
        <f t="shared" si="72"/>
        <v>#VALUE!</v>
      </c>
      <c r="AK153" s="1199">
        <f t="shared" si="73"/>
        <v>30</v>
      </c>
      <c r="AL153" s="1199">
        <f t="shared" si="74"/>
        <v>30</v>
      </c>
      <c r="AM153" s="1205">
        <f t="shared" si="75"/>
        <v>0</v>
      </c>
      <c r="AS153" s="819"/>
    </row>
    <row r="154" spans="3:50" ht="12.75" customHeight="1" x14ac:dyDescent="0.2">
      <c r="C154" s="135"/>
      <c r="D154" s="432" t="str">
        <f>IF(op!D86="","",op!D86)</f>
        <v/>
      </c>
      <c r="E154" s="432" t="str">
        <f>IF(op!E86=0,"",op!E86)</f>
        <v/>
      </c>
      <c r="F154" s="776" t="str">
        <f>IF(op!F86="","",op!F86+1)</f>
        <v/>
      </c>
      <c r="G154" s="802" t="str">
        <f>IF(op!G86="","",op!G86)</f>
        <v/>
      </c>
      <c r="H154" s="776" t="str">
        <f>IF(op!H86=0,"",op!H86)</f>
        <v/>
      </c>
      <c r="I154" s="433" t="str">
        <f>IF(J154="","",(IF(op!I86+1&gt;LOOKUP(H154,schaal2013,regels2013),op!I86,op!I86+1)))</f>
        <v/>
      </c>
      <c r="J154" s="803" t="str">
        <f>IF(op!J86="","",op!J86)</f>
        <v/>
      </c>
      <c r="K154" s="518"/>
      <c r="L154" s="1207">
        <f>IF(op!L86="","",op!L86)</f>
        <v>0</v>
      </c>
      <c r="M154" s="1207">
        <f>IF(op!M86="","",op!M86)</f>
        <v>0</v>
      </c>
      <c r="N154" s="1209" t="str">
        <f t="shared" si="60"/>
        <v/>
      </c>
      <c r="O154" s="1209" t="str">
        <f t="shared" si="61"/>
        <v/>
      </c>
      <c r="P154" s="1283" t="str">
        <f t="shared" si="62"/>
        <v/>
      </c>
      <c r="Q154" s="518"/>
      <c r="R154" s="1076" t="str">
        <f t="shared" ref="R154:R206" si="76">IF(J154="","",(((1659*J154)-P154)*AB154))</f>
        <v/>
      </c>
      <c r="S154" s="1076" t="str">
        <f t="shared" si="63"/>
        <v/>
      </c>
      <c r="T154" s="1078" t="str">
        <f t="shared" si="64"/>
        <v/>
      </c>
      <c r="U154" s="599"/>
      <c r="V154" s="1261"/>
      <c r="W154" s="1261"/>
      <c r="X154" s="1218"/>
      <c r="Y154" s="1253" t="e">
        <f>ROUND(VLOOKUP(H154,tab!$A$61:$V$103,I154+2,FALSE),0)</f>
        <v>#VALUE!</v>
      </c>
      <c r="Z154" s="1252">
        <f>tab!$E$48</f>
        <v>0.62</v>
      </c>
      <c r="AA154" s="1284" t="e">
        <f t="shared" si="65"/>
        <v>#VALUE!</v>
      </c>
      <c r="AB154" s="1284" t="e">
        <f t="shared" si="66"/>
        <v>#VALUE!</v>
      </c>
      <c r="AC154" s="1284" t="e">
        <f t="shared" si="67"/>
        <v>#VALUE!</v>
      </c>
      <c r="AD154" s="1286" t="e">
        <f t="shared" si="68"/>
        <v>#VALUE!</v>
      </c>
      <c r="AE154" s="1286">
        <f t="shared" si="69"/>
        <v>0</v>
      </c>
      <c r="AF154" s="1254">
        <f>IF(H154&gt;8,tab!$D$49,tab!$D$52)</f>
        <v>0.5</v>
      </c>
      <c r="AG154" s="1255">
        <f t="shared" si="70"/>
        <v>0</v>
      </c>
      <c r="AH154" s="1251">
        <f t="shared" si="71"/>
        <v>0</v>
      </c>
      <c r="AI154" s="1278" t="e">
        <f>DATE(YEAR(tab!$G$3),MONTH(G154),DAY(G154))&gt;tab!$G$3</f>
        <v>#VALUE!</v>
      </c>
      <c r="AJ154" s="1255" t="e">
        <f t="shared" si="72"/>
        <v>#VALUE!</v>
      </c>
      <c r="AK154" s="1199">
        <f t="shared" si="73"/>
        <v>30</v>
      </c>
      <c r="AL154" s="1199">
        <f t="shared" si="74"/>
        <v>30</v>
      </c>
      <c r="AM154" s="1205">
        <f t="shared" si="75"/>
        <v>0</v>
      </c>
      <c r="AS154" s="819"/>
    </row>
    <row r="155" spans="3:50" ht="12.75" customHeight="1" x14ac:dyDescent="0.2">
      <c r="C155" s="135"/>
      <c r="D155" s="432" t="str">
        <f>IF(op!D87="","",op!D87)</f>
        <v/>
      </c>
      <c r="E155" s="432" t="str">
        <f>IF(op!E87=0,"",op!E87)</f>
        <v/>
      </c>
      <c r="F155" s="776" t="str">
        <f>IF(op!F87="","",op!F87+1)</f>
        <v/>
      </c>
      <c r="G155" s="802" t="str">
        <f>IF(op!G87="","",op!G87)</f>
        <v/>
      </c>
      <c r="H155" s="776" t="str">
        <f>IF(op!H87=0,"",op!H87)</f>
        <v/>
      </c>
      <c r="I155" s="433" t="str">
        <f>IF(J155="","",(IF(op!I87+1&gt;LOOKUP(H155,schaal2013,regels2013),op!I87,op!I87+1)))</f>
        <v/>
      </c>
      <c r="J155" s="803" t="str">
        <f>IF(op!J87="","",op!J87)</f>
        <v/>
      </c>
      <c r="K155" s="518"/>
      <c r="L155" s="1207">
        <f>IF(op!L87="","",op!L87)</f>
        <v>0</v>
      </c>
      <c r="M155" s="1207">
        <f>IF(op!M87="","",op!M87)</f>
        <v>0</v>
      </c>
      <c r="N155" s="1209" t="str">
        <f t="shared" si="60"/>
        <v/>
      </c>
      <c r="O155" s="1209" t="str">
        <f t="shared" si="61"/>
        <v/>
      </c>
      <c r="P155" s="1283" t="str">
        <f t="shared" si="62"/>
        <v/>
      </c>
      <c r="Q155" s="518"/>
      <c r="R155" s="1076" t="str">
        <f t="shared" si="76"/>
        <v/>
      </c>
      <c r="S155" s="1076" t="str">
        <f t="shared" si="63"/>
        <v/>
      </c>
      <c r="T155" s="1078" t="str">
        <f t="shared" si="64"/>
        <v/>
      </c>
      <c r="U155" s="599"/>
      <c r="V155" s="1261"/>
      <c r="W155" s="1261"/>
      <c r="X155" s="1218"/>
      <c r="Y155" s="1253" t="e">
        <f>ROUND(VLOOKUP(H155,tab!$A$61:$V$103,I155+2,FALSE),0)</f>
        <v>#VALUE!</v>
      </c>
      <c r="Z155" s="1252">
        <f>tab!$E$48</f>
        <v>0.62</v>
      </c>
      <c r="AA155" s="1284" t="e">
        <f t="shared" si="65"/>
        <v>#VALUE!</v>
      </c>
      <c r="AB155" s="1284" t="e">
        <f t="shared" si="66"/>
        <v>#VALUE!</v>
      </c>
      <c r="AC155" s="1284" t="e">
        <f t="shared" si="67"/>
        <v>#VALUE!</v>
      </c>
      <c r="AD155" s="1286" t="e">
        <f t="shared" si="68"/>
        <v>#VALUE!</v>
      </c>
      <c r="AE155" s="1286">
        <f t="shared" si="69"/>
        <v>0</v>
      </c>
      <c r="AF155" s="1254">
        <f>IF(H155&gt;8,tab!$D$49,tab!$D$52)</f>
        <v>0.5</v>
      </c>
      <c r="AG155" s="1255">
        <f t="shared" si="70"/>
        <v>0</v>
      </c>
      <c r="AH155" s="1251">
        <f t="shared" si="71"/>
        <v>0</v>
      </c>
      <c r="AI155" s="1278" t="e">
        <f>DATE(YEAR(tab!$G$3),MONTH(G155),DAY(G155))&gt;tab!$G$3</f>
        <v>#VALUE!</v>
      </c>
      <c r="AJ155" s="1255" t="e">
        <f t="shared" si="72"/>
        <v>#VALUE!</v>
      </c>
      <c r="AK155" s="1199">
        <f t="shared" si="73"/>
        <v>30</v>
      </c>
      <c r="AL155" s="1199">
        <f t="shared" si="74"/>
        <v>30</v>
      </c>
      <c r="AM155" s="1205">
        <f t="shared" si="75"/>
        <v>0</v>
      </c>
      <c r="AS155" s="819"/>
    </row>
    <row r="156" spans="3:50" ht="12.75" customHeight="1" x14ac:dyDescent="0.2">
      <c r="C156" s="135"/>
      <c r="D156" s="432" t="str">
        <f>IF(op!D88="","",op!D88)</f>
        <v/>
      </c>
      <c r="E156" s="432" t="str">
        <f>IF(op!E88=0,"",op!E88)</f>
        <v/>
      </c>
      <c r="F156" s="776" t="str">
        <f>IF(op!F88="","",op!F88+1)</f>
        <v/>
      </c>
      <c r="G156" s="802" t="str">
        <f>IF(op!G88="","",op!G88)</f>
        <v/>
      </c>
      <c r="H156" s="776" t="str">
        <f>IF(op!H88=0,"",op!H88)</f>
        <v/>
      </c>
      <c r="I156" s="433" t="str">
        <f>IF(J156="","",(IF(op!I88+1&gt;LOOKUP(H156,schaal2013,regels2013),op!I88,op!I88+1)))</f>
        <v/>
      </c>
      <c r="J156" s="803" t="str">
        <f>IF(op!J88="","",op!J88)</f>
        <v/>
      </c>
      <c r="K156" s="518"/>
      <c r="L156" s="1207">
        <f>IF(op!L88="","",op!L88)</f>
        <v>0</v>
      </c>
      <c r="M156" s="1207">
        <f>IF(op!M88="","",op!M88)</f>
        <v>0</v>
      </c>
      <c r="N156" s="1209" t="str">
        <f t="shared" si="60"/>
        <v/>
      </c>
      <c r="O156" s="1209" t="str">
        <f t="shared" si="61"/>
        <v/>
      </c>
      <c r="P156" s="1283" t="str">
        <f t="shared" si="62"/>
        <v/>
      </c>
      <c r="Q156" s="518"/>
      <c r="R156" s="1076" t="str">
        <f t="shared" si="76"/>
        <v/>
      </c>
      <c r="S156" s="1076" t="str">
        <f t="shared" si="63"/>
        <v/>
      </c>
      <c r="T156" s="1078" t="str">
        <f t="shared" si="64"/>
        <v/>
      </c>
      <c r="U156" s="599"/>
      <c r="V156" s="1261"/>
      <c r="W156" s="1261"/>
      <c r="X156" s="1218"/>
      <c r="Y156" s="1253" t="e">
        <f>ROUND(VLOOKUP(H156,tab!$A$61:$V$103,I156+2,FALSE),0)</f>
        <v>#VALUE!</v>
      </c>
      <c r="Z156" s="1252">
        <f>tab!$E$48</f>
        <v>0.62</v>
      </c>
      <c r="AA156" s="1284" t="e">
        <f t="shared" si="65"/>
        <v>#VALUE!</v>
      </c>
      <c r="AB156" s="1284" t="e">
        <f t="shared" si="66"/>
        <v>#VALUE!</v>
      </c>
      <c r="AC156" s="1284" t="e">
        <f t="shared" si="67"/>
        <v>#VALUE!</v>
      </c>
      <c r="AD156" s="1286" t="e">
        <f t="shared" si="68"/>
        <v>#VALUE!</v>
      </c>
      <c r="AE156" s="1286">
        <f t="shared" si="69"/>
        <v>0</v>
      </c>
      <c r="AF156" s="1254">
        <f>IF(H156&gt;8,tab!$D$49,tab!$D$52)</f>
        <v>0.5</v>
      </c>
      <c r="AG156" s="1255">
        <f t="shared" si="70"/>
        <v>0</v>
      </c>
      <c r="AH156" s="1251">
        <f t="shared" si="71"/>
        <v>0</v>
      </c>
      <c r="AI156" s="1278" t="e">
        <f>DATE(YEAR(tab!$G$3),MONTH(G156),DAY(G156))&gt;tab!$G$3</f>
        <v>#VALUE!</v>
      </c>
      <c r="AJ156" s="1255" t="e">
        <f t="shared" si="72"/>
        <v>#VALUE!</v>
      </c>
      <c r="AK156" s="1199">
        <f t="shared" si="73"/>
        <v>30</v>
      </c>
      <c r="AL156" s="1199">
        <f t="shared" si="74"/>
        <v>30</v>
      </c>
      <c r="AM156" s="1205">
        <f t="shared" si="75"/>
        <v>0</v>
      </c>
      <c r="AS156" s="819"/>
    </row>
    <row r="157" spans="3:50" ht="12.75" customHeight="1" x14ac:dyDescent="0.2">
      <c r="C157" s="135"/>
      <c r="D157" s="432" t="str">
        <f>IF(op!D89="","",op!D89)</f>
        <v/>
      </c>
      <c r="E157" s="432" t="str">
        <f>IF(op!E89=0,"",op!E89)</f>
        <v/>
      </c>
      <c r="F157" s="776" t="str">
        <f>IF(op!F89="","",op!F89+1)</f>
        <v/>
      </c>
      <c r="G157" s="802" t="str">
        <f>IF(op!G89="","",op!G89)</f>
        <v/>
      </c>
      <c r="H157" s="776" t="str">
        <f>IF(op!H89=0,"",op!H89)</f>
        <v/>
      </c>
      <c r="I157" s="433" t="str">
        <f>IF(J157="","",(IF(op!I89+1&gt;LOOKUP(H157,schaal2013,regels2013),op!I89,op!I89+1)))</f>
        <v/>
      </c>
      <c r="J157" s="803" t="str">
        <f>IF(op!J89="","",op!J89)</f>
        <v/>
      </c>
      <c r="K157" s="518"/>
      <c r="L157" s="1207">
        <f>IF(op!L89="","",op!L89)</f>
        <v>0</v>
      </c>
      <c r="M157" s="1207">
        <f>IF(op!M89="","",op!M89)</f>
        <v>0</v>
      </c>
      <c r="N157" s="1209" t="str">
        <f t="shared" si="60"/>
        <v/>
      </c>
      <c r="O157" s="1209" t="str">
        <f t="shared" si="61"/>
        <v/>
      </c>
      <c r="P157" s="1283" t="str">
        <f t="shared" si="62"/>
        <v/>
      </c>
      <c r="Q157" s="518"/>
      <c r="R157" s="1076" t="str">
        <f t="shared" si="76"/>
        <v/>
      </c>
      <c r="S157" s="1076" t="str">
        <f t="shared" si="63"/>
        <v/>
      </c>
      <c r="T157" s="1078" t="str">
        <f t="shared" si="64"/>
        <v/>
      </c>
      <c r="U157" s="599"/>
      <c r="V157" s="1261"/>
      <c r="W157" s="1261"/>
      <c r="X157" s="1218"/>
      <c r="Y157" s="1253" t="e">
        <f>ROUND(VLOOKUP(H157,tab!$A$61:$V$103,I157+2,FALSE),0)</f>
        <v>#VALUE!</v>
      </c>
      <c r="Z157" s="1252">
        <f>tab!$E$48</f>
        <v>0.62</v>
      </c>
      <c r="AA157" s="1284" t="e">
        <f t="shared" si="65"/>
        <v>#VALUE!</v>
      </c>
      <c r="AB157" s="1284" t="e">
        <f t="shared" si="66"/>
        <v>#VALUE!</v>
      </c>
      <c r="AC157" s="1284" t="e">
        <f t="shared" si="67"/>
        <v>#VALUE!</v>
      </c>
      <c r="AD157" s="1286" t="e">
        <f t="shared" si="68"/>
        <v>#VALUE!</v>
      </c>
      <c r="AE157" s="1286">
        <f t="shared" si="69"/>
        <v>0</v>
      </c>
      <c r="AF157" s="1254">
        <f>IF(H157&gt;8,tab!$D$49,tab!$D$52)</f>
        <v>0.5</v>
      </c>
      <c r="AG157" s="1255">
        <f t="shared" si="70"/>
        <v>0</v>
      </c>
      <c r="AH157" s="1251">
        <f t="shared" si="71"/>
        <v>0</v>
      </c>
      <c r="AI157" s="1278" t="e">
        <f>DATE(YEAR(tab!$G$3),MONTH(G157),DAY(G157))&gt;tab!$G$3</f>
        <v>#VALUE!</v>
      </c>
      <c r="AJ157" s="1255" t="e">
        <f t="shared" si="72"/>
        <v>#VALUE!</v>
      </c>
      <c r="AK157" s="1199">
        <f t="shared" si="73"/>
        <v>30</v>
      </c>
      <c r="AL157" s="1199">
        <f t="shared" si="74"/>
        <v>30</v>
      </c>
      <c r="AM157" s="1205">
        <f t="shared" si="75"/>
        <v>0</v>
      </c>
      <c r="AS157" s="819"/>
    </row>
    <row r="158" spans="3:50" ht="12.75" customHeight="1" x14ac:dyDescent="0.2">
      <c r="C158" s="135"/>
      <c r="D158" s="432" t="str">
        <f>IF(op!D90="","",op!D90)</f>
        <v/>
      </c>
      <c r="E158" s="432" t="str">
        <f>IF(op!E90=0,"",op!E90)</f>
        <v/>
      </c>
      <c r="F158" s="776" t="str">
        <f>IF(op!F90="","",op!F90+1)</f>
        <v/>
      </c>
      <c r="G158" s="802" t="str">
        <f>IF(op!G90="","",op!G90)</f>
        <v/>
      </c>
      <c r="H158" s="776" t="str">
        <f>IF(op!H90=0,"",op!H90)</f>
        <v/>
      </c>
      <c r="I158" s="433" t="str">
        <f>IF(J158="","",(IF(op!I90+1&gt;LOOKUP(H158,schaal2013,regels2013),op!I90,op!I90+1)))</f>
        <v/>
      </c>
      <c r="J158" s="803" t="str">
        <f>IF(op!J90="","",op!J90)</f>
        <v/>
      </c>
      <c r="K158" s="518"/>
      <c r="L158" s="1207">
        <f>IF(op!L90="","",op!L90)</f>
        <v>0</v>
      </c>
      <c r="M158" s="1207">
        <f>IF(op!M90="","",op!M90)</f>
        <v>0</v>
      </c>
      <c r="N158" s="1209" t="str">
        <f t="shared" si="60"/>
        <v/>
      </c>
      <c r="O158" s="1209" t="str">
        <f t="shared" si="61"/>
        <v/>
      </c>
      <c r="P158" s="1283" t="str">
        <f t="shared" si="62"/>
        <v/>
      </c>
      <c r="Q158" s="518"/>
      <c r="R158" s="1076" t="str">
        <f t="shared" si="76"/>
        <v/>
      </c>
      <c r="S158" s="1076" t="str">
        <f t="shared" si="63"/>
        <v/>
      </c>
      <c r="T158" s="1078" t="str">
        <f t="shared" si="64"/>
        <v/>
      </c>
      <c r="U158" s="599"/>
      <c r="V158" s="1261"/>
      <c r="W158" s="1261"/>
      <c r="X158" s="1218"/>
      <c r="Y158" s="1253" t="e">
        <f>ROUND(VLOOKUP(H158,tab!$A$61:$V$103,I158+2,FALSE),0)</f>
        <v>#VALUE!</v>
      </c>
      <c r="Z158" s="1252">
        <f>tab!$E$48</f>
        <v>0.62</v>
      </c>
      <c r="AA158" s="1284" t="e">
        <f t="shared" si="65"/>
        <v>#VALUE!</v>
      </c>
      <c r="AB158" s="1284" t="e">
        <f t="shared" si="66"/>
        <v>#VALUE!</v>
      </c>
      <c r="AC158" s="1284" t="e">
        <f t="shared" si="67"/>
        <v>#VALUE!</v>
      </c>
      <c r="AD158" s="1286" t="e">
        <f t="shared" si="68"/>
        <v>#VALUE!</v>
      </c>
      <c r="AE158" s="1286">
        <f t="shared" si="69"/>
        <v>0</v>
      </c>
      <c r="AF158" s="1254">
        <f>IF(H158&gt;8,tab!$D$49,tab!$D$52)</f>
        <v>0.5</v>
      </c>
      <c r="AG158" s="1255">
        <f t="shared" si="70"/>
        <v>0</v>
      </c>
      <c r="AH158" s="1251">
        <f t="shared" si="71"/>
        <v>0</v>
      </c>
      <c r="AI158" s="1278" t="e">
        <f>DATE(YEAR(tab!$G$3),MONTH(G158),DAY(G158))&gt;tab!$G$3</f>
        <v>#VALUE!</v>
      </c>
      <c r="AJ158" s="1255" t="e">
        <f t="shared" si="72"/>
        <v>#VALUE!</v>
      </c>
      <c r="AK158" s="1199">
        <f t="shared" si="73"/>
        <v>30</v>
      </c>
      <c r="AL158" s="1199">
        <f t="shared" si="74"/>
        <v>30</v>
      </c>
      <c r="AM158" s="1205">
        <f t="shared" si="75"/>
        <v>0</v>
      </c>
      <c r="AS158" s="819"/>
    </row>
    <row r="159" spans="3:50" ht="12.75" customHeight="1" x14ac:dyDescent="0.2">
      <c r="C159" s="135"/>
      <c r="D159" s="432" t="str">
        <f>IF(op!D91="","",op!D91)</f>
        <v/>
      </c>
      <c r="E159" s="432" t="str">
        <f>IF(op!E91=0,"",op!E91)</f>
        <v/>
      </c>
      <c r="F159" s="776" t="str">
        <f>IF(op!F91="","",op!F91+1)</f>
        <v/>
      </c>
      <c r="G159" s="802" t="str">
        <f>IF(op!G91="","",op!G91)</f>
        <v/>
      </c>
      <c r="H159" s="776" t="str">
        <f>IF(op!H91=0,"",op!H91)</f>
        <v/>
      </c>
      <c r="I159" s="433" t="str">
        <f>IF(J159="","",(IF(op!I91+1&gt;LOOKUP(H159,schaal2013,regels2013),op!I91,op!I91+1)))</f>
        <v/>
      </c>
      <c r="J159" s="803" t="str">
        <f>IF(op!J91="","",op!J91)</f>
        <v/>
      </c>
      <c r="K159" s="518"/>
      <c r="L159" s="1207">
        <f>IF(op!L91="","",op!L91)</f>
        <v>0</v>
      </c>
      <c r="M159" s="1207">
        <f>IF(op!M91="","",op!M91)</f>
        <v>0</v>
      </c>
      <c r="N159" s="1209" t="str">
        <f t="shared" si="60"/>
        <v/>
      </c>
      <c r="O159" s="1209" t="str">
        <f t="shared" si="61"/>
        <v/>
      </c>
      <c r="P159" s="1283" t="str">
        <f t="shared" si="62"/>
        <v/>
      </c>
      <c r="Q159" s="518"/>
      <c r="R159" s="1076" t="str">
        <f t="shared" si="76"/>
        <v/>
      </c>
      <c r="S159" s="1076" t="str">
        <f t="shared" si="63"/>
        <v/>
      </c>
      <c r="T159" s="1078" t="str">
        <f t="shared" si="64"/>
        <v/>
      </c>
      <c r="U159" s="599"/>
      <c r="V159" s="1261"/>
      <c r="W159" s="1261"/>
      <c r="X159" s="1218"/>
      <c r="Y159" s="1253" t="e">
        <f>ROUND(VLOOKUP(H159,tab!$A$61:$V$103,I159+2,FALSE),0)</f>
        <v>#VALUE!</v>
      </c>
      <c r="Z159" s="1252">
        <f>tab!$E$48</f>
        <v>0.62</v>
      </c>
      <c r="AA159" s="1284" t="e">
        <f t="shared" si="65"/>
        <v>#VALUE!</v>
      </c>
      <c r="AB159" s="1284" t="e">
        <f t="shared" si="66"/>
        <v>#VALUE!</v>
      </c>
      <c r="AC159" s="1284" t="e">
        <f t="shared" si="67"/>
        <v>#VALUE!</v>
      </c>
      <c r="AD159" s="1286" t="e">
        <f t="shared" si="68"/>
        <v>#VALUE!</v>
      </c>
      <c r="AE159" s="1286">
        <f t="shared" si="69"/>
        <v>0</v>
      </c>
      <c r="AF159" s="1254">
        <f>IF(H159&gt;8,tab!$D$49,tab!$D$52)</f>
        <v>0.5</v>
      </c>
      <c r="AG159" s="1255">
        <f t="shared" si="70"/>
        <v>0</v>
      </c>
      <c r="AH159" s="1251">
        <f t="shared" si="71"/>
        <v>0</v>
      </c>
      <c r="AI159" s="1278" t="e">
        <f>DATE(YEAR(tab!$G$3),MONTH(G159),DAY(G159))&gt;tab!$G$3</f>
        <v>#VALUE!</v>
      </c>
      <c r="AJ159" s="1255" t="e">
        <f t="shared" si="72"/>
        <v>#VALUE!</v>
      </c>
      <c r="AK159" s="1199">
        <f t="shared" si="73"/>
        <v>30</v>
      </c>
      <c r="AL159" s="1199">
        <f t="shared" si="74"/>
        <v>30</v>
      </c>
      <c r="AM159" s="1205">
        <f t="shared" si="75"/>
        <v>0</v>
      </c>
      <c r="AS159" s="819"/>
    </row>
    <row r="160" spans="3:50" ht="12.75" customHeight="1" x14ac:dyDescent="0.2">
      <c r="C160" s="135"/>
      <c r="D160" s="432" t="str">
        <f>IF(op!D92="","",op!D92)</f>
        <v/>
      </c>
      <c r="E160" s="432" t="str">
        <f>IF(op!E92=0,"",op!E92)</f>
        <v/>
      </c>
      <c r="F160" s="776" t="str">
        <f>IF(op!F92="","",op!F92+1)</f>
        <v/>
      </c>
      <c r="G160" s="802" t="str">
        <f>IF(op!G92="","",op!G92)</f>
        <v/>
      </c>
      <c r="H160" s="776" t="str">
        <f>IF(op!H92=0,"",op!H92)</f>
        <v/>
      </c>
      <c r="I160" s="433" t="str">
        <f>IF(J160="","",(IF(op!I92+1&gt;LOOKUP(H160,schaal2013,regels2013),op!I92,op!I92+1)))</f>
        <v/>
      </c>
      <c r="J160" s="803" t="str">
        <f>IF(op!J92="","",op!J92)</f>
        <v/>
      </c>
      <c r="K160" s="518"/>
      <c r="L160" s="1207">
        <f>IF(op!L92="","",op!L92)</f>
        <v>0</v>
      </c>
      <c r="M160" s="1207">
        <f>IF(op!M92="","",op!M92)</f>
        <v>0</v>
      </c>
      <c r="N160" s="1209" t="str">
        <f t="shared" si="60"/>
        <v/>
      </c>
      <c r="O160" s="1209" t="str">
        <f t="shared" si="61"/>
        <v/>
      </c>
      <c r="P160" s="1283" t="str">
        <f t="shared" si="62"/>
        <v/>
      </c>
      <c r="Q160" s="518"/>
      <c r="R160" s="1076" t="str">
        <f t="shared" si="76"/>
        <v/>
      </c>
      <c r="S160" s="1076" t="str">
        <f t="shared" si="63"/>
        <v/>
      </c>
      <c r="T160" s="1078" t="str">
        <f t="shared" si="64"/>
        <v/>
      </c>
      <c r="U160" s="599"/>
      <c r="V160" s="1261"/>
      <c r="W160" s="1261"/>
      <c r="X160" s="1218"/>
      <c r="Y160" s="1253" t="e">
        <f>ROUND(VLOOKUP(H160,tab!$A$61:$V$103,I160+2,FALSE),0)</f>
        <v>#VALUE!</v>
      </c>
      <c r="Z160" s="1252">
        <f>tab!$E$48</f>
        <v>0.62</v>
      </c>
      <c r="AA160" s="1284" t="e">
        <f t="shared" si="65"/>
        <v>#VALUE!</v>
      </c>
      <c r="AB160" s="1284" t="e">
        <f t="shared" si="66"/>
        <v>#VALUE!</v>
      </c>
      <c r="AC160" s="1284" t="e">
        <f t="shared" si="67"/>
        <v>#VALUE!</v>
      </c>
      <c r="AD160" s="1286" t="e">
        <f t="shared" si="68"/>
        <v>#VALUE!</v>
      </c>
      <c r="AE160" s="1286">
        <f t="shared" si="69"/>
        <v>0</v>
      </c>
      <c r="AF160" s="1254">
        <f>IF(H160&gt;8,tab!$D$49,tab!$D$52)</f>
        <v>0.5</v>
      </c>
      <c r="AG160" s="1255">
        <f t="shared" si="70"/>
        <v>0</v>
      </c>
      <c r="AH160" s="1251">
        <f t="shared" si="71"/>
        <v>0</v>
      </c>
      <c r="AI160" s="1278" t="e">
        <f>DATE(YEAR(tab!$G$3),MONTH(G160),DAY(G160))&gt;tab!$G$3</f>
        <v>#VALUE!</v>
      </c>
      <c r="AJ160" s="1255" t="e">
        <f t="shared" si="72"/>
        <v>#VALUE!</v>
      </c>
      <c r="AK160" s="1199">
        <f t="shared" si="73"/>
        <v>30</v>
      </c>
      <c r="AL160" s="1199">
        <f t="shared" si="74"/>
        <v>30</v>
      </c>
      <c r="AM160" s="1205">
        <f t="shared" si="75"/>
        <v>0</v>
      </c>
      <c r="AS160" s="819"/>
    </row>
    <row r="161" spans="3:45" ht="12.75" customHeight="1" x14ac:dyDescent="0.2">
      <c r="C161" s="135"/>
      <c r="D161" s="432" t="str">
        <f>IF(op!D93="","",op!D93)</f>
        <v/>
      </c>
      <c r="E161" s="432" t="str">
        <f>IF(op!E93=0,"",op!E93)</f>
        <v/>
      </c>
      <c r="F161" s="776" t="str">
        <f>IF(op!F93="","",op!F93+1)</f>
        <v/>
      </c>
      <c r="G161" s="802" t="str">
        <f>IF(op!G93="","",op!G93)</f>
        <v/>
      </c>
      <c r="H161" s="776" t="str">
        <f>IF(op!H93=0,"",op!H93)</f>
        <v/>
      </c>
      <c r="I161" s="433" t="str">
        <f>IF(J161="","",(IF(op!I93+1&gt;LOOKUP(H161,schaal2013,regels2013),op!I93,op!I93+1)))</f>
        <v/>
      </c>
      <c r="J161" s="803" t="str">
        <f>IF(op!J93="","",op!J93)</f>
        <v/>
      </c>
      <c r="K161" s="518"/>
      <c r="L161" s="1207">
        <f>IF(op!L93="","",op!L93)</f>
        <v>0</v>
      </c>
      <c r="M161" s="1207">
        <f>IF(op!M93="","",op!M93)</f>
        <v>0</v>
      </c>
      <c r="N161" s="1209" t="str">
        <f t="shared" si="60"/>
        <v/>
      </c>
      <c r="O161" s="1209" t="str">
        <f t="shared" si="61"/>
        <v/>
      </c>
      <c r="P161" s="1283" t="str">
        <f t="shared" si="62"/>
        <v/>
      </c>
      <c r="Q161" s="518"/>
      <c r="R161" s="1076" t="str">
        <f t="shared" si="76"/>
        <v/>
      </c>
      <c r="S161" s="1076" t="str">
        <f t="shared" si="63"/>
        <v/>
      </c>
      <c r="T161" s="1078" t="str">
        <f t="shared" si="64"/>
        <v/>
      </c>
      <c r="U161" s="599"/>
      <c r="V161" s="1261"/>
      <c r="W161" s="1261"/>
      <c r="X161" s="1218"/>
      <c r="Y161" s="1253" t="e">
        <f>ROUND(VLOOKUP(H161,tab!$A$61:$V$103,I161+2,FALSE),0)</f>
        <v>#VALUE!</v>
      </c>
      <c r="Z161" s="1252">
        <f>tab!$E$48</f>
        <v>0.62</v>
      </c>
      <c r="AA161" s="1284" t="e">
        <f t="shared" si="65"/>
        <v>#VALUE!</v>
      </c>
      <c r="AB161" s="1284" t="e">
        <f t="shared" si="66"/>
        <v>#VALUE!</v>
      </c>
      <c r="AC161" s="1284" t="e">
        <f t="shared" si="67"/>
        <v>#VALUE!</v>
      </c>
      <c r="AD161" s="1286" t="e">
        <f t="shared" si="68"/>
        <v>#VALUE!</v>
      </c>
      <c r="AE161" s="1286">
        <f t="shared" si="69"/>
        <v>0</v>
      </c>
      <c r="AF161" s="1254">
        <f>IF(H161&gt;8,tab!$D$49,tab!$D$52)</f>
        <v>0.5</v>
      </c>
      <c r="AG161" s="1255">
        <f t="shared" si="70"/>
        <v>0</v>
      </c>
      <c r="AH161" s="1251">
        <f t="shared" si="71"/>
        <v>0</v>
      </c>
      <c r="AI161" s="1278" t="e">
        <f>DATE(YEAR(tab!$G$3),MONTH(G161),DAY(G161))&gt;tab!$G$3</f>
        <v>#VALUE!</v>
      </c>
      <c r="AJ161" s="1255" t="e">
        <f t="shared" si="72"/>
        <v>#VALUE!</v>
      </c>
      <c r="AK161" s="1199">
        <f t="shared" si="73"/>
        <v>30</v>
      </c>
      <c r="AL161" s="1199">
        <f t="shared" si="74"/>
        <v>30</v>
      </c>
      <c r="AM161" s="1205">
        <f t="shared" si="75"/>
        <v>0</v>
      </c>
      <c r="AS161" s="819"/>
    </row>
    <row r="162" spans="3:45" ht="12.75" customHeight="1" x14ac:dyDescent="0.2">
      <c r="C162" s="135"/>
      <c r="D162" s="432" t="str">
        <f>IF(op!D94="","",op!D94)</f>
        <v/>
      </c>
      <c r="E162" s="432" t="str">
        <f>IF(op!E94=0,"",op!E94)</f>
        <v/>
      </c>
      <c r="F162" s="776" t="str">
        <f>IF(op!F94="","",op!F94+1)</f>
        <v/>
      </c>
      <c r="G162" s="802" t="str">
        <f>IF(op!G94="","",op!G94)</f>
        <v/>
      </c>
      <c r="H162" s="776" t="str">
        <f>IF(op!H94=0,"",op!H94)</f>
        <v/>
      </c>
      <c r="I162" s="433" t="str">
        <f>IF(J162="","",(IF(op!I94+1&gt;LOOKUP(H162,schaal2013,regels2013),op!I94,op!I94+1)))</f>
        <v/>
      </c>
      <c r="J162" s="803" t="str">
        <f>IF(op!J94="","",op!J94)</f>
        <v/>
      </c>
      <c r="K162" s="518"/>
      <c r="L162" s="1207">
        <f>IF(op!L94="","",op!L94)</f>
        <v>0</v>
      </c>
      <c r="M162" s="1207">
        <f>IF(op!M94="","",op!M94)</f>
        <v>0</v>
      </c>
      <c r="N162" s="1209" t="str">
        <f t="shared" si="60"/>
        <v/>
      </c>
      <c r="O162" s="1209" t="str">
        <f t="shared" si="61"/>
        <v/>
      </c>
      <c r="P162" s="1283" t="str">
        <f t="shared" si="62"/>
        <v/>
      </c>
      <c r="Q162" s="518"/>
      <c r="R162" s="1076" t="str">
        <f t="shared" si="76"/>
        <v/>
      </c>
      <c r="S162" s="1076" t="str">
        <f t="shared" si="63"/>
        <v/>
      </c>
      <c r="T162" s="1078" t="str">
        <f t="shared" si="64"/>
        <v/>
      </c>
      <c r="U162" s="599"/>
      <c r="V162" s="1261"/>
      <c r="W162" s="1261"/>
      <c r="X162" s="1218"/>
      <c r="Y162" s="1253" t="e">
        <f>ROUND(VLOOKUP(H162,tab!$A$61:$V$103,I162+2,FALSE),0)</f>
        <v>#VALUE!</v>
      </c>
      <c r="Z162" s="1252">
        <f>tab!$E$48</f>
        <v>0.62</v>
      </c>
      <c r="AA162" s="1284" t="e">
        <f t="shared" si="65"/>
        <v>#VALUE!</v>
      </c>
      <c r="AB162" s="1284" t="e">
        <f t="shared" si="66"/>
        <v>#VALUE!</v>
      </c>
      <c r="AC162" s="1284" t="e">
        <f t="shared" si="67"/>
        <v>#VALUE!</v>
      </c>
      <c r="AD162" s="1286" t="e">
        <f t="shared" si="68"/>
        <v>#VALUE!</v>
      </c>
      <c r="AE162" s="1286">
        <f t="shared" si="69"/>
        <v>0</v>
      </c>
      <c r="AF162" s="1254">
        <f>IF(H162&gt;8,tab!$D$49,tab!$D$52)</f>
        <v>0.5</v>
      </c>
      <c r="AG162" s="1255">
        <f t="shared" si="70"/>
        <v>0</v>
      </c>
      <c r="AH162" s="1251">
        <f t="shared" si="71"/>
        <v>0</v>
      </c>
      <c r="AI162" s="1278" t="e">
        <f>DATE(YEAR(tab!$G$3),MONTH(G162),DAY(G162))&gt;tab!$G$3</f>
        <v>#VALUE!</v>
      </c>
      <c r="AJ162" s="1255" t="e">
        <f t="shared" si="72"/>
        <v>#VALUE!</v>
      </c>
      <c r="AK162" s="1199">
        <f t="shared" si="73"/>
        <v>30</v>
      </c>
      <c r="AL162" s="1199">
        <f t="shared" si="74"/>
        <v>30</v>
      </c>
      <c r="AM162" s="1205">
        <f t="shared" si="75"/>
        <v>0</v>
      </c>
      <c r="AS162" s="819"/>
    </row>
    <row r="163" spans="3:45" ht="12.75" customHeight="1" x14ac:dyDescent="0.2">
      <c r="C163" s="135"/>
      <c r="D163" s="432" t="str">
        <f>IF(op!D95="","",op!D95)</f>
        <v/>
      </c>
      <c r="E163" s="432" t="str">
        <f>IF(op!E95=0,"",op!E95)</f>
        <v/>
      </c>
      <c r="F163" s="776" t="str">
        <f>IF(op!F95="","",op!F95+1)</f>
        <v/>
      </c>
      <c r="G163" s="802" t="str">
        <f>IF(op!G95="","",op!G95)</f>
        <v/>
      </c>
      <c r="H163" s="776" t="str">
        <f>IF(op!H95=0,"",op!H95)</f>
        <v/>
      </c>
      <c r="I163" s="433" t="str">
        <f>IF(J163="","",(IF(op!I95+1&gt;LOOKUP(H163,schaal2013,regels2013),op!I95,op!I95+1)))</f>
        <v/>
      </c>
      <c r="J163" s="803" t="str">
        <f>IF(op!J95="","",op!J95)</f>
        <v/>
      </c>
      <c r="K163" s="518"/>
      <c r="L163" s="1207">
        <f>IF(op!L95="","",op!L95)</f>
        <v>0</v>
      </c>
      <c r="M163" s="1207">
        <f>IF(op!M95="","",op!M95)</f>
        <v>0</v>
      </c>
      <c r="N163" s="1209" t="str">
        <f t="shared" si="60"/>
        <v/>
      </c>
      <c r="O163" s="1209" t="str">
        <f t="shared" si="61"/>
        <v/>
      </c>
      <c r="P163" s="1283" t="str">
        <f t="shared" si="62"/>
        <v/>
      </c>
      <c r="Q163" s="518"/>
      <c r="R163" s="1076" t="str">
        <f t="shared" si="76"/>
        <v/>
      </c>
      <c r="S163" s="1076" t="str">
        <f t="shared" si="63"/>
        <v/>
      </c>
      <c r="T163" s="1078" t="str">
        <f t="shared" si="64"/>
        <v/>
      </c>
      <c r="U163" s="599"/>
      <c r="V163" s="1261"/>
      <c r="W163" s="1261"/>
      <c r="X163" s="1218"/>
      <c r="Y163" s="1253" t="e">
        <f>ROUND(VLOOKUP(H163,tab!$A$61:$V$103,I163+2,FALSE),0)</f>
        <v>#VALUE!</v>
      </c>
      <c r="Z163" s="1252">
        <f>tab!$E$48</f>
        <v>0.62</v>
      </c>
      <c r="AA163" s="1284" t="e">
        <f t="shared" si="65"/>
        <v>#VALUE!</v>
      </c>
      <c r="AB163" s="1284" t="e">
        <f t="shared" si="66"/>
        <v>#VALUE!</v>
      </c>
      <c r="AC163" s="1284" t="e">
        <f t="shared" si="67"/>
        <v>#VALUE!</v>
      </c>
      <c r="AD163" s="1286" t="e">
        <f t="shared" si="68"/>
        <v>#VALUE!</v>
      </c>
      <c r="AE163" s="1286">
        <f t="shared" si="69"/>
        <v>0</v>
      </c>
      <c r="AF163" s="1254">
        <f>IF(H163&gt;8,tab!$D$49,tab!$D$52)</f>
        <v>0.5</v>
      </c>
      <c r="AG163" s="1255">
        <f t="shared" si="70"/>
        <v>0</v>
      </c>
      <c r="AH163" s="1251">
        <f t="shared" si="71"/>
        <v>0</v>
      </c>
      <c r="AI163" s="1278" t="e">
        <f>DATE(YEAR(tab!$G$3),MONTH(G163),DAY(G163))&gt;tab!$G$3</f>
        <v>#VALUE!</v>
      </c>
      <c r="AJ163" s="1255" t="e">
        <f t="shared" si="72"/>
        <v>#VALUE!</v>
      </c>
      <c r="AK163" s="1199">
        <f t="shared" si="73"/>
        <v>30</v>
      </c>
      <c r="AL163" s="1199">
        <f t="shared" si="74"/>
        <v>30</v>
      </c>
      <c r="AM163" s="1205">
        <f t="shared" si="75"/>
        <v>0</v>
      </c>
      <c r="AS163" s="819"/>
    </row>
    <row r="164" spans="3:45" ht="12.75" customHeight="1" x14ac:dyDescent="0.2">
      <c r="C164" s="135"/>
      <c r="D164" s="432" t="str">
        <f>IF(op!D96="","",op!D96)</f>
        <v/>
      </c>
      <c r="E164" s="432" t="str">
        <f>IF(op!E96=0,"",op!E96)</f>
        <v/>
      </c>
      <c r="F164" s="776" t="str">
        <f>IF(op!F96="","",op!F96+1)</f>
        <v/>
      </c>
      <c r="G164" s="802" t="str">
        <f>IF(op!G96="","",op!G96)</f>
        <v/>
      </c>
      <c r="H164" s="776" t="str">
        <f>IF(op!H96=0,"",op!H96)</f>
        <v/>
      </c>
      <c r="I164" s="433" t="str">
        <f>IF(J164="","",(IF(op!I96+1&gt;LOOKUP(H164,schaal2013,regels2013),op!I96,op!I96+1)))</f>
        <v/>
      </c>
      <c r="J164" s="803" t="str">
        <f>IF(op!J96="","",op!J96)</f>
        <v/>
      </c>
      <c r="K164" s="518"/>
      <c r="L164" s="1207">
        <f>IF(op!L96="","",op!L96)</f>
        <v>0</v>
      </c>
      <c r="M164" s="1207">
        <f>IF(op!M96="","",op!M96)</f>
        <v>0</v>
      </c>
      <c r="N164" s="1209" t="str">
        <f t="shared" si="60"/>
        <v/>
      </c>
      <c r="O164" s="1209" t="str">
        <f t="shared" si="61"/>
        <v/>
      </c>
      <c r="P164" s="1283" t="str">
        <f t="shared" si="62"/>
        <v/>
      </c>
      <c r="Q164" s="518"/>
      <c r="R164" s="1076" t="str">
        <f t="shared" si="76"/>
        <v/>
      </c>
      <c r="S164" s="1076" t="str">
        <f t="shared" si="63"/>
        <v/>
      </c>
      <c r="T164" s="1078" t="str">
        <f t="shared" si="64"/>
        <v/>
      </c>
      <c r="U164" s="599"/>
      <c r="V164" s="1261"/>
      <c r="W164" s="1261"/>
      <c r="X164" s="1218"/>
      <c r="Y164" s="1253" t="e">
        <f>ROUND(VLOOKUP(H164,tab!$A$61:$V$103,I164+2,FALSE),0)</f>
        <v>#VALUE!</v>
      </c>
      <c r="Z164" s="1252">
        <f>tab!$E$48</f>
        <v>0.62</v>
      </c>
      <c r="AA164" s="1284" t="e">
        <f t="shared" si="65"/>
        <v>#VALUE!</v>
      </c>
      <c r="AB164" s="1284" t="e">
        <f t="shared" si="66"/>
        <v>#VALUE!</v>
      </c>
      <c r="AC164" s="1284" t="e">
        <f t="shared" si="67"/>
        <v>#VALUE!</v>
      </c>
      <c r="AD164" s="1286" t="e">
        <f t="shared" si="68"/>
        <v>#VALUE!</v>
      </c>
      <c r="AE164" s="1286">
        <f t="shared" si="69"/>
        <v>0</v>
      </c>
      <c r="AF164" s="1254">
        <f>IF(H164&gt;8,tab!$D$49,tab!$D$52)</f>
        <v>0.5</v>
      </c>
      <c r="AG164" s="1255">
        <f t="shared" si="70"/>
        <v>0</v>
      </c>
      <c r="AH164" s="1251">
        <f t="shared" si="71"/>
        <v>0</v>
      </c>
      <c r="AI164" s="1278" t="e">
        <f>DATE(YEAR(tab!$G$3),MONTH(G164),DAY(G164))&gt;tab!$G$3</f>
        <v>#VALUE!</v>
      </c>
      <c r="AJ164" s="1255" t="e">
        <f t="shared" si="72"/>
        <v>#VALUE!</v>
      </c>
      <c r="AK164" s="1199">
        <f t="shared" si="73"/>
        <v>30</v>
      </c>
      <c r="AL164" s="1199">
        <f t="shared" si="74"/>
        <v>30</v>
      </c>
      <c r="AM164" s="1205">
        <f t="shared" si="75"/>
        <v>0</v>
      </c>
      <c r="AS164" s="819"/>
    </row>
    <row r="165" spans="3:45" ht="12.75" customHeight="1" x14ac:dyDescent="0.2">
      <c r="C165" s="135"/>
      <c r="D165" s="432" t="str">
        <f>IF(op!D97="","",op!D97)</f>
        <v/>
      </c>
      <c r="E165" s="432" t="str">
        <f>IF(op!E97=0,"",op!E97)</f>
        <v/>
      </c>
      <c r="F165" s="776" t="str">
        <f>IF(op!F97="","",op!F97+1)</f>
        <v/>
      </c>
      <c r="G165" s="802" t="str">
        <f>IF(op!G97="","",op!G97)</f>
        <v/>
      </c>
      <c r="H165" s="776" t="str">
        <f>IF(op!H97=0,"",op!H97)</f>
        <v/>
      </c>
      <c r="I165" s="433" t="str">
        <f>IF(J165="","",(IF(op!I97+1&gt;LOOKUP(H165,schaal2013,regels2013),op!I97,op!I97+1)))</f>
        <v/>
      </c>
      <c r="J165" s="803" t="str">
        <f>IF(op!J97="","",op!J97)</f>
        <v/>
      </c>
      <c r="K165" s="518"/>
      <c r="L165" s="1207">
        <f>IF(op!L97="","",op!L97)</f>
        <v>0</v>
      </c>
      <c r="M165" s="1207">
        <f>IF(op!M97="","",op!M97)</f>
        <v>0</v>
      </c>
      <c r="N165" s="1209" t="str">
        <f t="shared" si="60"/>
        <v/>
      </c>
      <c r="O165" s="1209" t="str">
        <f t="shared" si="61"/>
        <v/>
      </c>
      <c r="P165" s="1283" t="str">
        <f t="shared" si="62"/>
        <v/>
      </c>
      <c r="Q165" s="518"/>
      <c r="R165" s="1076" t="str">
        <f t="shared" si="76"/>
        <v/>
      </c>
      <c r="S165" s="1076" t="str">
        <f t="shared" si="63"/>
        <v/>
      </c>
      <c r="T165" s="1078" t="str">
        <f t="shared" si="64"/>
        <v/>
      </c>
      <c r="U165" s="599"/>
      <c r="V165" s="1261"/>
      <c r="W165" s="1261"/>
      <c r="X165" s="1218"/>
      <c r="Y165" s="1253" t="e">
        <f>ROUND(VLOOKUP(H165,tab!$A$61:$V$103,I165+2,FALSE),0)</f>
        <v>#VALUE!</v>
      </c>
      <c r="Z165" s="1252">
        <f>tab!$E$48</f>
        <v>0.62</v>
      </c>
      <c r="AA165" s="1284" t="e">
        <f t="shared" si="65"/>
        <v>#VALUE!</v>
      </c>
      <c r="AB165" s="1284" t="e">
        <f t="shared" si="66"/>
        <v>#VALUE!</v>
      </c>
      <c r="AC165" s="1284" t="e">
        <f t="shared" si="67"/>
        <v>#VALUE!</v>
      </c>
      <c r="AD165" s="1286" t="e">
        <f t="shared" si="68"/>
        <v>#VALUE!</v>
      </c>
      <c r="AE165" s="1286">
        <f t="shared" si="69"/>
        <v>0</v>
      </c>
      <c r="AF165" s="1254">
        <f>IF(H165&gt;8,tab!$D$49,tab!$D$52)</f>
        <v>0.5</v>
      </c>
      <c r="AG165" s="1255">
        <f t="shared" si="70"/>
        <v>0</v>
      </c>
      <c r="AH165" s="1251">
        <f t="shared" si="71"/>
        <v>0</v>
      </c>
      <c r="AI165" s="1278" t="e">
        <f>DATE(YEAR(tab!$G$3),MONTH(G165),DAY(G165))&gt;tab!$G$3</f>
        <v>#VALUE!</v>
      </c>
      <c r="AJ165" s="1255" t="e">
        <f t="shared" si="72"/>
        <v>#VALUE!</v>
      </c>
      <c r="AK165" s="1199">
        <f t="shared" si="73"/>
        <v>30</v>
      </c>
      <c r="AL165" s="1199">
        <f t="shared" si="74"/>
        <v>30</v>
      </c>
      <c r="AM165" s="1205">
        <f t="shared" si="75"/>
        <v>0</v>
      </c>
      <c r="AS165" s="819"/>
    </row>
    <row r="166" spans="3:45" ht="12.75" customHeight="1" x14ac:dyDescent="0.2">
      <c r="C166" s="135"/>
      <c r="D166" s="432" t="str">
        <f>IF(op!D98="","",op!D98)</f>
        <v/>
      </c>
      <c r="E166" s="432" t="str">
        <f>IF(op!E98=0,"",op!E98)</f>
        <v/>
      </c>
      <c r="F166" s="776" t="str">
        <f>IF(op!F98="","",op!F98+1)</f>
        <v/>
      </c>
      <c r="G166" s="802" t="str">
        <f>IF(op!G98="","",op!G98)</f>
        <v/>
      </c>
      <c r="H166" s="776" t="str">
        <f>IF(op!H98=0,"",op!H98)</f>
        <v/>
      </c>
      <c r="I166" s="433" t="str">
        <f>IF(J166="","",(IF(op!I98+1&gt;LOOKUP(H166,schaal2013,regels2013),op!I98,op!I98+1)))</f>
        <v/>
      </c>
      <c r="J166" s="803" t="str">
        <f>IF(op!J98="","",op!J98)</f>
        <v/>
      </c>
      <c r="K166" s="518"/>
      <c r="L166" s="1207">
        <f>IF(op!L98="","",op!L98)</f>
        <v>0</v>
      </c>
      <c r="M166" s="1207">
        <f>IF(op!M98="","",op!M98)</f>
        <v>0</v>
      </c>
      <c r="N166" s="1209" t="str">
        <f t="shared" si="60"/>
        <v/>
      </c>
      <c r="O166" s="1209" t="str">
        <f t="shared" si="61"/>
        <v/>
      </c>
      <c r="P166" s="1283" t="str">
        <f t="shared" si="62"/>
        <v/>
      </c>
      <c r="Q166" s="518"/>
      <c r="R166" s="1076" t="str">
        <f t="shared" si="76"/>
        <v/>
      </c>
      <c r="S166" s="1076" t="str">
        <f t="shared" si="63"/>
        <v/>
      </c>
      <c r="T166" s="1078" t="str">
        <f t="shared" si="64"/>
        <v/>
      </c>
      <c r="U166" s="599"/>
      <c r="V166" s="1261"/>
      <c r="W166" s="1261"/>
      <c r="X166" s="1218"/>
      <c r="Y166" s="1253" t="e">
        <f>ROUND(VLOOKUP(H166,tab!$A$61:$V$103,I166+2,FALSE),0)</f>
        <v>#VALUE!</v>
      </c>
      <c r="Z166" s="1252">
        <f>tab!$E$48</f>
        <v>0.62</v>
      </c>
      <c r="AA166" s="1284" t="e">
        <f t="shared" si="65"/>
        <v>#VALUE!</v>
      </c>
      <c r="AB166" s="1284" t="e">
        <f t="shared" si="66"/>
        <v>#VALUE!</v>
      </c>
      <c r="AC166" s="1284" t="e">
        <f t="shared" si="67"/>
        <v>#VALUE!</v>
      </c>
      <c r="AD166" s="1286" t="e">
        <f t="shared" si="68"/>
        <v>#VALUE!</v>
      </c>
      <c r="AE166" s="1286">
        <f t="shared" si="69"/>
        <v>0</v>
      </c>
      <c r="AF166" s="1254">
        <f>IF(H166&gt;8,tab!$D$49,tab!$D$52)</f>
        <v>0.5</v>
      </c>
      <c r="AG166" s="1255">
        <f t="shared" si="70"/>
        <v>0</v>
      </c>
      <c r="AH166" s="1251">
        <f t="shared" si="71"/>
        <v>0</v>
      </c>
      <c r="AI166" s="1278" t="e">
        <f>DATE(YEAR(tab!$G$3),MONTH(G166),DAY(G166))&gt;tab!$G$3</f>
        <v>#VALUE!</v>
      </c>
      <c r="AJ166" s="1255" t="e">
        <f t="shared" si="72"/>
        <v>#VALUE!</v>
      </c>
      <c r="AK166" s="1199">
        <f t="shared" si="73"/>
        <v>30</v>
      </c>
      <c r="AL166" s="1199">
        <f t="shared" si="74"/>
        <v>30</v>
      </c>
      <c r="AM166" s="1205">
        <f t="shared" si="75"/>
        <v>0</v>
      </c>
      <c r="AS166" s="819"/>
    </row>
    <row r="167" spans="3:45" ht="12.75" customHeight="1" x14ac:dyDescent="0.2">
      <c r="C167" s="135"/>
      <c r="D167" s="432" t="str">
        <f>IF(op!D99="","",op!D99)</f>
        <v/>
      </c>
      <c r="E167" s="432" t="str">
        <f>IF(op!E99=0,"",op!E99)</f>
        <v/>
      </c>
      <c r="F167" s="776" t="str">
        <f>IF(op!F99="","",op!F99+1)</f>
        <v/>
      </c>
      <c r="G167" s="802" t="str">
        <f>IF(op!G99="","",op!G99)</f>
        <v/>
      </c>
      <c r="H167" s="776" t="str">
        <f>IF(op!H99=0,"",op!H99)</f>
        <v/>
      </c>
      <c r="I167" s="433" t="str">
        <f>IF(J167="","",(IF(op!I99+1&gt;LOOKUP(H167,schaal2013,regels2013),op!I99,op!I99+1)))</f>
        <v/>
      </c>
      <c r="J167" s="803" t="str">
        <f>IF(op!J99="","",op!J99)</f>
        <v/>
      </c>
      <c r="K167" s="518"/>
      <c r="L167" s="1207">
        <f>IF(op!L99="","",op!L99)</f>
        <v>0</v>
      </c>
      <c r="M167" s="1207">
        <f>IF(op!M99="","",op!M99)</f>
        <v>0</v>
      </c>
      <c r="N167" s="1209" t="str">
        <f t="shared" si="60"/>
        <v/>
      </c>
      <c r="O167" s="1209" t="str">
        <f t="shared" si="61"/>
        <v/>
      </c>
      <c r="P167" s="1283" t="str">
        <f t="shared" si="62"/>
        <v/>
      </c>
      <c r="Q167" s="518"/>
      <c r="R167" s="1076" t="str">
        <f t="shared" si="76"/>
        <v/>
      </c>
      <c r="S167" s="1076" t="str">
        <f t="shared" si="63"/>
        <v/>
      </c>
      <c r="T167" s="1078" t="str">
        <f t="shared" si="64"/>
        <v/>
      </c>
      <c r="U167" s="599"/>
      <c r="V167" s="1261"/>
      <c r="W167" s="1261"/>
      <c r="X167" s="1218"/>
      <c r="Y167" s="1253" t="e">
        <f>ROUND(VLOOKUP(H167,tab!$A$61:$V$103,I167+2,FALSE),0)</f>
        <v>#VALUE!</v>
      </c>
      <c r="Z167" s="1252">
        <f>tab!$E$48</f>
        <v>0.62</v>
      </c>
      <c r="AA167" s="1284" t="e">
        <f t="shared" si="65"/>
        <v>#VALUE!</v>
      </c>
      <c r="AB167" s="1284" t="e">
        <f t="shared" si="66"/>
        <v>#VALUE!</v>
      </c>
      <c r="AC167" s="1284" t="e">
        <f t="shared" si="67"/>
        <v>#VALUE!</v>
      </c>
      <c r="AD167" s="1286" t="e">
        <f t="shared" si="68"/>
        <v>#VALUE!</v>
      </c>
      <c r="AE167" s="1286">
        <f t="shared" si="69"/>
        <v>0</v>
      </c>
      <c r="AF167" s="1254">
        <f>IF(H167&gt;8,tab!$D$49,tab!$D$52)</f>
        <v>0.5</v>
      </c>
      <c r="AG167" s="1255">
        <f t="shared" si="70"/>
        <v>0</v>
      </c>
      <c r="AH167" s="1251">
        <f t="shared" si="71"/>
        <v>0</v>
      </c>
      <c r="AI167" s="1278" t="e">
        <f>DATE(YEAR(tab!$G$3),MONTH(G167),DAY(G167))&gt;tab!$G$3</f>
        <v>#VALUE!</v>
      </c>
      <c r="AJ167" s="1255" t="e">
        <f t="shared" si="72"/>
        <v>#VALUE!</v>
      </c>
      <c r="AK167" s="1199">
        <f t="shared" si="73"/>
        <v>30</v>
      </c>
      <c r="AL167" s="1199">
        <f t="shared" si="74"/>
        <v>30</v>
      </c>
      <c r="AM167" s="1205">
        <f t="shared" si="75"/>
        <v>0</v>
      </c>
      <c r="AS167" s="819"/>
    </row>
    <row r="168" spans="3:45" ht="12.75" customHeight="1" x14ac:dyDescent="0.2">
      <c r="C168" s="135"/>
      <c r="D168" s="432" t="str">
        <f>IF(op!D100="","",op!D100)</f>
        <v/>
      </c>
      <c r="E168" s="432" t="str">
        <f>IF(op!E100=0,"",op!E100)</f>
        <v/>
      </c>
      <c r="F168" s="776" t="str">
        <f>IF(op!F100="","",op!F100+1)</f>
        <v/>
      </c>
      <c r="G168" s="802" t="str">
        <f>IF(op!G100="","",op!G100)</f>
        <v/>
      </c>
      <c r="H168" s="776" t="str">
        <f>IF(op!H100=0,"",op!H100)</f>
        <v/>
      </c>
      <c r="I168" s="433" t="str">
        <f>IF(J168="","",(IF(op!I100+1&gt;LOOKUP(H168,schaal2013,regels2013),op!I100,op!I100+1)))</f>
        <v/>
      </c>
      <c r="J168" s="803" t="str">
        <f>IF(op!J100="","",op!J100)</f>
        <v/>
      </c>
      <c r="K168" s="518"/>
      <c r="L168" s="1207">
        <f>IF(op!L100="","",op!L100)</f>
        <v>0</v>
      </c>
      <c r="M168" s="1207">
        <f>IF(op!M100="","",op!M100)</f>
        <v>0</v>
      </c>
      <c r="N168" s="1209" t="str">
        <f t="shared" si="60"/>
        <v/>
      </c>
      <c r="O168" s="1209" t="str">
        <f t="shared" si="61"/>
        <v/>
      </c>
      <c r="P168" s="1283" t="str">
        <f t="shared" si="62"/>
        <v/>
      </c>
      <c r="Q168" s="518"/>
      <c r="R168" s="1076" t="str">
        <f t="shared" si="76"/>
        <v/>
      </c>
      <c r="S168" s="1076" t="str">
        <f t="shared" si="63"/>
        <v/>
      </c>
      <c r="T168" s="1078" t="str">
        <f t="shared" si="64"/>
        <v/>
      </c>
      <c r="U168" s="599"/>
      <c r="V168" s="1261"/>
      <c r="W168" s="1261"/>
      <c r="X168" s="1218"/>
      <c r="Y168" s="1253" t="e">
        <f>ROUND(VLOOKUP(H168,tab!$A$61:$V$103,I168+2,FALSE),0)</f>
        <v>#VALUE!</v>
      </c>
      <c r="Z168" s="1252">
        <f>tab!$E$48</f>
        <v>0.62</v>
      </c>
      <c r="AA168" s="1284" t="e">
        <f t="shared" si="65"/>
        <v>#VALUE!</v>
      </c>
      <c r="AB168" s="1284" t="e">
        <f t="shared" si="66"/>
        <v>#VALUE!</v>
      </c>
      <c r="AC168" s="1284" t="e">
        <f t="shared" si="67"/>
        <v>#VALUE!</v>
      </c>
      <c r="AD168" s="1286" t="e">
        <f t="shared" si="68"/>
        <v>#VALUE!</v>
      </c>
      <c r="AE168" s="1286">
        <f t="shared" si="69"/>
        <v>0</v>
      </c>
      <c r="AF168" s="1254">
        <f>IF(H168&gt;8,tab!$D$49,tab!$D$52)</f>
        <v>0.5</v>
      </c>
      <c r="AG168" s="1255">
        <f t="shared" si="70"/>
        <v>0</v>
      </c>
      <c r="AH168" s="1251">
        <f t="shared" si="71"/>
        <v>0</v>
      </c>
      <c r="AI168" s="1278" t="e">
        <f>DATE(YEAR(tab!$G$3),MONTH(G168),DAY(G168))&gt;tab!$G$3</f>
        <v>#VALUE!</v>
      </c>
      <c r="AJ168" s="1255" t="e">
        <f t="shared" si="72"/>
        <v>#VALUE!</v>
      </c>
      <c r="AK168" s="1199">
        <f t="shared" si="73"/>
        <v>30</v>
      </c>
      <c r="AL168" s="1199">
        <f t="shared" si="74"/>
        <v>30</v>
      </c>
      <c r="AM168" s="1205">
        <f t="shared" si="75"/>
        <v>0</v>
      </c>
      <c r="AS168" s="819"/>
    </row>
    <row r="169" spans="3:45" ht="12.75" customHeight="1" x14ac:dyDescent="0.2">
      <c r="C169" s="135"/>
      <c r="D169" s="432" t="str">
        <f>IF(op!D101="","",op!D101)</f>
        <v/>
      </c>
      <c r="E169" s="432" t="str">
        <f>IF(op!E101=0,"",op!E101)</f>
        <v/>
      </c>
      <c r="F169" s="776" t="str">
        <f>IF(op!F101="","",op!F101+1)</f>
        <v/>
      </c>
      <c r="G169" s="802" t="str">
        <f>IF(op!G101="","",op!G101)</f>
        <v/>
      </c>
      <c r="H169" s="776" t="str">
        <f>IF(op!H101=0,"",op!H101)</f>
        <v/>
      </c>
      <c r="I169" s="433" t="str">
        <f>IF(J169="","",(IF(op!I101+1&gt;LOOKUP(H169,schaal2013,regels2013),op!I101,op!I101+1)))</f>
        <v/>
      </c>
      <c r="J169" s="803" t="str">
        <f>IF(op!J101="","",op!J101)</f>
        <v/>
      </c>
      <c r="K169" s="518"/>
      <c r="L169" s="1207">
        <f>IF(op!L101="","",op!L101)</f>
        <v>0</v>
      </c>
      <c r="M169" s="1207">
        <f>IF(op!M101="","",op!M101)</f>
        <v>0</v>
      </c>
      <c r="N169" s="1209" t="str">
        <f t="shared" si="60"/>
        <v/>
      </c>
      <c r="O169" s="1209" t="str">
        <f t="shared" si="61"/>
        <v/>
      </c>
      <c r="P169" s="1283" t="str">
        <f t="shared" si="62"/>
        <v/>
      </c>
      <c r="Q169" s="518"/>
      <c r="R169" s="1076" t="str">
        <f t="shared" si="76"/>
        <v/>
      </c>
      <c r="S169" s="1076" t="str">
        <f t="shared" si="63"/>
        <v/>
      </c>
      <c r="T169" s="1078" t="str">
        <f t="shared" si="64"/>
        <v/>
      </c>
      <c r="U169" s="599"/>
      <c r="V169" s="1261"/>
      <c r="W169" s="1261"/>
      <c r="X169" s="1218"/>
      <c r="Y169" s="1253" t="e">
        <f>ROUND(VLOOKUP(H169,tab!$A$61:$V$103,I169+2,FALSE),0)</f>
        <v>#VALUE!</v>
      </c>
      <c r="Z169" s="1252">
        <f>tab!$E$48</f>
        <v>0.62</v>
      </c>
      <c r="AA169" s="1284" t="e">
        <f t="shared" si="65"/>
        <v>#VALUE!</v>
      </c>
      <c r="AB169" s="1284" t="e">
        <f t="shared" si="66"/>
        <v>#VALUE!</v>
      </c>
      <c r="AC169" s="1284" t="e">
        <f t="shared" si="67"/>
        <v>#VALUE!</v>
      </c>
      <c r="AD169" s="1286" t="e">
        <f t="shared" si="68"/>
        <v>#VALUE!</v>
      </c>
      <c r="AE169" s="1286">
        <f t="shared" si="69"/>
        <v>0</v>
      </c>
      <c r="AF169" s="1254">
        <f>IF(H169&gt;8,tab!$D$49,tab!$D$52)</f>
        <v>0.5</v>
      </c>
      <c r="AG169" s="1255">
        <f t="shared" si="70"/>
        <v>0</v>
      </c>
      <c r="AH169" s="1251">
        <f t="shared" si="71"/>
        <v>0</v>
      </c>
      <c r="AI169" s="1278" t="e">
        <f>DATE(YEAR(tab!$G$3),MONTH(G169),DAY(G169))&gt;tab!$G$3</f>
        <v>#VALUE!</v>
      </c>
      <c r="AJ169" s="1255" t="e">
        <f t="shared" si="72"/>
        <v>#VALUE!</v>
      </c>
      <c r="AK169" s="1199">
        <f t="shared" si="73"/>
        <v>30</v>
      </c>
      <c r="AL169" s="1199">
        <f t="shared" si="74"/>
        <v>30</v>
      </c>
      <c r="AM169" s="1205">
        <f t="shared" si="75"/>
        <v>0</v>
      </c>
      <c r="AS169" s="819"/>
    </row>
    <row r="170" spans="3:45" ht="12.75" customHeight="1" x14ac:dyDescent="0.2">
      <c r="C170" s="135"/>
      <c r="D170" s="432" t="str">
        <f>IF(op!D102="","",op!D102)</f>
        <v/>
      </c>
      <c r="E170" s="432" t="str">
        <f>IF(op!E102=0,"",op!E102)</f>
        <v/>
      </c>
      <c r="F170" s="776" t="str">
        <f>IF(op!F102="","",op!F102+1)</f>
        <v/>
      </c>
      <c r="G170" s="802" t="str">
        <f>IF(op!G102="","",op!G102)</f>
        <v/>
      </c>
      <c r="H170" s="776" t="str">
        <f>IF(op!H102=0,"",op!H102)</f>
        <v/>
      </c>
      <c r="I170" s="433" t="str">
        <f>IF(J170="","",(IF(op!I102+1&gt;LOOKUP(H170,schaal2013,regels2013),op!I102,op!I102+1)))</f>
        <v/>
      </c>
      <c r="J170" s="803" t="str">
        <f>IF(op!J102="","",op!J102)</f>
        <v/>
      </c>
      <c r="K170" s="518"/>
      <c r="L170" s="1207">
        <f>IF(op!L102="","",op!L102)</f>
        <v>0</v>
      </c>
      <c r="M170" s="1207">
        <f>IF(op!M102="","",op!M102)</f>
        <v>0</v>
      </c>
      <c r="N170" s="1209" t="str">
        <f t="shared" si="60"/>
        <v/>
      </c>
      <c r="O170" s="1209" t="str">
        <f t="shared" si="61"/>
        <v/>
      </c>
      <c r="P170" s="1283" t="str">
        <f t="shared" si="62"/>
        <v/>
      </c>
      <c r="Q170" s="518"/>
      <c r="R170" s="1076" t="str">
        <f t="shared" si="76"/>
        <v/>
      </c>
      <c r="S170" s="1076" t="str">
        <f t="shared" si="63"/>
        <v/>
      </c>
      <c r="T170" s="1078" t="str">
        <f t="shared" si="64"/>
        <v/>
      </c>
      <c r="U170" s="599"/>
      <c r="V170" s="1261"/>
      <c r="W170" s="1261"/>
      <c r="X170" s="1218"/>
      <c r="Y170" s="1253" t="e">
        <f>ROUND(VLOOKUP(H170,tab!$A$61:$V$103,I170+2,FALSE),0)</f>
        <v>#VALUE!</v>
      </c>
      <c r="Z170" s="1252">
        <f>tab!$E$48</f>
        <v>0.62</v>
      </c>
      <c r="AA170" s="1284" t="e">
        <f t="shared" si="65"/>
        <v>#VALUE!</v>
      </c>
      <c r="AB170" s="1284" t="e">
        <f t="shared" si="66"/>
        <v>#VALUE!</v>
      </c>
      <c r="AC170" s="1284" t="e">
        <f t="shared" si="67"/>
        <v>#VALUE!</v>
      </c>
      <c r="AD170" s="1286" t="e">
        <f t="shared" si="68"/>
        <v>#VALUE!</v>
      </c>
      <c r="AE170" s="1286">
        <f t="shared" si="69"/>
        <v>0</v>
      </c>
      <c r="AF170" s="1254">
        <f>IF(H170&gt;8,tab!$D$49,tab!$D$52)</f>
        <v>0.5</v>
      </c>
      <c r="AG170" s="1255">
        <f t="shared" si="70"/>
        <v>0</v>
      </c>
      <c r="AH170" s="1251">
        <f t="shared" si="71"/>
        <v>0</v>
      </c>
      <c r="AI170" s="1278" t="e">
        <f>DATE(YEAR(tab!$G$3),MONTH(G170),DAY(G170))&gt;tab!$G$3</f>
        <v>#VALUE!</v>
      </c>
      <c r="AJ170" s="1255" t="e">
        <f t="shared" si="72"/>
        <v>#VALUE!</v>
      </c>
      <c r="AK170" s="1199">
        <f t="shared" si="73"/>
        <v>30</v>
      </c>
      <c r="AL170" s="1199">
        <f t="shared" si="74"/>
        <v>30</v>
      </c>
      <c r="AM170" s="1205">
        <f t="shared" si="75"/>
        <v>0</v>
      </c>
      <c r="AS170" s="819"/>
    </row>
    <row r="171" spans="3:45" ht="12.75" customHeight="1" x14ac:dyDescent="0.2">
      <c r="C171" s="135"/>
      <c r="D171" s="432" t="str">
        <f>IF(op!D103="","",op!D103)</f>
        <v/>
      </c>
      <c r="E171" s="432" t="str">
        <f>IF(op!E103=0,"",op!E103)</f>
        <v/>
      </c>
      <c r="F171" s="776" t="str">
        <f>IF(op!F103="","",op!F103+1)</f>
        <v/>
      </c>
      <c r="G171" s="802" t="str">
        <f>IF(op!G103="","",op!G103)</f>
        <v/>
      </c>
      <c r="H171" s="776" t="str">
        <f>IF(op!H103=0,"",op!H103)</f>
        <v/>
      </c>
      <c r="I171" s="433" t="str">
        <f>IF(J171="","",(IF(op!I103+1&gt;LOOKUP(H171,schaal2013,regels2013),op!I103,op!I103+1)))</f>
        <v/>
      </c>
      <c r="J171" s="803" t="str">
        <f>IF(op!J103="","",op!J103)</f>
        <v/>
      </c>
      <c r="K171" s="518"/>
      <c r="L171" s="1207">
        <f>IF(op!L103="","",op!L103)</f>
        <v>0</v>
      </c>
      <c r="M171" s="1207">
        <f>IF(op!M103="","",op!M103)</f>
        <v>0</v>
      </c>
      <c r="N171" s="1209" t="str">
        <f t="shared" si="60"/>
        <v/>
      </c>
      <c r="O171" s="1209" t="str">
        <f t="shared" si="61"/>
        <v/>
      </c>
      <c r="P171" s="1283" t="str">
        <f t="shared" si="62"/>
        <v/>
      </c>
      <c r="Q171" s="518"/>
      <c r="R171" s="1076" t="str">
        <f t="shared" si="76"/>
        <v/>
      </c>
      <c r="S171" s="1076" t="str">
        <f t="shared" si="63"/>
        <v/>
      </c>
      <c r="T171" s="1078" t="str">
        <f t="shared" si="64"/>
        <v/>
      </c>
      <c r="U171" s="599"/>
      <c r="V171" s="1261"/>
      <c r="W171" s="1261"/>
      <c r="X171" s="1218"/>
      <c r="Y171" s="1253" t="e">
        <f>ROUND(VLOOKUP(H171,tab!$A$61:$V$103,I171+2,FALSE),0)</f>
        <v>#VALUE!</v>
      </c>
      <c r="Z171" s="1252">
        <f>tab!$E$48</f>
        <v>0.62</v>
      </c>
      <c r="AA171" s="1284" t="e">
        <f t="shared" si="65"/>
        <v>#VALUE!</v>
      </c>
      <c r="AB171" s="1284" t="e">
        <f t="shared" si="66"/>
        <v>#VALUE!</v>
      </c>
      <c r="AC171" s="1284" t="e">
        <f t="shared" si="67"/>
        <v>#VALUE!</v>
      </c>
      <c r="AD171" s="1286" t="e">
        <f t="shared" si="68"/>
        <v>#VALUE!</v>
      </c>
      <c r="AE171" s="1286">
        <f t="shared" si="69"/>
        <v>0</v>
      </c>
      <c r="AF171" s="1254">
        <f>IF(H171&gt;8,tab!$D$49,tab!$D$52)</f>
        <v>0.5</v>
      </c>
      <c r="AG171" s="1255">
        <f t="shared" si="70"/>
        <v>0</v>
      </c>
      <c r="AH171" s="1251">
        <f t="shared" si="71"/>
        <v>0</v>
      </c>
      <c r="AI171" s="1278" t="e">
        <f>DATE(YEAR(tab!$G$3),MONTH(G171),DAY(G171))&gt;tab!$G$3</f>
        <v>#VALUE!</v>
      </c>
      <c r="AJ171" s="1255" t="e">
        <f t="shared" si="72"/>
        <v>#VALUE!</v>
      </c>
      <c r="AK171" s="1199">
        <f t="shared" si="73"/>
        <v>30</v>
      </c>
      <c r="AL171" s="1199">
        <f t="shared" si="74"/>
        <v>30</v>
      </c>
      <c r="AM171" s="1205">
        <f t="shared" si="75"/>
        <v>0</v>
      </c>
      <c r="AS171" s="819"/>
    </row>
    <row r="172" spans="3:45" ht="12.75" customHeight="1" x14ac:dyDescent="0.2">
      <c r="C172" s="135"/>
      <c r="D172" s="432" t="str">
        <f>IF(op!D104="","",op!D104)</f>
        <v/>
      </c>
      <c r="E172" s="432" t="str">
        <f>IF(op!E104=0,"",op!E104)</f>
        <v/>
      </c>
      <c r="F172" s="776" t="str">
        <f>IF(op!F104="","",op!F104+1)</f>
        <v/>
      </c>
      <c r="G172" s="802" t="str">
        <f>IF(op!G104="","",op!G104)</f>
        <v/>
      </c>
      <c r="H172" s="776" t="str">
        <f>IF(op!H104=0,"",op!H104)</f>
        <v/>
      </c>
      <c r="I172" s="433" t="str">
        <f>IF(J172="","",(IF(op!I104+1&gt;LOOKUP(H172,schaal2013,regels2013),op!I104,op!I104+1)))</f>
        <v/>
      </c>
      <c r="J172" s="803" t="str">
        <f>IF(op!J104="","",op!J104)</f>
        <v/>
      </c>
      <c r="K172" s="518"/>
      <c r="L172" s="1207">
        <f>IF(op!L104="","",op!L104)</f>
        <v>0</v>
      </c>
      <c r="M172" s="1207">
        <f>IF(op!M104="","",op!M104)</f>
        <v>0</v>
      </c>
      <c r="N172" s="1209" t="str">
        <f t="shared" si="60"/>
        <v/>
      </c>
      <c r="O172" s="1209" t="str">
        <f t="shared" si="61"/>
        <v/>
      </c>
      <c r="P172" s="1283" t="str">
        <f t="shared" si="62"/>
        <v/>
      </c>
      <c r="Q172" s="518"/>
      <c r="R172" s="1076" t="str">
        <f t="shared" si="76"/>
        <v/>
      </c>
      <c r="S172" s="1076" t="str">
        <f t="shared" si="63"/>
        <v/>
      </c>
      <c r="T172" s="1078" t="str">
        <f t="shared" si="64"/>
        <v/>
      </c>
      <c r="U172" s="599"/>
      <c r="V172" s="1261"/>
      <c r="W172" s="1261"/>
      <c r="X172" s="1218"/>
      <c r="Y172" s="1253" t="e">
        <f>ROUND(VLOOKUP(H172,tab!$A$61:$V$103,I172+2,FALSE),0)</f>
        <v>#VALUE!</v>
      </c>
      <c r="Z172" s="1252">
        <f>tab!$E$48</f>
        <v>0.62</v>
      </c>
      <c r="AA172" s="1284" t="e">
        <f t="shared" si="65"/>
        <v>#VALUE!</v>
      </c>
      <c r="AB172" s="1284" t="e">
        <f t="shared" si="66"/>
        <v>#VALUE!</v>
      </c>
      <c r="AC172" s="1284" t="e">
        <f t="shared" si="67"/>
        <v>#VALUE!</v>
      </c>
      <c r="AD172" s="1286" t="e">
        <f t="shared" si="68"/>
        <v>#VALUE!</v>
      </c>
      <c r="AE172" s="1286">
        <f t="shared" si="69"/>
        <v>0</v>
      </c>
      <c r="AF172" s="1254">
        <f>IF(H172&gt;8,tab!$D$49,tab!$D$52)</f>
        <v>0.5</v>
      </c>
      <c r="AG172" s="1255">
        <f t="shared" si="70"/>
        <v>0</v>
      </c>
      <c r="AH172" s="1251">
        <f t="shared" si="71"/>
        <v>0</v>
      </c>
      <c r="AI172" s="1278" t="e">
        <f>DATE(YEAR(tab!$G$3),MONTH(G172),DAY(G172))&gt;tab!$G$3</f>
        <v>#VALUE!</v>
      </c>
      <c r="AJ172" s="1255" t="e">
        <f t="shared" si="72"/>
        <v>#VALUE!</v>
      </c>
      <c r="AK172" s="1199">
        <f t="shared" si="73"/>
        <v>30</v>
      </c>
      <c r="AL172" s="1199">
        <f t="shared" si="74"/>
        <v>30</v>
      </c>
      <c r="AM172" s="1205">
        <f t="shared" si="75"/>
        <v>0</v>
      </c>
      <c r="AS172" s="819"/>
    </row>
    <row r="173" spans="3:45" ht="12.75" customHeight="1" x14ac:dyDescent="0.2">
      <c r="C173" s="135"/>
      <c r="D173" s="432" t="str">
        <f>IF(op!D105="","",op!D105)</f>
        <v/>
      </c>
      <c r="E173" s="432" t="str">
        <f>IF(op!E105=0,"",op!E105)</f>
        <v/>
      </c>
      <c r="F173" s="776" t="str">
        <f>IF(op!F105="","",op!F105+1)</f>
        <v/>
      </c>
      <c r="G173" s="802" t="str">
        <f>IF(op!G105="","",op!G105)</f>
        <v/>
      </c>
      <c r="H173" s="776" t="str">
        <f>IF(op!H105=0,"",op!H105)</f>
        <v/>
      </c>
      <c r="I173" s="433" t="str">
        <f>IF(J173="","",(IF(op!I105+1&gt;LOOKUP(H173,schaal2013,regels2013),op!I105,op!I105+1)))</f>
        <v/>
      </c>
      <c r="J173" s="803" t="str">
        <f>IF(op!J105="","",op!J105)</f>
        <v/>
      </c>
      <c r="K173" s="518"/>
      <c r="L173" s="1207">
        <f>IF(op!L105="","",op!L105)</f>
        <v>0</v>
      </c>
      <c r="M173" s="1207">
        <f>IF(op!M105="","",op!M105)</f>
        <v>0</v>
      </c>
      <c r="N173" s="1209" t="str">
        <f t="shared" si="60"/>
        <v/>
      </c>
      <c r="O173" s="1209" t="str">
        <f t="shared" si="61"/>
        <v/>
      </c>
      <c r="P173" s="1283" t="str">
        <f t="shared" si="62"/>
        <v/>
      </c>
      <c r="Q173" s="518"/>
      <c r="R173" s="1076" t="str">
        <f t="shared" si="76"/>
        <v/>
      </c>
      <c r="S173" s="1076" t="str">
        <f t="shared" si="63"/>
        <v/>
      </c>
      <c r="T173" s="1078" t="str">
        <f t="shared" si="64"/>
        <v/>
      </c>
      <c r="U173" s="599"/>
      <c r="V173" s="1261"/>
      <c r="W173" s="1261"/>
      <c r="X173" s="1218"/>
      <c r="Y173" s="1253" t="e">
        <f>ROUND(VLOOKUP(H173,tab!$A$61:$V$103,I173+2,FALSE),0)</f>
        <v>#VALUE!</v>
      </c>
      <c r="Z173" s="1252">
        <f>tab!$E$48</f>
        <v>0.62</v>
      </c>
      <c r="AA173" s="1284" t="e">
        <f t="shared" si="65"/>
        <v>#VALUE!</v>
      </c>
      <c r="AB173" s="1284" t="e">
        <f t="shared" si="66"/>
        <v>#VALUE!</v>
      </c>
      <c r="AC173" s="1284" t="e">
        <f t="shared" si="67"/>
        <v>#VALUE!</v>
      </c>
      <c r="AD173" s="1286" t="e">
        <f t="shared" si="68"/>
        <v>#VALUE!</v>
      </c>
      <c r="AE173" s="1286">
        <f t="shared" si="69"/>
        <v>0</v>
      </c>
      <c r="AF173" s="1254">
        <f>IF(H173&gt;8,tab!$D$49,tab!$D$52)</f>
        <v>0.5</v>
      </c>
      <c r="AG173" s="1255">
        <f t="shared" si="70"/>
        <v>0</v>
      </c>
      <c r="AH173" s="1251">
        <f t="shared" si="71"/>
        <v>0</v>
      </c>
      <c r="AI173" s="1278" t="e">
        <f>DATE(YEAR(tab!$G$3),MONTH(G173),DAY(G173))&gt;tab!$G$3</f>
        <v>#VALUE!</v>
      </c>
      <c r="AJ173" s="1255" t="e">
        <f t="shared" si="72"/>
        <v>#VALUE!</v>
      </c>
      <c r="AK173" s="1199">
        <f t="shared" si="73"/>
        <v>30</v>
      </c>
      <c r="AL173" s="1199">
        <f t="shared" si="74"/>
        <v>30</v>
      </c>
      <c r="AM173" s="1205">
        <f t="shared" si="75"/>
        <v>0</v>
      </c>
      <c r="AS173" s="819"/>
    </row>
    <row r="174" spans="3:45" ht="12.75" customHeight="1" x14ac:dyDescent="0.2">
      <c r="C174" s="135"/>
      <c r="D174" s="432" t="str">
        <f>IF(op!D106="","",op!D106)</f>
        <v/>
      </c>
      <c r="E174" s="432" t="str">
        <f>IF(op!E106=0,"",op!E106)</f>
        <v/>
      </c>
      <c r="F174" s="776" t="str">
        <f>IF(op!F106="","",op!F106+1)</f>
        <v/>
      </c>
      <c r="G174" s="802" t="str">
        <f>IF(op!G106="","",op!G106)</f>
        <v/>
      </c>
      <c r="H174" s="776" t="str">
        <f>IF(op!H106=0,"",op!H106)</f>
        <v/>
      </c>
      <c r="I174" s="433" t="str">
        <f>IF(J174="","",(IF(op!I106+1&gt;LOOKUP(H174,schaal2013,regels2013),op!I106,op!I106+1)))</f>
        <v/>
      </c>
      <c r="J174" s="803" t="str">
        <f>IF(op!J106="","",op!J106)</f>
        <v/>
      </c>
      <c r="K174" s="518"/>
      <c r="L174" s="1207">
        <f>IF(op!L106="","",op!L106)</f>
        <v>0</v>
      </c>
      <c r="M174" s="1207">
        <f>IF(op!M106="","",op!M106)</f>
        <v>0</v>
      </c>
      <c r="N174" s="1209" t="str">
        <f t="shared" si="60"/>
        <v/>
      </c>
      <c r="O174" s="1209" t="str">
        <f t="shared" si="61"/>
        <v/>
      </c>
      <c r="P174" s="1283" t="str">
        <f t="shared" si="62"/>
        <v/>
      </c>
      <c r="Q174" s="518"/>
      <c r="R174" s="1076" t="str">
        <f t="shared" si="76"/>
        <v/>
      </c>
      <c r="S174" s="1076" t="str">
        <f t="shared" si="63"/>
        <v/>
      </c>
      <c r="T174" s="1078" t="str">
        <f t="shared" si="64"/>
        <v/>
      </c>
      <c r="U174" s="599"/>
      <c r="V174" s="1261"/>
      <c r="W174" s="1261"/>
      <c r="X174" s="1218"/>
      <c r="Y174" s="1253" t="e">
        <f>ROUND(VLOOKUP(H174,tab!$A$61:$V$103,I174+2,FALSE),0)</f>
        <v>#VALUE!</v>
      </c>
      <c r="Z174" s="1252">
        <f>tab!$E$48</f>
        <v>0.62</v>
      </c>
      <c r="AA174" s="1284" t="e">
        <f t="shared" si="65"/>
        <v>#VALUE!</v>
      </c>
      <c r="AB174" s="1284" t="e">
        <f t="shared" si="66"/>
        <v>#VALUE!</v>
      </c>
      <c r="AC174" s="1284" t="e">
        <f t="shared" si="67"/>
        <v>#VALUE!</v>
      </c>
      <c r="AD174" s="1286" t="e">
        <f t="shared" si="68"/>
        <v>#VALUE!</v>
      </c>
      <c r="AE174" s="1286">
        <f t="shared" si="69"/>
        <v>0</v>
      </c>
      <c r="AF174" s="1254">
        <f>IF(H174&gt;8,tab!$D$49,tab!$D$52)</f>
        <v>0.5</v>
      </c>
      <c r="AG174" s="1255">
        <f t="shared" si="70"/>
        <v>0</v>
      </c>
      <c r="AH174" s="1251">
        <f t="shared" si="71"/>
        <v>0</v>
      </c>
      <c r="AI174" s="1278" t="e">
        <f>DATE(YEAR(tab!$G$3),MONTH(G174),DAY(G174))&gt;tab!$G$3</f>
        <v>#VALUE!</v>
      </c>
      <c r="AJ174" s="1255" t="e">
        <f t="shared" si="72"/>
        <v>#VALUE!</v>
      </c>
      <c r="AK174" s="1199">
        <f t="shared" si="73"/>
        <v>30</v>
      </c>
      <c r="AL174" s="1199">
        <f t="shared" si="74"/>
        <v>30</v>
      </c>
      <c r="AM174" s="1205">
        <f t="shared" si="75"/>
        <v>0</v>
      </c>
      <c r="AS174" s="819"/>
    </row>
    <row r="175" spans="3:45" ht="12.75" customHeight="1" x14ac:dyDescent="0.2">
      <c r="C175" s="135"/>
      <c r="D175" s="432" t="str">
        <f>IF(op!D107="","",op!D107)</f>
        <v/>
      </c>
      <c r="E175" s="432" t="str">
        <f>IF(op!E107=0,"",op!E107)</f>
        <v/>
      </c>
      <c r="F175" s="776" t="str">
        <f>IF(op!F107="","",op!F107+1)</f>
        <v/>
      </c>
      <c r="G175" s="802" t="str">
        <f>IF(op!G107="","",op!G107)</f>
        <v/>
      </c>
      <c r="H175" s="776" t="str">
        <f>IF(op!H107=0,"",op!H107)</f>
        <v/>
      </c>
      <c r="I175" s="433" t="str">
        <f>IF(J175="","",(IF(op!I107+1&gt;LOOKUP(H175,schaal2013,regels2013),op!I107,op!I107+1)))</f>
        <v/>
      </c>
      <c r="J175" s="803" t="str">
        <f>IF(op!J107="","",op!J107)</f>
        <v/>
      </c>
      <c r="K175" s="518"/>
      <c r="L175" s="1207">
        <f>IF(op!L107="","",op!L107)</f>
        <v>0</v>
      </c>
      <c r="M175" s="1207">
        <f>IF(op!M107="","",op!M107)</f>
        <v>0</v>
      </c>
      <c r="N175" s="1209" t="str">
        <f t="shared" si="60"/>
        <v/>
      </c>
      <c r="O175" s="1209" t="str">
        <f t="shared" si="61"/>
        <v/>
      </c>
      <c r="P175" s="1283" t="str">
        <f t="shared" si="62"/>
        <v/>
      </c>
      <c r="Q175" s="518"/>
      <c r="R175" s="1076" t="str">
        <f t="shared" si="76"/>
        <v/>
      </c>
      <c r="S175" s="1076" t="str">
        <f t="shared" si="63"/>
        <v/>
      </c>
      <c r="T175" s="1078" t="str">
        <f t="shared" si="64"/>
        <v/>
      </c>
      <c r="U175" s="599"/>
      <c r="V175" s="1261"/>
      <c r="W175" s="1261"/>
      <c r="X175" s="1218"/>
      <c r="Y175" s="1253" t="e">
        <f>ROUND(VLOOKUP(H175,tab!$A$61:$V$103,I175+2,FALSE),0)</f>
        <v>#VALUE!</v>
      </c>
      <c r="Z175" s="1252">
        <f>tab!$E$48</f>
        <v>0.62</v>
      </c>
      <c r="AA175" s="1284" t="e">
        <f t="shared" si="65"/>
        <v>#VALUE!</v>
      </c>
      <c r="AB175" s="1284" t="e">
        <f t="shared" si="66"/>
        <v>#VALUE!</v>
      </c>
      <c r="AC175" s="1284" t="e">
        <f t="shared" si="67"/>
        <v>#VALUE!</v>
      </c>
      <c r="AD175" s="1286" t="e">
        <f t="shared" si="68"/>
        <v>#VALUE!</v>
      </c>
      <c r="AE175" s="1286">
        <f t="shared" si="69"/>
        <v>0</v>
      </c>
      <c r="AF175" s="1254">
        <f>IF(H175&gt;8,tab!$D$49,tab!$D$52)</f>
        <v>0.5</v>
      </c>
      <c r="AG175" s="1255">
        <f t="shared" si="70"/>
        <v>0</v>
      </c>
      <c r="AH175" s="1251">
        <f t="shared" si="71"/>
        <v>0</v>
      </c>
      <c r="AI175" s="1278" t="e">
        <f>DATE(YEAR(tab!$G$3),MONTH(G175),DAY(G175))&gt;tab!$G$3</f>
        <v>#VALUE!</v>
      </c>
      <c r="AJ175" s="1255" t="e">
        <f t="shared" si="72"/>
        <v>#VALUE!</v>
      </c>
      <c r="AK175" s="1199">
        <f t="shared" si="73"/>
        <v>30</v>
      </c>
      <c r="AL175" s="1199">
        <f t="shared" si="74"/>
        <v>30</v>
      </c>
      <c r="AM175" s="1205">
        <f t="shared" si="75"/>
        <v>0</v>
      </c>
      <c r="AS175" s="819"/>
    </row>
    <row r="176" spans="3:45" ht="12.75" customHeight="1" x14ac:dyDescent="0.2">
      <c r="C176" s="135"/>
      <c r="D176" s="432" t="str">
        <f>IF(op!D108="","",op!D108)</f>
        <v/>
      </c>
      <c r="E176" s="432" t="str">
        <f>IF(op!E108=0,"",op!E108)</f>
        <v/>
      </c>
      <c r="F176" s="776" t="str">
        <f>IF(op!F108="","",op!F108+1)</f>
        <v/>
      </c>
      <c r="G176" s="802" t="str">
        <f>IF(op!G108="","",op!G108)</f>
        <v/>
      </c>
      <c r="H176" s="776" t="str">
        <f>IF(op!H108=0,"",op!H108)</f>
        <v/>
      </c>
      <c r="I176" s="433" t="str">
        <f>IF(J176="","",(IF(op!I108+1&gt;LOOKUP(H176,schaal2013,regels2013),op!I108,op!I108+1)))</f>
        <v/>
      </c>
      <c r="J176" s="803" t="str">
        <f>IF(op!J108="","",op!J108)</f>
        <v/>
      </c>
      <c r="K176" s="518"/>
      <c r="L176" s="1207">
        <f>IF(op!L108="","",op!L108)</f>
        <v>0</v>
      </c>
      <c r="M176" s="1207">
        <f>IF(op!M108="","",op!M108)</f>
        <v>0</v>
      </c>
      <c r="N176" s="1209" t="str">
        <f t="shared" si="60"/>
        <v/>
      </c>
      <c r="O176" s="1209" t="str">
        <f t="shared" si="61"/>
        <v/>
      </c>
      <c r="P176" s="1283" t="str">
        <f t="shared" si="62"/>
        <v/>
      </c>
      <c r="Q176" s="518"/>
      <c r="R176" s="1076" t="str">
        <f t="shared" si="76"/>
        <v/>
      </c>
      <c r="S176" s="1076" t="str">
        <f t="shared" si="63"/>
        <v/>
      </c>
      <c r="T176" s="1078" t="str">
        <f t="shared" si="64"/>
        <v/>
      </c>
      <c r="U176" s="599"/>
      <c r="V176" s="1261"/>
      <c r="W176" s="1261"/>
      <c r="X176" s="1218"/>
      <c r="Y176" s="1253" t="e">
        <f>ROUND(VLOOKUP(H176,tab!$A$61:$V$103,I176+2,FALSE),0)</f>
        <v>#VALUE!</v>
      </c>
      <c r="Z176" s="1252">
        <f>tab!$E$48</f>
        <v>0.62</v>
      </c>
      <c r="AA176" s="1284" t="e">
        <f t="shared" si="65"/>
        <v>#VALUE!</v>
      </c>
      <c r="AB176" s="1284" t="e">
        <f t="shared" si="66"/>
        <v>#VALUE!</v>
      </c>
      <c r="AC176" s="1284" t="e">
        <f t="shared" si="67"/>
        <v>#VALUE!</v>
      </c>
      <c r="AD176" s="1286" t="e">
        <f t="shared" si="68"/>
        <v>#VALUE!</v>
      </c>
      <c r="AE176" s="1286">
        <f t="shared" si="69"/>
        <v>0</v>
      </c>
      <c r="AF176" s="1254">
        <f>IF(H176&gt;8,tab!$D$49,tab!$D$52)</f>
        <v>0.5</v>
      </c>
      <c r="AG176" s="1255">
        <f t="shared" si="70"/>
        <v>0</v>
      </c>
      <c r="AH176" s="1251">
        <f t="shared" si="71"/>
        <v>0</v>
      </c>
      <c r="AI176" s="1278" t="e">
        <f>DATE(YEAR(tab!$G$3),MONTH(G176),DAY(G176))&gt;tab!$G$3</f>
        <v>#VALUE!</v>
      </c>
      <c r="AJ176" s="1255" t="e">
        <f t="shared" si="72"/>
        <v>#VALUE!</v>
      </c>
      <c r="AK176" s="1199">
        <f t="shared" si="73"/>
        <v>30</v>
      </c>
      <c r="AL176" s="1199">
        <f t="shared" si="74"/>
        <v>30</v>
      </c>
      <c r="AM176" s="1205">
        <f t="shared" si="75"/>
        <v>0</v>
      </c>
      <c r="AS176" s="819"/>
    </row>
    <row r="177" spans="3:45" ht="12.75" customHeight="1" x14ac:dyDescent="0.2">
      <c r="C177" s="135"/>
      <c r="D177" s="432" t="str">
        <f>IF(op!D109="","",op!D109)</f>
        <v/>
      </c>
      <c r="E177" s="432" t="str">
        <f>IF(op!E109=0,"",op!E109)</f>
        <v/>
      </c>
      <c r="F177" s="776" t="str">
        <f>IF(op!F109="","",op!F109+1)</f>
        <v/>
      </c>
      <c r="G177" s="802" t="str">
        <f>IF(op!G109="","",op!G109)</f>
        <v/>
      </c>
      <c r="H177" s="776" t="str">
        <f>IF(op!H109=0,"",op!H109)</f>
        <v/>
      </c>
      <c r="I177" s="433" t="str">
        <f>IF(J177="","",(IF(op!I109+1&gt;LOOKUP(H177,schaal2013,regels2013),op!I109,op!I109+1)))</f>
        <v/>
      </c>
      <c r="J177" s="803" t="str">
        <f>IF(op!J109="","",op!J109)</f>
        <v/>
      </c>
      <c r="K177" s="518"/>
      <c r="L177" s="1207">
        <f>IF(op!L109="","",op!L109)</f>
        <v>0</v>
      </c>
      <c r="M177" s="1207">
        <f>IF(op!M109="","",op!M109)</f>
        <v>0</v>
      </c>
      <c r="N177" s="1209" t="str">
        <f t="shared" si="60"/>
        <v/>
      </c>
      <c r="O177" s="1209" t="str">
        <f t="shared" si="61"/>
        <v/>
      </c>
      <c r="P177" s="1283" t="str">
        <f t="shared" si="62"/>
        <v/>
      </c>
      <c r="Q177" s="518"/>
      <c r="R177" s="1076" t="str">
        <f t="shared" si="76"/>
        <v/>
      </c>
      <c r="S177" s="1076" t="str">
        <f t="shared" si="63"/>
        <v/>
      </c>
      <c r="T177" s="1078" t="str">
        <f t="shared" si="64"/>
        <v/>
      </c>
      <c r="U177" s="599"/>
      <c r="V177" s="1261"/>
      <c r="W177" s="1261"/>
      <c r="X177" s="1218"/>
      <c r="Y177" s="1253" t="e">
        <f>ROUND(VLOOKUP(H177,tab!$A$61:$V$103,I177+2,FALSE),0)</f>
        <v>#VALUE!</v>
      </c>
      <c r="Z177" s="1252">
        <f>tab!$E$48</f>
        <v>0.62</v>
      </c>
      <c r="AA177" s="1284" t="e">
        <f t="shared" si="65"/>
        <v>#VALUE!</v>
      </c>
      <c r="AB177" s="1284" t="e">
        <f t="shared" si="66"/>
        <v>#VALUE!</v>
      </c>
      <c r="AC177" s="1284" t="e">
        <f t="shared" si="67"/>
        <v>#VALUE!</v>
      </c>
      <c r="AD177" s="1286" t="e">
        <f t="shared" si="68"/>
        <v>#VALUE!</v>
      </c>
      <c r="AE177" s="1286">
        <f t="shared" si="69"/>
        <v>0</v>
      </c>
      <c r="AF177" s="1254">
        <f>IF(H177&gt;8,tab!$D$49,tab!$D$52)</f>
        <v>0.5</v>
      </c>
      <c r="AG177" s="1255">
        <f t="shared" si="70"/>
        <v>0</v>
      </c>
      <c r="AH177" s="1251">
        <f t="shared" si="71"/>
        <v>0</v>
      </c>
      <c r="AI177" s="1278" t="e">
        <f>DATE(YEAR(tab!$G$3),MONTH(G177),DAY(G177))&gt;tab!$G$3</f>
        <v>#VALUE!</v>
      </c>
      <c r="AJ177" s="1255" t="e">
        <f t="shared" si="72"/>
        <v>#VALUE!</v>
      </c>
      <c r="AK177" s="1199">
        <f t="shared" si="73"/>
        <v>30</v>
      </c>
      <c r="AL177" s="1199">
        <f t="shared" si="74"/>
        <v>30</v>
      </c>
      <c r="AM177" s="1205">
        <f t="shared" si="75"/>
        <v>0</v>
      </c>
      <c r="AS177" s="819"/>
    </row>
    <row r="178" spans="3:45" ht="12.75" customHeight="1" x14ac:dyDescent="0.2">
      <c r="C178" s="135"/>
      <c r="D178" s="432" t="str">
        <f>IF(op!D110="","",op!D110)</f>
        <v/>
      </c>
      <c r="E178" s="432" t="str">
        <f>IF(op!E110=0,"",op!E110)</f>
        <v/>
      </c>
      <c r="F178" s="776" t="str">
        <f>IF(op!F110="","",op!F110+1)</f>
        <v/>
      </c>
      <c r="G178" s="802" t="str">
        <f>IF(op!G110="","",op!G110)</f>
        <v/>
      </c>
      <c r="H178" s="776" t="str">
        <f>IF(op!H110=0,"",op!H110)</f>
        <v/>
      </c>
      <c r="I178" s="433" t="str">
        <f>IF(J178="","",(IF(op!I110+1&gt;LOOKUP(H178,schaal2013,regels2013),op!I110,op!I110+1)))</f>
        <v/>
      </c>
      <c r="J178" s="803" t="str">
        <f>IF(op!J110="","",op!J110)</f>
        <v/>
      </c>
      <c r="K178" s="518"/>
      <c r="L178" s="1207">
        <f>IF(op!L110="","",op!L110)</f>
        <v>0</v>
      </c>
      <c r="M178" s="1207">
        <f>IF(op!M110="","",op!M110)</f>
        <v>0</v>
      </c>
      <c r="N178" s="1209" t="str">
        <f t="shared" si="60"/>
        <v/>
      </c>
      <c r="O178" s="1209" t="str">
        <f t="shared" si="61"/>
        <v/>
      </c>
      <c r="P178" s="1283" t="str">
        <f t="shared" si="62"/>
        <v/>
      </c>
      <c r="Q178" s="518"/>
      <c r="R178" s="1076" t="str">
        <f t="shared" si="76"/>
        <v/>
      </c>
      <c r="S178" s="1076" t="str">
        <f t="shared" si="63"/>
        <v/>
      </c>
      <c r="T178" s="1078" t="str">
        <f t="shared" si="64"/>
        <v/>
      </c>
      <c r="U178" s="599"/>
      <c r="V178" s="1261"/>
      <c r="W178" s="1261"/>
      <c r="X178" s="1218"/>
      <c r="Y178" s="1253" t="e">
        <f>ROUND(VLOOKUP(H178,tab!$A$61:$V$103,I178+2,FALSE),0)</f>
        <v>#VALUE!</v>
      </c>
      <c r="Z178" s="1252">
        <f>tab!$E$48</f>
        <v>0.62</v>
      </c>
      <c r="AA178" s="1284" t="e">
        <f t="shared" si="65"/>
        <v>#VALUE!</v>
      </c>
      <c r="AB178" s="1284" t="e">
        <f t="shared" si="66"/>
        <v>#VALUE!</v>
      </c>
      <c r="AC178" s="1284" t="e">
        <f t="shared" si="67"/>
        <v>#VALUE!</v>
      </c>
      <c r="AD178" s="1286" t="e">
        <f t="shared" si="68"/>
        <v>#VALUE!</v>
      </c>
      <c r="AE178" s="1286">
        <f t="shared" si="69"/>
        <v>0</v>
      </c>
      <c r="AF178" s="1254">
        <f>IF(H178&gt;8,tab!$D$49,tab!$D$52)</f>
        <v>0.5</v>
      </c>
      <c r="AG178" s="1255">
        <f t="shared" si="70"/>
        <v>0</v>
      </c>
      <c r="AH178" s="1251">
        <f t="shared" si="71"/>
        <v>0</v>
      </c>
      <c r="AI178" s="1278" t="e">
        <f>DATE(YEAR(tab!$G$3),MONTH(G178),DAY(G178))&gt;tab!$G$3</f>
        <v>#VALUE!</v>
      </c>
      <c r="AJ178" s="1255" t="e">
        <f t="shared" si="72"/>
        <v>#VALUE!</v>
      </c>
      <c r="AK178" s="1199">
        <f t="shared" si="73"/>
        <v>30</v>
      </c>
      <c r="AL178" s="1199">
        <f t="shared" si="74"/>
        <v>30</v>
      </c>
      <c r="AM178" s="1205">
        <f t="shared" si="75"/>
        <v>0</v>
      </c>
      <c r="AS178" s="819"/>
    </row>
    <row r="179" spans="3:45" ht="12.75" customHeight="1" x14ac:dyDescent="0.2">
      <c r="C179" s="135"/>
      <c r="D179" s="432" t="str">
        <f>IF(op!D111="","",op!D111)</f>
        <v/>
      </c>
      <c r="E179" s="432" t="str">
        <f>IF(op!E111=0,"",op!E111)</f>
        <v/>
      </c>
      <c r="F179" s="776" t="str">
        <f>IF(op!F111="","",op!F111+1)</f>
        <v/>
      </c>
      <c r="G179" s="802" t="str">
        <f>IF(op!G111="","",op!G111)</f>
        <v/>
      </c>
      <c r="H179" s="776" t="str">
        <f>IF(op!H111=0,"",op!H111)</f>
        <v/>
      </c>
      <c r="I179" s="433" t="str">
        <f>IF(J179="","",(IF(op!I111+1&gt;LOOKUP(H179,schaal2013,regels2013),op!I111,op!I111+1)))</f>
        <v/>
      </c>
      <c r="J179" s="803" t="str">
        <f>IF(op!J111="","",op!J111)</f>
        <v/>
      </c>
      <c r="K179" s="518"/>
      <c r="L179" s="1207">
        <f>IF(op!L111="","",op!L111)</f>
        <v>0</v>
      </c>
      <c r="M179" s="1207">
        <f>IF(op!M111="","",op!M111)</f>
        <v>0</v>
      </c>
      <c r="N179" s="1209" t="str">
        <f t="shared" si="60"/>
        <v/>
      </c>
      <c r="O179" s="1209" t="str">
        <f t="shared" si="61"/>
        <v/>
      </c>
      <c r="P179" s="1283" t="str">
        <f t="shared" si="62"/>
        <v/>
      </c>
      <c r="Q179" s="518"/>
      <c r="R179" s="1076" t="str">
        <f t="shared" si="76"/>
        <v/>
      </c>
      <c r="S179" s="1076" t="str">
        <f t="shared" si="63"/>
        <v/>
      </c>
      <c r="T179" s="1078" t="str">
        <f t="shared" si="64"/>
        <v/>
      </c>
      <c r="U179" s="599"/>
      <c r="V179" s="1261"/>
      <c r="W179" s="1261"/>
      <c r="X179" s="1218"/>
      <c r="Y179" s="1253" t="e">
        <f>ROUND(VLOOKUP(H179,tab!$A$61:$V$103,I179+2,FALSE),0)</f>
        <v>#VALUE!</v>
      </c>
      <c r="Z179" s="1252">
        <f>tab!$E$48</f>
        <v>0.62</v>
      </c>
      <c r="AA179" s="1284" t="e">
        <f t="shared" si="65"/>
        <v>#VALUE!</v>
      </c>
      <c r="AB179" s="1284" t="e">
        <f t="shared" si="66"/>
        <v>#VALUE!</v>
      </c>
      <c r="AC179" s="1284" t="e">
        <f t="shared" si="67"/>
        <v>#VALUE!</v>
      </c>
      <c r="AD179" s="1286" t="e">
        <f t="shared" si="68"/>
        <v>#VALUE!</v>
      </c>
      <c r="AE179" s="1286">
        <f t="shared" si="69"/>
        <v>0</v>
      </c>
      <c r="AF179" s="1254">
        <f>IF(H179&gt;8,tab!$D$49,tab!$D$52)</f>
        <v>0.5</v>
      </c>
      <c r="AG179" s="1255">
        <f t="shared" si="70"/>
        <v>0</v>
      </c>
      <c r="AH179" s="1251">
        <f t="shared" si="71"/>
        <v>0</v>
      </c>
      <c r="AI179" s="1278" t="e">
        <f>DATE(YEAR(tab!$G$3),MONTH(G179),DAY(G179))&gt;tab!$G$3</f>
        <v>#VALUE!</v>
      </c>
      <c r="AJ179" s="1255" t="e">
        <f t="shared" si="72"/>
        <v>#VALUE!</v>
      </c>
      <c r="AK179" s="1199">
        <f t="shared" si="73"/>
        <v>30</v>
      </c>
      <c r="AL179" s="1199">
        <f t="shared" si="74"/>
        <v>30</v>
      </c>
      <c r="AM179" s="1205">
        <f t="shared" si="75"/>
        <v>0</v>
      </c>
      <c r="AS179" s="819"/>
    </row>
    <row r="180" spans="3:45" ht="12.75" customHeight="1" x14ac:dyDescent="0.2">
      <c r="C180" s="135"/>
      <c r="D180" s="432" t="str">
        <f>IF(op!D112="","",op!D112)</f>
        <v/>
      </c>
      <c r="E180" s="432" t="str">
        <f>IF(op!E112=0,"",op!E112)</f>
        <v/>
      </c>
      <c r="F180" s="776" t="str">
        <f>IF(op!F112="","",op!F112+1)</f>
        <v/>
      </c>
      <c r="G180" s="802" t="str">
        <f>IF(op!G112="","",op!G112)</f>
        <v/>
      </c>
      <c r="H180" s="776" t="str">
        <f>IF(op!H112=0,"",op!H112)</f>
        <v/>
      </c>
      <c r="I180" s="433" t="str">
        <f>IF(J180="","",(IF(op!I112+1&gt;LOOKUP(H180,schaal2013,regels2013),op!I112,op!I112+1)))</f>
        <v/>
      </c>
      <c r="J180" s="803" t="str">
        <f>IF(op!J112="","",op!J112)</f>
        <v/>
      </c>
      <c r="K180" s="518"/>
      <c r="L180" s="1207">
        <f>IF(op!L112="","",op!L112)</f>
        <v>0</v>
      </c>
      <c r="M180" s="1207">
        <f>IF(op!M112="","",op!M112)</f>
        <v>0</v>
      </c>
      <c r="N180" s="1209" t="str">
        <f t="shared" si="60"/>
        <v/>
      </c>
      <c r="O180" s="1209" t="str">
        <f t="shared" si="61"/>
        <v/>
      </c>
      <c r="P180" s="1283" t="str">
        <f t="shared" si="62"/>
        <v/>
      </c>
      <c r="Q180" s="518"/>
      <c r="R180" s="1076" t="str">
        <f t="shared" si="76"/>
        <v/>
      </c>
      <c r="S180" s="1076" t="str">
        <f t="shared" si="63"/>
        <v/>
      </c>
      <c r="T180" s="1078" t="str">
        <f t="shared" si="64"/>
        <v/>
      </c>
      <c r="U180" s="599"/>
      <c r="V180" s="1261"/>
      <c r="W180" s="1261"/>
      <c r="X180" s="1218"/>
      <c r="Y180" s="1253" t="e">
        <f>ROUND(VLOOKUP(H180,tab!$A$61:$V$103,I180+2,FALSE),0)</f>
        <v>#VALUE!</v>
      </c>
      <c r="Z180" s="1252">
        <f>tab!$E$48</f>
        <v>0.62</v>
      </c>
      <c r="AA180" s="1284" t="e">
        <f t="shared" si="65"/>
        <v>#VALUE!</v>
      </c>
      <c r="AB180" s="1284" t="e">
        <f t="shared" si="66"/>
        <v>#VALUE!</v>
      </c>
      <c r="AC180" s="1284" t="e">
        <f t="shared" si="67"/>
        <v>#VALUE!</v>
      </c>
      <c r="AD180" s="1286" t="e">
        <f t="shared" si="68"/>
        <v>#VALUE!</v>
      </c>
      <c r="AE180" s="1286">
        <f t="shared" si="69"/>
        <v>0</v>
      </c>
      <c r="AF180" s="1254">
        <f>IF(H180&gt;8,tab!$D$49,tab!$D$52)</f>
        <v>0.5</v>
      </c>
      <c r="AG180" s="1255">
        <f t="shared" si="70"/>
        <v>0</v>
      </c>
      <c r="AH180" s="1251">
        <f t="shared" si="71"/>
        <v>0</v>
      </c>
      <c r="AI180" s="1278" t="e">
        <f>DATE(YEAR(tab!$G$3),MONTH(G180),DAY(G180))&gt;tab!$G$3</f>
        <v>#VALUE!</v>
      </c>
      <c r="AJ180" s="1255" t="e">
        <f t="shared" si="72"/>
        <v>#VALUE!</v>
      </c>
      <c r="AK180" s="1199">
        <f t="shared" si="73"/>
        <v>30</v>
      </c>
      <c r="AL180" s="1199">
        <f t="shared" si="74"/>
        <v>30</v>
      </c>
      <c r="AM180" s="1205">
        <f t="shared" si="75"/>
        <v>0</v>
      </c>
      <c r="AS180" s="819"/>
    </row>
    <row r="181" spans="3:45" ht="12.75" customHeight="1" x14ac:dyDescent="0.2">
      <c r="C181" s="135"/>
      <c r="D181" s="432" t="str">
        <f>IF(op!D113="","",op!D113)</f>
        <v/>
      </c>
      <c r="E181" s="432" t="str">
        <f>IF(op!E113=0,"",op!E113)</f>
        <v/>
      </c>
      <c r="F181" s="776" t="str">
        <f>IF(op!F113="","",op!F113+1)</f>
        <v/>
      </c>
      <c r="G181" s="802" t="str">
        <f>IF(op!G113="","",op!G113)</f>
        <v/>
      </c>
      <c r="H181" s="776" t="str">
        <f>IF(op!H113=0,"",op!H113)</f>
        <v/>
      </c>
      <c r="I181" s="433" t="str">
        <f>IF(J181="","",(IF(op!I113+1&gt;LOOKUP(H181,schaal2013,regels2013),op!I113,op!I113+1)))</f>
        <v/>
      </c>
      <c r="J181" s="803" t="str">
        <f>IF(op!J113="","",op!J113)</f>
        <v/>
      </c>
      <c r="K181" s="518"/>
      <c r="L181" s="1207">
        <f>IF(op!L113="","",op!L113)</f>
        <v>0</v>
      </c>
      <c r="M181" s="1207">
        <f>IF(op!M113="","",op!M113)</f>
        <v>0</v>
      </c>
      <c r="N181" s="1209" t="str">
        <f t="shared" si="60"/>
        <v/>
      </c>
      <c r="O181" s="1209" t="str">
        <f t="shared" si="61"/>
        <v/>
      </c>
      <c r="P181" s="1283" t="str">
        <f t="shared" si="62"/>
        <v/>
      </c>
      <c r="Q181" s="518"/>
      <c r="R181" s="1076" t="str">
        <f t="shared" si="76"/>
        <v/>
      </c>
      <c r="S181" s="1076" t="str">
        <f t="shared" si="63"/>
        <v/>
      </c>
      <c r="T181" s="1078" t="str">
        <f t="shared" si="64"/>
        <v/>
      </c>
      <c r="U181" s="599"/>
      <c r="V181" s="1261"/>
      <c r="W181" s="1261"/>
      <c r="X181" s="1218"/>
      <c r="Y181" s="1253" t="e">
        <f>ROUND(VLOOKUP(H181,tab!$A$61:$V$103,I181+2,FALSE),0)</f>
        <v>#VALUE!</v>
      </c>
      <c r="Z181" s="1252">
        <f>tab!$E$48</f>
        <v>0.62</v>
      </c>
      <c r="AA181" s="1284" t="e">
        <f t="shared" si="65"/>
        <v>#VALUE!</v>
      </c>
      <c r="AB181" s="1284" t="e">
        <f t="shared" si="66"/>
        <v>#VALUE!</v>
      </c>
      <c r="AC181" s="1284" t="e">
        <f t="shared" si="67"/>
        <v>#VALUE!</v>
      </c>
      <c r="AD181" s="1286" t="e">
        <f t="shared" si="68"/>
        <v>#VALUE!</v>
      </c>
      <c r="AE181" s="1286">
        <f t="shared" si="69"/>
        <v>0</v>
      </c>
      <c r="AF181" s="1254">
        <f>IF(H181&gt;8,tab!$D$49,tab!$D$52)</f>
        <v>0.5</v>
      </c>
      <c r="AG181" s="1255">
        <f t="shared" si="70"/>
        <v>0</v>
      </c>
      <c r="AH181" s="1251">
        <f t="shared" si="71"/>
        <v>0</v>
      </c>
      <c r="AI181" s="1278" t="e">
        <f>DATE(YEAR(tab!$G$3),MONTH(G181),DAY(G181))&gt;tab!$G$3</f>
        <v>#VALUE!</v>
      </c>
      <c r="AJ181" s="1255" t="e">
        <f t="shared" si="72"/>
        <v>#VALUE!</v>
      </c>
      <c r="AK181" s="1199">
        <f t="shared" si="73"/>
        <v>30</v>
      </c>
      <c r="AL181" s="1199">
        <f t="shared" si="74"/>
        <v>30</v>
      </c>
      <c r="AM181" s="1205">
        <f t="shared" si="75"/>
        <v>0</v>
      </c>
      <c r="AS181" s="819"/>
    </row>
    <row r="182" spans="3:45" ht="12.75" customHeight="1" x14ac:dyDescent="0.2">
      <c r="C182" s="135"/>
      <c r="D182" s="432" t="str">
        <f>IF(op!D114="","",op!D114)</f>
        <v/>
      </c>
      <c r="E182" s="432" t="str">
        <f>IF(op!E114=0,"",op!E114)</f>
        <v/>
      </c>
      <c r="F182" s="776" t="str">
        <f>IF(op!F114="","",op!F114+1)</f>
        <v/>
      </c>
      <c r="G182" s="802" t="str">
        <f>IF(op!G114="","",op!G114)</f>
        <v/>
      </c>
      <c r="H182" s="776" t="str">
        <f>IF(op!H114=0,"",op!H114)</f>
        <v/>
      </c>
      <c r="I182" s="433" t="str">
        <f>IF(J182="","",(IF(op!I114+1&gt;LOOKUP(H182,schaal2013,regels2013),op!I114,op!I114+1)))</f>
        <v/>
      </c>
      <c r="J182" s="803" t="str">
        <f>IF(op!J114="","",op!J114)</f>
        <v/>
      </c>
      <c r="K182" s="518"/>
      <c r="L182" s="1207">
        <f>IF(op!L114="","",op!L114)</f>
        <v>0</v>
      </c>
      <c r="M182" s="1207">
        <f>IF(op!M114="","",op!M114)</f>
        <v>0</v>
      </c>
      <c r="N182" s="1209" t="str">
        <f t="shared" si="60"/>
        <v/>
      </c>
      <c r="O182" s="1209" t="str">
        <f t="shared" si="61"/>
        <v/>
      </c>
      <c r="P182" s="1283" t="str">
        <f t="shared" si="62"/>
        <v/>
      </c>
      <c r="Q182" s="518"/>
      <c r="R182" s="1076" t="str">
        <f t="shared" si="76"/>
        <v/>
      </c>
      <c r="S182" s="1076" t="str">
        <f t="shared" si="63"/>
        <v/>
      </c>
      <c r="T182" s="1078" t="str">
        <f t="shared" si="64"/>
        <v/>
      </c>
      <c r="U182" s="599"/>
      <c r="V182" s="1261"/>
      <c r="W182" s="1261"/>
      <c r="X182" s="1218"/>
      <c r="Y182" s="1253" t="e">
        <f>ROUND(VLOOKUP(H182,tab!$A$61:$V$103,I182+2,FALSE),0)</f>
        <v>#VALUE!</v>
      </c>
      <c r="Z182" s="1252">
        <f>tab!$E$48</f>
        <v>0.62</v>
      </c>
      <c r="AA182" s="1284" t="e">
        <f t="shared" si="65"/>
        <v>#VALUE!</v>
      </c>
      <c r="AB182" s="1284" t="e">
        <f t="shared" si="66"/>
        <v>#VALUE!</v>
      </c>
      <c r="AC182" s="1284" t="e">
        <f t="shared" si="67"/>
        <v>#VALUE!</v>
      </c>
      <c r="AD182" s="1286" t="e">
        <f t="shared" si="68"/>
        <v>#VALUE!</v>
      </c>
      <c r="AE182" s="1286">
        <f t="shared" si="69"/>
        <v>0</v>
      </c>
      <c r="AF182" s="1254">
        <f>IF(H182&gt;8,tab!$D$49,tab!$D$52)</f>
        <v>0.5</v>
      </c>
      <c r="AG182" s="1255">
        <f t="shared" si="70"/>
        <v>0</v>
      </c>
      <c r="AH182" s="1251">
        <f t="shared" si="71"/>
        <v>0</v>
      </c>
      <c r="AI182" s="1278" t="e">
        <f>DATE(YEAR(tab!$G$3),MONTH(G182),DAY(G182))&gt;tab!$G$3</f>
        <v>#VALUE!</v>
      </c>
      <c r="AJ182" s="1255" t="e">
        <f t="shared" si="72"/>
        <v>#VALUE!</v>
      </c>
      <c r="AK182" s="1199">
        <f t="shared" si="73"/>
        <v>30</v>
      </c>
      <c r="AL182" s="1199">
        <f t="shared" si="74"/>
        <v>30</v>
      </c>
      <c r="AM182" s="1205">
        <f t="shared" si="75"/>
        <v>0</v>
      </c>
      <c r="AS182" s="819"/>
    </row>
    <row r="183" spans="3:45" ht="12.75" customHeight="1" x14ac:dyDescent="0.2">
      <c r="C183" s="135"/>
      <c r="D183" s="432" t="str">
        <f>IF(op!D115="","",op!D115)</f>
        <v/>
      </c>
      <c r="E183" s="432" t="str">
        <f>IF(op!E115=0,"",op!E115)</f>
        <v/>
      </c>
      <c r="F183" s="776" t="str">
        <f>IF(op!F115="","",op!F115+1)</f>
        <v/>
      </c>
      <c r="G183" s="802" t="str">
        <f>IF(op!G115="","",op!G115)</f>
        <v/>
      </c>
      <c r="H183" s="776" t="str">
        <f>IF(op!H115=0,"",op!H115)</f>
        <v/>
      </c>
      <c r="I183" s="433" t="str">
        <f>IF(J183="","",(IF(op!I115+1&gt;LOOKUP(H183,schaal2013,regels2013),op!I115,op!I115+1)))</f>
        <v/>
      </c>
      <c r="J183" s="803" t="str">
        <f>IF(op!J115="","",op!J115)</f>
        <v/>
      </c>
      <c r="K183" s="518"/>
      <c r="L183" s="1207">
        <f>IF(op!L115="","",op!L115)</f>
        <v>0</v>
      </c>
      <c r="M183" s="1207">
        <f>IF(op!M115="","",op!M115)</f>
        <v>0</v>
      </c>
      <c r="N183" s="1209" t="str">
        <f t="shared" si="60"/>
        <v/>
      </c>
      <c r="O183" s="1209" t="str">
        <f t="shared" si="61"/>
        <v/>
      </c>
      <c r="P183" s="1283" t="str">
        <f t="shared" si="62"/>
        <v/>
      </c>
      <c r="Q183" s="518"/>
      <c r="R183" s="1076" t="str">
        <f t="shared" si="76"/>
        <v/>
      </c>
      <c r="S183" s="1076" t="str">
        <f t="shared" si="63"/>
        <v/>
      </c>
      <c r="T183" s="1078" t="str">
        <f t="shared" si="64"/>
        <v/>
      </c>
      <c r="U183" s="599"/>
      <c r="V183" s="1261"/>
      <c r="W183" s="1261"/>
      <c r="X183" s="1218"/>
      <c r="Y183" s="1253" t="e">
        <f>ROUND(VLOOKUP(H183,tab!$A$61:$V$103,I183+2,FALSE),0)</f>
        <v>#VALUE!</v>
      </c>
      <c r="Z183" s="1252">
        <f>tab!$E$48</f>
        <v>0.62</v>
      </c>
      <c r="AA183" s="1284" t="e">
        <f t="shared" si="65"/>
        <v>#VALUE!</v>
      </c>
      <c r="AB183" s="1284" t="e">
        <f t="shared" si="66"/>
        <v>#VALUE!</v>
      </c>
      <c r="AC183" s="1284" t="e">
        <f t="shared" si="67"/>
        <v>#VALUE!</v>
      </c>
      <c r="AD183" s="1286" t="e">
        <f t="shared" si="68"/>
        <v>#VALUE!</v>
      </c>
      <c r="AE183" s="1286">
        <f t="shared" si="69"/>
        <v>0</v>
      </c>
      <c r="AF183" s="1254">
        <f>IF(H183&gt;8,tab!$D$49,tab!$D$52)</f>
        <v>0.5</v>
      </c>
      <c r="AG183" s="1255">
        <f t="shared" si="70"/>
        <v>0</v>
      </c>
      <c r="AH183" s="1251">
        <f t="shared" si="71"/>
        <v>0</v>
      </c>
      <c r="AI183" s="1278" t="e">
        <f>DATE(YEAR(tab!$G$3),MONTH(G183),DAY(G183))&gt;tab!$G$3</f>
        <v>#VALUE!</v>
      </c>
      <c r="AJ183" s="1255" t="e">
        <f t="shared" si="72"/>
        <v>#VALUE!</v>
      </c>
      <c r="AK183" s="1199">
        <f t="shared" si="73"/>
        <v>30</v>
      </c>
      <c r="AL183" s="1199">
        <f t="shared" si="74"/>
        <v>30</v>
      </c>
      <c r="AM183" s="1205">
        <f t="shared" si="75"/>
        <v>0</v>
      </c>
      <c r="AS183" s="819"/>
    </row>
    <row r="184" spans="3:45" ht="12.75" customHeight="1" x14ac:dyDescent="0.2">
      <c r="C184" s="135"/>
      <c r="D184" s="432" t="str">
        <f>IF(op!D116="","",op!D116)</f>
        <v/>
      </c>
      <c r="E184" s="432" t="str">
        <f>IF(op!E116=0,"",op!E116)</f>
        <v/>
      </c>
      <c r="F184" s="776" t="str">
        <f>IF(op!F116="","",op!F116+1)</f>
        <v/>
      </c>
      <c r="G184" s="802" t="str">
        <f>IF(op!G116="","",op!G116)</f>
        <v/>
      </c>
      <c r="H184" s="776" t="str">
        <f>IF(op!H116=0,"",op!H116)</f>
        <v/>
      </c>
      <c r="I184" s="433" t="str">
        <f>IF(J184="","",(IF(op!I116+1&gt;LOOKUP(H184,schaal2013,regels2013),op!I116,op!I116+1)))</f>
        <v/>
      </c>
      <c r="J184" s="803" t="str">
        <f>IF(op!J116="","",op!J116)</f>
        <v/>
      </c>
      <c r="K184" s="518"/>
      <c r="L184" s="1207">
        <f>IF(op!L116="","",op!L116)</f>
        <v>0</v>
      </c>
      <c r="M184" s="1207">
        <f>IF(op!M116="","",op!M116)</f>
        <v>0</v>
      </c>
      <c r="N184" s="1209" t="str">
        <f t="shared" si="60"/>
        <v/>
      </c>
      <c r="O184" s="1209" t="str">
        <f t="shared" si="61"/>
        <v/>
      </c>
      <c r="P184" s="1283" t="str">
        <f t="shared" si="62"/>
        <v/>
      </c>
      <c r="Q184" s="518"/>
      <c r="R184" s="1076" t="str">
        <f t="shared" si="76"/>
        <v/>
      </c>
      <c r="S184" s="1076" t="str">
        <f t="shared" si="63"/>
        <v/>
      </c>
      <c r="T184" s="1078" t="str">
        <f t="shared" si="64"/>
        <v/>
      </c>
      <c r="U184" s="599"/>
      <c r="V184" s="1261"/>
      <c r="W184" s="1261"/>
      <c r="X184" s="1218"/>
      <c r="Y184" s="1253" t="e">
        <f>ROUND(VLOOKUP(H184,tab!$A$61:$V$103,I184+2,FALSE),0)</f>
        <v>#VALUE!</v>
      </c>
      <c r="Z184" s="1252">
        <f>tab!$E$48</f>
        <v>0.62</v>
      </c>
      <c r="AA184" s="1284" t="e">
        <f t="shared" si="65"/>
        <v>#VALUE!</v>
      </c>
      <c r="AB184" s="1284" t="e">
        <f t="shared" si="66"/>
        <v>#VALUE!</v>
      </c>
      <c r="AC184" s="1284" t="e">
        <f t="shared" si="67"/>
        <v>#VALUE!</v>
      </c>
      <c r="AD184" s="1286" t="e">
        <f t="shared" si="68"/>
        <v>#VALUE!</v>
      </c>
      <c r="AE184" s="1286">
        <f t="shared" si="69"/>
        <v>0</v>
      </c>
      <c r="AF184" s="1254">
        <f>IF(H184&gt;8,tab!$D$49,tab!$D$52)</f>
        <v>0.5</v>
      </c>
      <c r="AG184" s="1255">
        <f t="shared" ref="AG184:AG206" si="77">IF(F184&lt;25,0,IF(F184=25,25,IF(F184&lt;40,0,IF(F184=40,40,IF(F184&gt;=40,0)))))</f>
        <v>0</v>
      </c>
      <c r="AH184" s="1251">
        <f t="shared" ref="AH184:AH206" si="78">IF(AG184=25,(Y184*1.08*(J184)/2),IF(AG184=40,(Y184*1.08*(J184)),IF(AG184=0,0)))</f>
        <v>0</v>
      </c>
      <c r="AI184" s="1278" t="e">
        <f>DATE(YEAR(tab!$G$3),MONTH(G184),DAY(G184))&gt;tab!$G$3</f>
        <v>#VALUE!</v>
      </c>
      <c r="AJ184" s="1255" t="e">
        <f t="shared" ref="AJ184:AJ206" si="79">YEAR($E$145)-YEAR(G184)-AI184</f>
        <v>#VALUE!</v>
      </c>
      <c r="AK184" s="1199">
        <f t="shared" ref="AK184:AK206" si="80">IF((G184=""),30,AJ184)</f>
        <v>30</v>
      </c>
      <c r="AL184" s="1199">
        <f t="shared" ref="AL184:AL206" si="81">IF((AK184)&gt;50,50,(AK184))</f>
        <v>30</v>
      </c>
      <c r="AM184" s="1205">
        <f t="shared" ref="AM184:AM206" si="82">(AL184*(SUM(J184:J184)))</f>
        <v>0</v>
      </c>
      <c r="AS184" s="819"/>
    </row>
    <row r="185" spans="3:45" ht="12.75" customHeight="1" x14ac:dyDescent="0.2">
      <c r="C185" s="135"/>
      <c r="D185" s="432" t="str">
        <f>IF(op!D117="","",op!D117)</f>
        <v/>
      </c>
      <c r="E185" s="432" t="str">
        <f>IF(op!E117=0,"",op!E117)</f>
        <v/>
      </c>
      <c r="F185" s="776" t="str">
        <f>IF(op!F117="","",op!F117+1)</f>
        <v/>
      </c>
      <c r="G185" s="802" t="str">
        <f>IF(op!G117="","",op!G117)</f>
        <v/>
      </c>
      <c r="H185" s="776" t="str">
        <f>IF(op!H117=0,"",op!H117)</f>
        <v/>
      </c>
      <c r="I185" s="433" t="str">
        <f>IF(J185="","",(IF(op!I117+1&gt;LOOKUP(H185,schaal2013,regels2013),op!I117,op!I117+1)))</f>
        <v/>
      </c>
      <c r="J185" s="803" t="str">
        <f>IF(op!J117="","",op!J117)</f>
        <v/>
      </c>
      <c r="K185" s="518"/>
      <c r="L185" s="1207">
        <f>IF(op!L117="","",op!L117)</f>
        <v>0</v>
      </c>
      <c r="M185" s="1207">
        <f>IF(op!M117="","",op!M117)</f>
        <v>0</v>
      </c>
      <c r="N185" s="1209" t="str">
        <f t="shared" si="60"/>
        <v/>
      </c>
      <c r="O185" s="1209" t="str">
        <f t="shared" si="61"/>
        <v/>
      </c>
      <c r="P185" s="1283" t="str">
        <f t="shared" si="62"/>
        <v/>
      </c>
      <c r="Q185" s="518"/>
      <c r="R185" s="1076" t="str">
        <f t="shared" si="76"/>
        <v/>
      </c>
      <c r="S185" s="1076" t="str">
        <f t="shared" si="63"/>
        <v/>
      </c>
      <c r="T185" s="1078" t="str">
        <f t="shared" si="64"/>
        <v/>
      </c>
      <c r="U185" s="599"/>
      <c r="V185" s="1261"/>
      <c r="W185" s="1261"/>
      <c r="X185" s="1218"/>
      <c r="Y185" s="1253" t="e">
        <f>ROUND(VLOOKUP(H185,tab!$A$61:$V$103,I185+2,FALSE),0)</f>
        <v>#VALUE!</v>
      </c>
      <c r="Z185" s="1252">
        <f>tab!$E$48</f>
        <v>0.62</v>
      </c>
      <c r="AA185" s="1284" t="e">
        <f t="shared" si="65"/>
        <v>#VALUE!</v>
      </c>
      <c r="AB185" s="1284" t="e">
        <f t="shared" si="66"/>
        <v>#VALUE!</v>
      </c>
      <c r="AC185" s="1284" t="e">
        <f t="shared" si="67"/>
        <v>#VALUE!</v>
      </c>
      <c r="AD185" s="1286" t="e">
        <f t="shared" si="68"/>
        <v>#VALUE!</v>
      </c>
      <c r="AE185" s="1286">
        <f t="shared" si="69"/>
        <v>0</v>
      </c>
      <c r="AF185" s="1254">
        <f>IF(H185&gt;8,tab!$D$49,tab!$D$52)</f>
        <v>0.5</v>
      </c>
      <c r="AG185" s="1255">
        <f t="shared" si="77"/>
        <v>0</v>
      </c>
      <c r="AH185" s="1251">
        <f t="shared" si="78"/>
        <v>0</v>
      </c>
      <c r="AI185" s="1278" t="e">
        <f>DATE(YEAR(tab!$G$3),MONTH(G185),DAY(G185))&gt;tab!$G$3</f>
        <v>#VALUE!</v>
      </c>
      <c r="AJ185" s="1255" t="e">
        <f t="shared" si="79"/>
        <v>#VALUE!</v>
      </c>
      <c r="AK185" s="1199">
        <f t="shared" si="80"/>
        <v>30</v>
      </c>
      <c r="AL185" s="1199">
        <f t="shared" si="81"/>
        <v>30</v>
      </c>
      <c r="AM185" s="1205">
        <f t="shared" si="82"/>
        <v>0</v>
      </c>
      <c r="AS185" s="819"/>
    </row>
    <row r="186" spans="3:45" ht="12.75" customHeight="1" x14ac:dyDescent="0.2">
      <c r="C186" s="135"/>
      <c r="D186" s="432" t="str">
        <f>IF(op!D118="","",op!D118)</f>
        <v/>
      </c>
      <c r="E186" s="432" t="str">
        <f>IF(op!E118=0,"",op!E118)</f>
        <v/>
      </c>
      <c r="F186" s="776" t="str">
        <f>IF(op!F118="","",op!F118+1)</f>
        <v/>
      </c>
      <c r="G186" s="802" t="str">
        <f>IF(op!G118="","",op!G118)</f>
        <v/>
      </c>
      <c r="H186" s="776" t="str">
        <f>IF(op!H118=0,"",op!H118)</f>
        <v/>
      </c>
      <c r="I186" s="433" t="str">
        <f>IF(J186="","",(IF(op!I118+1&gt;LOOKUP(H186,schaal2013,regels2013),op!I118,op!I118+1)))</f>
        <v/>
      </c>
      <c r="J186" s="803" t="str">
        <f>IF(op!J118="","",op!J118)</f>
        <v/>
      </c>
      <c r="K186" s="518"/>
      <c r="L186" s="1207">
        <f>IF(op!L118="","",op!L118)</f>
        <v>0</v>
      </c>
      <c r="M186" s="1207">
        <f>IF(op!M118="","",op!M118)</f>
        <v>0</v>
      </c>
      <c r="N186" s="1209" t="str">
        <f t="shared" si="60"/>
        <v/>
      </c>
      <c r="O186" s="1209" t="str">
        <f t="shared" si="61"/>
        <v/>
      </c>
      <c r="P186" s="1283" t="str">
        <f t="shared" si="62"/>
        <v/>
      </c>
      <c r="Q186" s="518"/>
      <c r="R186" s="1076" t="str">
        <f t="shared" si="76"/>
        <v/>
      </c>
      <c r="S186" s="1076" t="str">
        <f t="shared" si="63"/>
        <v/>
      </c>
      <c r="T186" s="1078" t="str">
        <f t="shared" si="64"/>
        <v/>
      </c>
      <c r="U186" s="599"/>
      <c r="V186" s="1261"/>
      <c r="W186" s="1261"/>
      <c r="X186" s="1218"/>
      <c r="Y186" s="1253" t="e">
        <f>ROUND(VLOOKUP(H186,tab!$A$61:$V$103,I186+2,FALSE),0)</f>
        <v>#VALUE!</v>
      </c>
      <c r="Z186" s="1252">
        <f>tab!$E$48</f>
        <v>0.62</v>
      </c>
      <c r="AA186" s="1284" t="e">
        <f t="shared" si="65"/>
        <v>#VALUE!</v>
      </c>
      <c r="AB186" s="1284" t="e">
        <f t="shared" si="66"/>
        <v>#VALUE!</v>
      </c>
      <c r="AC186" s="1284" t="e">
        <f t="shared" si="67"/>
        <v>#VALUE!</v>
      </c>
      <c r="AD186" s="1286" t="e">
        <f t="shared" si="68"/>
        <v>#VALUE!</v>
      </c>
      <c r="AE186" s="1286">
        <f t="shared" si="69"/>
        <v>0</v>
      </c>
      <c r="AF186" s="1254">
        <f>IF(H186&gt;8,tab!$D$49,tab!$D$52)</f>
        <v>0.5</v>
      </c>
      <c r="AG186" s="1255">
        <f t="shared" si="77"/>
        <v>0</v>
      </c>
      <c r="AH186" s="1251">
        <f t="shared" si="78"/>
        <v>0</v>
      </c>
      <c r="AI186" s="1278" t="e">
        <f>DATE(YEAR(tab!$G$3),MONTH(G186),DAY(G186))&gt;tab!$G$3</f>
        <v>#VALUE!</v>
      </c>
      <c r="AJ186" s="1255" t="e">
        <f t="shared" si="79"/>
        <v>#VALUE!</v>
      </c>
      <c r="AK186" s="1199">
        <f t="shared" si="80"/>
        <v>30</v>
      </c>
      <c r="AL186" s="1199">
        <f t="shared" si="81"/>
        <v>30</v>
      </c>
      <c r="AM186" s="1205">
        <f t="shared" si="82"/>
        <v>0</v>
      </c>
      <c r="AS186" s="819"/>
    </row>
    <row r="187" spans="3:45" ht="12.75" customHeight="1" x14ac:dyDescent="0.2">
      <c r="C187" s="135"/>
      <c r="D187" s="432" t="str">
        <f>IF(op!D119="","",op!D119)</f>
        <v/>
      </c>
      <c r="E187" s="432" t="str">
        <f>IF(op!E119=0,"",op!E119)</f>
        <v/>
      </c>
      <c r="F187" s="776" t="str">
        <f>IF(op!F119="","",op!F119+1)</f>
        <v/>
      </c>
      <c r="G187" s="802" t="str">
        <f>IF(op!G119="","",op!G119)</f>
        <v/>
      </c>
      <c r="H187" s="776" t="str">
        <f>IF(op!H119=0,"",op!H119)</f>
        <v/>
      </c>
      <c r="I187" s="433" t="str">
        <f>IF(J187="","",(IF(op!I119+1&gt;LOOKUP(H187,schaal2013,regels2013),op!I119,op!I119+1)))</f>
        <v/>
      </c>
      <c r="J187" s="803" t="str">
        <f>IF(op!J119="","",op!J119)</f>
        <v/>
      </c>
      <c r="K187" s="518"/>
      <c r="L187" s="1207">
        <f>IF(op!L119="","",op!L119)</f>
        <v>0</v>
      </c>
      <c r="M187" s="1207">
        <f>IF(op!M119="","",op!M119)</f>
        <v>0</v>
      </c>
      <c r="N187" s="1209" t="str">
        <f t="shared" si="60"/>
        <v/>
      </c>
      <c r="O187" s="1209" t="str">
        <f t="shared" si="61"/>
        <v/>
      </c>
      <c r="P187" s="1283" t="str">
        <f t="shared" si="62"/>
        <v/>
      </c>
      <c r="Q187" s="518"/>
      <c r="R187" s="1076" t="str">
        <f t="shared" si="76"/>
        <v/>
      </c>
      <c r="S187" s="1076" t="str">
        <f t="shared" si="63"/>
        <v/>
      </c>
      <c r="T187" s="1078" t="str">
        <f t="shared" si="64"/>
        <v/>
      </c>
      <c r="U187" s="599"/>
      <c r="V187" s="1261"/>
      <c r="W187" s="1261"/>
      <c r="X187" s="1218"/>
      <c r="Y187" s="1253" t="e">
        <f>ROUND(VLOOKUP(H187,tab!$A$61:$V$103,I187+2,FALSE),0)</f>
        <v>#VALUE!</v>
      </c>
      <c r="Z187" s="1252">
        <f>tab!$E$48</f>
        <v>0.62</v>
      </c>
      <c r="AA187" s="1284" t="e">
        <f t="shared" si="65"/>
        <v>#VALUE!</v>
      </c>
      <c r="AB187" s="1284" t="e">
        <f t="shared" si="66"/>
        <v>#VALUE!</v>
      </c>
      <c r="AC187" s="1284" t="e">
        <f t="shared" si="67"/>
        <v>#VALUE!</v>
      </c>
      <c r="AD187" s="1286" t="e">
        <f t="shared" si="68"/>
        <v>#VALUE!</v>
      </c>
      <c r="AE187" s="1286">
        <f t="shared" si="69"/>
        <v>0</v>
      </c>
      <c r="AF187" s="1254">
        <f>IF(H187&gt;8,tab!$D$49,tab!$D$52)</f>
        <v>0.5</v>
      </c>
      <c r="AG187" s="1255">
        <f t="shared" si="77"/>
        <v>0</v>
      </c>
      <c r="AH187" s="1251">
        <f t="shared" si="78"/>
        <v>0</v>
      </c>
      <c r="AI187" s="1278" t="e">
        <f>DATE(YEAR(tab!$G$3),MONTH(G187),DAY(G187))&gt;tab!$G$3</f>
        <v>#VALUE!</v>
      </c>
      <c r="AJ187" s="1255" t="e">
        <f t="shared" si="79"/>
        <v>#VALUE!</v>
      </c>
      <c r="AK187" s="1199">
        <f t="shared" si="80"/>
        <v>30</v>
      </c>
      <c r="AL187" s="1199">
        <f t="shared" si="81"/>
        <v>30</v>
      </c>
      <c r="AM187" s="1205">
        <f t="shared" si="82"/>
        <v>0</v>
      </c>
      <c r="AS187" s="819"/>
    </row>
    <row r="188" spans="3:45" ht="12.75" customHeight="1" x14ac:dyDescent="0.2">
      <c r="C188" s="135"/>
      <c r="D188" s="432" t="str">
        <f>IF(op!D120="","",op!D120)</f>
        <v/>
      </c>
      <c r="E188" s="432" t="str">
        <f>IF(op!E120=0,"",op!E120)</f>
        <v/>
      </c>
      <c r="F188" s="776" t="str">
        <f>IF(op!F120="","",op!F120+1)</f>
        <v/>
      </c>
      <c r="G188" s="802" t="str">
        <f>IF(op!G120="","",op!G120)</f>
        <v/>
      </c>
      <c r="H188" s="776" t="str">
        <f>IF(op!H120=0,"",op!H120)</f>
        <v/>
      </c>
      <c r="I188" s="433" t="str">
        <f>IF(J188="","",(IF(op!I120+1&gt;LOOKUP(H188,schaal2013,regels2013),op!I120,op!I120+1)))</f>
        <v/>
      </c>
      <c r="J188" s="803" t="str">
        <f>IF(op!J120="","",op!J120)</f>
        <v/>
      </c>
      <c r="K188" s="518"/>
      <c r="L188" s="1207">
        <f>IF(op!L120="","",op!L120)</f>
        <v>0</v>
      </c>
      <c r="M188" s="1207">
        <f>IF(op!M120="","",op!M120)</f>
        <v>0</v>
      </c>
      <c r="N188" s="1209" t="str">
        <f t="shared" si="60"/>
        <v/>
      </c>
      <c r="O188" s="1209" t="str">
        <f t="shared" si="61"/>
        <v/>
      </c>
      <c r="P188" s="1283" t="str">
        <f t="shared" si="62"/>
        <v/>
      </c>
      <c r="Q188" s="518"/>
      <c r="R188" s="1076" t="str">
        <f t="shared" si="76"/>
        <v/>
      </c>
      <c r="S188" s="1076" t="str">
        <f t="shared" si="63"/>
        <v/>
      </c>
      <c r="T188" s="1078" t="str">
        <f t="shared" si="64"/>
        <v/>
      </c>
      <c r="U188" s="599"/>
      <c r="V188" s="1261"/>
      <c r="W188" s="1261"/>
      <c r="X188" s="1218"/>
      <c r="Y188" s="1253" t="e">
        <f>ROUND(VLOOKUP(H188,tab!$A$61:$V$103,I188+2,FALSE),0)</f>
        <v>#VALUE!</v>
      </c>
      <c r="Z188" s="1252">
        <f>tab!$E$48</f>
        <v>0.62</v>
      </c>
      <c r="AA188" s="1284" t="e">
        <f t="shared" si="65"/>
        <v>#VALUE!</v>
      </c>
      <c r="AB188" s="1284" t="e">
        <f t="shared" si="66"/>
        <v>#VALUE!</v>
      </c>
      <c r="AC188" s="1284" t="e">
        <f t="shared" si="67"/>
        <v>#VALUE!</v>
      </c>
      <c r="AD188" s="1286" t="e">
        <f t="shared" si="68"/>
        <v>#VALUE!</v>
      </c>
      <c r="AE188" s="1286">
        <f t="shared" si="69"/>
        <v>0</v>
      </c>
      <c r="AF188" s="1254">
        <f>IF(H188&gt;8,tab!$D$49,tab!$D$52)</f>
        <v>0.5</v>
      </c>
      <c r="AG188" s="1255">
        <f t="shared" si="77"/>
        <v>0</v>
      </c>
      <c r="AH188" s="1251">
        <f t="shared" si="78"/>
        <v>0</v>
      </c>
      <c r="AI188" s="1278" t="e">
        <f>DATE(YEAR(tab!$G$3),MONTH(G188),DAY(G188))&gt;tab!$G$3</f>
        <v>#VALUE!</v>
      </c>
      <c r="AJ188" s="1255" t="e">
        <f t="shared" si="79"/>
        <v>#VALUE!</v>
      </c>
      <c r="AK188" s="1199">
        <f t="shared" si="80"/>
        <v>30</v>
      </c>
      <c r="AL188" s="1199">
        <f t="shared" si="81"/>
        <v>30</v>
      </c>
      <c r="AM188" s="1205">
        <f t="shared" si="82"/>
        <v>0</v>
      </c>
      <c r="AS188" s="819"/>
    </row>
    <row r="189" spans="3:45" ht="12.75" customHeight="1" x14ac:dyDescent="0.2">
      <c r="C189" s="135"/>
      <c r="D189" s="432" t="str">
        <f>IF(op!D121="","",op!D121)</f>
        <v/>
      </c>
      <c r="E189" s="432" t="str">
        <f>IF(op!E121=0,"",op!E121)</f>
        <v/>
      </c>
      <c r="F189" s="776" t="str">
        <f>IF(op!F121="","",op!F121+1)</f>
        <v/>
      </c>
      <c r="G189" s="802" t="str">
        <f>IF(op!G121="","",op!G121)</f>
        <v/>
      </c>
      <c r="H189" s="776" t="str">
        <f>IF(op!H121=0,"",op!H121)</f>
        <v/>
      </c>
      <c r="I189" s="433" t="str">
        <f>IF(J189="","",(IF(op!I121+1&gt;LOOKUP(H189,schaal2013,regels2013),op!I121,op!I121+1)))</f>
        <v/>
      </c>
      <c r="J189" s="803" t="str">
        <f>IF(op!J121="","",op!J121)</f>
        <v/>
      </c>
      <c r="K189" s="518"/>
      <c r="L189" s="1207">
        <f>IF(op!L121="","",op!L121)</f>
        <v>0</v>
      </c>
      <c r="M189" s="1207">
        <f>IF(op!M121="","",op!M121)</f>
        <v>0</v>
      </c>
      <c r="N189" s="1209" t="str">
        <f t="shared" si="60"/>
        <v/>
      </c>
      <c r="O189" s="1209" t="str">
        <f t="shared" si="61"/>
        <v/>
      </c>
      <c r="P189" s="1283" t="str">
        <f t="shared" si="62"/>
        <v/>
      </c>
      <c r="Q189" s="518"/>
      <c r="R189" s="1076" t="str">
        <f t="shared" si="76"/>
        <v/>
      </c>
      <c r="S189" s="1076" t="str">
        <f t="shared" si="63"/>
        <v/>
      </c>
      <c r="T189" s="1078" t="str">
        <f t="shared" si="64"/>
        <v/>
      </c>
      <c r="U189" s="599"/>
      <c r="V189" s="1261"/>
      <c r="W189" s="1261"/>
      <c r="X189" s="1218"/>
      <c r="Y189" s="1253" t="e">
        <f>ROUND(VLOOKUP(H189,tab!$A$61:$V$103,I189+2,FALSE),0)</f>
        <v>#VALUE!</v>
      </c>
      <c r="Z189" s="1252">
        <f>tab!$E$48</f>
        <v>0.62</v>
      </c>
      <c r="AA189" s="1284" t="e">
        <f t="shared" si="65"/>
        <v>#VALUE!</v>
      </c>
      <c r="AB189" s="1284" t="e">
        <f t="shared" si="66"/>
        <v>#VALUE!</v>
      </c>
      <c r="AC189" s="1284" t="e">
        <f t="shared" si="67"/>
        <v>#VALUE!</v>
      </c>
      <c r="AD189" s="1286" t="e">
        <f t="shared" si="68"/>
        <v>#VALUE!</v>
      </c>
      <c r="AE189" s="1286">
        <f t="shared" si="69"/>
        <v>0</v>
      </c>
      <c r="AF189" s="1254">
        <f>IF(H189&gt;8,tab!$D$49,tab!$D$52)</f>
        <v>0.5</v>
      </c>
      <c r="AG189" s="1255">
        <f t="shared" si="77"/>
        <v>0</v>
      </c>
      <c r="AH189" s="1251">
        <f t="shared" si="78"/>
        <v>0</v>
      </c>
      <c r="AI189" s="1278" t="e">
        <f>DATE(YEAR(tab!$G$3),MONTH(G189),DAY(G189))&gt;tab!$G$3</f>
        <v>#VALUE!</v>
      </c>
      <c r="AJ189" s="1255" t="e">
        <f t="shared" si="79"/>
        <v>#VALUE!</v>
      </c>
      <c r="AK189" s="1199">
        <f t="shared" si="80"/>
        <v>30</v>
      </c>
      <c r="AL189" s="1199">
        <f t="shared" si="81"/>
        <v>30</v>
      </c>
      <c r="AM189" s="1205">
        <f t="shared" si="82"/>
        <v>0</v>
      </c>
      <c r="AS189" s="819"/>
    </row>
    <row r="190" spans="3:45" ht="12.75" customHeight="1" x14ac:dyDescent="0.2">
      <c r="C190" s="135"/>
      <c r="D190" s="432" t="str">
        <f>IF(op!D122="","",op!D122)</f>
        <v/>
      </c>
      <c r="E190" s="432" t="str">
        <f>IF(op!E122=0,"",op!E122)</f>
        <v/>
      </c>
      <c r="F190" s="776" t="str">
        <f>IF(op!F122="","",op!F122+1)</f>
        <v/>
      </c>
      <c r="G190" s="802" t="str">
        <f>IF(op!G122="","",op!G122)</f>
        <v/>
      </c>
      <c r="H190" s="776" t="str">
        <f>IF(op!H122=0,"",op!H122)</f>
        <v/>
      </c>
      <c r="I190" s="433" t="str">
        <f>IF(J190="","",(IF(op!I122+1&gt;LOOKUP(H190,schaal2013,regels2013),op!I122,op!I122+1)))</f>
        <v/>
      </c>
      <c r="J190" s="803" t="str">
        <f>IF(op!J122="","",op!J122)</f>
        <v/>
      </c>
      <c r="K190" s="518"/>
      <c r="L190" s="1207">
        <f>IF(op!L122="","",op!L122)</f>
        <v>0</v>
      </c>
      <c r="M190" s="1207">
        <f>IF(op!M122="","",op!M122)</f>
        <v>0</v>
      </c>
      <c r="N190" s="1209" t="str">
        <f t="shared" si="60"/>
        <v/>
      </c>
      <c r="O190" s="1209" t="str">
        <f t="shared" si="61"/>
        <v/>
      </c>
      <c r="P190" s="1283" t="str">
        <f t="shared" si="62"/>
        <v/>
      </c>
      <c r="Q190" s="518"/>
      <c r="R190" s="1076" t="str">
        <f t="shared" si="76"/>
        <v/>
      </c>
      <c r="S190" s="1076" t="str">
        <f t="shared" si="63"/>
        <v/>
      </c>
      <c r="T190" s="1078" t="str">
        <f t="shared" si="64"/>
        <v/>
      </c>
      <c r="U190" s="599"/>
      <c r="V190" s="1261"/>
      <c r="W190" s="1261"/>
      <c r="X190" s="1218"/>
      <c r="Y190" s="1253" t="e">
        <f>ROUND(VLOOKUP(H190,tab!$A$61:$V$103,I190+2,FALSE),0)</f>
        <v>#VALUE!</v>
      </c>
      <c r="Z190" s="1252">
        <f>tab!$E$48</f>
        <v>0.62</v>
      </c>
      <c r="AA190" s="1284" t="e">
        <f t="shared" si="65"/>
        <v>#VALUE!</v>
      </c>
      <c r="AB190" s="1284" t="e">
        <f t="shared" si="66"/>
        <v>#VALUE!</v>
      </c>
      <c r="AC190" s="1284" t="e">
        <f t="shared" si="67"/>
        <v>#VALUE!</v>
      </c>
      <c r="AD190" s="1286" t="e">
        <f t="shared" si="68"/>
        <v>#VALUE!</v>
      </c>
      <c r="AE190" s="1286">
        <f t="shared" si="69"/>
        <v>0</v>
      </c>
      <c r="AF190" s="1254">
        <f>IF(H190&gt;8,tab!$D$49,tab!$D$52)</f>
        <v>0.5</v>
      </c>
      <c r="AG190" s="1255">
        <f t="shared" si="77"/>
        <v>0</v>
      </c>
      <c r="AH190" s="1251">
        <f t="shared" si="78"/>
        <v>0</v>
      </c>
      <c r="AI190" s="1278" t="e">
        <f>DATE(YEAR(tab!$G$3),MONTH(G190),DAY(G190))&gt;tab!$G$3</f>
        <v>#VALUE!</v>
      </c>
      <c r="AJ190" s="1255" t="e">
        <f t="shared" si="79"/>
        <v>#VALUE!</v>
      </c>
      <c r="AK190" s="1199">
        <f t="shared" si="80"/>
        <v>30</v>
      </c>
      <c r="AL190" s="1199">
        <f t="shared" si="81"/>
        <v>30</v>
      </c>
      <c r="AM190" s="1205">
        <f t="shared" si="82"/>
        <v>0</v>
      </c>
      <c r="AS190" s="819"/>
    </row>
    <row r="191" spans="3:45" ht="12.75" customHeight="1" x14ac:dyDescent="0.2">
      <c r="C191" s="135"/>
      <c r="D191" s="432" t="str">
        <f>IF(op!D123="","",op!D123)</f>
        <v/>
      </c>
      <c r="E191" s="432" t="str">
        <f>IF(op!E123=0,"",op!E123)</f>
        <v/>
      </c>
      <c r="F191" s="776" t="str">
        <f>IF(op!F123="","",op!F123+1)</f>
        <v/>
      </c>
      <c r="G191" s="802" t="str">
        <f>IF(op!G123="","",op!G123)</f>
        <v/>
      </c>
      <c r="H191" s="776" t="str">
        <f>IF(op!H123=0,"",op!H123)</f>
        <v/>
      </c>
      <c r="I191" s="433" t="str">
        <f>IF(J191="","",(IF(op!I123+1&gt;LOOKUP(H191,schaal2013,regels2013),op!I123,op!I123+1)))</f>
        <v/>
      </c>
      <c r="J191" s="803" t="str">
        <f>IF(op!J123="","",op!J123)</f>
        <v/>
      </c>
      <c r="K191" s="518"/>
      <c r="L191" s="1207">
        <f>IF(op!L123="","",op!L123)</f>
        <v>0</v>
      </c>
      <c r="M191" s="1207">
        <f>IF(op!M123="","",op!M123)</f>
        <v>0</v>
      </c>
      <c r="N191" s="1209" t="str">
        <f t="shared" si="60"/>
        <v/>
      </c>
      <c r="O191" s="1209" t="str">
        <f t="shared" si="61"/>
        <v/>
      </c>
      <c r="P191" s="1283" t="str">
        <f t="shared" si="62"/>
        <v/>
      </c>
      <c r="Q191" s="518"/>
      <c r="R191" s="1076" t="str">
        <f t="shared" si="76"/>
        <v/>
      </c>
      <c r="S191" s="1076" t="str">
        <f t="shared" si="63"/>
        <v/>
      </c>
      <c r="T191" s="1078" t="str">
        <f t="shared" si="64"/>
        <v/>
      </c>
      <c r="U191" s="599"/>
      <c r="V191" s="1261"/>
      <c r="W191" s="1261"/>
      <c r="X191" s="1218"/>
      <c r="Y191" s="1253" t="e">
        <f>ROUND(VLOOKUP(H191,tab!$A$61:$V$103,I191+2,FALSE),0)</f>
        <v>#VALUE!</v>
      </c>
      <c r="Z191" s="1252">
        <f>tab!$E$48</f>
        <v>0.62</v>
      </c>
      <c r="AA191" s="1284" t="e">
        <f t="shared" si="65"/>
        <v>#VALUE!</v>
      </c>
      <c r="AB191" s="1284" t="e">
        <f t="shared" si="66"/>
        <v>#VALUE!</v>
      </c>
      <c r="AC191" s="1284" t="e">
        <f t="shared" si="67"/>
        <v>#VALUE!</v>
      </c>
      <c r="AD191" s="1286" t="e">
        <f t="shared" si="68"/>
        <v>#VALUE!</v>
      </c>
      <c r="AE191" s="1286">
        <f t="shared" si="69"/>
        <v>0</v>
      </c>
      <c r="AF191" s="1254">
        <f>IF(H191&gt;8,tab!$D$49,tab!$D$52)</f>
        <v>0.5</v>
      </c>
      <c r="AG191" s="1255">
        <f t="shared" si="77"/>
        <v>0</v>
      </c>
      <c r="AH191" s="1251">
        <f t="shared" si="78"/>
        <v>0</v>
      </c>
      <c r="AI191" s="1278" t="e">
        <f>DATE(YEAR(tab!$G$3),MONTH(G191),DAY(G191))&gt;tab!$G$3</f>
        <v>#VALUE!</v>
      </c>
      <c r="AJ191" s="1255" t="e">
        <f t="shared" si="79"/>
        <v>#VALUE!</v>
      </c>
      <c r="AK191" s="1199">
        <f t="shared" si="80"/>
        <v>30</v>
      </c>
      <c r="AL191" s="1199">
        <f t="shared" si="81"/>
        <v>30</v>
      </c>
      <c r="AM191" s="1205">
        <f t="shared" si="82"/>
        <v>0</v>
      </c>
      <c r="AS191" s="819"/>
    </row>
    <row r="192" spans="3:45" ht="12.75" customHeight="1" x14ac:dyDescent="0.2">
      <c r="C192" s="135"/>
      <c r="D192" s="432" t="str">
        <f>IF(op!D124="","",op!D124)</f>
        <v/>
      </c>
      <c r="E192" s="432" t="str">
        <f>IF(op!E124=0,"",op!E124)</f>
        <v/>
      </c>
      <c r="F192" s="776" t="str">
        <f>IF(op!F124="","",op!F124+1)</f>
        <v/>
      </c>
      <c r="G192" s="802" t="str">
        <f>IF(op!G124="","",op!G124)</f>
        <v/>
      </c>
      <c r="H192" s="776" t="str">
        <f>IF(op!H124=0,"",op!H124)</f>
        <v/>
      </c>
      <c r="I192" s="433" t="str">
        <f>IF(J192="","",(IF(op!I124+1&gt;LOOKUP(H192,schaal2013,regels2013),op!I124,op!I124+1)))</f>
        <v/>
      </c>
      <c r="J192" s="803" t="str">
        <f>IF(op!J124="","",op!J124)</f>
        <v/>
      </c>
      <c r="K192" s="518"/>
      <c r="L192" s="1207">
        <f>IF(op!L124="","",op!L124)</f>
        <v>0</v>
      </c>
      <c r="M192" s="1207">
        <f>IF(op!M124="","",op!M124)</f>
        <v>0</v>
      </c>
      <c r="N192" s="1209" t="str">
        <f t="shared" si="60"/>
        <v/>
      </c>
      <c r="O192" s="1209" t="str">
        <f t="shared" si="61"/>
        <v/>
      </c>
      <c r="P192" s="1283" t="str">
        <f t="shared" si="62"/>
        <v/>
      </c>
      <c r="Q192" s="518"/>
      <c r="R192" s="1076" t="str">
        <f t="shared" si="76"/>
        <v/>
      </c>
      <c r="S192" s="1076" t="str">
        <f t="shared" si="63"/>
        <v/>
      </c>
      <c r="T192" s="1078" t="str">
        <f t="shared" si="64"/>
        <v/>
      </c>
      <c r="U192" s="599"/>
      <c r="V192" s="1261"/>
      <c r="W192" s="1261"/>
      <c r="X192" s="1218"/>
      <c r="Y192" s="1253" t="e">
        <f>ROUND(VLOOKUP(H192,tab!$A$61:$V$103,I192+2,FALSE),0)</f>
        <v>#VALUE!</v>
      </c>
      <c r="Z192" s="1252">
        <f>tab!$E$48</f>
        <v>0.62</v>
      </c>
      <c r="AA192" s="1284" t="e">
        <f t="shared" si="65"/>
        <v>#VALUE!</v>
      </c>
      <c r="AB192" s="1284" t="e">
        <f t="shared" si="66"/>
        <v>#VALUE!</v>
      </c>
      <c r="AC192" s="1284" t="e">
        <f t="shared" si="67"/>
        <v>#VALUE!</v>
      </c>
      <c r="AD192" s="1286" t="e">
        <f t="shared" si="68"/>
        <v>#VALUE!</v>
      </c>
      <c r="AE192" s="1286">
        <f t="shared" si="69"/>
        <v>0</v>
      </c>
      <c r="AF192" s="1254">
        <f>IF(H192&gt;8,tab!$D$49,tab!$D$52)</f>
        <v>0.5</v>
      </c>
      <c r="AG192" s="1255">
        <f t="shared" si="77"/>
        <v>0</v>
      </c>
      <c r="AH192" s="1251">
        <f t="shared" si="78"/>
        <v>0</v>
      </c>
      <c r="AI192" s="1278" t="e">
        <f>DATE(YEAR(tab!$G$3),MONTH(G192),DAY(G192))&gt;tab!$G$3</f>
        <v>#VALUE!</v>
      </c>
      <c r="AJ192" s="1255" t="e">
        <f t="shared" si="79"/>
        <v>#VALUE!</v>
      </c>
      <c r="AK192" s="1199">
        <f t="shared" si="80"/>
        <v>30</v>
      </c>
      <c r="AL192" s="1199">
        <f t="shared" si="81"/>
        <v>30</v>
      </c>
      <c r="AM192" s="1205">
        <f t="shared" si="82"/>
        <v>0</v>
      </c>
      <c r="AS192" s="819"/>
    </row>
    <row r="193" spans="3:45" ht="12.75" customHeight="1" x14ac:dyDescent="0.2">
      <c r="C193" s="135"/>
      <c r="D193" s="432" t="str">
        <f>IF(op!D125="","",op!D125)</f>
        <v/>
      </c>
      <c r="E193" s="432" t="str">
        <f>IF(op!E125=0,"",op!E125)</f>
        <v/>
      </c>
      <c r="F193" s="776" t="str">
        <f>IF(op!F125="","",op!F125+1)</f>
        <v/>
      </c>
      <c r="G193" s="802" t="str">
        <f>IF(op!G125="","",op!G125)</f>
        <v/>
      </c>
      <c r="H193" s="776" t="str">
        <f>IF(op!H125=0,"",op!H125)</f>
        <v/>
      </c>
      <c r="I193" s="433" t="str">
        <f>IF(J193="","",(IF(op!I125+1&gt;LOOKUP(H193,schaal2013,regels2013),op!I125,op!I125+1)))</f>
        <v/>
      </c>
      <c r="J193" s="803" t="str">
        <f>IF(op!J125="","",op!J125)</f>
        <v/>
      </c>
      <c r="K193" s="518"/>
      <c r="L193" s="1207">
        <f>IF(op!L125="","",op!L125)</f>
        <v>0</v>
      </c>
      <c r="M193" s="1207">
        <f>IF(op!M125="","",op!M125)</f>
        <v>0</v>
      </c>
      <c r="N193" s="1209" t="str">
        <f t="shared" si="60"/>
        <v/>
      </c>
      <c r="O193" s="1209" t="str">
        <f t="shared" si="61"/>
        <v/>
      </c>
      <c r="P193" s="1283" t="str">
        <f t="shared" si="62"/>
        <v/>
      </c>
      <c r="Q193" s="518"/>
      <c r="R193" s="1076" t="str">
        <f t="shared" si="76"/>
        <v/>
      </c>
      <c r="S193" s="1076" t="str">
        <f t="shared" si="63"/>
        <v/>
      </c>
      <c r="T193" s="1078" t="str">
        <f t="shared" si="64"/>
        <v/>
      </c>
      <c r="U193" s="599"/>
      <c r="V193" s="1261"/>
      <c r="W193" s="1261"/>
      <c r="X193" s="1218"/>
      <c r="Y193" s="1253" t="e">
        <f>ROUND(VLOOKUP(H193,tab!$A$61:$V$103,I193+2,FALSE),0)</f>
        <v>#VALUE!</v>
      </c>
      <c r="Z193" s="1252">
        <f>tab!$E$48</f>
        <v>0.62</v>
      </c>
      <c r="AA193" s="1284" t="e">
        <f t="shared" si="65"/>
        <v>#VALUE!</v>
      </c>
      <c r="AB193" s="1284" t="e">
        <f t="shared" si="66"/>
        <v>#VALUE!</v>
      </c>
      <c r="AC193" s="1284" t="e">
        <f t="shared" si="67"/>
        <v>#VALUE!</v>
      </c>
      <c r="AD193" s="1286" t="e">
        <f t="shared" si="68"/>
        <v>#VALUE!</v>
      </c>
      <c r="AE193" s="1286">
        <f t="shared" si="69"/>
        <v>0</v>
      </c>
      <c r="AF193" s="1254">
        <f>IF(H193&gt;8,tab!$D$49,tab!$D$52)</f>
        <v>0.5</v>
      </c>
      <c r="AG193" s="1255">
        <f t="shared" si="77"/>
        <v>0</v>
      </c>
      <c r="AH193" s="1251">
        <f t="shared" si="78"/>
        <v>0</v>
      </c>
      <c r="AI193" s="1278" t="e">
        <f>DATE(YEAR(tab!$G$3),MONTH(G193),DAY(G193))&gt;tab!$G$3</f>
        <v>#VALUE!</v>
      </c>
      <c r="AJ193" s="1255" t="e">
        <f t="shared" si="79"/>
        <v>#VALUE!</v>
      </c>
      <c r="AK193" s="1199">
        <f t="shared" si="80"/>
        <v>30</v>
      </c>
      <c r="AL193" s="1199">
        <f t="shared" si="81"/>
        <v>30</v>
      </c>
      <c r="AM193" s="1205">
        <f t="shared" si="82"/>
        <v>0</v>
      </c>
      <c r="AS193" s="819"/>
    </row>
    <row r="194" spans="3:45" ht="12.75" customHeight="1" x14ac:dyDescent="0.2">
      <c r="C194" s="135"/>
      <c r="D194" s="432" t="str">
        <f>IF(op!D126="","",op!D126)</f>
        <v/>
      </c>
      <c r="E194" s="432" t="str">
        <f>IF(op!E126=0,"",op!E126)</f>
        <v/>
      </c>
      <c r="F194" s="776" t="str">
        <f>IF(op!F126="","",op!F126+1)</f>
        <v/>
      </c>
      <c r="G194" s="802" t="str">
        <f>IF(op!G126="","",op!G126)</f>
        <v/>
      </c>
      <c r="H194" s="776" t="str">
        <f>IF(op!H126=0,"",op!H126)</f>
        <v/>
      </c>
      <c r="I194" s="433" t="str">
        <f>IF(J194="","",(IF(op!I126+1&gt;LOOKUP(H194,schaal2013,regels2013),op!I126,op!I126+1)))</f>
        <v/>
      </c>
      <c r="J194" s="803" t="str">
        <f>IF(op!J126="","",op!J126)</f>
        <v/>
      </c>
      <c r="K194" s="518"/>
      <c r="L194" s="1207">
        <f>IF(op!L126="","",op!L126)</f>
        <v>0</v>
      </c>
      <c r="M194" s="1207">
        <f>IF(op!M126="","",op!M126)</f>
        <v>0</v>
      </c>
      <c r="N194" s="1209" t="str">
        <f t="shared" si="60"/>
        <v/>
      </c>
      <c r="O194" s="1209" t="str">
        <f t="shared" si="61"/>
        <v/>
      </c>
      <c r="P194" s="1283" t="str">
        <f t="shared" si="62"/>
        <v/>
      </c>
      <c r="Q194" s="518"/>
      <c r="R194" s="1076" t="str">
        <f t="shared" si="76"/>
        <v/>
      </c>
      <c r="S194" s="1076" t="str">
        <f t="shared" si="63"/>
        <v/>
      </c>
      <c r="T194" s="1078" t="str">
        <f t="shared" si="64"/>
        <v/>
      </c>
      <c r="U194" s="599"/>
      <c r="V194" s="1261"/>
      <c r="W194" s="1261"/>
      <c r="X194" s="1218"/>
      <c r="Y194" s="1253" t="e">
        <f>ROUND(VLOOKUP(H194,tab!$A$61:$V$103,I194+2,FALSE),0)</f>
        <v>#VALUE!</v>
      </c>
      <c r="Z194" s="1252">
        <f>tab!$E$48</f>
        <v>0.62</v>
      </c>
      <c r="AA194" s="1284" t="e">
        <f t="shared" si="65"/>
        <v>#VALUE!</v>
      </c>
      <c r="AB194" s="1284" t="e">
        <f t="shared" si="66"/>
        <v>#VALUE!</v>
      </c>
      <c r="AC194" s="1284" t="e">
        <f t="shared" si="67"/>
        <v>#VALUE!</v>
      </c>
      <c r="AD194" s="1286" t="e">
        <f t="shared" si="68"/>
        <v>#VALUE!</v>
      </c>
      <c r="AE194" s="1286">
        <f t="shared" si="69"/>
        <v>0</v>
      </c>
      <c r="AF194" s="1254">
        <f>IF(H194&gt;8,tab!$D$49,tab!$D$52)</f>
        <v>0.5</v>
      </c>
      <c r="AG194" s="1255">
        <f t="shared" si="77"/>
        <v>0</v>
      </c>
      <c r="AH194" s="1251">
        <f t="shared" si="78"/>
        <v>0</v>
      </c>
      <c r="AI194" s="1278" t="e">
        <f>DATE(YEAR(tab!$G$3),MONTH(G194),DAY(G194))&gt;tab!$G$3</f>
        <v>#VALUE!</v>
      </c>
      <c r="AJ194" s="1255" t="e">
        <f t="shared" si="79"/>
        <v>#VALUE!</v>
      </c>
      <c r="AK194" s="1199">
        <f t="shared" si="80"/>
        <v>30</v>
      </c>
      <c r="AL194" s="1199">
        <f t="shared" si="81"/>
        <v>30</v>
      </c>
      <c r="AM194" s="1205">
        <f t="shared" si="82"/>
        <v>0</v>
      </c>
      <c r="AS194" s="819"/>
    </row>
    <row r="195" spans="3:45" ht="12.75" customHeight="1" x14ac:dyDescent="0.2">
      <c r="C195" s="135"/>
      <c r="D195" s="432" t="str">
        <f>IF(op!D127="","",op!D127)</f>
        <v/>
      </c>
      <c r="E195" s="432" t="str">
        <f>IF(op!E127=0,"",op!E127)</f>
        <v/>
      </c>
      <c r="F195" s="776" t="str">
        <f>IF(op!F127="","",op!F127+1)</f>
        <v/>
      </c>
      <c r="G195" s="802" t="str">
        <f>IF(op!G127="","",op!G127)</f>
        <v/>
      </c>
      <c r="H195" s="776" t="str">
        <f>IF(op!H127=0,"",op!H127)</f>
        <v/>
      </c>
      <c r="I195" s="433" t="str">
        <f>IF(J195="","",(IF(op!I127+1&gt;LOOKUP(H195,schaal2013,regels2013),op!I127,op!I127+1)))</f>
        <v/>
      </c>
      <c r="J195" s="803" t="str">
        <f>IF(op!J127="","",op!J127)</f>
        <v/>
      </c>
      <c r="K195" s="518"/>
      <c r="L195" s="1207">
        <f>IF(op!L127="","",op!L127)</f>
        <v>0</v>
      </c>
      <c r="M195" s="1207">
        <f>IF(op!M127="","",op!M127)</f>
        <v>0</v>
      </c>
      <c r="N195" s="1209" t="str">
        <f t="shared" si="60"/>
        <v/>
      </c>
      <c r="O195" s="1209" t="str">
        <f t="shared" si="61"/>
        <v/>
      </c>
      <c r="P195" s="1283" t="str">
        <f t="shared" si="62"/>
        <v/>
      </c>
      <c r="Q195" s="518"/>
      <c r="R195" s="1076" t="str">
        <f t="shared" si="76"/>
        <v/>
      </c>
      <c r="S195" s="1076" t="str">
        <f t="shared" si="63"/>
        <v/>
      </c>
      <c r="T195" s="1078" t="str">
        <f t="shared" si="64"/>
        <v/>
      </c>
      <c r="U195" s="599"/>
      <c r="V195" s="1261"/>
      <c r="W195" s="1261"/>
      <c r="X195" s="1218"/>
      <c r="Y195" s="1253" t="e">
        <f>ROUND(VLOOKUP(H195,tab!$A$61:$V$103,I195+2,FALSE),0)</f>
        <v>#VALUE!</v>
      </c>
      <c r="Z195" s="1252">
        <f>tab!$E$48</f>
        <v>0.62</v>
      </c>
      <c r="AA195" s="1284" t="e">
        <f t="shared" si="65"/>
        <v>#VALUE!</v>
      </c>
      <c r="AB195" s="1284" t="e">
        <f t="shared" si="66"/>
        <v>#VALUE!</v>
      </c>
      <c r="AC195" s="1284" t="e">
        <f t="shared" si="67"/>
        <v>#VALUE!</v>
      </c>
      <c r="AD195" s="1286" t="e">
        <f t="shared" si="68"/>
        <v>#VALUE!</v>
      </c>
      <c r="AE195" s="1286">
        <f t="shared" si="69"/>
        <v>0</v>
      </c>
      <c r="AF195" s="1254">
        <f>IF(H195&gt;8,tab!$D$49,tab!$D$52)</f>
        <v>0.5</v>
      </c>
      <c r="AG195" s="1255">
        <f t="shared" si="77"/>
        <v>0</v>
      </c>
      <c r="AH195" s="1251">
        <f t="shared" si="78"/>
        <v>0</v>
      </c>
      <c r="AI195" s="1278" t="e">
        <f>DATE(YEAR(tab!$G$3),MONTH(G195),DAY(G195))&gt;tab!$G$3</f>
        <v>#VALUE!</v>
      </c>
      <c r="AJ195" s="1255" t="e">
        <f t="shared" si="79"/>
        <v>#VALUE!</v>
      </c>
      <c r="AK195" s="1199">
        <f t="shared" si="80"/>
        <v>30</v>
      </c>
      <c r="AL195" s="1199">
        <f t="shared" si="81"/>
        <v>30</v>
      </c>
      <c r="AM195" s="1205">
        <f t="shared" si="82"/>
        <v>0</v>
      </c>
      <c r="AS195" s="819"/>
    </row>
    <row r="196" spans="3:45" ht="12.75" customHeight="1" x14ac:dyDescent="0.2">
      <c r="C196" s="135"/>
      <c r="D196" s="432" t="str">
        <f>IF(op!D128="","",op!D128)</f>
        <v/>
      </c>
      <c r="E196" s="432" t="str">
        <f>IF(op!E128=0,"",op!E128)</f>
        <v/>
      </c>
      <c r="F196" s="776" t="str">
        <f>IF(op!F128="","",op!F128+1)</f>
        <v/>
      </c>
      <c r="G196" s="802" t="str">
        <f>IF(op!G128="","",op!G128)</f>
        <v/>
      </c>
      <c r="H196" s="776" t="str">
        <f>IF(op!H128=0,"",op!H128)</f>
        <v/>
      </c>
      <c r="I196" s="433" t="str">
        <f>IF(J196="","",(IF(op!I128+1&gt;LOOKUP(H196,schaal2013,regels2013),op!I128,op!I128+1)))</f>
        <v/>
      </c>
      <c r="J196" s="803" t="str">
        <f>IF(op!J128="","",op!J128)</f>
        <v/>
      </c>
      <c r="K196" s="518"/>
      <c r="L196" s="1207">
        <f>IF(op!L128="","",op!L128)</f>
        <v>0</v>
      </c>
      <c r="M196" s="1207">
        <f>IF(op!M128="","",op!M128)</f>
        <v>0</v>
      </c>
      <c r="N196" s="1209" t="str">
        <f t="shared" si="60"/>
        <v/>
      </c>
      <c r="O196" s="1209" t="str">
        <f t="shared" si="61"/>
        <v/>
      </c>
      <c r="P196" s="1283" t="str">
        <f t="shared" si="62"/>
        <v/>
      </c>
      <c r="Q196" s="518"/>
      <c r="R196" s="1076" t="str">
        <f t="shared" si="76"/>
        <v/>
      </c>
      <c r="S196" s="1076" t="str">
        <f t="shared" si="63"/>
        <v/>
      </c>
      <c r="T196" s="1078" t="str">
        <f t="shared" si="64"/>
        <v/>
      </c>
      <c r="U196" s="599"/>
      <c r="V196" s="1261"/>
      <c r="W196" s="1261"/>
      <c r="X196" s="1218"/>
      <c r="Y196" s="1253" t="e">
        <f>ROUND(VLOOKUP(H196,tab!$A$61:$V$103,I196+2,FALSE),0)</f>
        <v>#VALUE!</v>
      </c>
      <c r="Z196" s="1252">
        <f>tab!$E$48</f>
        <v>0.62</v>
      </c>
      <c r="AA196" s="1284" t="e">
        <f t="shared" si="65"/>
        <v>#VALUE!</v>
      </c>
      <c r="AB196" s="1284" t="e">
        <f t="shared" si="66"/>
        <v>#VALUE!</v>
      </c>
      <c r="AC196" s="1284" t="e">
        <f t="shared" si="67"/>
        <v>#VALUE!</v>
      </c>
      <c r="AD196" s="1286" t="e">
        <f t="shared" si="68"/>
        <v>#VALUE!</v>
      </c>
      <c r="AE196" s="1286">
        <f t="shared" si="69"/>
        <v>0</v>
      </c>
      <c r="AF196" s="1254">
        <f>IF(H196&gt;8,tab!$D$49,tab!$D$52)</f>
        <v>0.5</v>
      </c>
      <c r="AG196" s="1255">
        <f t="shared" si="77"/>
        <v>0</v>
      </c>
      <c r="AH196" s="1251">
        <f t="shared" si="78"/>
        <v>0</v>
      </c>
      <c r="AI196" s="1278" t="e">
        <f>DATE(YEAR(tab!$G$3),MONTH(G196),DAY(G196))&gt;tab!$G$3</f>
        <v>#VALUE!</v>
      </c>
      <c r="AJ196" s="1255" t="e">
        <f t="shared" si="79"/>
        <v>#VALUE!</v>
      </c>
      <c r="AK196" s="1199">
        <f t="shared" si="80"/>
        <v>30</v>
      </c>
      <c r="AL196" s="1199">
        <f t="shared" si="81"/>
        <v>30</v>
      </c>
      <c r="AM196" s="1205">
        <f t="shared" si="82"/>
        <v>0</v>
      </c>
      <c r="AS196" s="819"/>
    </row>
    <row r="197" spans="3:45" ht="12.75" customHeight="1" x14ac:dyDescent="0.2">
      <c r="C197" s="135"/>
      <c r="D197" s="432" t="str">
        <f>IF(op!D129="","",op!D129)</f>
        <v/>
      </c>
      <c r="E197" s="432" t="str">
        <f>IF(op!E129=0,"",op!E129)</f>
        <v/>
      </c>
      <c r="F197" s="776" t="str">
        <f>IF(op!F129="","",op!F129+1)</f>
        <v/>
      </c>
      <c r="G197" s="802" t="str">
        <f>IF(op!G129="","",op!G129)</f>
        <v/>
      </c>
      <c r="H197" s="776" t="str">
        <f>IF(op!H129=0,"",op!H129)</f>
        <v/>
      </c>
      <c r="I197" s="433" t="str">
        <f>IF(J197="","",(IF(op!I129+1&gt;LOOKUP(H197,schaal2013,regels2013),op!I129,op!I129+1)))</f>
        <v/>
      </c>
      <c r="J197" s="803" t="str">
        <f>IF(op!J129="","",op!J129)</f>
        <v/>
      </c>
      <c r="K197" s="518"/>
      <c r="L197" s="1207">
        <f>IF(op!L129="","",op!L129)</f>
        <v>0</v>
      </c>
      <c r="M197" s="1207">
        <f>IF(op!M129="","",op!M129)</f>
        <v>0</v>
      </c>
      <c r="N197" s="1209" t="str">
        <f t="shared" si="60"/>
        <v/>
      </c>
      <c r="O197" s="1209" t="str">
        <f t="shared" si="61"/>
        <v/>
      </c>
      <c r="P197" s="1283" t="str">
        <f t="shared" si="62"/>
        <v/>
      </c>
      <c r="Q197" s="518"/>
      <c r="R197" s="1076" t="str">
        <f t="shared" si="76"/>
        <v/>
      </c>
      <c r="S197" s="1076" t="str">
        <f t="shared" si="63"/>
        <v/>
      </c>
      <c r="T197" s="1078" t="str">
        <f t="shared" si="64"/>
        <v/>
      </c>
      <c r="U197" s="599"/>
      <c r="V197" s="1261"/>
      <c r="W197" s="1261"/>
      <c r="X197" s="1218"/>
      <c r="Y197" s="1253" t="e">
        <f>ROUND(VLOOKUP(H197,tab!$A$61:$V$103,I197+2,FALSE),0)</f>
        <v>#VALUE!</v>
      </c>
      <c r="Z197" s="1252">
        <f>tab!$E$48</f>
        <v>0.62</v>
      </c>
      <c r="AA197" s="1284" t="e">
        <f t="shared" si="65"/>
        <v>#VALUE!</v>
      </c>
      <c r="AB197" s="1284" t="e">
        <f t="shared" si="66"/>
        <v>#VALUE!</v>
      </c>
      <c r="AC197" s="1284" t="e">
        <f t="shared" si="67"/>
        <v>#VALUE!</v>
      </c>
      <c r="AD197" s="1286" t="e">
        <f t="shared" si="68"/>
        <v>#VALUE!</v>
      </c>
      <c r="AE197" s="1286">
        <f t="shared" si="69"/>
        <v>0</v>
      </c>
      <c r="AF197" s="1254">
        <f>IF(H197&gt;8,tab!$D$49,tab!$D$52)</f>
        <v>0.5</v>
      </c>
      <c r="AG197" s="1255">
        <f t="shared" si="77"/>
        <v>0</v>
      </c>
      <c r="AH197" s="1251">
        <f t="shared" si="78"/>
        <v>0</v>
      </c>
      <c r="AI197" s="1278" t="e">
        <f>DATE(YEAR(tab!$G$3),MONTH(G197),DAY(G197))&gt;tab!$G$3</f>
        <v>#VALUE!</v>
      </c>
      <c r="AJ197" s="1255" t="e">
        <f t="shared" si="79"/>
        <v>#VALUE!</v>
      </c>
      <c r="AK197" s="1199">
        <f t="shared" si="80"/>
        <v>30</v>
      </c>
      <c r="AL197" s="1199">
        <f t="shared" si="81"/>
        <v>30</v>
      </c>
      <c r="AM197" s="1205">
        <f t="shared" si="82"/>
        <v>0</v>
      </c>
      <c r="AS197" s="819"/>
    </row>
    <row r="198" spans="3:45" ht="12.75" customHeight="1" x14ac:dyDescent="0.2">
      <c r="C198" s="135"/>
      <c r="D198" s="432" t="str">
        <f>IF(op!D130="","",op!D130)</f>
        <v/>
      </c>
      <c r="E198" s="432" t="str">
        <f>IF(op!E130=0,"",op!E130)</f>
        <v/>
      </c>
      <c r="F198" s="776" t="str">
        <f>IF(op!F130="","",op!F130+1)</f>
        <v/>
      </c>
      <c r="G198" s="802" t="str">
        <f>IF(op!G130="","",op!G130)</f>
        <v/>
      </c>
      <c r="H198" s="776" t="str">
        <f>IF(op!H130=0,"",op!H130)</f>
        <v/>
      </c>
      <c r="I198" s="433" t="str">
        <f>IF(J198="","",(IF(op!I130+1&gt;LOOKUP(H198,schaal2013,regels2013),op!I130,op!I130+1)))</f>
        <v/>
      </c>
      <c r="J198" s="803" t="str">
        <f>IF(op!J130="","",op!J130)</f>
        <v/>
      </c>
      <c r="K198" s="518"/>
      <c r="L198" s="1207">
        <f>IF(op!L130="","",op!L130)</f>
        <v>0</v>
      </c>
      <c r="M198" s="1207">
        <f>IF(op!M130="","",op!M130)</f>
        <v>0</v>
      </c>
      <c r="N198" s="1209" t="str">
        <f t="shared" si="60"/>
        <v/>
      </c>
      <c r="O198" s="1209" t="str">
        <f t="shared" si="61"/>
        <v/>
      </c>
      <c r="P198" s="1283" t="str">
        <f t="shared" si="62"/>
        <v/>
      </c>
      <c r="Q198" s="518"/>
      <c r="R198" s="1076" t="str">
        <f t="shared" si="76"/>
        <v/>
      </c>
      <c r="S198" s="1076" t="str">
        <f t="shared" si="63"/>
        <v/>
      </c>
      <c r="T198" s="1078" t="str">
        <f t="shared" si="64"/>
        <v/>
      </c>
      <c r="U198" s="599"/>
      <c r="V198" s="1261"/>
      <c r="W198" s="1261"/>
      <c r="X198" s="1218"/>
      <c r="Y198" s="1253" t="e">
        <f>ROUND(VLOOKUP(H198,tab!$A$61:$V$103,I198+2,FALSE),0)</f>
        <v>#VALUE!</v>
      </c>
      <c r="Z198" s="1252">
        <f>tab!$E$48</f>
        <v>0.62</v>
      </c>
      <c r="AA198" s="1284" t="e">
        <f t="shared" si="65"/>
        <v>#VALUE!</v>
      </c>
      <c r="AB198" s="1284" t="e">
        <f t="shared" si="66"/>
        <v>#VALUE!</v>
      </c>
      <c r="AC198" s="1284" t="e">
        <f t="shared" si="67"/>
        <v>#VALUE!</v>
      </c>
      <c r="AD198" s="1286" t="e">
        <f t="shared" si="68"/>
        <v>#VALUE!</v>
      </c>
      <c r="AE198" s="1286">
        <f t="shared" si="69"/>
        <v>0</v>
      </c>
      <c r="AF198" s="1254">
        <f>IF(H198&gt;8,tab!$D$49,tab!$D$52)</f>
        <v>0.5</v>
      </c>
      <c r="AG198" s="1255">
        <f t="shared" si="77"/>
        <v>0</v>
      </c>
      <c r="AH198" s="1251">
        <f t="shared" si="78"/>
        <v>0</v>
      </c>
      <c r="AI198" s="1278" t="e">
        <f>DATE(YEAR(tab!$G$3),MONTH(G198),DAY(G198))&gt;tab!$G$3</f>
        <v>#VALUE!</v>
      </c>
      <c r="AJ198" s="1255" t="e">
        <f t="shared" si="79"/>
        <v>#VALUE!</v>
      </c>
      <c r="AK198" s="1199">
        <f t="shared" si="80"/>
        <v>30</v>
      </c>
      <c r="AL198" s="1199">
        <f t="shared" si="81"/>
        <v>30</v>
      </c>
      <c r="AM198" s="1205">
        <f t="shared" si="82"/>
        <v>0</v>
      </c>
      <c r="AS198" s="819"/>
    </row>
    <row r="199" spans="3:45" ht="12.75" customHeight="1" x14ac:dyDescent="0.2">
      <c r="C199" s="135"/>
      <c r="D199" s="432" t="str">
        <f>IF(op!D131="","",op!D131)</f>
        <v/>
      </c>
      <c r="E199" s="432" t="str">
        <f>IF(op!E131=0,"",op!E131)</f>
        <v/>
      </c>
      <c r="F199" s="776" t="str">
        <f>IF(op!F131="","",op!F131+1)</f>
        <v/>
      </c>
      <c r="G199" s="802" t="str">
        <f>IF(op!G131="","",op!G131)</f>
        <v/>
      </c>
      <c r="H199" s="776" t="str">
        <f>IF(op!H131=0,"",op!H131)</f>
        <v/>
      </c>
      <c r="I199" s="433" t="str">
        <f>IF(J199="","",(IF(op!I131+1&gt;LOOKUP(H199,schaal2013,regels2013),op!I131,op!I131+1)))</f>
        <v/>
      </c>
      <c r="J199" s="803" t="str">
        <f>IF(op!J131="","",op!J131)</f>
        <v/>
      </c>
      <c r="K199" s="518"/>
      <c r="L199" s="1207">
        <f>IF(op!L131="","",op!L131)</f>
        <v>0</v>
      </c>
      <c r="M199" s="1207">
        <f>IF(op!M131="","",op!M131)</f>
        <v>0</v>
      </c>
      <c r="N199" s="1209" t="str">
        <f t="shared" si="60"/>
        <v/>
      </c>
      <c r="O199" s="1209" t="str">
        <f t="shared" si="61"/>
        <v/>
      </c>
      <c r="P199" s="1283" t="str">
        <f t="shared" si="62"/>
        <v/>
      </c>
      <c r="Q199" s="518"/>
      <c r="R199" s="1076" t="str">
        <f t="shared" si="76"/>
        <v/>
      </c>
      <c r="S199" s="1076" t="str">
        <f t="shared" si="63"/>
        <v/>
      </c>
      <c r="T199" s="1078" t="str">
        <f t="shared" si="64"/>
        <v/>
      </c>
      <c r="U199" s="599"/>
      <c r="V199" s="1261"/>
      <c r="W199" s="1261"/>
      <c r="X199" s="1218"/>
      <c r="Y199" s="1253" t="e">
        <f>ROUND(VLOOKUP(H199,tab!$A$61:$V$103,I199+2,FALSE),0)</f>
        <v>#VALUE!</v>
      </c>
      <c r="Z199" s="1252">
        <f>tab!$E$48</f>
        <v>0.62</v>
      </c>
      <c r="AA199" s="1284" t="e">
        <f t="shared" si="65"/>
        <v>#VALUE!</v>
      </c>
      <c r="AB199" s="1284" t="e">
        <f t="shared" si="66"/>
        <v>#VALUE!</v>
      </c>
      <c r="AC199" s="1284" t="e">
        <f t="shared" si="67"/>
        <v>#VALUE!</v>
      </c>
      <c r="AD199" s="1286" t="e">
        <f t="shared" si="68"/>
        <v>#VALUE!</v>
      </c>
      <c r="AE199" s="1286">
        <f t="shared" si="69"/>
        <v>0</v>
      </c>
      <c r="AF199" s="1254">
        <f>IF(H199&gt;8,tab!$D$49,tab!$D$52)</f>
        <v>0.5</v>
      </c>
      <c r="AG199" s="1255">
        <f t="shared" si="77"/>
        <v>0</v>
      </c>
      <c r="AH199" s="1251">
        <f t="shared" si="78"/>
        <v>0</v>
      </c>
      <c r="AI199" s="1278" t="e">
        <f>DATE(YEAR(tab!$G$3),MONTH(G199),DAY(G199))&gt;tab!$G$3</f>
        <v>#VALUE!</v>
      </c>
      <c r="AJ199" s="1255" t="e">
        <f t="shared" si="79"/>
        <v>#VALUE!</v>
      </c>
      <c r="AK199" s="1199">
        <f t="shared" si="80"/>
        <v>30</v>
      </c>
      <c r="AL199" s="1199">
        <f t="shared" si="81"/>
        <v>30</v>
      </c>
      <c r="AM199" s="1205">
        <f t="shared" si="82"/>
        <v>0</v>
      </c>
      <c r="AS199" s="819"/>
    </row>
    <row r="200" spans="3:45" ht="12.75" customHeight="1" x14ac:dyDescent="0.2">
      <c r="C200" s="135"/>
      <c r="D200" s="432" t="str">
        <f>IF(op!D132="","",op!D132)</f>
        <v/>
      </c>
      <c r="E200" s="432" t="str">
        <f>IF(op!E132=0,"",op!E132)</f>
        <v/>
      </c>
      <c r="F200" s="776" t="str">
        <f>IF(op!F132="","",op!F132+1)</f>
        <v/>
      </c>
      <c r="G200" s="802" t="str">
        <f>IF(op!G132="","",op!G132)</f>
        <v/>
      </c>
      <c r="H200" s="776" t="str">
        <f>IF(op!H132=0,"",op!H132)</f>
        <v/>
      </c>
      <c r="I200" s="433" t="str">
        <f>IF(J200="","",(IF(op!I132+1&gt;LOOKUP(H200,schaal2013,regels2013),op!I132,op!I132+1)))</f>
        <v/>
      </c>
      <c r="J200" s="803" t="str">
        <f>IF(op!J132="","",op!J132)</f>
        <v/>
      </c>
      <c r="K200" s="518"/>
      <c r="L200" s="1207">
        <f>IF(op!L132="","",op!L132)</f>
        <v>0</v>
      </c>
      <c r="M200" s="1207">
        <f>IF(op!M132="","",op!M132)</f>
        <v>0</v>
      </c>
      <c r="N200" s="1209" t="str">
        <f t="shared" si="60"/>
        <v/>
      </c>
      <c r="O200" s="1209" t="str">
        <f t="shared" si="61"/>
        <v/>
      </c>
      <c r="P200" s="1283" t="str">
        <f t="shared" si="62"/>
        <v/>
      </c>
      <c r="Q200" s="518"/>
      <c r="R200" s="1076" t="str">
        <f t="shared" si="76"/>
        <v/>
      </c>
      <c r="S200" s="1076" t="str">
        <f t="shared" si="63"/>
        <v/>
      </c>
      <c r="T200" s="1078" t="str">
        <f t="shared" si="64"/>
        <v/>
      </c>
      <c r="U200" s="599"/>
      <c r="V200" s="1261"/>
      <c r="W200" s="1261"/>
      <c r="X200" s="1218"/>
      <c r="Y200" s="1253" t="e">
        <f>ROUND(VLOOKUP(H200,tab!$A$61:$V$103,I200+2,FALSE),0)</f>
        <v>#VALUE!</v>
      </c>
      <c r="Z200" s="1252">
        <f>tab!$E$48</f>
        <v>0.62</v>
      </c>
      <c r="AA200" s="1284" t="e">
        <f t="shared" si="65"/>
        <v>#VALUE!</v>
      </c>
      <c r="AB200" s="1284" t="e">
        <f t="shared" si="66"/>
        <v>#VALUE!</v>
      </c>
      <c r="AC200" s="1284" t="e">
        <f t="shared" si="67"/>
        <v>#VALUE!</v>
      </c>
      <c r="AD200" s="1286" t="e">
        <f t="shared" si="68"/>
        <v>#VALUE!</v>
      </c>
      <c r="AE200" s="1286">
        <f t="shared" si="69"/>
        <v>0</v>
      </c>
      <c r="AF200" s="1254">
        <f>IF(H200&gt;8,tab!$D$49,tab!$D$52)</f>
        <v>0.5</v>
      </c>
      <c r="AG200" s="1255">
        <f t="shared" si="77"/>
        <v>0</v>
      </c>
      <c r="AH200" s="1251">
        <f t="shared" si="78"/>
        <v>0</v>
      </c>
      <c r="AI200" s="1278" t="e">
        <f>DATE(YEAR(tab!$G$3),MONTH(G200),DAY(G200))&gt;tab!$G$3</f>
        <v>#VALUE!</v>
      </c>
      <c r="AJ200" s="1255" t="e">
        <f t="shared" si="79"/>
        <v>#VALUE!</v>
      </c>
      <c r="AK200" s="1199">
        <f t="shared" si="80"/>
        <v>30</v>
      </c>
      <c r="AL200" s="1199">
        <f t="shared" si="81"/>
        <v>30</v>
      </c>
      <c r="AM200" s="1205">
        <f t="shared" si="82"/>
        <v>0</v>
      </c>
      <c r="AS200" s="819"/>
    </row>
    <row r="201" spans="3:45" ht="12.75" customHeight="1" x14ac:dyDescent="0.2">
      <c r="C201" s="135"/>
      <c r="D201" s="432" t="str">
        <f>IF(op!D133="","",op!D133)</f>
        <v/>
      </c>
      <c r="E201" s="432" t="str">
        <f>IF(op!E133=0,"",op!E133)</f>
        <v/>
      </c>
      <c r="F201" s="776" t="str">
        <f>IF(op!F133="","",op!F133+1)</f>
        <v/>
      </c>
      <c r="G201" s="802" t="str">
        <f>IF(op!G133="","",op!G133)</f>
        <v/>
      </c>
      <c r="H201" s="776" t="str">
        <f>IF(op!H133=0,"",op!H133)</f>
        <v/>
      </c>
      <c r="I201" s="433" t="str">
        <f>IF(J201="","",(IF(op!I133+1&gt;LOOKUP(H201,schaal2013,regels2013),op!I133,op!I133+1)))</f>
        <v/>
      </c>
      <c r="J201" s="803" t="str">
        <f>IF(op!J133="","",op!J133)</f>
        <v/>
      </c>
      <c r="K201" s="518"/>
      <c r="L201" s="1207">
        <f>IF(op!L133="","",op!L133)</f>
        <v>0</v>
      </c>
      <c r="M201" s="1207">
        <f>IF(op!M133="","",op!M133)</f>
        <v>0</v>
      </c>
      <c r="N201" s="1209" t="str">
        <f t="shared" si="60"/>
        <v/>
      </c>
      <c r="O201" s="1209" t="str">
        <f t="shared" si="61"/>
        <v/>
      </c>
      <c r="P201" s="1283" t="str">
        <f t="shared" si="62"/>
        <v/>
      </c>
      <c r="Q201" s="518"/>
      <c r="R201" s="1076" t="str">
        <f t="shared" si="76"/>
        <v/>
      </c>
      <c r="S201" s="1076" t="str">
        <f t="shared" si="63"/>
        <v/>
      </c>
      <c r="T201" s="1078" t="str">
        <f t="shared" si="64"/>
        <v/>
      </c>
      <c r="U201" s="599"/>
      <c r="V201" s="1261"/>
      <c r="W201" s="1261"/>
      <c r="X201" s="1218"/>
      <c r="Y201" s="1253" t="e">
        <f>ROUND(VLOOKUP(H201,tab!$A$61:$V$103,I201+2,FALSE),0)</f>
        <v>#VALUE!</v>
      </c>
      <c r="Z201" s="1252">
        <f>tab!$E$48</f>
        <v>0.62</v>
      </c>
      <c r="AA201" s="1284" t="e">
        <f t="shared" si="65"/>
        <v>#VALUE!</v>
      </c>
      <c r="AB201" s="1284" t="e">
        <f t="shared" si="66"/>
        <v>#VALUE!</v>
      </c>
      <c r="AC201" s="1284" t="e">
        <f t="shared" si="67"/>
        <v>#VALUE!</v>
      </c>
      <c r="AD201" s="1286" t="e">
        <f t="shared" si="68"/>
        <v>#VALUE!</v>
      </c>
      <c r="AE201" s="1286">
        <f t="shared" si="69"/>
        <v>0</v>
      </c>
      <c r="AF201" s="1254">
        <f>IF(H201&gt;8,tab!$D$49,tab!$D$52)</f>
        <v>0.5</v>
      </c>
      <c r="AG201" s="1255">
        <f t="shared" si="77"/>
        <v>0</v>
      </c>
      <c r="AH201" s="1251">
        <f t="shared" si="78"/>
        <v>0</v>
      </c>
      <c r="AI201" s="1278" t="e">
        <f>DATE(YEAR(tab!$G$3),MONTH(G201),DAY(G201))&gt;tab!$G$3</f>
        <v>#VALUE!</v>
      </c>
      <c r="AJ201" s="1255" t="e">
        <f t="shared" si="79"/>
        <v>#VALUE!</v>
      </c>
      <c r="AK201" s="1199">
        <f t="shared" si="80"/>
        <v>30</v>
      </c>
      <c r="AL201" s="1199">
        <f t="shared" si="81"/>
        <v>30</v>
      </c>
      <c r="AM201" s="1205">
        <f t="shared" si="82"/>
        <v>0</v>
      </c>
      <c r="AS201" s="819"/>
    </row>
    <row r="202" spans="3:45" ht="12.75" customHeight="1" x14ac:dyDescent="0.2">
      <c r="C202" s="135"/>
      <c r="D202" s="432" t="str">
        <f>IF(op!D134="","",op!D134)</f>
        <v/>
      </c>
      <c r="E202" s="432" t="str">
        <f>IF(op!E134=0,"",op!E134)</f>
        <v/>
      </c>
      <c r="F202" s="776" t="str">
        <f>IF(op!F134="","",op!F134+1)</f>
        <v/>
      </c>
      <c r="G202" s="802" t="str">
        <f>IF(op!G134="","",op!G134)</f>
        <v/>
      </c>
      <c r="H202" s="776" t="str">
        <f>IF(op!H134=0,"",op!H134)</f>
        <v/>
      </c>
      <c r="I202" s="433" t="str">
        <f>IF(J202="","",(IF(op!I134+1&gt;LOOKUP(H202,schaal2013,regels2013),op!I134,op!I134+1)))</f>
        <v/>
      </c>
      <c r="J202" s="803" t="str">
        <f>IF(op!J134="","",op!J134)</f>
        <v/>
      </c>
      <c r="K202" s="518"/>
      <c r="L202" s="1207">
        <f>IF(op!L134="","",op!L134)</f>
        <v>0</v>
      </c>
      <c r="M202" s="1207">
        <f>IF(op!M134="","",op!M134)</f>
        <v>0</v>
      </c>
      <c r="N202" s="1209" t="str">
        <f t="shared" si="60"/>
        <v/>
      </c>
      <c r="O202" s="1209" t="str">
        <f t="shared" si="61"/>
        <v/>
      </c>
      <c r="P202" s="1283" t="str">
        <f t="shared" si="62"/>
        <v/>
      </c>
      <c r="Q202" s="518"/>
      <c r="R202" s="1076" t="str">
        <f t="shared" si="76"/>
        <v/>
      </c>
      <c r="S202" s="1076" t="str">
        <f t="shared" si="63"/>
        <v/>
      </c>
      <c r="T202" s="1078" t="str">
        <f t="shared" si="64"/>
        <v/>
      </c>
      <c r="U202" s="599"/>
      <c r="V202" s="1261"/>
      <c r="W202" s="1261"/>
      <c r="X202" s="1218"/>
      <c r="Y202" s="1253" t="e">
        <f>ROUND(VLOOKUP(H202,tab!$A$61:$V$103,I202+2,FALSE),0)</f>
        <v>#VALUE!</v>
      </c>
      <c r="Z202" s="1252">
        <f>tab!$E$48</f>
        <v>0.62</v>
      </c>
      <c r="AA202" s="1284" t="e">
        <f t="shared" si="65"/>
        <v>#VALUE!</v>
      </c>
      <c r="AB202" s="1284" t="e">
        <f t="shared" si="66"/>
        <v>#VALUE!</v>
      </c>
      <c r="AC202" s="1284" t="e">
        <f t="shared" si="67"/>
        <v>#VALUE!</v>
      </c>
      <c r="AD202" s="1286" t="e">
        <f t="shared" si="68"/>
        <v>#VALUE!</v>
      </c>
      <c r="AE202" s="1286">
        <f t="shared" si="69"/>
        <v>0</v>
      </c>
      <c r="AF202" s="1254">
        <f>IF(H202&gt;8,tab!$D$49,tab!$D$52)</f>
        <v>0.5</v>
      </c>
      <c r="AG202" s="1255">
        <f t="shared" si="77"/>
        <v>0</v>
      </c>
      <c r="AH202" s="1251">
        <f t="shared" si="78"/>
        <v>0</v>
      </c>
      <c r="AI202" s="1278" t="e">
        <f>DATE(YEAR(tab!$G$3),MONTH(G202),DAY(G202))&gt;tab!$G$3</f>
        <v>#VALUE!</v>
      </c>
      <c r="AJ202" s="1255" t="e">
        <f t="shared" si="79"/>
        <v>#VALUE!</v>
      </c>
      <c r="AK202" s="1199">
        <f t="shared" si="80"/>
        <v>30</v>
      </c>
      <c r="AL202" s="1199">
        <f t="shared" si="81"/>
        <v>30</v>
      </c>
      <c r="AM202" s="1205">
        <f t="shared" si="82"/>
        <v>0</v>
      </c>
      <c r="AS202" s="819"/>
    </row>
    <row r="203" spans="3:45" ht="12.75" customHeight="1" x14ac:dyDescent="0.2">
      <c r="C203" s="135"/>
      <c r="D203" s="432" t="str">
        <f>IF(op!D135="","",op!D135)</f>
        <v/>
      </c>
      <c r="E203" s="432" t="str">
        <f>IF(op!E135=0,"",op!E135)</f>
        <v/>
      </c>
      <c r="F203" s="776" t="str">
        <f>IF(op!F135="","",op!F135+1)</f>
        <v/>
      </c>
      <c r="G203" s="802" t="str">
        <f>IF(op!G135="","",op!G135)</f>
        <v/>
      </c>
      <c r="H203" s="776" t="str">
        <f>IF(op!H135=0,"",op!H135)</f>
        <v/>
      </c>
      <c r="I203" s="433" t="str">
        <f>IF(J203="","",(IF(op!I135+1&gt;LOOKUP(H203,schaal2013,regels2013),op!I135,op!I135+1)))</f>
        <v/>
      </c>
      <c r="J203" s="803" t="str">
        <f>IF(op!J135="","",op!J135)</f>
        <v/>
      </c>
      <c r="K203" s="518"/>
      <c r="L203" s="1207">
        <f>IF(op!L135="","",op!L135)</f>
        <v>0</v>
      </c>
      <c r="M203" s="1207">
        <f>IF(op!M135="","",op!M135)</f>
        <v>0</v>
      </c>
      <c r="N203" s="1209" t="str">
        <f t="shared" si="60"/>
        <v/>
      </c>
      <c r="O203" s="1209" t="str">
        <f t="shared" si="61"/>
        <v/>
      </c>
      <c r="P203" s="1283" t="str">
        <f t="shared" si="62"/>
        <v/>
      </c>
      <c r="Q203" s="518"/>
      <c r="R203" s="1076" t="str">
        <f t="shared" si="76"/>
        <v/>
      </c>
      <c r="S203" s="1076" t="str">
        <f t="shared" si="63"/>
        <v/>
      </c>
      <c r="T203" s="1078" t="str">
        <f t="shared" si="64"/>
        <v/>
      </c>
      <c r="U203" s="599"/>
      <c r="V203" s="1261"/>
      <c r="W203" s="1261"/>
      <c r="X203" s="1218"/>
      <c r="Y203" s="1253" t="e">
        <f>ROUND(VLOOKUP(H203,tab!$A$61:$V$103,I203+2,FALSE),0)</f>
        <v>#VALUE!</v>
      </c>
      <c r="Z203" s="1252">
        <f>tab!$E$48</f>
        <v>0.62</v>
      </c>
      <c r="AA203" s="1284" t="e">
        <f t="shared" si="65"/>
        <v>#VALUE!</v>
      </c>
      <c r="AB203" s="1284" t="e">
        <f t="shared" si="66"/>
        <v>#VALUE!</v>
      </c>
      <c r="AC203" s="1284" t="e">
        <f t="shared" si="67"/>
        <v>#VALUE!</v>
      </c>
      <c r="AD203" s="1286" t="e">
        <f t="shared" si="68"/>
        <v>#VALUE!</v>
      </c>
      <c r="AE203" s="1286">
        <f t="shared" si="69"/>
        <v>0</v>
      </c>
      <c r="AF203" s="1254">
        <f>IF(H203&gt;8,tab!$D$49,tab!$D$52)</f>
        <v>0.5</v>
      </c>
      <c r="AG203" s="1255">
        <f t="shared" si="77"/>
        <v>0</v>
      </c>
      <c r="AH203" s="1251">
        <f t="shared" si="78"/>
        <v>0</v>
      </c>
      <c r="AI203" s="1278" t="e">
        <f>DATE(YEAR(tab!$G$3),MONTH(G203),DAY(G203))&gt;tab!$G$3</f>
        <v>#VALUE!</v>
      </c>
      <c r="AJ203" s="1255" t="e">
        <f t="shared" si="79"/>
        <v>#VALUE!</v>
      </c>
      <c r="AK203" s="1199">
        <f t="shared" si="80"/>
        <v>30</v>
      </c>
      <c r="AL203" s="1199">
        <f t="shared" si="81"/>
        <v>30</v>
      </c>
      <c r="AM203" s="1205">
        <f t="shared" si="82"/>
        <v>0</v>
      </c>
      <c r="AS203" s="819"/>
    </row>
    <row r="204" spans="3:45" ht="12.75" customHeight="1" x14ac:dyDescent="0.2">
      <c r="C204" s="135"/>
      <c r="D204" s="432" t="str">
        <f>IF(op!D136="","",op!D136)</f>
        <v/>
      </c>
      <c r="E204" s="432" t="str">
        <f>IF(op!E136=0,"",op!E136)</f>
        <v/>
      </c>
      <c r="F204" s="776" t="str">
        <f>IF(op!F136="","",op!F136+1)</f>
        <v/>
      </c>
      <c r="G204" s="802" t="str">
        <f>IF(op!G136="","",op!G136)</f>
        <v/>
      </c>
      <c r="H204" s="776" t="str">
        <f>IF(op!H136=0,"",op!H136)</f>
        <v/>
      </c>
      <c r="I204" s="433" t="str">
        <f>IF(J204="","",(IF(op!I136+1&gt;LOOKUP(H204,schaal2013,regels2013),op!I136,op!I136+1)))</f>
        <v/>
      </c>
      <c r="J204" s="803" t="str">
        <f>IF(op!J136="","",op!J136)</f>
        <v/>
      </c>
      <c r="K204" s="518"/>
      <c r="L204" s="1207">
        <f>IF(op!L136="","",op!L136)</f>
        <v>0</v>
      </c>
      <c r="M204" s="1207">
        <f>IF(op!M136="","",op!M136)</f>
        <v>0</v>
      </c>
      <c r="N204" s="1209" t="str">
        <f t="shared" si="60"/>
        <v/>
      </c>
      <c r="O204" s="1209" t="str">
        <f t="shared" si="61"/>
        <v/>
      </c>
      <c r="P204" s="1283" t="str">
        <f t="shared" si="62"/>
        <v/>
      </c>
      <c r="Q204" s="518"/>
      <c r="R204" s="1076" t="str">
        <f t="shared" si="76"/>
        <v/>
      </c>
      <c r="S204" s="1076" t="str">
        <f t="shared" si="63"/>
        <v/>
      </c>
      <c r="T204" s="1078" t="str">
        <f t="shared" si="64"/>
        <v/>
      </c>
      <c r="U204" s="599"/>
      <c r="V204" s="1261"/>
      <c r="W204" s="1261"/>
      <c r="X204" s="1218"/>
      <c r="Y204" s="1253" t="e">
        <f>ROUND(VLOOKUP(H204,tab!$A$61:$V$103,I204+2,FALSE),0)</f>
        <v>#VALUE!</v>
      </c>
      <c r="Z204" s="1252">
        <f>tab!$E$48</f>
        <v>0.62</v>
      </c>
      <c r="AA204" s="1284" t="e">
        <f t="shared" si="65"/>
        <v>#VALUE!</v>
      </c>
      <c r="AB204" s="1284" t="e">
        <f t="shared" si="66"/>
        <v>#VALUE!</v>
      </c>
      <c r="AC204" s="1284" t="e">
        <f t="shared" si="67"/>
        <v>#VALUE!</v>
      </c>
      <c r="AD204" s="1286" t="e">
        <f t="shared" si="68"/>
        <v>#VALUE!</v>
      </c>
      <c r="AE204" s="1286">
        <f t="shared" si="69"/>
        <v>0</v>
      </c>
      <c r="AF204" s="1254">
        <f>IF(H204&gt;8,tab!$D$49,tab!$D$52)</f>
        <v>0.5</v>
      </c>
      <c r="AG204" s="1255">
        <f t="shared" si="77"/>
        <v>0</v>
      </c>
      <c r="AH204" s="1251">
        <f t="shared" si="78"/>
        <v>0</v>
      </c>
      <c r="AI204" s="1278" t="e">
        <f>DATE(YEAR(tab!$G$3),MONTH(G204),DAY(G204))&gt;tab!$G$3</f>
        <v>#VALUE!</v>
      </c>
      <c r="AJ204" s="1255" t="e">
        <f t="shared" si="79"/>
        <v>#VALUE!</v>
      </c>
      <c r="AK204" s="1199">
        <f t="shared" si="80"/>
        <v>30</v>
      </c>
      <c r="AL204" s="1199">
        <f t="shared" si="81"/>
        <v>30</v>
      </c>
      <c r="AM204" s="1205">
        <f t="shared" si="82"/>
        <v>0</v>
      </c>
      <c r="AS204" s="819"/>
    </row>
    <row r="205" spans="3:45" ht="12.75" customHeight="1" x14ac:dyDescent="0.2">
      <c r="C205" s="135"/>
      <c r="D205" s="432" t="str">
        <f>IF(op!D137="","",op!D137)</f>
        <v/>
      </c>
      <c r="E205" s="432" t="str">
        <f>IF(op!E137=0,"",op!E137)</f>
        <v/>
      </c>
      <c r="F205" s="776" t="str">
        <f>IF(op!F137="","",op!F137+1)</f>
        <v/>
      </c>
      <c r="G205" s="802" t="str">
        <f>IF(op!G137="","",op!G137)</f>
        <v/>
      </c>
      <c r="H205" s="776" t="str">
        <f>IF(op!H137=0,"",op!H137)</f>
        <v/>
      </c>
      <c r="I205" s="433" t="str">
        <f>IF(J205="","",(IF(op!I137+1&gt;LOOKUP(H205,schaal2013,regels2013),op!I137,op!I137+1)))</f>
        <v/>
      </c>
      <c r="J205" s="803" t="str">
        <f>IF(op!J137="","",op!J137)</f>
        <v/>
      </c>
      <c r="K205" s="518"/>
      <c r="L205" s="1207">
        <f>IF(op!L137="","",op!L137)</f>
        <v>0</v>
      </c>
      <c r="M205" s="1207">
        <f>IF(op!M137="","",op!M137)</f>
        <v>0</v>
      </c>
      <c r="N205" s="1209" t="str">
        <f t="shared" si="60"/>
        <v/>
      </c>
      <c r="O205" s="1209" t="str">
        <f t="shared" si="61"/>
        <v/>
      </c>
      <c r="P205" s="1283" t="str">
        <f t="shared" si="62"/>
        <v/>
      </c>
      <c r="Q205" s="518"/>
      <c r="R205" s="1076" t="str">
        <f t="shared" si="76"/>
        <v/>
      </c>
      <c r="S205" s="1076" t="str">
        <f t="shared" si="63"/>
        <v/>
      </c>
      <c r="T205" s="1078" t="str">
        <f t="shared" si="64"/>
        <v/>
      </c>
      <c r="U205" s="599"/>
      <c r="V205" s="1261"/>
      <c r="W205" s="1261"/>
      <c r="X205" s="1218"/>
      <c r="Y205" s="1253" t="e">
        <f>ROUND(VLOOKUP(H205,tab!$A$61:$V$103,I205+2,FALSE),0)</f>
        <v>#VALUE!</v>
      </c>
      <c r="Z205" s="1252">
        <f>tab!$E$48</f>
        <v>0.62</v>
      </c>
      <c r="AA205" s="1284" t="e">
        <f t="shared" si="65"/>
        <v>#VALUE!</v>
      </c>
      <c r="AB205" s="1284" t="e">
        <f t="shared" si="66"/>
        <v>#VALUE!</v>
      </c>
      <c r="AC205" s="1284" t="e">
        <f t="shared" si="67"/>
        <v>#VALUE!</v>
      </c>
      <c r="AD205" s="1286" t="e">
        <f t="shared" si="68"/>
        <v>#VALUE!</v>
      </c>
      <c r="AE205" s="1286">
        <f t="shared" si="69"/>
        <v>0</v>
      </c>
      <c r="AF205" s="1254">
        <f>IF(H205&gt;8,tab!$D$49,tab!$D$52)</f>
        <v>0.5</v>
      </c>
      <c r="AG205" s="1255">
        <f t="shared" si="77"/>
        <v>0</v>
      </c>
      <c r="AH205" s="1251">
        <f t="shared" si="78"/>
        <v>0</v>
      </c>
      <c r="AI205" s="1278" t="e">
        <f>DATE(YEAR(tab!$G$3),MONTH(G205),DAY(G205))&gt;tab!$G$3</f>
        <v>#VALUE!</v>
      </c>
      <c r="AJ205" s="1255" t="e">
        <f t="shared" si="79"/>
        <v>#VALUE!</v>
      </c>
      <c r="AK205" s="1199">
        <f t="shared" si="80"/>
        <v>30</v>
      </c>
      <c r="AL205" s="1199">
        <f t="shared" si="81"/>
        <v>30</v>
      </c>
      <c r="AM205" s="1205">
        <f t="shared" si="82"/>
        <v>0</v>
      </c>
      <c r="AS205" s="819"/>
    </row>
    <row r="206" spans="3:45" ht="12.75" customHeight="1" x14ac:dyDescent="0.2">
      <c r="C206" s="135"/>
      <c r="D206" s="432" t="str">
        <f>IF(op!D138="","",op!D138)</f>
        <v/>
      </c>
      <c r="E206" s="432" t="str">
        <f>IF(op!E138=0,"",op!E138)</f>
        <v/>
      </c>
      <c r="F206" s="776" t="str">
        <f>IF(op!F138="","",op!F138+1)</f>
        <v/>
      </c>
      <c r="G206" s="802" t="str">
        <f>IF(op!G138="","",op!G138)</f>
        <v/>
      </c>
      <c r="H206" s="776" t="str">
        <f>IF(op!H138=0,"",op!H138)</f>
        <v/>
      </c>
      <c r="I206" s="433" t="str">
        <f>IF(J206="","",(IF(op!I138+1&gt;LOOKUP(H206,schaal2013,regels2013),op!I138,op!I138+1)))</f>
        <v/>
      </c>
      <c r="J206" s="803" t="str">
        <f>IF(op!J138="","",op!J138)</f>
        <v/>
      </c>
      <c r="K206" s="518"/>
      <c r="L206" s="1207">
        <f>IF(op!L138="","",op!L138)</f>
        <v>0</v>
      </c>
      <c r="M206" s="1207">
        <f>IF(op!M138="","",op!M138)</f>
        <v>0</v>
      </c>
      <c r="N206" s="1209" t="str">
        <f t="shared" si="60"/>
        <v/>
      </c>
      <c r="O206" s="1209" t="str">
        <f t="shared" si="61"/>
        <v/>
      </c>
      <c r="P206" s="1283" t="str">
        <f t="shared" si="62"/>
        <v/>
      </c>
      <c r="Q206" s="518"/>
      <c r="R206" s="1076" t="str">
        <f t="shared" si="76"/>
        <v/>
      </c>
      <c r="S206" s="1076" t="str">
        <f t="shared" si="63"/>
        <v/>
      </c>
      <c r="T206" s="1078" t="str">
        <f t="shared" si="64"/>
        <v/>
      </c>
      <c r="U206" s="599"/>
      <c r="V206" s="1261"/>
      <c r="W206" s="1261"/>
      <c r="X206" s="1218"/>
      <c r="Y206" s="1253" t="e">
        <f>ROUND(VLOOKUP(H206,tab!$A$61:$V$103,I206+2,FALSE),0)</f>
        <v>#VALUE!</v>
      </c>
      <c r="Z206" s="1252">
        <f>tab!$E$48</f>
        <v>0.62</v>
      </c>
      <c r="AA206" s="1284" t="e">
        <f t="shared" si="65"/>
        <v>#VALUE!</v>
      </c>
      <c r="AB206" s="1284" t="e">
        <f t="shared" si="66"/>
        <v>#VALUE!</v>
      </c>
      <c r="AC206" s="1284" t="e">
        <f t="shared" si="67"/>
        <v>#VALUE!</v>
      </c>
      <c r="AD206" s="1286" t="e">
        <f t="shared" si="68"/>
        <v>#VALUE!</v>
      </c>
      <c r="AE206" s="1286">
        <f t="shared" si="69"/>
        <v>0</v>
      </c>
      <c r="AF206" s="1254">
        <f>IF(H206&gt;8,tab!$D$49,tab!$D$52)</f>
        <v>0.5</v>
      </c>
      <c r="AG206" s="1255">
        <f t="shared" si="77"/>
        <v>0</v>
      </c>
      <c r="AH206" s="1251">
        <f t="shared" si="78"/>
        <v>0</v>
      </c>
      <c r="AI206" s="1278" t="e">
        <f>DATE(YEAR(tab!$G$3),MONTH(G206),DAY(G206))&gt;tab!$G$3</f>
        <v>#VALUE!</v>
      </c>
      <c r="AJ206" s="1255" t="e">
        <f t="shared" si="79"/>
        <v>#VALUE!</v>
      </c>
      <c r="AK206" s="1199">
        <f t="shared" si="80"/>
        <v>30</v>
      </c>
      <c r="AL206" s="1199">
        <f t="shared" si="81"/>
        <v>30</v>
      </c>
      <c r="AM206" s="1205">
        <f t="shared" si="82"/>
        <v>0</v>
      </c>
      <c r="AS206" s="819"/>
    </row>
    <row r="207" spans="3:45" x14ac:dyDescent="0.2">
      <c r="C207" s="491"/>
      <c r="D207" s="609"/>
      <c r="E207" s="805"/>
      <c r="F207" s="805"/>
      <c r="G207" s="806"/>
      <c r="H207" s="805"/>
      <c r="I207" s="807"/>
      <c r="J207" s="1111">
        <f>SUM(J152:J206)</f>
        <v>1</v>
      </c>
      <c r="L207" s="1208">
        <f t="shared" ref="L207:P207" si="83">SUM(L152:L206)</f>
        <v>0</v>
      </c>
      <c r="M207" s="1208">
        <f t="shared" si="83"/>
        <v>0</v>
      </c>
      <c r="N207" s="1208">
        <f>SUM(N152:N206)</f>
        <v>40</v>
      </c>
      <c r="O207" s="1208">
        <f t="shared" si="83"/>
        <v>0</v>
      </c>
      <c r="P207" s="1208">
        <f t="shared" si="83"/>
        <v>40</v>
      </c>
      <c r="R207" s="1112">
        <f t="shared" ref="R207:T207" si="84">SUM(R152:R206)</f>
        <v>62757.007160940331</v>
      </c>
      <c r="S207" s="1113">
        <f t="shared" si="84"/>
        <v>1550.5128390596747</v>
      </c>
      <c r="T207" s="1112">
        <f t="shared" si="84"/>
        <v>64307.520000000004</v>
      </c>
      <c r="U207" s="494"/>
      <c r="V207" s="1221"/>
      <c r="W207" s="1221"/>
      <c r="Y207" s="1256" t="e">
        <f>SUM(Y152:Y206)</f>
        <v>#VALUE!</v>
      </c>
      <c r="Z207" s="1288"/>
      <c r="AA207" s="1256"/>
      <c r="AB207" s="1256"/>
      <c r="AC207" s="1256"/>
      <c r="AG207" s="1257">
        <f>SUM(AG152:AG206)</f>
        <v>0</v>
      </c>
      <c r="AH207" s="1258">
        <f>SUM(AH152:AH206)</f>
        <v>0</v>
      </c>
      <c r="AI207" s="1279"/>
      <c r="AJ207" s="1279"/>
      <c r="AS207" s="819"/>
    </row>
    <row r="208" spans="3:45" x14ac:dyDescent="0.2">
      <c r="H208" s="590"/>
      <c r="K208" s="484"/>
      <c r="Q208" s="484"/>
      <c r="R208" s="782"/>
      <c r="S208" s="808"/>
      <c r="V208" s="1221"/>
      <c r="W208" s="1221"/>
      <c r="Y208" s="1237"/>
      <c r="Z208" s="1288"/>
      <c r="AA208" s="1256"/>
      <c r="AB208" s="1256"/>
      <c r="AC208" s="1256"/>
      <c r="AG208" s="1257"/>
      <c r="AH208" s="1258"/>
      <c r="AS208" s="819"/>
    </row>
    <row r="209" spans="3:50" x14ac:dyDescent="0.2">
      <c r="V209" s="1221"/>
      <c r="W209" s="1221"/>
    </row>
    <row r="210" spans="3:50" x14ac:dyDescent="0.2">
      <c r="V210" s="1221"/>
      <c r="W210" s="1221"/>
    </row>
    <row r="211" spans="3:50" x14ac:dyDescent="0.2">
      <c r="C211" s="454" t="s">
        <v>200</v>
      </c>
      <c r="E211" s="821" t="str">
        <f>dir!E75</f>
        <v>2018/19</v>
      </c>
      <c r="V211" s="1221"/>
      <c r="W211" s="1221"/>
    </row>
    <row r="212" spans="3:50" x14ac:dyDescent="0.2">
      <c r="C212" s="454" t="s">
        <v>213</v>
      </c>
      <c r="E212" s="821">
        <f>dir!E76</f>
        <v>43374</v>
      </c>
      <c r="V212" s="1221"/>
      <c r="W212" s="1221"/>
    </row>
    <row r="213" spans="3:50" x14ac:dyDescent="0.2">
      <c r="V213" s="1221"/>
      <c r="W213" s="1221"/>
    </row>
    <row r="214" spans="3:50" ht="12.75" customHeight="1" x14ac:dyDescent="0.2">
      <c r="C214" s="774"/>
      <c r="D214" s="1090"/>
      <c r="E214" s="1091"/>
      <c r="F214" s="1092"/>
      <c r="G214" s="1093"/>
      <c r="H214" s="1094"/>
      <c r="I214" s="1094"/>
      <c r="J214" s="1095"/>
      <c r="K214" s="1096"/>
      <c r="L214" s="1094"/>
      <c r="M214" s="1094"/>
      <c r="N214" s="1094"/>
      <c r="O214" s="1094"/>
      <c r="P214" s="1094"/>
      <c r="Q214" s="1096"/>
      <c r="R214" s="1096"/>
      <c r="S214" s="1097"/>
      <c r="T214" s="1098"/>
      <c r="U214" s="482"/>
      <c r="V214" s="1221"/>
      <c r="W214" s="1221"/>
      <c r="AN214" s="1202"/>
      <c r="AO214" s="1202"/>
      <c r="AP214" s="1202"/>
      <c r="AQ214" s="1202"/>
      <c r="AR214" s="1106"/>
      <c r="AS214" s="785"/>
      <c r="AT214" s="787"/>
      <c r="AU214" s="799"/>
      <c r="AV214" s="786"/>
    </row>
    <row r="215" spans="3:50" ht="12.75" customHeight="1" x14ac:dyDescent="0.2">
      <c r="C215" s="139"/>
      <c r="D215" s="1191" t="s">
        <v>306</v>
      </c>
      <c r="E215" s="1036"/>
      <c r="F215" s="1036"/>
      <c r="G215" s="1036"/>
      <c r="H215" s="1036"/>
      <c r="I215" s="1036"/>
      <c r="J215" s="1036"/>
      <c r="K215" s="1055"/>
      <c r="L215" s="1191" t="s">
        <v>553</v>
      </c>
      <c r="M215" s="1193"/>
      <c r="N215" s="1191"/>
      <c r="O215" s="1191"/>
      <c r="P215" s="1291"/>
      <c r="Q215" s="1055"/>
      <c r="R215" s="1191" t="s">
        <v>554</v>
      </c>
      <c r="S215" s="1194"/>
      <c r="T215" s="1292"/>
      <c r="U215" s="1293"/>
      <c r="V215" s="1222"/>
      <c r="W215" s="1222"/>
      <c r="X215" s="427"/>
      <c r="Y215" s="1221"/>
      <c r="Z215" s="1294"/>
      <c r="AD215" s="1295"/>
      <c r="AE215" s="1295"/>
      <c r="AF215" s="1222"/>
      <c r="AG215" s="1248"/>
      <c r="AH215" s="1249"/>
      <c r="AM215" s="1199"/>
      <c r="AU215" s="454"/>
      <c r="AV215" s="454"/>
      <c r="AW215" s="817"/>
      <c r="AX215" s="817"/>
    </row>
    <row r="216" spans="3:50" ht="12.75" customHeight="1" x14ac:dyDescent="0.2">
      <c r="C216" s="139"/>
      <c r="D216" s="1030" t="s">
        <v>545</v>
      </c>
      <c r="E216" s="1030" t="s">
        <v>201</v>
      </c>
      <c r="F216" s="1057" t="s">
        <v>151</v>
      </c>
      <c r="G216" s="1058" t="s">
        <v>295</v>
      </c>
      <c r="H216" s="1057" t="s">
        <v>226</v>
      </c>
      <c r="I216" s="1057" t="s">
        <v>247</v>
      </c>
      <c r="J216" s="1059" t="s">
        <v>154</v>
      </c>
      <c r="K216" s="1034"/>
      <c r="L216" s="1060" t="s">
        <v>530</v>
      </c>
      <c r="M216" s="1060" t="s">
        <v>531</v>
      </c>
      <c r="N216" s="1060" t="s">
        <v>529</v>
      </c>
      <c r="O216" s="1060" t="s">
        <v>530</v>
      </c>
      <c r="P216" s="1296" t="s">
        <v>555</v>
      </c>
      <c r="Q216" s="1034"/>
      <c r="R216" s="1195" t="s">
        <v>212</v>
      </c>
      <c r="S216" s="1062" t="s">
        <v>556</v>
      </c>
      <c r="T216" s="1063" t="s">
        <v>212</v>
      </c>
      <c r="U216" s="1297"/>
      <c r="V216" s="1259"/>
      <c r="W216" s="1259"/>
      <c r="X216" s="430"/>
      <c r="Y216" s="1068" t="s">
        <v>325</v>
      </c>
      <c r="Z216" s="1285" t="s">
        <v>548</v>
      </c>
      <c r="AA216" s="1259" t="s">
        <v>549</v>
      </c>
      <c r="AB216" s="1259" t="s">
        <v>549</v>
      </c>
      <c r="AC216" s="1259" t="s">
        <v>546</v>
      </c>
      <c r="AD216" s="1206" t="s">
        <v>539</v>
      </c>
      <c r="AE216" s="1206" t="s">
        <v>540</v>
      </c>
      <c r="AF216" s="1259"/>
      <c r="AG216" s="1250" t="s">
        <v>319</v>
      </c>
      <c r="AH216" s="1249" t="s">
        <v>459</v>
      </c>
      <c r="AI216" s="1069" t="s">
        <v>300</v>
      </c>
      <c r="AJ216" s="1069" t="s">
        <v>301</v>
      </c>
      <c r="AK216" s="1217" t="s">
        <v>153</v>
      </c>
      <c r="AL216" s="1217" t="s">
        <v>224</v>
      </c>
      <c r="AM216" s="1216" t="s">
        <v>208</v>
      </c>
      <c r="AU216" s="454"/>
      <c r="AV216" s="454"/>
      <c r="AW216" s="817"/>
      <c r="AX216" s="818"/>
    </row>
    <row r="217" spans="3:50" ht="12.75" customHeight="1" x14ac:dyDescent="0.2">
      <c r="C217" s="139"/>
      <c r="D217" s="1036"/>
      <c r="E217" s="1030"/>
      <c r="F217" s="1057" t="s">
        <v>152</v>
      </c>
      <c r="G217" s="1058" t="s">
        <v>296</v>
      </c>
      <c r="H217" s="1057"/>
      <c r="I217" s="1057"/>
      <c r="J217" s="1059" t="s">
        <v>299</v>
      </c>
      <c r="K217" s="1034"/>
      <c r="L217" s="1060" t="s">
        <v>533</v>
      </c>
      <c r="M217" s="1060" t="s">
        <v>534</v>
      </c>
      <c r="N217" s="1060" t="s">
        <v>532</v>
      </c>
      <c r="O217" s="1060" t="s">
        <v>544</v>
      </c>
      <c r="P217" s="1296" t="s">
        <v>291</v>
      </c>
      <c r="Q217" s="1034"/>
      <c r="R217" s="1061" t="s">
        <v>557</v>
      </c>
      <c r="S217" s="1062" t="s">
        <v>535</v>
      </c>
      <c r="T217" s="1063" t="s">
        <v>291</v>
      </c>
      <c r="U217" s="1040"/>
      <c r="V217" s="1221"/>
      <c r="W217" s="1221"/>
      <c r="X217" s="144"/>
      <c r="Y217" s="1068" t="s">
        <v>217</v>
      </c>
      <c r="Z217" s="1071">
        <f>tab!$E$48</f>
        <v>0.62</v>
      </c>
      <c r="AA217" s="1259" t="s">
        <v>550</v>
      </c>
      <c r="AB217" s="1259" t="s">
        <v>551</v>
      </c>
      <c r="AC217" s="1259" t="s">
        <v>552</v>
      </c>
      <c r="AD217" s="1206" t="s">
        <v>542</v>
      </c>
      <c r="AE217" s="1206" t="s">
        <v>542</v>
      </c>
      <c r="AG217" s="1250"/>
      <c r="AH217" s="1251" t="s">
        <v>246</v>
      </c>
      <c r="AI217" s="1206" t="s">
        <v>297</v>
      </c>
      <c r="AJ217" s="1206" t="s">
        <v>297</v>
      </c>
      <c r="AK217" s="1217"/>
      <c r="AL217" s="1217" t="s">
        <v>208</v>
      </c>
      <c r="AM217" s="1216"/>
      <c r="AU217" s="454"/>
      <c r="AV217" s="454"/>
      <c r="AX217" s="801"/>
    </row>
    <row r="218" spans="3:50" ht="12.75" customHeight="1" x14ac:dyDescent="0.2">
      <c r="C218" s="135"/>
      <c r="D218" s="1036"/>
      <c r="E218" s="1036"/>
      <c r="F218" s="1099"/>
      <c r="G218" s="1100"/>
      <c r="H218" s="1057"/>
      <c r="I218" s="1057"/>
      <c r="J218" s="1059"/>
      <c r="K218" s="1036"/>
      <c r="L218" s="1060"/>
      <c r="M218" s="1060"/>
      <c r="N218" s="1060"/>
      <c r="O218" s="1060"/>
      <c r="P218" s="1060"/>
      <c r="Q218" s="1036"/>
      <c r="R218" s="1101"/>
      <c r="S218" s="1062"/>
      <c r="T218" s="1102"/>
      <c r="U218" s="487"/>
      <c r="V218" s="1221"/>
      <c r="W218" s="1221"/>
      <c r="Y218" s="1068"/>
      <c r="Z218" s="1222"/>
      <c r="AA218" s="1222"/>
      <c r="AB218" s="1222"/>
      <c r="AC218" s="1222"/>
      <c r="AG218" s="1250"/>
      <c r="AH218" s="1251"/>
      <c r="AM218" s="1216"/>
      <c r="AU218" s="454"/>
      <c r="AV218" s="454"/>
      <c r="AX218" s="801"/>
    </row>
    <row r="219" spans="3:50" ht="12.75" customHeight="1" x14ac:dyDescent="0.2">
      <c r="C219" s="135"/>
      <c r="D219" s="432" t="str">
        <f>IF(op!D152=0,"",op!D152)</f>
        <v/>
      </c>
      <c r="E219" s="432" t="str">
        <f>IF(op!E152=0,"",op!E152)</f>
        <v>nn</v>
      </c>
      <c r="F219" s="776" t="str">
        <f>IF(op!F152="","",op!F152+1)</f>
        <v/>
      </c>
      <c r="G219" s="802">
        <f>IF(op!G152="","",op!G152)</f>
        <v>26665</v>
      </c>
      <c r="H219" s="776" t="str">
        <f>IF(op!H152=0,"",op!H152)</f>
        <v>LB</v>
      </c>
      <c r="I219" s="433">
        <f>IF(J219="","",(IF(op!I152+1&gt;LOOKUP(H219,schaal2013,regels2013),op!I152,op!I152+1)))</f>
        <v>13</v>
      </c>
      <c r="J219" s="803">
        <f>IF(op!J152="","",op!J152)</f>
        <v>1</v>
      </c>
      <c r="K219" s="518"/>
      <c r="L219" s="1207">
        <f>IF(op!L152="","",op!L152)</f>
        <v>0</v>
      </c>
      <c r="M219" s="1207">
        <f>IF(op!M152="","",op!M152)</f>
        <v>0</v>
      </c>
      <c r="N219" s="1209">
        <f t="shared" ref="N219:N273" si="85">IF(J219="","",IF((J219*40)&gt;40,40,((J219*40))))</f>
        <v>40</v>
      </c>
      <c r="O219" s="1209">
        <f t="shared" ref="O219:O273" si="86">IF(J219="","",IF(I219&lt;4,(40*J219),0))</f>
        <v>0</v>
      </c>
      <c r="P219" s="1283">
        <f t="shared" ref="P219:P273" si="87">IF(J219="","",(SUM(L219:O219)))</f>
        <v>40</v>
      </c>
      <c r="Q219" s="518"/>
      <c r="R219" s="1076">
        <f>IF(J219="","",(((1659*J219)-P219)*AB219))</f>
        <v>64976.647377938512</v>
      </c>
      <c r="S219" s="1076">
        <f t="shared" ref="S219:S273" si="88">IF(J219="","",(P219*AC219)+(AA219*AD219)+((AE219*AA219*(1-AF219))))</f>
        <v>1605.3526220614826</v>
      </c>
      <c r="T219" s="1078">
        <f t="shared" ref="T219:T273" si="89">IF(J219="","",(R219+S219))</f>
        <v>66582</v>
      </c>
      <c r="U219" s="599"/>
      <c r="V219" s="1261"/>
      <c r="W219" s="1261"/>
      <c r="X219" s="1218"/>
      <c r="Y219" s="1253">
        <f>ROUND(VLOOKUP(H219,tab!$A$61:$V$103,I219+2,FALSE),0)</f>
        <v>3425</v>
      </c>
      <c r="Z219" s="1252">
        <f>tab!$E$48</f>
        <v>0.62</v>
      </c>
      <c r="AA219" s="1284">
        <f t="shared" ref="AA219:AA273" si="90">(Y219*12/1659)</f>
        <v>24.773960216998191</v>
      </c>
      <c r="AB219" s="1284">
        <f t="shared" ref="AB219:AB273" si="91">(Y219*12*(1+Z219))/1659</f>
        <v>40.133815551537069</v>
      </c>
      <c r="AC219" s="1284">
        <f t="shared" ref="AC219:AC273" si="92">AB219-AA219</f>
        <v>15.359855334538878</v>
      </c>
      <c r="AD219" s="1286">
        <f t="shared" ref="AD219:AD273" si="93">(N219+O219)</f>
        <v>40</v>
      </c>
      <c r="AE219" s="1286">
        <f t="shared" ref="AE219:AE273" si="94">(L219+M219)</f>
        <v>0</v>
      </c>
      <c r="AF219" s="1254">
        <f>IF(H219&gt;8,tab!$D$49,tab!$D$52)</f>
        <v>0.5</v>
      </c>
      <c r="AG219" s="1255">
        <f t="shared" ref="AG219:AG250" si="95">IF(F219&lt;25,0,IF(F219=25,25,IF(F219&lt;40,0,IF(F219=40,40,IF(F219&gt;=40,0)))))</f>
        <v>0</v>
      </c>
      <c r="AH219" s="1251">
        <f t="shared" ref="AH219:AH250" si="96">IF(AG219=25,(Y219*1.08*(J219)/2),IF(AG219=40,(Y219*1.08*(J219)),IF(AG219=0,0)))</f>
        <v>0</v>
      </c>
      <c r="AI219" s="1278" t="b">
        <f>DATE(YEAR(tab!$H$3),MONTH(G219),DAY(G219))&gt;tab!$H$3</f>
        <v>0</v>
      </c>
      <c r="AJ219" s="1255">
        <f t="shared" ref="AJ219:AJ250" si="97">YEAR($E$212)-YEAR(G219)-AI219</f>
        <v>45</v>
      </c>
      <c r="AK219" s="1199">
        <f t="shared" ref="AK219:AK250" si="98">IF((G219=""),30,AJ219)</f>
        <v>45</v>
      </c>
      <c r="AL219" s="1199">
        <f t="shared" ref="AL219:AL250" si="99">IF((AK219)&gt;50,50,(AK219))</f>
        <v>45</v>
      </c>
      <c r="AM219" s="1205">
        <f t="shared" ref="AM219:AM250" si="100">(AL219*(SUM(J219:J219)))</f>
        <v>45</v>
      </c>
      <c r="AS219" s="819"/>
    </row>
    <row r="220" spans="3:50" ht="12.75" customHeight="1" x14ac:dyDescent="0.2">
      <c r="C220" s="135"/>
      <c r="D220" s="432" t="str">
        <f>IF(op!D153=0,"",op!D153)</f>
        <v/>
      </c>
      <c r="E220" s="432" t="str">
        <f>IF(op!E153=0,"",op!E153)</f>
        <v/>
      </c>
      <c r="F220" s="776" t="str">
        <f>IF(op!F153="","",op!F153+1)</f>
        <v/>
      </c>
      <c r="G220" s="802" t="str">
        <f>IF(op!G153="","",op!G153)</f>
        <v/>
      </c>
      <c r="H220" s="776" t="str">
        <f>IF(op!H153=0,"",op!H153)</f>
        <v/>
      </c>
      <c r="I220" s="433" t="str">
        <f>IF(J220="","",(IF(op!I153+1&gt;LOOKUP(H220,schaal2013,regels2013),op!I153,op!I153+1)))</f>
        <v/>
      </c>
      <c r="J220" s="803" t="str">
        <f>IF(op!J153="","",op!J153)</f>
        <v/>
      </c>
      <c r="K220" s="518"/>
      <c r="L220" s="1207">
        <f>IF(op!L153="","",op!L153)</f>
        <v>0</v>
      </c>
      <c r="M220" s="1207">
        <f>IF(op!M153="","",op!M153)</f>
        <v>0</v>
      </c>
      <c r="N220" s="1209" t="str">
        <f t="shared" si="85"/>
        <v/>
      </c>
      <c r="O220" s="1209" t="str">
        <f t="shared" si="86"/>
        <v/>
      </c>
      <c r="P220" s="1283" t="str">
        <f t="shared" si="87"/>
        <v/>
      </c>
      <c r="Q220" s="518"/>
      <c r="R220" s="1076" t="str">
        <f>IF(J220="","",(((1659*J220)-P220)*AB220))</f>
        <v/>
      </c>
      <c r="S220" s="1076" t="str">
        <f t="shared" si="88"/>
        <v/>
      </c>
      <c r="T220" s="1078" t="str">
        <f t="shared" si="89"/>
        <v/>
      </c>
      <c r="U220" s="599"/>
      <c r="V220" s="1261"/>
      <c r="W220" s="1261"/>
      <c r="X220" s="1218"/>
      <c r="Y220" s="1253" t="e">
        <f>ROUND(VLOOKUP(H220,tab!$A$61:$V$103,I220+2,FALSE),0)</f>
        <v>#VALUE!</v>
      </c>
      <c r="Z220" s="1252">
        <f>tab!$E$48</f>
        <v>0.62</v>
      </c>
      <c r="AA220" s="1284" t="e">
        <f t="shared" si="90"/>
        <v>#VALUE!</v>
      </c>
      <c r="AB220" s="1284" t="e">
        <f t="shared" si="91"/>
        <v>#VALUE!</v>
      </c>
      <c r="AC220" s="1284" t="e">
        <f t="shared" si="92"/>
        <v>#VALUE!</v>
      </c>
      <c r="AD220" s="1286" t="e">
        <f t="shared" si="93"/>
        <v>#VALUE!</v>
      </c>
      <c r="AE220" s="1286">
        <f t="shared" si="94"/>
        <v>0</v>
      </c>
      <c r="AF220" s="1254">
        <f>IF(H220&gt;8,tab!$D$49,tab!$D$52)</f>
        <v>0.5</v>
      </c>
      <c r="AG220" s="1255">
        <f t="shared" si="95"/>
        <v>0</v>
      </c>
      <c r="AH220" s="1251">
        <f t="shared" si="96"/>
        <v>0</v>
      </c>
      <c r="AI220" s="1278" t="e">
        <f>DATE(YEAR(tab!$H$3),MONTH(G220),DAY(G220))&gt;tab!$H$3</f>
        <v>#VALUE!</v>
      </c>
      <c r="AJ220" s="1255" t="e">
        <f t="shared" si="97"/>
        <v>#VALUE!</v>
      </c>
      <c r="AK220" s="1199">
        <f t="shared" si="98"/>
        <v>30</v>
      </c>
      <c r="AL220" s="1199">
        <f t="shared" si="99"/>
        <v>30</v>
      </c>
      <c r="AM220" s="1205">
        <f t="shared" si="100"/>
        <v>0</v>
      </c>
      <c r="AS220" s="819"/>
    </row>
    <row r="221" spans="3:50" ht="12.75" customHeight="1" x14ac:dyDescent="0.2">
      <c r="C221" s="135"/>
      <c r="D221" s="432" t="str">
        <f>IF(op!D154=0,"",op!D154)</f>
        <v/>
      </c>
      <c r="E221" s="432" t="str">
        <f>IF(op!E154=0,"",op!E154)</f>
        <v/>
      </c>
      <c r="F221" s="776" t="str">
        <f>IF(op!F154="","",op!F154+1)</f>
        <v/>
      </c>
      <c r="G221" s="802" t="str">
        <f>IF(op!G154="","",op!G154)</f>
        <v/>
      </c>
      <c r="H221" s="776" t="str">
        <f>IF(op!H154=0,"",op!H154)</f>
        <v/>
      </c>
      <c r="I221" s="433" t="str">
        <f>IF(J221="","",(IF(op!I154+1&gt;LOOKUP(H221,schaal2013,regels2013),op!I154,op!I154+1)))</f>
        <v/>
      </c>
      <c r="J221" s="803" t="str">
        <f>IF(op!J154="","",op!J154)</f>
        <v/>
      </c>
      <c r="K221" s="518"/>
      <c r="L221" s="1207">
        <f>IF(op!L154="","",op!L154)</f>
        <v>0</v>
      </c>
      <c r="M221" s="1207">
        <f>IF(op!M154="","",op!M154)</f>
        <v>0</v>
      </c>
      <c r="N221" s="1209" t="str">
        <f t="shared" si="85"/>
        <v/>
      </c>
      <c r="O221" s="1209" t="str">
        <f t="shared" si="86"/>
        <v/>
      </c>
      <c r="P221" s="1283" t="str">
        <f t="shared" si="87"/>
        <v/>
      </c>
      <c r="Q221" s="518"/>
      <c r="R221" s="1076" t="str">
        <f t="shared" ref="R221:R273" si="101">IF(J221="","",(((1659*J221)-P221)*AB221))</f>
        <v/>
      </c>
      <c r="S221" s="1076" t="str">
        <f t="shared" si="88"/>
        <v/>
      </c>
      <c r="T221" s="1078" t="str">
        <f t="shared" si="89"/>
        <v/>
      </c>
      <c r="U221" s="599"/>
      <c r="V221" s="1261"/>
      <c r="W221" s="1261"/>
      <c r="X221" s="1218"/>
      <c r="Y221" s="1253" t="e">
        <f>ROUND(VLOOKUP(H221,tab!$A$61:$V$103,I221+2,FALSE),0)</f>
        <v>#VALUE!</v>
      </c>
      <c r="Z221" s="1252">
        <f>tab!$E$48</f>
        <v>0.62</v>
      </c>
      <c r="AA221" s="1284" t="e">
        <f t="shared" si="90"/>
        <v>#VALUE!</v>
      </c>
      <c r="AB221" s="1284" t="e">
        <f t="shared" si="91"/>
        <v>#VALUE!</v>
      </c>
      <c r="AC221" s="1284" t="e">
        <f t="shared" si="92"/>
        <v>#VALUE!</v>
      </c>
      <c r="AD221" s="1286" t="e">
        <f t="shared" si="93"/>
        <v>#VALUE!</v>
      </c>
      <c r="AE221" s="1286">
        <f t="shared" si="94"/>
        <v>0</v>
      </c>
      <c r="AF221" s="1254">
        <f>IF(H221&gt;8,tab!$D$49,tab!$D$52)</f>
        <v>0.5</v>
      </c>
      <c r="AG221" s="1255">
        <f t="shared" si="95"/>
        <v>0</v>
      </c>
      <c r="AH221" s="1251">
        <f t="shared" si="96"/>
        <v>0</v>
      </c>
      <c r="AI221" s="1278" t="e">
        <f>DATE(YEAR(tab!$H$3),MONTH(G221),DAY(G221))&gt;tab!$H$3</f>
        <v>#VALUE!</v>
      </c>
      <c r="AJ221" s="1255" t="e">
        <f t="shared" si="97"/>
        <v>#VALUE!</v>
      </c>
      <c r="AK221" s="1199">
        <f t="shared" si="98"/>
        <v>30</v>
      </c>
      <c r="AL221" s="1199">
        <f t="shared" si="99"/>
        <v>30</v>
      </c>
      <c r="AM221" s="1205">
        <f t="shared" si="100"/>
        <v>0</v>
      </c>
      <c r="AS221" s="819"/>
    </row>
    <row r="222" spans="3:50" ht="12.75" customHeight="1" x14ac:dyDescent="0.2">
      <c r="C222" s="135"/>
      <c r="D222" s="432" t="str">
        <f>IF(op!D155=0,"",op!D155)</f>
        <v/>
      </c>
      <c r="E222" s="432" t="str">
        <f>IF(op!E155=0,"",op!E155)</f>
        <v/>
      </c>
      <c r="F222" s="776" t="str">
        <f>IF(op!F155="","",op!F155+1)</f>
        <v/>
      </c>
      <c r="G222" s="802" t="str">
        <f>IF(op!G155="","",op!G155)</f>
        <v/>
      </c>
      <c r="H222" s="776" t="str">
        <f>IF(op!H155=0,"",op!H155)</f>
        <v/>
      </c>
      <c r="I222" s="433" t="str">
        <f>IF(J222="","",(IF(op!I155+1&gt;LOOKUP(H222,schaal2013,regels2013),op!I155,op!I155+1)))</f>
        <v/>
      </c>
      <c r="J222" s="803" t="str">
        <f>IF(op!J155="","",op!J155)</f>
        <v/>
      </c>
      <c r="K222" s="518"/>
      <c r="L222" s="1207">
        <f>IF(op!L155="","",op!L155)</f>
        <v>0</v>
      </c>
      <c r="M222" s="1207">
        <f>IF(op!M155="","",op!M155)</f>
        <v>0</v>
      </c>
      <c r="N222" s="1209" t="str">
        <f t="shared" si="85"/>
        <v/>
      </c>
      <c r="O222" s="1209" t="str">
        <f t="shared" si="86"/>
        <v/>
      </c>
      <c r="P222" s="1283" t="str">
        <f t="shared" si="87"/>
        <v/>
      </c>
      <c r="Q222" s="518"/>
      <c r="R222" s="1076" t="str">
        <f t="shared" si="101"/>
        <v/>
      </c>
      <c r="S222" s="1076" t="str">
        <f t="shared" si="88"/>
        <v/>
      </c>
      <c r="T222" s="1078" t="str">
        <f t="shared" si="89"/>
        <v/>
      </c>
      <c r="U222" s="599"/>
      <c r="V222" s="1261"/>
      <c r="W222" s="1261"/>
      <c r="X222" s="1218"/>
      <c r="Y222" s="1253" t="e">
        <f>ROUND(VLOOKUP(H222,tab!$A$61:$V$103,I222+2,FALSE),0)</f>
        <v>#VALUE!</v>
      </c>
      <c r="Z222" s="1252">
        <f>tab!$E$48</f>
        <v>0.62</v>
      </c>
      <c r="AA222" s="1284" t="e">
        <f t="shared" si="90"/>
        <v>#VALUE!</v>
      </c>
      <c r="AB222" s="1284" t="e">
        <f t="shared" si="91"/>
        <v>#VALUE!</v>
      </c>
      <c r="AC222" s="1284" t="e">
        <f t="shared" si="92"/>
        <v>#VALUE!</v>
      </c>
      <c r="AD222" s="1286" t="e">
        <f t="shared" si="93"/>
        <v>#VALUE!</v>
      </c>
      <c r="AE222" s="1286">
        <f t="shared" si="94"/>
        <v>0</v>
      </c>
      <c r="AF222" s="1254">
        <f>IF(H222&gt;8,tab!$D$49,tab!$D$52)</f>
        <v>0.5</v>
      </c>
      <c r="AG222" s="1255">
        <f t="shared" si="95"/>
        <v>0</v>
      </c>
      <c r="AH222" s="1251">
        <f t="shared" si="96"/>
        <v>0</v>
      </c>
      <c r="AI222" s="1278" t="e">
        <f>DATE(YEAR(tab!$H$3),MONTH(G222),DAY(G222))&gt;tab!$H$3</f>
        <v>#VALUE!</v>
      </c>
      <c r="AJ222" s="1255" t="e">
        <f t="shared" si="97"/>
        <v>#VALUE!</v>
      </c>
      <c r="AK222" s="1199">
        <f t="shared" si="98"/>
        <v>30</v>
      </c>
      <c r="AL222" s="1199">
        <f t="shared" si="99"/>
        <v>30</v>
      </c>
      <c r="AM222" s="1205">
        <f t="shared" si="100"/>
        <v>0</v>
      </c>
      <c r="AS222" s="819"/>
    </row>
    <row r="223" spans="3:50" ht="12.75" customHeight="1" x14ac:dyDescent="0.2">
      <c r="C223" s="135"/>
      <c r="D223" s="432" t="str">
        <f>IF(op!D156=0,"",op!D156)</f>
        <v/>
      </c>
      <c r="E223" s="432" t="str">
        <f>IF(op!E156=0,"",op!E156)</f>
        <v/>
      </c>
      <c r="F223" s="776" t="str">
        <f>IF(op!F156="","",op!F156+1)</f>
        <v/>
      </c>
      <c r="G223" s="802" t="str">
        <f>IF(op!G156="","",op!G156)</f>
        <v/>
      </c>
      <c r="H223" s="776" t="str">
        <f>IF(op!H156=0,"",op!H156)</f>
        <v/>
      </c>
      <c r="I223" s="433" t="str">
        <f>IF(J223="","",(IF(op!I156+1&gt;LOOKUP(H223,schaal2013,regels2013),op!I156,op!I156+1)))</f>
        <v/>
      </c>
      <c r="J223" s="803" t="str">
        <f>IF(op!J156="","",op!J156)</f>
        <v/>
      </c>
      <c r="K223" s="518"/>
      <c r="L223" s="1207">
        <f>IF(op!L156="","",op!L156)</f>
        <v>0</v>
      </c>
      <c r="M223" s="1207">
        <f>IF(op!M156="","",op!M156)</f>
        <v>0</v>
      </c>
      <c r="N223" s="1209" t="str">
        <f t="shared" si="85"/>
        <v/>
      </c>
      <c r="O223" s="1209" t="str">
        <f t="shared" si="86"/>
        <v/>
      </c>
      <c r="P223" s="1283" t="str">
        <f t="shared" si="87"/>
        <v/>
      </c>
      <c r="Q223" s="518"/>
      <c r="R223" s="1076" t="str">
        <f t="shared" si="101"/>
        <v/>
      </c>
      <c r="S223" s="1076" t="str">
        <f t="shared" si="88"/>
        <v/>
      </c>
      <c r="T223" s="1078" t="str">
        <f t="shared" si="89"/>
        <v/>
      </c>
      <c r="U223" s="599"/>
      <c r="V223" s="1261"/>
      <c r="W223" s="1261"/>
      <c r="X223" s="1218"/>
      <c r="Y223" s="1253" t="e">
        <f>ROUND(VLOOKUP(H223,tab!$A$61:$V$103,I223+2,FALSE),0)</f>
        <v>#VALUE!</v>
      </c>
      <c r="Z223" s="1252">
        <f>tab!$E$48</f>
        <v>0.62</v>
      </c>
      <c r="AA223" s="1284" t="e">
        <f t="shared" si="90"/>
        <v>#VALUE!</v>
      </c>
      <c r="AB223" s="1284" t="e">
        <f t="shared" si="91"/>
        <v>#VALUE!</v>
      </c>
      <c r="AC223" s="1284" t="e">
        <f t="shared" si="92"/>
        <v>#VALUE!</v>
      </c>
      <c r="AD223" s="1286" t="e">
        <f t="shared" si="93"/>
        <v>#VALUE!</v>
      </c>
      <c r="AE223" s="1286">
        <f t="shared" si="94"/>
        <v>0</v>
      </c>
      <c r="AF223" s="1254">
        <f>IF(H223&gt;8,tab!$D$49,tab!$D$52)</f>
        <v>0.5</v>
      </c>
      <c r="AG223" s="1255">
        <f t="shared" si="95"/>
        <v>0</v>
      </c>
      <c r="AH223" s="1251">
        <f t="shared" si="96"/>
        <v>0</v>
      </c>
      <c r="AI223" s="1278" t="e">
        <f>DATE(YEAR(tab!$H$3),MONTH(G223),DAY(G223))&gt;tab!$H$3</f>
        <v>#VALUE!</v>
      </c>
      <c r="AJ223" s="1255" t="e">
        <f t="shared" si="97"/>
        <v>#VALUE!</v>
      </c>
      <c r="AK223" s="1199">
        <f t="shared" si="98"/>
        <v>30</v>
      </c>
      <c r="AL223" s="1199">
        <f t="shared" si="99"/>
        <v>30</v>
      </c>
      <c r="AM223" s="1205">
        <f t="shared" si="100"/>
        <v>0</v>
      </c>
      <c r="AS223" s="819"/>
    </row>
    <row r="224" spans="3:50" ht="12.75" customHeight="1" x14ac:dyDescent="0.2">
      <c r="C224" s="135"/>
      <c r="D224" s="432" t="str">
        <f>IF(op!D157=0,"",op!D157)</f>
        <v/>
      </c>
      <c r="E224" s="432" t="str">
        <f>IF(op!E157=0,"",op!E157)</f>
        <v/>
      </c>
      <c r="F224" s="776" t="str">
        <f>IF(op!F157="","",op!F157+1)</f>
        <v/>
      </c>
      <c r="G224" s="802" t="str">
        <f>IF(op!G157="","",op!G157)</f>
        <v/>
      </c>
      <c r="H224" s="776" t="str">
        <f>IF(op!H157=0,"",op!H157)</f>
        <v/>
      </c>
      <c r="I224" s="433" t="str">
        <f>IF(J224="","",(IF(op!I157+1&gt;LOOKUP(H224,schaal2013,regels2013),op!I157,op!I157+1)))</f>
        <v/>
      </c>
      <c r="J224" s="803" t="str">
        <f>IF(op!J157="","",op!J157)</f>
        <v/>
      </c>
      <c r="K224" s="518"/>
      <c r="L224" s="1207">
        <f>IF(op!L157="","",op!L157)</f>
        <v>0</v>
      </c>
      <c r="M224" s="1207">
        <f>IF(op!M157="","",op!M157)</f>
        <v>0</v>
      </c>
      <c r="N224" s="1209" t="str">
        <f t="shared" si="85"/>
        <v/>
      </c>
      <c r="O224" s="1209" t="str">
        <f t="shared" si="86"/>
        <v/>
      </c>
      <c r="P224" s="1283" t="str">
        <f t="shared" si="87"/>
        <v/>
      </c>
      <c r="Q224" s="518"/>
      <c r="R224" s="1076" t="str">
        <f t="shared" si="101"/>
        <v/>
      </c>
      <c r="S224" s="1076" t="str">
        <f t="shared" si="88"/>
        <v/>
      </c>
      <c r="T224" s="1078" t="str">
        <f t="shared" si="89"/>
        <v/>
      </c>
      <c r="U224" s="599"/>
      <c r="V224" s="1261"/>
      <c r="W224" s="1261"/>
      <c r="X224" s="1218"/>
      <c r="Y224" s="1253" t="e">
        <f>ROUND(VLOOKUP(H224,tab!$A$61:$V$103,I224+2,FALSE),0)</f>
        <v>#VALUE!</v>
      </c>
      <c r="Z224" s="1252">
        <f>tab!$E$48</f>
        <v>0.62</v>
      </c>
      <c r="AA224" s="1284" t="e">
        <f t="shared" si="90"/>
        <v>#VALUE!</v>
      </c>
      <c r="AB224" s="1284" t="e">
        <f t="shared" si="91"/>
        <v>#VALUE!</v>
      </c>
      <c r="AC224" s="1284" t="e">
        <f t="shared" si="92"/>
        <v>#VALUE!</v>
      </c>
      <c r="AD224" s="1286" t="e">
        <f t="shared" si="93"/>
        <v>#VALUE!</v>
      </c>
      <c r="AE224" s="1286">
        <f t="shared" si="94"/>
        <v>0</v>
      </c>
      <c r="AF224" s="1254">
        <f>IF(H224&gt;8,tab!$D$49,tab!$D$52)</f>
        <v>0.5</v>
      </c>
      <c r="AG224" s="1255">
        <f t="shared" si="95"/>
        <v>0</v>
      </c>
      <c r="AH224" s="1251">
        <f t="shared" si="96"/>
        <v>0</v>
      </c>
      <c r="AI224" s="1278" t="e">
        <f>DATE(YEAR(tab!$H$3),MONTH(G224),DAY(G224))&gt;tab!$H$3</f>
        <v>#VALUE!</v>
      </c>
      <c r="AJ224" s="1255" t="e">
        <f t="shared" si="97"/>
        <v>#VALUE!</v>
      </c>
      <c r="AK224" s="1199">
        <f t="shared" si="98"/>
        <v>30</v>
      </c>
      <c r="AL224" s="1199">
        <f t="shared" si="99"/>
        <v>30</v>
      </c>
      <c r="AM224" s="1205">
        <f t="shared" si="100"/>
        <v>0</v>
      </c>
      <c r="AS224" s="819"/>
    </row>
    <row r="225" spans="3:45" ht="12.75" customHeight="1" x14ac:dyDescent="0.2">
      <c r="C225" s="135"/>
      <c r="D225" s="432" t="str">
        <f>IF(op!D158=0,"",op!D158)</f>
        <v/>
      </c>
      <c r="E225" s="432" t="str">
        <f>IF(op!E158=0,"",op!E158)</f>
        <v/>
      </c>
      <c r="F225" s="776" t="str">
        <f>IF(op!F158="","",op!F158+1)</f>
        <v/>
      </c>
      <c r="G225" s="802" t="str">
        <f>IF(op!G158="","",op!G158)</f>
        <v/>
      </c>
      <c r="H225" s="776" t="str">
        <f>IF(op!H158=0,"",op!H158)</f>
        <v/>
      </c>
      <c r="I225" s="433" t="str">
        <f>IF(J225="","",(IF(op!I158+1&gt;LOOKUP(H225,schaal2013,regels2013),op!I158,op!I158+1)))</f>
        <v/>
      </c>
      <c r="J225" s="803" t="str">
        <f>IF(op!J158="","",op!J158)</f>
        <v/>
      </c>
      <c r="K225" s="518"/>
      <c r="L225" s="1207">
        <f>IF(op!L158="","",op!L158)</f>
        <v>0</v>
      </c>
      <c r="M225" s="1207">
        <f>IF(op!M158="","",op!M158)</f>
        <v>0</v>
      </c>
      <c r="N225" s="1209" t="str">
        <f t="shared" si="85"/>
        <v/>
      </c>
      <c r="O225" s="1209" t="str">
        <f t="shared" si="86"/>
        <v/>
      </c>
      <c r="P225" s="1283" t="str">
        <f t="shared" si="87"/>
        <v/>
      </c>
      <c r="Q225" s="518"/>
      <c r="R225" s="1076" t="str">
        <f t="shared" si="101"/>
        <v/>
      </c>
      <c r="S225" s="1076" t="str">
        <f t="shared" si="88"/>
        <v/>
      </c>
      <c r="T225" s="1078" t="str">
        <f t="shared" si="89"/>
        <v/>
      </c>
      <c r="U225" s="599"/>
      <c r="V225" s="1261"/>
      <c r="W225" s="1261"/>
      <c r="X225" s="1218"/>
      <c r="Y225" s="1253" t="e">
        <f>ROUND(VLOOKUP(H225,tab!$A$61:$V$103,I225+2,FALSE),0)</f>
        <v>#VALUE!</v>
      </c>
      <c r="Z225" s="1252">
        <f>tab!$E$48</f>
        <v>0.62</v>
      </c>
      <c r="AA225" s="1284" t="e">
        <f t="shared" si="90"/>
        <v>#VALUE!</v>
      </c>
      <c r="AB225" s="1284" t="e">
        <f t="shared" si="91"/>
        <v>#VALUE!</v>
      </c>
      <c r="AC225" s="1284" t="e">
        <f t="shared" si="92"/>
        <v>#VALUE!</v>
      </c>
      <c r="AD225" s="1286" t="e">
        <f t="shared" si="93"/>
        <v>#VALUE!</v>
      </c>
      <c r="AE225" s="1286">
        <f t="shared" si="94"/>
        <v>0</v>
      </c>
      <c r="AF225" s="1254">
        <f>IF(H225&gt;8,tab!$D$49,tab!$D$52)</f>
        <v>0.5</v>
      </c>
      <c r="AG225" s="1255">
        <f t="shared" si="95"/>
        <v>0</v>
      </c>
      <c r="AH225" s="1251">
        <f t="shared" si="96"/>
        <v>0</v>
      </c>
      <c r="AI225" s="1278" t="e">
        <f>DATE(YEAR(tab!$H$3),MONTH(G225),DAY(G225))&gt;tab!$H$3</f>
        <v>#VALUE!</v>
      </c>
      <c r="AJ225" s="1255" t="e">
        <f t="shared" si="97"/>
        <v>#VALUE!</v>
      </c>
      <c r="AK225" s="1199">
        <f t="shared" si="98"/>
        <v>30</v>
      </c>
      <c r="AL225" s="1199">
        <f t="shared" si="99"/>
        <v>30</v>
      </c>
      <c r="AM225" s="1205">
        <f t="shared" si="100"/>
        <v>0</v>
      </c>
      <c r="AS225" s="819"/>
    </row>
    <row r="226" spans="3:45" ht="12.75" customHeight="1" x14ac:dyDescent="0.2">
      <c r="C226" s="135"/>
      <c r="D226" s="432" t="str">
        <f>IF(op!D159=0,"",op!D159)</f>
        <v/>
      </c>
      <c r="E226" s="432" t="str">
        <f>IF(op!E159=0,"",op!E159)</f>
        <v/>
      </c>
      <c r="F226" s="776" t="str">
        <f>IF(op!F159="","",op!F159+1)</f>
        <v/>
      </c>
      <c r="G226" s="802" t="str">
        <f>IF(op!G159="","",op!G159)</f>
        <v/>
      </c>
      <c r="H226" s="776" t="str">
        <f>IF(op!H159=0,"",op!H159)</f>
        <v/>
      </c>
      <c r="I226" s="433" t="str">
        <f>IF(J226="","",(IF(op!I159+1&gt;LOOKUP(H226,schaal2013,regels2013),op!I159,op!I159+1)))</f>
        <v/>
      </c>
      <c r="J226" s="803" t="str">
        <f>IF(op!J159="","",op!J159)</f>
        <v/>
      </c>
      <c r="K226" s="518"/>
      <c r="L226" s="1207">
        <f>IF(op!L159="","",op!L159)</f>
        <v>0</v>
      </c>
      <c r="M226" s="1207">
        <f>IF(op!M159="","",op!M159)</f>
        <v>0</v>
      </c>
      <c r="N226" s="1209" t="str">
        <f t="shared" si="85"/>
        <v/>
      </c>
      <c r="O226" s="1209" t="str">
        <f t="shared" si="86"/>
        <v/>
      </c>
      <c r="P226" s="1283" t="str">
        <f t="shared" si="87"/>
        <v/>
      </c>
      <c r="Q226" s="518"/>
      <c r="R226" s="1076" t="str">
        <f t="shared" si="101"/>
        <v/>
      </c>
      <c r="S226" s="1076" t="str">
        <f t="shared" si="88"/>
        <v/>
      </c>
      <c r="T226" s="1078" t="str">
        <f t="shared" si="89"/>
        <v/>
      </c>
      <c r="U226" s="599"/>
      <c r="V226" s="1261"/>
      <c r="W226" s="1261"/>
      <c r="X226" s="1218"/>
      <c r="Y226" s="1253" t="e">
        <f>ROUND(VLOOKUP(H226,tab!$A$61:$V$103,I226+2,FALSE),0)</f>
        <v>#VALUE!</v>
      </c>
      <c r="Z226" s="1252">
        <f>tab!$E$48</f>
        <v>0.62</v>
      </c>
      <c r="AA226" s="1284" t="e">
        <f t="shared" si="90"/>
        <v>#VALUE!</v>
      </c>
      <c r="AB226" s="1284" t="e">
        <f t="shared" si="91"/>
        <v>#VALUE!</v>
      </c>
      <c r="AC226" s="1284" t="e">
        <f t="shared" si="92"/>
        <v>#VALUE!</v>
      </c>
      <c r="AD226" s="1286" t="e">
        <f t="shared" si="93"/>
        <v>#VALUE!</v>
      </c>
      <c r="AE226" s="1286">
        <f t="shared" si="94"/>
        <v>0</v>
      </c>
      <c r="AF226" s="1254">
        <f>IF(H226&gt;8,tab!$D$49,tab!$D$52)</f>
        <v>0.5</v>
      </c>
      <c r="AG226" s="1255">
        <f t="shared" si="95"/>
        <v>0</v>
      </c>
      <c r="AH226" s="1251">
        <f t="shared" si="96"/>
        <v>0</v>
      </c>
      <c r="AI226" s="1278" t="e">
        <f>DATE(YEAR(tab!$H$3),MONTH(G226),DAY(G226))&gt;tab!$H$3</f>
        <v>#VALUE!</v>
      </c>
      <c r="AJ226" s="1255" t="e">
        <f t="shared" si="97"/>
        <v>#VALUE!</v>
      </c>
      <c r="AK226" s="1199">
        <f t="shared" si="98"/>
        <v>30</v>
      </c>
      <c r="AL226" s="1199">
        <f t="shared" si="99"/>
        <v>30</v>
      </c>
      <c r="AM226" s="1205">
        <f t="shared" si="100"/>
        <v>0</v>
      </c>
      <c r="AS226" s="819"/>
    </row>
    <row r="227" spans="3:45" ht="12.75" customHeight="1" x14ac:dyDescent="0.2">
      <c r="C227" s="135"/>
      <c r="D227" s="432" t="str">
        <f>IF(op!D160=0,"",op!D160)</f>
        <v/>
      </c>
      <c r="E227" s="432" t="str">
        <f>IF(op!E160=0,"",op!E160)</f>
        <v/>
      </c>
      <c r="F227" s="776" t="str">
        <f>IF(op!F160="","",op!F160+1)</f>
        <v/>
      </c>
      <c r="G227" s="802" t="str">
        <f>IF(op!G160="","",op!G160)</f>
        <v/>
      </c>
      <c r="H227" s="776" t="str">
        <f>IF(op!H160=0,"",op!H160)</f>
        <v/>
      </c>
      <c r="I227" s="433" t="str">
        <f>IF(J227="","",(IF(op!I160+1&gt;LOOKUP(H227,schaal2013,regels2013),op!I160,op!I160+1)))</f>
        <v/>
      </c>
      <c r="J227" s="803" t="str">
        <f>IF(op!J160="","",op!J160)</f>
        <v/>
      </c>
      <c r="K227" s="518"/>
      <c r="L227" s="1207">
        <f>IF(op!L160="","",op!L160)</f>
        <v>0</v>
      </c>
      <c r="M227" s="1207">
        <f>IF(op!M160="","",op!M160)</f>
        <v>0</v>
      </c>
      <c r="N227" s="1209" t="str">
        <f t="shared" si="85"/>
        <v/>
      </c>
      <c r="O227" s="1209" t="str">
        <f t="shared" si="86"/>
        <v/>
      </c>
      <c r="P227" s="1283" t="str">
        <f t="shared" si="87"/>
        <v/>
      </c>
      <c r="Q227" s="518"/>
      <c r="R227" s="1076" t="str">
        <f t="shared" si="101"/>
        <v/>
      </c>
      <c r="S227" s="1076" t="str">
        <f t="shared" si="88"/>
        <v/>
      </c>
      <c r="T227" s="1078" t="str">
        <f t="shared" si="89"/>
        <v/>
      </c>
      <c r="U227" s="599"/>
      <c r="V227" s="1261"/>
      <c r="W227" s="1261"/>
      <c r="X227" s="1218"/>
      <c r="Y227" s="1253" t="e">
        <f>ROUND(VLOOKUP(H227,tab!$A$61:$V$103,I227+2,FALSE),0)</f>
        <v>#VALUE!</v>
      </c>
      <c r="Z227" s="1252">
        <f>tab!$E$48</f>
        <v>0.62</v>
      </c>
      <c r="AA227" s="1284" t="e">
        <f t="shared" si="90"/>
        <v>#VALUE!</v>
      </c>
      <c r="AB227" s="1284" t="e">
        <f t="shared" si="91"/>
        <v>#VALUE!</v>
      </c>
      <c r="AC227" s="1284" t="e">
        <f t="shared" si="92"/>
        <v>#VALUE!</v>
      </c>
      <c r="AD227" s="1286" t="e">
        <f t="shared" si="93"/>
        <v>#VALUE!</v>
      </c>
      <c r="AE227" s="1286">
        <f t="shared" si="94"/>
        <v>0</v>
      </c>
      <c r="AF227" s="1254">
        <f>IF(H227&gt;8,tab!$D$49,tab!$D$52)</f>
        <v>0.5</v>
      </c>
      <c r="AG227" s="1255">
        <f t="shared" si="95"/>
        <v>0</v>
      </c>
      <c r="AH227" s="1251">
        <f t="shared" si="96"/>
        <v>0</v>
      </c>
      <c r="AI227" s="1278" t="e">
        <f>DATE(YEAR(tab!$H$3),MONTH(G227),DAY(G227))&gt;tab!$H$3</f>
        <v>#VALUE!</v>
      </c>
      <c r="AJ227" s="1255" t="e">
        <f t="shared" si="97"/>
        <v>#VALUE!</v>
      </c>
      <c r="AK227" s="1199">
        <f t="shared" si="98"/>
        <v>30</v>
      </c>
      <c r="AL227" s="1199">
        <f t="shared" si="99"/>
        <v>30</v>
      </c>
      <c r="AM227" s="1205">
        <f t="shared" si="100"/>
        <v>0</v>
      </c>
      <c r="AS227" s="819"/>
    </row>
    <row r="228" spans="3:45" ht="12.75" customHeight="1" x14ac:dyDescent="0.2">
      <c r="C228" s="135"/>
      <c r="D228" s="432" t="str">
        <f>IF(op!D161=0,"",op!D161)</f>
        <v/>
      </c>
      <c r="E228" s="432" t="str">
        <f>IF(op!E161=0,"",op!E161)</f>
        <v/>
      </c>
      <c r="F228" s="776" t="str">
        <f>IF(op!F161="","",op!F161+1)</f>
        <v/>
      </c>
      <c r="G228" s="802" t="str">
        <f>IF(op!G161="","",op!G161)</f>
        <v/>
      </c>
      <c r="H228" s="776" t="str">
        <f>IF(op!H161=0,"",op!H161)</f>
        <v/>
      </c>
      <c r="I228" s="433" t="str">
        <f>IF(J228="","",(IF(op!I161+1&gt;LOOKUP(H228,schaal2013,regels2013),op!I161,op!I161+1)))</f>
        <v/>
      </c>
      <c r="J228" s="803" t="str">
        <f>IF(op!J161="","",op!J161)</f>
        <v/>
      </c>
      <c r="K228" s="518"/>
      <c r="L228" s="1207">
        <f>IF(op!L161="","",op!L161)</f>
        <v>0</v>
      </c>
      <c r="M228" s="1207">
        <f>IF(op!M161="","",op!M161)</f>
        <v>0</v>
      </c>
      <c r="N228" s="1209" t="str">
        <f t="shared" si="85"/>
        <v/>
      </c>
      <c r="O228" s="1209" t="str">
        <f t="shared" si="86"/>
        <v/>
      </c>
      <c r="P228" s="1283" t="str">
        <f t="shared" si="87"/>
        <v/>
      </c>
      <c r="Q228" s="518"/>
      <c r="R228" s="1076" t="str">
        <f t="shared" si="101"/>
        <v/>
      </c>
      <c r="S228" s="1076" t="str">
        <f t="shared" si="88"/>
        <v/>
      </c>
      <c r="T228" s="1078" t="str">
        <f t="shared" si="89"/>
        <v/>
      </c>
      <c r="U228" s="599"/>
      <c r="V228" s="1261"/>
      <c r="W228" s="1261"/>
      <c r="X228" s="1218"/>
      <c r="Y228" s="1253" t="e">
        <f>ROUND(VLOOKUP(H228,tab!$A$61:$V$103,I228+2,FALSE),0)</f>
        <v>#VALUE!</v>
      </c>
      <c r="Z228" s="1252">
        <f>tab!$E$48</f>
        <v>0.62</v>
      </c>
      <c r="AA228" s="1284" t="e">
        <f t="shared" si="90"/>
        <v>#VALUE!</v>
      </c>
      <c r="AB228" s="1284" t="e">
        <f t="shared" si="91"/>
        <v>#VALUE!</v>
      </c>
      <c r="AC228" s="1284" t="e">
        <f t="shared" si="92"/>
        <v>#VALUE!</v>
      </c>
      <c r="AD228" s="1286" t="e">
        <f t="shared" si="93"/>
        <v>#VALUE!</v>
      </c>
      <c r="AE228" s="1286">
        <f t="shared" si="94"/>
        <v>0</v>
      </c>
      <c r="AF228" s="1254">
        <f>IF(H228&gt;8,tab!$D$49,tab!$D$52)</f>
        <v>0.5</v>
      </c>
      <c r="AG228" s="1255">
        <f t="shared" si="95"/>
        <v>0</v>
      </c>
      <c r="AH228" s="1251">
        <f t="shared" si="96"/>
        <v>0</v>
      </c>
      <c r="AI228" s="1278" t="e">
        <f>DATE(YEAR(tab!$H$3),MONTH(G228),DAY(G228))&gt;tab!$H$3</f>
        <v>#VALUE!</v>
      </c>
      <c r="AJ228" s="1255" t="e">
        <f t="shared" si="97"/>
        <v>#VALUE!</v>
      </c>
      <c r="AK228" s="1199">
        <f t="shared" si="98"/>
        <v>30</v>
      </c>
      <c r="AL228" s="1199">
        <f t="shared" si="99"/>
        <v>30</v>
      </c>
      <c r="AM228" s="1205">
        <f t="shared" si="100"/>
        <v>0</v>
      </c>
      <c r="AS228" s="819"/>
    </row>
    <row r="229" spans="3:45" ht="12.75" customHeight="1" x14ac:dyDescent="0.2">
      <c r="C229" s="135"/>
      <c r="D229" s="432" t="str">
        <f>IF(op!D162=0,"",op!D162)</f>
        <v/>
      </c>
      <c r="E229" s="432" t="str">
        <f>IF(op!E162=0,"",op!E162)</f>
        <v/>
      </c>
      <c r="F229" s="776" t="str">
        <f>IF(op!F162="","",op!F162+1)</f>
        <v/>
      </c>
      <c r="G229" s="802" t="str">
        <f>IF(op!G162="","",op!G162)</f>
        <v/>
      </c>
      <c r="H229" s="776" t="str">
        <f>IF(op!H162=0,"",op!H162)</f>
        <v/>
      </c>
      <c r="I229" s="433" t="str">
        <f>IF(J229="","",(IF(op!I162+1&gt;LOOKUP(H229,schaal2013,regels2013),op!I162,op!I162+1)))</f>
        <v/>
      </c>
      <c r="J229" s="803" t="str">
        <f>IF(op!J162="","",op!J162)</f>
        <v/>
      </c>
      <c r="K229" s="518"/>
      <c r="L229" s="1207">
        <f>IF(op!L162="","",op!L162)</f>
        <v>0</v>
      </c>
      <c r="M229" s="1207">
        <f>IF(op!M162="","",op!M162)</f>
        <v>0</v>
      </c>
      <c r="N229" s="1209" t="str">
        <f t="shared" si="85"/>
        <v/>
      </c>
      <c r="O229" s="1209" t="str">
        <f t="shared" si="86"/>
        <v/>
      </c>
      <c r="P229" s="1283" t="str">
        <f t="shared" si="87"/>
        <v/>
      </c>
      <c r="Q229" s="518"/>
      <c r="R229" s="1076" t="str">
        <f t="shared" si="101"/>
        <v/>
      </c>
      <c r="S229" s="1076" t="str">
        <f t="shared" si="88"/>
        <v/>
      </c>
      <c r="T229" s="1078" t="str">
        <f t="shared" si="89"/>
        <v/>
      </c>
      <c r="U229" s="599"/>
      <c r="V229" s="1261"/>
      <c r="W229" s="1261"/>
      <c r="X229" s="1218"/>
      <c r="Y229" s="1253" t="e">
        <f>ROUND(VLOOKUP(H229,tab!$A$61:$V$103,I229+2,FALSE),0)</f>
        <v>#VALUE!</v>
      </c>
      <c r="Z229" s="1252">
        <f>tab!$E$48</f>
        <v>0.62</v>
      </c>
      <c r="AA229" s="1284" t="e">
        <f t="shared" si="90"/>
        <v>#VALUE!</v>
      </c>
      <c r="AB229" s="1284" t="e">
        <f t="shared" si="91"/>
        <v>#VALUE!</v>
      </c>
      <c r="AC229" s="1284" t="e">
        <f t="shared" si="92"/>
        <v>#VALUE!</v>
      </c>
      <c r="AD229" s="1286" t="e">
        <f t="shared" si="93"/>
        <v>#VALUE!</v>
      </c>
      <c r="AE229" s="1286">
        <f t="shared" si="94"/>
        <v>0</v>
      </c>
      <c r="AF229" s="1254">
        <f>IF(H229&gt;8,tab!$D$49,tab!$D$52)</f>
        <v>0.5</v>
      </c>
      <c r="AG229" s="1255">
        <f t="shared" si="95"/>
        <v>0</v>
      </c>
      <c r="AH229" s="1251">
        <f t="shared" si="96"/>
        <v>0</v>
      </c>
      <c r="AI229" s="1278" t="e">
        <f>DATE(YEAR(tab!$H$3),MONTH(G229),DAY(G229))&gt;tab!$H$3</f>
        <v>#VALUE!</v>
      </c>
      <c r="AJ229" s="1255" t="e">
        <f t="shared" si="97"/>
        <v>#VALUE!</v>
      </c>
      <c r="AK229" s="1199">
        <f t="shared" si="98"/>
        <v>30</v>
      </c>
      <c r="AL229" s="1199">
        <f t="shared" si="99"/>
        <v>30</v>
      </c>
      <c r="AM229" s="1205">
        <f t="shared" si="100"/>
        <v>0</v>
      </c>
      <c r="AS229" s="819"/>
    </row>
    <row r="230" spans="3:45" ht="12.75" customHeight="1" x14ac:dyDescent="0.2">
      <c r="C230" s="135"/>
      <c r="D230" s="432" t="str">
        <f>IF(op!D163=0,"",op!D163)</f>
        <v/>
      </c>
      <c r="E230" s="432" t="str">
        <f>IF(op!E163=0,"",op!E163)</f>
        <v/>
      </c>
      <c r="F230" s="776" t="str">
        <f>IF(op!F163="","",op!F163+1)</f>
        <v/>
      </c>
      <c r="G230" s="802" t="str">
        <f>IF(op!G163="","",op!G163)</f>
        <v/>
      </c>
      <c r="H230" s="776" t="str">
        <f>IF(op!H163=0,"",op!H163)</f>
        <v/>
      </c>
      <c r="I230" s="433" t="str">
        <f>IF(J230="","",(IF(op!I163+1&gt;LOOKUP(H230,schaal2013,regels2013),op!I163,op!I163+1)))</f>
        <v/>
      </c>
      <c r="J230" s="803" t="str">
        <f>IF(op!J163="","",op!J163)</f>
        <v/>
      </c>
      <c r="K230" s="518"/>
      <c r="L230" s="1207">
        <f>IF(op!L163="","",op!L163)</f>
        <v>0</v>
      </c>
      <c r="M230" s="1207">
        <f>IF(op!M163="","",op!M163)</f>
        <v>0</v>
      </c>
      <c r="N230" s="1209" t="str">
        <f t="shared" si="85"/>
        <v/>
      </c>
      <c r="O230" s="1209" t="str">
        <f t="shared" si="86"/>
        <v/>
      </c>
      <c r="P230" s="1283" t="str">
        <f t="shared" si="87"/>
        <v/>
      </c>
      <c r="Q230" s="518"/>
      <c r="R230" s="1076" t="str">
        <f t="shared" si="101"/>
        <v/>
      </c>
      <c r="S230" s="1076" t="str">
        <f t="shared" si="88"/>
        <v/>
      </c>
      <c r="T230" s="1078" t="str">
        <f t="shared" si="89"/>
        <v/>
      </c>
      <c r="U230" s="599"/>
      <c r="V230" s="1261"/>
      <c r="W230" s="1261"/>
      <c r="X230" s="1218"/>
      <c r="Y230" s="1253" t="e">
        <f>ROUND(VLOOKUP(H230,tab!$A$61:$V$103,I230+2,FALSE),0)</f>
        <v>#VALUE!</v>
      </c>
      <c r="Z230" s="1252">
        <f>tab!$E$48</f>
        <v>0.62</v>
      </c>
      <c r="AA230" s="1284" t="e">
        <f t="shared" si="90"/>
        <v>#VALUE!</v>
      </c>
      <c r="AB230" s="1284" t="e">
        <f t="shared" si="91"/>
        <v>#VALUE!</v>
      </c>
      <c r="AC230" s="1284" t="e">
        <f t="shared" si="92"/>
        <v>#VALUE!</v>
      </c>
      <c r="AD230" s="1286" t="e">
        <f t="shared" si="93"/>
        <v>#VALUE!</v>
      </c>
      <c r="AE230" s="1286">
        <f t="shared" si="94"/>
        <v>0</v>
      </c>
      <c r="AF230" s="1254">
        <f>IF(H230&gt;8,tab!$D$49,tab!$D$52)</f>
        <v>0.5</v>
      </c>
      <c r="AG230" s="1255">
        <f t="shared" si="95"/>
        <v>0</v>
      </c>
      <c r="AH230" s="1251">
        <f t="shared" si="96"/>
        <v>0</v>
      </c>
      <c r="AI230" s="1278" t="e">
        <f>DATE(YEAR(tab!$H$3),MONTH(G230),DAY(G230))&gt;tab!$H$3</f>
        <v>#VALUE!</v>
      </c>
      <c r="AJ230" s="1255" t="e">
        <f t="shared" si="97"/>
        <v>#VALUE!</v>
      </c>
      <c r="AK230" s="1199">
        <f t="shared" si="98"/>
        <v>30</v>
      </c>
      <c r="AL230" s="1199">
        <f t="shared" si="99"/>
        <v>30</v>
      </c>
      <c r="AM230" s="1205">
        <f t="shared" si="100"/>
        <v>0</v>
      </c>
      <c r="AS230" s="819"/>
    </row>
    <row r="231" spans="3:45" ht="12.75" customHeight="1" x14ac:dyDescent="0.2">
      <c r="C231" s="135"/>
      <c r="D231" s="432" t="str">
        <f>IF(op!D164=0,"",op!D164)</f>
        <v/>
      </c>
      <c r="E231" s="432" t="str">
        <f>IF(op!E164=0,"",op!E164)</f>
        <v/>
      </c>
      <c r="F231" s="776" t="str">
        <f>IF(op!F164="","",op!F164+1)</f>
        <v/>
      </c>
      <c r="G231" s="802" t="str">
        <f>IF(op!G164="","",op!G164)</f>
        <v/>
      </c>
      <c r="H231" s="776" t="str">
        <f>IF(op!H164=0,"",op!H164)</f>
        <v/>
      </c>
      <c r="I231" s="433" t="str">
        <f>IF(J231="","",(IF(op!I164+1&gt;LOOKUP(H231,schaal2013,regels2013),op!I164,op!I164+1)))</f>
        <v/>
      </c>
      <c r="J231" s="803" t="str">
        <f>IF(op!J164="","",op!J164)</f>
        <v/>
      </c>
      <c r="K231" s="518"/>
      <c r="L231" s="1207">
        <f>IF(op!L164="","",op!L164)</f>
        <v>0</v>
      </c>
      <c r="M231" s="1207">
        <f>IF(op!M164="","",op!M164)</f>
        <v>0</v>
      </c>
      <c r="N231" s="1209" t="str">
        <f t="shared" si="85"/>
        <v/>
      </c>
      <c r="O231" s="1209" t="str">
        <f t="shared" si="86"/>
        <v/>
      </c>
      <c r="P231" s="1283" t="str">
        <f t="shared" si="87"/>
        <v/>
      </c>
      <c r="Q231" s="518"/>
      <c r="R231" s="1076" t="str">
        <f t="shared" si="101"/>
        <v/>
      </c>
      <c r="S231" s="1076" t="str">
        <f t="shared" si="88"/>
        <v/>
      </c>
      <c r="T231" s="1078" t="str">
        <f t="shared" si="89"/>
        <v/>
      </c>
      <c r="U231" s="599"/>
      <c r="V231" s="1261"/>
      <c r="W231" s="1261"/>
      <c r="X231" s="1218"/>
      <c r="Y231" s="1253" t="e">
        <f>ROUND(VLOOKUP(H231,tab!$A$61:$V$103,I231+2,FALSE),0)</f>
        <v>#VALUE!</v>
      </c>
      <c r="Z231" s="1252">
        <f>tab!$E$48</f>
        <v>0.62</v>
      </c>
      <c r="AA231" s="1284" t="e">
        <f t="shared" si="90"/>
        <v>#VALUE!</v>
      </c>
      <c r="AB231" s="1284" t="e">
        <f t="shared" si="91"/>
        <v>#VALUE!</v>
      </c>
      <c r="AC231" s="1284" t="e">
        <f t="shared" si="92"/>
        <v>#VALUE!</v>
      </c>
      <c r="AD231" s="1286" t="e">
        <f t="shared" si="93"/>
        <v>#VALUE!</v>
      </c>
      <c r="AE231" s="1286">
        <f t="shared" si="94"/>
        <v>0</v>
      </c>
      <c r="AF231" s="1254">
        <f>IF(H231&gt;8,tab!$D$49,tab!$D$52)</f>
        <v>0.5</v>
      </c>
      <c r="AG231" s="1255">
        <f t="shared" si="95"/>
        <v>0</v>
      </c>
      <c r="AH231" s="1251">
        <f t="shared" si="96"/>
        <v>0</v>
      </c>
      <c r="AI231" s="1278" t="e">
        <f>DATE(YEAR(tab!$H$3),MONTH(G231),DAY(G231))&gt;tab!$H$3</f>
        <v>#VALUE!</v>
      </c>
      <c r="AJ231" s="1255" t="e">
        <f t="shared" si="97"/>
        <v>#VALUE!</v>
      </c>
      <c r="AK231" s="1199">
        <f t="shared" si="98"/>
        <v>30</v>
      </c>
      <c r="AL231" s="1199">
        <f t="shared" si="99"/>
        <v>30</v>
      </c>
      <c r="AM231" s="1205">
        <f t="shared" si="100"/>
        <v>0</v>
      </c>
      <c r="AS231" s="819"/>
    </row>
    <row r="232" spans="3:45" ht="12.75" customHeight="1" x14ac:dyDescent="0.2">
      <c r="C232" s="135"/>
      <c r="D232" s="432" t="str">
        <f>IF(op!D165=0,"",op!D165)</f>
        <v/>
      </c>
      <c r="E232" s="432" t="str">
        <f>IF(op!E165=0,"",op!E165)</f>
        <v/>
      </c>
      <c r="F232" s="776" t="str">
        <f>IF(op!F165="","",op!F165+1)</f>
        <v/>
      </c>
      <c r="G232" s="802" t="str">
        <f>IF(op!G165="","",op!G165)</f>
        <v/>
      </c>
      <c r="H232" s="776" t="str">
        <f>IF(op!H165=0,"",op!H165)</f>
        <v/>
      </c>
      <c r="I232" s="433" t="str">
        <f>IF(J232="","",(IF(op!I165+1&gt;LOOKUP(H232,schaal2013,regels2013),op!I165,op!I165+1)))</f>
        <v/>
      </c>
      <c r="J232" s="803" t="str">
        <f>IF(op!J165="","",op!J165)</f>
        <v/>
      </c>
      <c r="K232" s="518"/>
      <c r="L232" s="1207">
        <f>IF(op!L165="","",op!L165)</f>
        <v>0</v>
      </c>
      <c r="M232" s="1207">
        <f>IF(op!M165="","",op!M165)</f>
        <v>0</v>
      </c>
      <c r="N232" s="1209" t="str">
        <f t="shared" si="85"/>
        <v/>
      </c>
      <c r="O232" s="1209" t="str">
        <f t="shared" si="86"/>
        <v/>
      </c>
      <c r="P232" s="1283" t="str">
        <f t="shared" si="87"/>
        <v/>
      </c>
      <c r="Q232" s="518"/>
      <c r="R232" s="1076" t="str">
        <f t="shared" si="101"/>
        <v/>
      </c>
      <c r="S232" s="1076" t="str">
        <f t="shared" si="88"/>
        <v/>
      </c>
      <c r="T232" s="1078" t="str">
        <f t="shared" si="89"/>
        <v/>
      </c>
      <c r="U232" s="599"/>
      <c r="V232" s="1261"/>
      <c r="W232" s="1261"/>
      <c r="X232" s="1218"/>
      <c r="Y232" s="1253" t="e">
        <f>ROUND(VLOOKUP(H232,tab!$A$61:$V$103,I232+2,FALSE),0)</f>
        <v>#VALUE!</v>
      </c>
      <c r="Z232" s="1252">
        <f>tab!$E$48</f>
        <v>0.62</v>
      </c>
      <c r="AA232" s="1284" t="e">
        <f t="shared" si="90"/>
        <v>#VALUE!</v>
      </c>
      <c r="AB232" s="1284" t="e">
        <f t="shared" si="91"/>
        <v>#VALUE!</v>
      </c>
      <c r="AC232" s="1284" t="e">
        <f t="shared" si="92"/>
        <v>#VALUE!</v>
      </c>
      <c r="AD232" s="1286" t="e">
        <f t="shared" si="93"/>
        <v>#VALUE!</v>
      </c>
      <c r="AE232" s="1286">
        <f t="shared" si="94"/>
        <v>0</v>
      </c>
      <c r="AF232" s="1254">
        <f>IF(H232&gt;8,tab!$D$49,tab!$D$52)</f>
        <v>0.5</v>
      </c>
      <c r="AG232" s="1255">
        <f t="shared" si="95"/>
        <v>0</v>
      </c>
      <c r="AH232" s="1251">
        <f t="shared" si="96"/>
        <v>0</v>
      </c>
      <c r="AI232" s="1278" t="e">
        <f>DATE(YEAR(tab!$H$3),MONTH(G232),DAY(G232))&gt;tab!$H$3</f>
        <v>#VALUE!</v>
      </c>
      <c r="AJ232" s="1255" t="e">
        <f t="shared" si="97"/>
        <v>#VALUE!</v>
      </c>
      <c r="AK232" s="1199">
        <f t="shared" si="98"/>
        <v>30</v>
      </c>
      <c r="AL232" s="1199">
        <f t="shared" si="99"/>
        <v>30</v>
      </c>
      <c r="AM232" s="1205">
        <f t="shared" si="100"/>
        <v>0</v>
      </c>
      <c r="AS232" s="819"/>
    </row>
    <row r="233" spans="3:45" ht="12.75" customHeight="1" x14ac:dyDescent="0.2">
      <c r="C233" s="135"/>
      <c r="D233" s="432" t="str">
        <f>IF(op!D166=0,"",op!D166)</f>
        <v/>
      </c>
      <c r="E233" s="432" t="str">
        <f>IF(op!E166=0,"",op!E166)</f>
        <v/>
      </c>
      <c r="F233" s="776" t="str">
        <f>IF(op!F166="","",op!F166+1)</f>
        <v/>
      </c>
      <c r="G233" s="802" t="str">
        <f>IF(op!G166="","",op!G166)</f>
        <v/>
      </c>
      <c r="H233" s="776" t="str">
        <f>IF(op!H166=0,"",op!H166)</f>
        <v/>
      </c>
      <c r="I233" s="433" t="str">
        <f>IF(J233="","",(IF(op!I166+1&gt;LOOKUP(H233,schaal2013,regels2013),op!I166,op!I166+1)))</f>
        <v/>
      </c>
      <c r="J233" s="803" t="str">
        <f>IF(op!J166="","",op!J166)</f>
        <v/>
      </c>
      <c r="K233" s="518"/>
      <c r="L233" s="1207">
        <f>IF(op!L166="","",op!L166)</f>
        <v>0</v>
      </c>
      <c r="M233" s="1207">
        <f>IF(op!M166="","",op!M166)</f>
        <v>0</v>
      </c>
      <c r="N233" s="1209" t="str">
        <f t="shared" si="85"/>
        <v/>
      </c>
      <c r="O233" s="1209" t="str">
        <f t="shared" si="86"/>
        <v/>
      </c>
      <c r="P233" s="1283" t="str">
        <f t="shared" si="87"/>
        <v/>
      </c>
      <c r="Q233" s="518"/>
      <c r="R233" s="1076" t="str">
        <f t="shared" si="101"/>
        <v/>
      </c>
      <c r="S233" s="1076" t="str">
        <f t="shared" si="88"/>
        <v/>
      </c>
      <c r="T233" s="1078" t="str">
        <f t="shared" si="89"/>
        <v/>
      </c>
      <c r="U233" s="599"/>
      <c r="V233" s="1261"/>
      <c r="W233" s="1261"/>
      <c r="X233" s="1218"/>
      <c r="Y233" s="1253" t="e">
        <f>ROUND(VLOOKUP(H233,tab!$A$61:$V$103,I233+2,FALSE),0)</f>
        <v>#VALUE!</v>
      </c>
      <c r="Z233" s="1252">
        <f>tab!$E$48</f>
        <v>0.62</v>
      </c>
      <c r="AA233" s="1284" t="e">
        <f t="shared" si="90"/>
        <v>#VALUE!</v>
      </c>
      <c r="AB233" s="1284" t="e">
        <f t="shared" si="91"/>
        <v>#VALUE!</v>
      </c>
      <c r="AC233" s="1284" t="e">
        <f t="shared" si="92"/>
        <v>#VALUE!</v>
      </c>
      <c r="AD233" s="1286" t="e">
        <f t="shared" si="93"/>
        <v>#VALUE!</v>
      </c>
      <c r="AE233" s="1286">
        <f t="shared" si="94"/>
        <v>0</v>
      </c>
      <c r="AF233" s="1254">
        <f>IF(H233&gt;8,tab!$D$49,tab!$D$52)</f>
        <v>0.5</v>
      </c>
      <c r="AG233" s="1255">
        <f t="shared" si="95"/>
        <v>0</v>
      </c>
      <c r="AH233" s="1251">
        <f t="shared" si="96"/>
        <v>0</v>
      </c>
      <c r="AI233" s="1278" t="e">
        <f>DATE(YEAR(tab!$H$3),MONTH(G233),DAY(G233))&gt;tab!$H$3</f>
        <v>#VALUE!</v>
      </c>
      <c r="AJ233" s="1255" t="e">
        <f t="shared" si="97"/>
        <v>#VALUE!</v>
      </c>
      <c r="AK233" s="1199">
        <f t="shared" si="98"/>
        <v>30</v>
      </c>
      <c r="AL233" s="1199">
        <f t="shared" si="99"/>
        <v>30</v>
      </c>
      <c r="AM233" s="1205">
        <f t="shared" si="100"/>
        <v>0</v>
      </c>
      <c r="AS233" s="819"/>
    </row>
    <row r="234" spans="3:45" ht="12.75" customHeight="1" x14ac:dyDescent="0.2">
      <c r="C234" s="135"/>
      <c r="D234" s="432" t="str">
        <f>IF(op!D167=0,"",op!D167)</f>
        <v/>
      </c>
      <c r="E234" s="432" t="str">
        <f>IF(op!E167=0,"",op!E167)</f>
        <v/>
      </c>
      <c r="F234" s="776" t="str">
        <f>IF(op!F167="","",op!F167+1)</f>
        <v/>
      </c>
      <c r="G234" s="802" t="str">
        <f>IF(op!G167="","",op!G167)</f>
        <v/>
      </c>
      <c r="H234" s="776" t="str">
        <f>IF(op!H167=0,"",op!H167)</f>
        <v/>
      </c>
      <c r="I234" s="433" t="str">
        <f>IF(J234="","",(IF(op!I167+1&gt;LOOKUP(H234,schaal2013,regels2013),op!I167,op!I167+1)))</f>
        <v/>
      </c>
      <c r="J234" s="803" t="str">
        <f>IF(op!J167="","",op!J167)</f>
        <v/>
      </c>
      <c r="K234" s="518"/>
      <c r="L234" s="1207">
        <f>IF(op!L167="","",op!L167)</f>
        <v>0</v>
      </c>
      <c r="M234" s="1207">
        <f>IF(op!M167="","",op!M167)</f>
        <v>0</v>
      </c>
      <c r="N234" s="1209" t="str">
        <f t="shared" si="85"/>
        <v/>
      </c>
      <c r="O234" s="1209" t="str">
        <f t="shared" si="86"/>
        <v/>
      </c>
      <c r="P234" s="1283" t="str">
        <f t="shared" si="87"/>
        <v/>
      </c>
      <c r="Q234" s="518"/>
      <c r="R234" s="1076" t="str">
        <f t="shared" si="101"/>
        <v/>
      </c>
      <c r="S234" s="1076" t="str">
        <f t="shared" si="88"/>
        <v/>
      </c>
      <c r="T234" s="1078" t="str">
        <f t="shared" si="89"/>
        <v/>
      </c>
      <c r="U234" s="599"/>
      <c r="V234" s="1261"/>
      <c r="W234" s="1261"/>
      <c r="X234" s="1218"/>
      <c r="Y234" s="1253" t="e">
        <f>ROUND(VLOOKUP(H234,tab!$A$61:$V$103,I234+2,FALSE),0)</f>
        <v>#VALUE!</v>
      </c>
      <c r="Z234" s="1252">
        <f>tab!$E$48</f>
        <v>0.62</v>
      </c>
      <c r="AA234" s="1284" t="e">
        <f t="shared" si="90"/>
        <v>#VALUE!</v>
      </c>
      <c r="AB234" s="1284" t="e">
        <f t="shared" si="91"/>
        <v>#VALUE!</v>
      </c>
      <c r="AC234" s="1284" t="e">
        <f t="shared" si="92"/>
        <v>#VALUE!</v>
      </c>
      <c r="AD234" s="1286" t="e">
        <f t="shared" si="93"/>
        <v>#VALUE!</v>
      </c>
      <c r="AE234" s="1286">
        <f t="shared" si="94"/>
        <v>0</v>
      </c>
      <c r="AF234" s="1254">
        <f>IF(H234&gt;8,tab!$D$49,tab!$D$52)</f>
        <v>0.5</v>
      </c>
      <c r="AG234" s="1255">
        <f t="shared" si="95"/>
        <v>0</v>
      </c>
      <c r="AH234" s="1251">
        <f t="shared" si="96"/>
        <v>0</v>
      </c>
      <c r="AI234" s="1278" t="e">
        <f>DATE(YEAR(tab!$H$3),MONTH(G234),DAY(G234))&gt;tab!$H$3</f>
        <v>#VALUE!</v>
      </c>
      <c r="AJ234" s="1255" t="e">
        <f t="shared" si="97"/>
        <v>#VALUE!</v>
      </c>
      <c r="AK234" s="1199">
        <f t="shared" si="98"/>
        <v>30</v>
      </c>
      <c r="AL234" s="1199">
        <f t="shared" si="99"/>
        <v>30</v>
      </c>
      <c r="AM234" s="1205">
        <f t="shared" si="100"/>
        <v>0</v>
      </c>
      <c r="AS234" s="819"/>
    </row>
    <row r="235" spans="3:45" ht="12.75" customHeight="1" x14ac:dyDescent="0.2">
      <c r="C235" s="135"/>
      <c r="D235" s="432" t="str">
        <f>IF(op!D168=0,"",op!D168)</f>
        <v/>
      </c>
      <c r="E235" s="432" t="str">
        <f>IF(op!E168=0,"",op!E168)</f>
        <v/>
      </c>
      <c r="F235" s="776" t="str">
        <f>IF(op!F168="","",op!F168+1)</f>
        <v/>
      </c>
      <c r="G235" s="802" t="str">
        <f>IF(op!G168="","",op!G168)</f>
        <v/>
      </c>
      <c r="H235" s="776" t="str">
        <f>IF(op!H168=0,"",op!H168)</f>
        <v/>
      </c>
      <c r="I235" s="433" t="str">
        <f>IF(J235="","",(IF(op!I168+1&gt;LOOKUP(H235,schaal2013,regels2013),op!I168,op!I168+1)))</f>
        <v/>
      </c>
      <c r="J235" s="803" t="str">
        <f>IF(op!J168="","",op!J168)</f>
        <v/>
      </c>
      <c r="K235" s="518"/>
      <c r="L235" s="1207">
        <f>IF(op!L168="","",op!L168)</f>
        <v>0</v>
      </c>
      <c r="M235" s="1207">
        <f>IF(op!M168="","",op!M168)</f>
        <v>0</v>
      </c>
      <c r="N235" s="1209" t="str">
        <f t="shared" si="85"/>
        <v/>
      </c>
      <c r="O235" s="1209" t="str">
        <f t="shared" si="86"/>
        <v/>
      </c>
      <c r="P235" s="1283" t="str">
        <f t="shared" si="87"/>
        <v/>
      </c>
      <c r="Q235" s="518"/>
      <c r="R235" s="1076" t="str">
        <f t="shared" si="101"/>
        <v/>
      </c>
      <c r="S235" s="1076" t="str">
        <f t="shared" si="88"/>
        <v/>
      </c>
      <c r="T235" s="1078" t="str">
        <f t="shared" si="89"/>
        <v/>
      </c>
      <c r="U235" s="599"/>
      <c r="V235" s="1261"/>
      <c r="W235" s="1261"/>
      <c r="X235" s="1218"/>
      <c r="Y235" s="1253" t="e">
        <f>ROUND(VLOOKUP(H235,tab!$A$61:$V$103,I235+2,FALSE),0)</f>
        <v>#VALUE!</v>
      </c>
      <c r="Z235" s="1252">
        <f>tab!$E$48</f>
        <v>0.62</v>
      </c>
      <c r="AA235" s="1284" t="e">
        <f t="shared" si="90"/>
        <v>#VALUE!</v>
      </c>
      <c r="AB235" s="1284" t="e">
        <f t="shared" si="91"/>
        <v>#VALUE!</v>
      </c>
      <c r="AC235" s="1284" t="e">
        <f t="shared" si="92"/>
        <v>#VALUE!</v>
      </c>
      <c r="AD235" s="1286" t="e">
        <f t="shared" si="93"/>
        <v>#VALUE!</v>
      </c>
      <c r="AE235" s="1286">
        <f t="shared" si="94"/>
        <v>0</v>
      </c>
      <c r="AF235" s="1254">
        <f>IF(H235&gt;8,tab!$D$49,tab!$D$52)</f>
        <v>0.5</v>
      </c>
      <c r="AG235" s="1255">
        <f t="shared" si="95"/>
        <v>0</v>
      </c>
      <c r="AH235" s="1251">
        <f t="shared" si="96"/>
        <v>0</v>
      </c>
      <c r="AI235" s="1278" t="e">
        <f>DATE(YEAR(tab!$H$3),MONTH(G235),DAY(G235))&gt;tab!$H$3</f>
        <v>#VALUE!</v>
      </c>
      <c r="AJ235" s="1255" t="e">
        <f t="shared" si="97"/>
        <v>#VALUE!</v>
      </c>
      <c r="AK235" s="1199">
        <f t="shared" si="98"/>
        <v>30</v>
      </c>
      <c r="AL235" s="1199">
        <f t="shared" si="99"/>
        <v>30</v>
      </c>
      <c r="AM235" s="1205">
        <f t="shared" si="100"/>
        <v>0</v>
      </c>
      <c r="AS235" s="819"/>
    </row>
    <row r="236" spans="3:45" ht="12.75" customHeight="1" x14ac:dyDescent="0.2">
      <c r="C236" s="135"/>
      <c r="D236" s="432" t="str">
        <f>IF(op!D169=0,"",op!D169)</f>
        <v/>
      </c>
      <c r="E236" s="432" t="str">
        <f>IF(op!E169=0,"",op!E169)</f>
        <v/>
      </c>
      <c r="F236" s="776" t="str">
        <f>IF(op!F169="","",op!F169+1)</f>
        <v/>
      </c>
      <c r="G236" s="802" t="str">
        <f>IF(op!G169="","",op!G169)</f>
        <v/>
      </c>
      <c r="H236" s="776" t="str">
        <f>IF(op!H169=0,"",op!H169)</f>
        <v/>
      </c>
      <c r="I236" s="433" t="str">
        <f>IF(J236="","",(IF(op!I169+1&gt;LOOKUP(H236,schaal2013,regels2013),op!I169,op!I169+1)))</f>
        <v/>
      </c>
      <c r="J236" s="803" t="str">
        <f>IF(op!J169="","",op!J169)</f>
        <v/>
      </c>
      <c r="K236" s="518"/>
      <c r="L236" s="1207">
        <f>IF(op!L169="","",op!L169)</f>
        <v>0</v>
      </c>
      <c r="M236" s="1207">
        <f>IF(op!M169="","",op!M169)</f>
        <v>0</v>
      </c>
      <c r="N236" s="1209" t="str">
        <f t="shared" si="85"/>
        <v/>
      </c>
      <c r="O236" s="1209" t="str">
        <f t="shared" si="86"/>
        <v/>
      </c>
      <c r="P236" s="1283" t="str">
        <f t="shared" si="87"/>
        <v/>
      </c>
      <c r="Q236" s="518"/>
      <c r="R236" s="1076" t="str">
        <f t="shared" si="101"/>
        <v/>
      </c>
      <c r="S236" s="1076" t="str">
        <f t="shared" si="88"/>
        <v/>
      </c>
      <c r="T236" s="1078" t="str">
        <f t="shared" si="89"/>
        <v/>
      </c>
      <c r="U236" s="599"/>
      <c r="V236" s="1261"/>
      <c r="W236" s="1261"/>
      <c r="X236" s="1218"/>
      <c r="Y236" s="1253" t="e">
        <f>ROUND(VLOOKUP(H236,tab!$A$61:$V$103,I236+2,FALSE),0)</f>
        <v>#VALUE!</v>
      </c>
      <c r="Z236" s="1252">
        <f>tab!$E$48</f>
        <v>0.62</v>
      </c>
      <c r="AA236" s="1284" t="e">
        <f t="shared" si="90"/>
        <v>#VALUE!</v>
      </c>
      <c r="AB236" s="1284" t="e">
        <f t="shared" si="91"/>
        <v>#VALUE!</v>
      </c>
      <c r="AC236" s="1284" t="e">
        <f t="shared" si="92"/>
        <v>#VALUE!</v>
      </c>
      <c r="AD236" s="1286" t="e">
        <f t="shared" si="93"/>
        <v>#VALUE!</v>
      </c>
      <c r="AE236" s="1286">
        <f t="shared" si="94"/>
        <v>0</v>
      </c>
      <c r="AF236" s="1254">
        <f>IF(H236&gt;8,tab!$D$49,tab!$D$52)</f>
        <v>0.5</v>
      </c>
      <c r="AG236" s="1255">
        <f t="shared" si="95"/>
        <v>0</v>
      </c>
      <c r="AH236" s="1251">
        <f t="shared" si="96"/>
        <v>0</v>
      </c>
      <c r="AI236" s="1278" t="e">
        <f>DATE(YEAR(tab!$H$3),MONTH(G236),DAY(G236))&gt;tab!$H$3</f>
        <v>#VALUE!</v>
      </c>
      <c r="AJ236" s="1255" t="e">
        <f t="shared" si="97"/>
        <v>#VALUE!</v>
      </c>
      <c r="AK236" s="1199">
        <f t="shared" si="98"/>
        <v>30</v>
      </c>
      <c r="AL236" s="1199">
        <f t="shared" si="99"/>
        <v>30</v>
      </c>
      <c r="AM236" s="1205">
        <f t="shared" si="100"/>
        <v>0</v>
      </c>
      <c r="AS236" s="819"/>
    </row>
    <row r="237" spans="3:45" ht="12.75" customHeight="1" x14ac:dyDescent="0.2">
      <c r="C237" s="135"/>
      <c r="D237" s="432" t="str">
        <f>IF(op!D170=0,"",op!D170)</f>
        <v/>
      </c>
      <c r="E237" s="432" t="str">
        <f>IF(op!E170=0,"",op!E170)</f>
        <v/>
      </c>
      <c r="F237" s="776" t="str">
        <f>IF(op!F170="","",op!F170+1)</f>
        <v/>
      </c>
      <c r="G237" s="802" t="str">
        <f>IF(op!G170="","",op!G170)</f>
        <v/>
      </c>
      <c r="H237" s="776" t="str">
        <f>IF(op!H170=0,"",op!H170)</f>
        <v/>
      </c>
      <c r="I237" s="433" t="str">
        <f>IF(J237="","",(IF(op!I170+1&gt;LOOKUP(H237,schaal2013,regels2013),op!I170,op!I170+1)))</f>
        <v/>
      </c>
      <c r="J237" s="803" t="str">
        <f>IF(op!J170="","",op!J170)</f>
        <v/>
      </c>
      <c r="K237" s="518"/>
      <c r="L237" s="1207">
        <f>IF(op!L170="","",op!L170)</f>
        <v>0</v>
      </c>
      <c r="M237" s="1207">
        <f>IF(op!M170="","",op!M170)</f>
        <v>0</v>
      </c>
      <c r="N237" s="1209" t="str">
        <f t="shared" si="85"/>
        <v/>
      </c>
      <c r="O237" s="1209" t="str">
        <f t="shared" si="86"/>
        <v/>
      </c>
      <c r="P237" s="1283" t="str">
        <f t="shared" si="87"/>
        <v/>
      </c>
      <c r="Q237" s="518"/>
      <c r="R237" s="1076" t="str">
        <f t="shared" si="101"/>
        <v/>
      </c>
      <c r="S237" s="1076" t="str">
        <f t="shared" si="88"/>
        <v/>
      </c>
      <c r="T237" s="1078" t="str">
        <f t="shared" si="89"/>
        <v/>
      </c>
      <c r="U237" s="599"/>
      <c r="V237" s="1261"/>
      <c r="W237" s="1261"/>
      <c r="X237" s="1218"/>
      <c r="Y237" s="1253" t="e">
        <f>ROUND(VLOOKUP(H237,tab!$A$61:$V$103,I237+2,FALSE),0)</f>
        <v>#VALUE!</v>
      </c>
      <c r="Z237" s="1252">
        <f>tab!$E$48</f>
        <v>0.62</v>
      </c>
      <c r="AA237" s="1284" t="e">
        <f t="shared" si="90"/>
        <v>#VALUE!</v>
      </c>
      <c r="AB237" s="1284" t="e">
        <f t="shared" si="91"/>
        <v>#VALUE!</v>
      </c>
      <c r="AC237" s="1284" t="e">
        <f t="shared" si="92"/>
        <v>#VALUE!</v>
      </c>
      <c r="AD237" s="1286" t="e">
        <f t="shared" si="93"/>
        <v>#VALUE!</v>
      </c>
      <c r="AE237" s="1286">
        <f t="shared" si="94"/>
        <v>0</v>
      </c>
      <c r="AF237" s="1254">
        <f>IF(H237&gt;8,tab!$D$49,tab!$D$52)</f>
        <v>0.5</v>
      </c>
      <c r="AG237" s="1255">
        <f t="shared" si="95"/>
        <v>0</v>
      </c>
      <c r="AH237" s="1251">
        <f t="shared" si="96"/>
        <v>0</v>
      </c>
      <c r="AI237" s="1278" t="e">
        <f>DATE(YEAR(tab!$H$3),MONTH(G237),DAY(G237))&gt;tab!$H$3</f>
        <v>#VALUE!</v>
      </c>
      <c r="AJ237" s="1255" t="e">
        <f t="shared" si="97"/>
        <v>#VALUE!</v>
      </c>
      <c r="AK237" s="1199">
        <f t="shared" si="98"/>
        <v>30</v>
      </c>
      <c r="AL237" s="1199">
        <f t="shared" si="99"/>
        <v>30</v>
      </c>
      <c r="AM237" s="1205">
        <f t="shared" si="100"/>
        <v>0</v>
      </c>
      <c r="AS237" s="819"/>
    </row>
    <row r="238" spans="3:45" ht="12.75" customHeight="1" x14ac:dyDescent="0.2">
      <c r="C238" s="135"/>
      <c r="D238" s="432" t="str">
        <f>IF(op!D171=0,"",op!D171)</f>
        <v/>
      </c>
      <c r="E238" s="432" t="str">
        <f>IF(op!E171=0,"",op!E171)</f>
        <v/>
      </c>
      <c r="F238" s="776" t="str">
        <f>IF(op!F171="","",op!F171+1)</f>
        <v/>
      </c>
      <c r="G238" s="802" t="str">
        <f>IF(op!G171="","",op!G171)</f>
        <v/>
      </c>
      <c r="H238" s="776" t="str">
        <f>IF(op!H171=0,"",op!H171)</f>
        <v/>
      </c>
      <c r="I238" s="433" t="str">
        <f>IF(J238="","",(IF(op!I171+1&gt;LOOKUP(H238,schaal2013,regels2013),op!I171,op!I171+1)))</f>
        <v/>
      </c>
      <c r="J238" s="803" t="str">
        <f>IF(op!J171="","",op!J171)</f>
        <v/>
      </c>
      <c r="K238" s="518"/>
      <c r="L238" s="1207">
        <f>IF(op!L171="","",op!L171)</f>
        <v>0</v>
      </c>
      <c r="M238" s="1207">
        <f>IF(op!M171="","",op!M171)</f>
        <v>0</v>
      </c>
      <c r="N238" s="1209" t="str">
        <f t="shared" si="85"/>
        <v/>
      </c>
      <c r="O238" s="1209" t="str">
        <f t="shared" si="86"/>
        <v/>
      </c>
      <c r="P238" s="1283" t="str">
        <f t="shared" si="87"/>
        <v/>
      </c>
      <c r="Q238" s="518"/>
      <c r="R238" s="1076" t="str">
        <f t="shared" si="101"/>
        <v/>
      </c>
      <c r="S238" s="1076" t="str">
        <f t="shared" si="88"/>
        <v/>
      </c>
      <c r="T238" s="1078" t="str">
        <f t="shared" si="89"/>
        <v/>
      </c>
      <c r="U238" s="599"/>
      <c r="V238" s="1261"/>
      <c r="W238" s="1261"/>
      <c r="X238" s="1218"/>
      <c r="Y238" s="1253" t="e">
        <f>ROUND(VLOOKUP(H238,tab!$A$61:$V$103,I238+2,FALSE),0)</f>
        <v>#VALUE!</v>
      </c>
      <c r="Z238" s="1252">
        <f>tab!$E$48</f>
        <v>0.62</v>
      </c>
      <c r="AA238" s="1284" t="e">
        <f t="shared" si="90"/>
        <v>#VALUE!</v>
      </c>
      <c r="AB238" s="1284" t="e">
        <f t="shared" si="91"/>
        <v>#VALUE!</v>
      </c>
      <c r="AC238" s="1284" t="e">
        <f t="shared" si="92"/>
        <v>#VALUE!</v>
      </c>
      <c r="AD238" s="1286" t="e">
        <f t="shared" si="93"/>
        <v>#VALUE!</v>
      </c>
      <c r="AE238" s="1286">
        <f t="shared" si="94"/>
        <v>0</v>
      </c>
      <c r="AF238" s="1254">
        <f>IF(H238&gt;8,tab!$D$49,tab!$D$52)</f>
        <v>0.5</v>
      </c>
      <c r="AG238" s="1255">
        <f t="shared" si="95"/>
        <v>0</v>
      </c>
      <c r="AH238" s="1251">
        <f t="shared" si="96"/>
        <v>0</v>
      </c>
      <c r="AI238" s="1278" t="e">
        <f>DATE(YEAR(tab!$H$3),MONTH(G238),DAY(G238))&gt;tab!$H$3</f>
        <v>#VALUE!</v>
      </c>
      <c r="AJ238" s="1255" t="e">
        <f t="shared" si="97"/>
        <v>#VALUE!</v>
      </c>
      <c r="AK238" s="1199">
        <f t="shared" si="98"/>
        <v>30</v>
      </c>
      <c r="AL238" s="1199">
        <f t="shared" si="99"/>
        <v>30</v>
      </c>
      <c r="AM238" s="1205">
        <f t="shared" si="100"/>
        <v>0</v>
      </c>
      <c r="AS238" s="819"/>
    </row>
    <row r="239" spans="3:45" ht="12.75" customHeight="1" x14ac:dyDescent="0.2">
      <c r="C239" s="135"/>
      <c r="D239" s="432" t="str">
        <f>IF(op!D172=0,"",op!D172)</f>
        <v/>
      </c>
      <c r="E239" s="432" t="str">
        <f>IF(op!E172=0,"",op!E172)</f>
        <v/>
      </c>
      <c r="F239" s="776" t="str">
        <f>IF(op!F172="","",op!F172+1)</f>
        <v/>
      </c>
      <c r="G239" s="802" t="str">
        <f>IF(op!G172="","",op!G172)</f>
        <v/>
      </c>
      <c r="H239" s="776" t="str">
        <f>IF(op!H172=0,"",op!H172)</f>
        <v/>
      </c>
      <c r="I239" s="433" t="str">
        <f>IF(J239="","",(IF(op!I172+1&gt;LOOKUP(H239,schaal2013,regels2013),op!I172,op!I172+1)))</f>
        <v/>
      </c>
      <c r="J239" s="803" t="str">
        <f>IF(op!J172="","",op!J172)</f>
        <v/>
      </c>
      <c r="K239" s="518"/>
      <c r="L239" s="1207">
        <f>IF(op!L172="","",op!L172)</f>
        <v>0</v>
      </c>
      <c r="M239" s="1207">
        <f>IF(op!M172="","",op!M172)</f>
        <v>0</v>
      </c>
      <c r="N239" s="1209" t="str">
        <f t="shared" si="85"/>
        <v/>
      </c>
      <c r="O239" s="1209" t="str">
        <f t="shared" si="86"/>
        <v/>
      </c>
      <c r="P239" s="1283" t="str">
        <f t="shared" si="87"/>
        <v/>
      </c>
      <c r="Q239" s="518"/>
      <c r="R239" s="1076" t="str">
        <f t="shared" si="101"/>
        <v/>
      </c>
      <c r="S239" s="1076" t="str">
        <f t="shared" si="88"/>
        <v/>
      </c>
      <c r="T239" s="1078" t="str">
        <f t="shared" si="89"/>
        <v/>
      </c>
      <c r="U239" s="599"/>
      <c r="V239" s="1261"/>
      <c r="W239" s="1261"/>
      <c r="X239" s="1218"/>
      <c r="Y239" s="1253" t="e">
        <f>ROUND(VLOOKUP(H239,tab!$A$61:$V$103,I239+2,FALSE),0)</f>
        <v>#VALUE!</v>
      </c>
      <c r="Z239" s="1252">
        <f>tab!$E$48</f>
        <v>0.62</v>
      </c>
      <c r="AA239" s="1284" t="e">
        <f t="shared" si="90"/>
        <v>#VALUE!</v>
      </c>
      <c r="AB239" s="1284" t="e">
        <f t="shared" si="91"/>
        <v>#VALUE!</v>
      </c>
      <c r="AC239" s="1284" t="e">
        <f t="shared" si="92"/>
        <v>#VALUE!</v>
      </c>
      <c r="AD239" s="1286" t="e">
        <f t="shared" si="93"/>
        <v>#VALUE!</v>
      </c>
      <c r="AE239" s="1286">
        <f t="shared" si="94"/>
        <v>0</v>
      </c>
      <c r="AF239" s="1254">
        <f>IF(H239&gt;8,tab!$D$49,tab!$D$52)</f>
        <v>0.5</v>
      </c>
      <c r="AG239" s="1255">
        <f t="shared" si="95"/>
        <v>0</v>
      </c>
      <c r="AH239" s="1251">
        <f t="shared" si="96"/>
        <v>0</v>
      </c>
      <c r="AI239" s="1278" t="e">
        <f>DATE(YEAR(tab!$H$3),MONTH(G239),DAY(G239))&gt;tab!$H$3</f>
        <v>#VALUE!</v>
      </c>
      <c r="AJ239" s="1255" t="e">
        <f t="shared" si="97"/>
        <v>#VALUE!</v>
      </c>
      <c r="AK239" s="1199">
        <f t="shared" si="98"/>
        <v>30</v>
      </c>
      <c r="AL239" s="1199">
        <f t="shared" si="99"/>
        <v>30</v>
      </c>
      <c r="AM239" s="1205">
        <f t="shared" si="100"/>
        <v>0</v>
      </c>
      <c r="AS239" s="819"/>
    </row>
    <row r="240" spans="3:45" ht="12.75" customHeight="1" x14ac:dyDescent="0.2">
      <c r="C240" s="135"/>
      <c r="D240" s="432" t="str">
        <f>IF(op!D173=0,"",op!D173)</f>
        <v/>
      </c>
      <c r="E240" s="432" t="str">
        <f>IF(op!E173=0,"",op!E173)</f>
        <v/>
      </c>
      <c r="F240" s="776" t="str">
        <f>IF(op!F173="","",op!F173+1)</f>
        <v/>
      </c>
      <c r="G240" s="802" t="str">
        <f>IF(op!G173="","",op!G173)</f>
        <v/>
      </c>
      <c r="H240" s="776" t="str">
        <f>IF(op!H173=0,"",op!H173)</f>
        <v/>
      </c>
      <c r="I240" s="433" t="str">
        <f>IF(J240="","",(IF(op!I173+1&gt;LOOKUP(H240,schaal2013,regels2013),op!I173,op!I173+1)))</f>
        <v/>
      </c>
      <c r="J240" s="803" t="str">
        <f>IF(op!J173="","",op!J173)</f>
        <v/>
      </c>
      <c r="K240" s="518"/>
      <c r="L240" s="1207">
        <f>IF(op!L173="","",op!L173)</f>
        <v>0</v>
      </c>
      <c r="M240" s="1207">
        <f>IF(op!M173="","",op!M173)</f>
        <v>0</v>
      </c>
      <c r="N240" s="1209" t="str">
        <f t="shared" si="85"/>
        <v/>
      </c>
      <c r="O240" s="1209" t="str">
        <f t="shared" si="86"/>
        <v/>
      </c>
      <c r="P240" s="1283" t="str">
        <f t="shared" si="87"/>
        <v/>
      </c>
      <c r="Q240" s="518"/>
      <c r="R240" s="1076" t="str">
        <f t="shared" si="101"/>
        <v/>
      </c>
      <c r="S240" s="1076" t="str">
        <f t="shared" si="88"/>
        <v/>
      </c>
      <c r="T240" s="1078" t="str">
        <f t="shared" si="89"/>
        <v/>
      </c>
      <c r="U240" s="599"/>
      <c r="V240" s="1261"/>
      <c r="W240" s="1261"/>
      <c r="X240" s="1218"/>
      <c r="Y240" s="1253" t="e">
        <f>ROUND(VLOOKUP(H240,tab!$A$61:$V$103,I240+2,FALSE),0)</f>
        <v>#VALUE!</v>
      </c>
      <c r="Z240" s="1252">
        <f>tab!$E$48</f>
        <v>0.62</v>
      </c>
      <c r="AA240" s="1284" t="e">
        <f t="shared" si="90"/>
        <v>#VALUE!</v>
      </c>
      <c r="AB240" s="1284" t="e">
        <f t="shared" si="91"/>
        <v>#VALUE!</v>
      </c>
      <c r="AC240" s="1284" t="e">
        <f t="shared" si="92"/>
        <v>#VALUE!</v>
      </c>
      <c r="AD240" s="1286" t="e">
        <f t="shared" si="93"/>
        <v>#VALUE!</v>
      </c>
      <c r="AE240" s="1286">
        <f t="shared" si="94"/>
        <v>0</v>
      </c>
      <c r="AF240" s="1254">
        <f>IF(H240&gt;8,tab!$D$49,tab!$D$52)</f>
        <v>0.5</v>
      </c>
      <c r="AG240" s="1255">
        <f t="shared" si="95"/>
        <v>0</v>
      </c>
      <c r="AH240" s="1251">
        <f t="shared" si="96"/>
        <v>0</v>
      </c>
      <c r="AI240" s="1278" t="e">
        <f>DATE(YEAR(tab!$H$3),MONTH(G240),DAY(G240))&gt;tab!$H$3</f>
        <v>#VALUE!</v>
      </c>
      <c r="AJ240" s="1255" t="e">
        <f t="shared" si="97"/>
        <v>#VALUE!</v>
      </c>
      <c r="AK240" s="1199">
        <f t="shared" si="98"/>
        <v>30</v>
      </c>
      <c r="AL240" s="1199">
        <f t="shared" si="99"/>
        <v>30</v>
      </c>
      <c r="AM240" s="1205">
        <f t="shared" si="100"/>
        <v>0</v>
      </c>
      <c r="AS240" s="819"/>
    </row>
    <row r="241" spans="3:45" ht="12.75" customHeight="1" x14ac:dyDescent="0.2">
      <c r="C241" s="135"/>
      <c r="D241" s="432" t="str">
        <f>IF(op!D174=0,"",op!D174)</f>
        <v/>
      </c>
      <c r="E241" s="432" t="str">
        <f>IF(op!E174=0,"",op!E174)</f>
        <v/>
      </c>
      <c r="F241" s="776" t="str">
        <f>IF(op!F174="","",op!F174+1)</f>
        <v/>
      </c>
      <c r="G241" s="802" t="str">
        <f>IF(op!G174="","",op!G174)</f>
        <v/>
      </c>
      <c r="H241" s="776" t="str">
        <f>IF(op!H174=0,"",op!H174)</f>
        <v/>
      </c>
      <c r="I241" s="433" t="str">
        <f>IF(J241="","",(IF(op!I174+1&gt;LOOKUP(H241,schaal2013,regels2013),op!I174,op!I174+1)))</f>
        <v/>
      </c>
      <c r="J241" s="803" t="str">
        <f>IF(op!J174="","",op!J174)</f>
        <v/>
      </c>
      <c r="K241" s="518"/>
      <c r="L241" s="1207">
        <f>IF(op!L174="","",op!L174)</f>
        <v>0</v>
      </c>
      <c r="M241" s="1207">
        <f>IF(op!M174="","",op!M174)</f>
        <v>0</v>
      </c>
      <c r="N241" s="1209" t="str">
        <f t="shared" si="85"/>
        <v/>
      </c>
      <c r="O241" s="1209" t="str">
        <f t="shared" si="86"/>
        <v/>
      </c>
      <c r="P241" s="1283" t="str">
        <f t="shared" si="87"/>
        <v/>
      </c>
      <c r="Q241" s="518"/>
      <c r="R241" s="1076" t="str">
        <f t="shared" si="101"/>
        <v/>
      </c>
      <c r="S241" s="1076" t="str">
        <f t="shared" si="88"/>
        <v/>
      </c>
      <c r="T241" s="1078" t="str">
        <f t="shared" si="89"/>
        <v/>
      </c>
      <c r="U241" s="599"/>
      <c r="V241" s="1261"/>
      <c r="W241" s="1261"/>
      <c r="X241" s="1218"/>
      <c r="Y241" s="1253" t="e">
        <f>ROUND(VLOOKUP(H241,tab!$A$61:$V$103,I241+2,FALSE),0)</f>
        <v>#VALUE!</v>
      </c>
      <c r="Z241" s="1252">
        <f>tab!$E$48</f>
        <v>0.62</v>
      </c>
      <c r="AA241" s="1284" t="e">
        <f t="shared" si="90"/>
        <v>#VALUE!</v>
      </c>
      <c r="AB241" s="1284" t="e">
        <f t="shared" si="91"/>
        <v>#VALUE!</v>
      </c>
      <c r="AC241" s="1284" t="e">
        <f t="shared" si="92"/>
        <v>#VALUE!</v>
      </c>
      <c r="AD241" s="1286" t="e">
        <f t="shared" si="93"/>
        <v>#VALUE!</v>
      </c>
      <c r="AE241" s="1286">
        <f t="shared" si="94"/>
        <v>0</v>
      </c>
      <c r="AF241" s="1254">
        <f>IF(H241&gt;8,tab!$D$49,tab!$D$52)</f>
        <v>0.5</v>
      </c>
      <c r="AG241" s="1255">
        <f t="shared" si="95"/>
        <v>0</v>
      </c>
      <c r="AH241" s="1251">
        <f t="shared" si="96"/>
        <v>0</v>
      </c>
      <c r="AI241" s="1278" t="e">
        <f>DATE(YEAR(tab!$H$3),MONTH(G241),DAY(G241))&gt;tab!$H$3</f>
        <v>#VALUE!</v>
      </c>
      <c r="AJ241" s="1255" t="e">
        <f t="shared" si="97"/>
        <v>#VALUE!</v>
      </c>
      <c r="AK241" s="1199">
        <f t="shared" si="98"/>
        <v>30</v>
      </c>
      <c r="AL241" s="1199">
        <f t="shared" si="99"/>
        <v>30</v>
      </c>
      <c r="AM241" s="1205">
        <f t="shared" si="100"/>
        <v>0</v>
      </c>
      <c r="AS241" s="819"/>
    </row>
    <row r="242" spans="3:45" ht="12.75" customHeight="1" x14ac:dyDescent="0.2">
      <c r="C242" s="135"/>
      <c r="D242" s="432" t="str">
        <f>IF(op!D175=0,"",op!D175)</f>
        <v/>
      </c>
      <c r="E242" s="432" t="str">
        <f>IF(op!E175=0,"",op!E175)</f>
        <v/>
      </c>
      <c r="F242" s="776" t="str">
        <f>IF(op!F175="","",op!F175+1)</f>
        <v/>
      </c>
      <c r="G242" s="802" t="str">
        <f>IF(op!G175="","",op!G175)</f>
        <v/>
      </c>
      <c r="H242" s="776" t="str">
        <f>IF(op!H175=0,"",op!H175)</f>
        <v/>
      </c>
      <c r="I242" s="433" t="str">
        <f>IF(J242="","",(IF(op!I175+1&gt;LOOKUP(H242,schaal2013,regels2013),op!I175,op!I175+1)))</f>
        <v/>
      </c>
      <c r="J242" s="803" t="str">
        <f>IF(op!J175="","",op!J175)</f>
        <v/>
      </c>
      <c r="K242" s="518"/>
      <c r="L242" s="1207">
        <f>IF(op!L175="","",op!L175)</f>
        <v>0</v>
      </c>
      <c r="M242" s="1207">
        <f>IF(op!M175="","",op!M175)</f>
        <v>0</v>
      </c>
      <c r="N242" s="1209" t="str">
        <f t="shared" si="85"/>
        <v/>
      </c>
      <c r="O242" s="1209" t="str">
        <f t="shared" si="86"/>
        <v/>
      </c>
      <c r="P242" s="1283" t="str">
        <f t="shared" si="87"/>
        <v/>
      </c>
      <c r="Q242" s="518"/>
      <c r="R242" s="1076" t="str">
        <f t="shared" si="101"/>
        <v/>
      </c>
      <c r="S242" s="1076" t="str">
        <f t="shared" si="88"/>
        <v/>
      </c>
      <c r="T242" s="1078" t="str">
        <f t="shared" si="89"/>
        <v/>
      </c>
      <c r="U242" s="599"/>
      <c r="V242" s="1261"/>
      <c r="W242" s="1261"/>
      <c r="X242" s="1218"/>
      <c r="Y242" s="1253" t="e">
        <f>ROUND(VLOOKUP(H242,tab!$A$61:$V$103,I242+2,FALSE),0)</f>
        <v>#VALUE!</v>
      </c>
      <c r="Z242" s="1252">
        <f>tab!$E$48</f>
        <v>0.62</v>
      </c>
      <c r="AA242" s="1284" t="e">
        <f t="shared" si="90"/>
        <v>#VALUE!</v>
      </c>
      <c r="AB242" s="1284" t="e">
        <f t="shared" si="91"/>
        <v>#VALUE!</v>
      </c>
      <c r="AC242" s="1284" t="e">
        <f t="shared" si="92"/>
        <v>#VALUE!</v>
      </c>
      <c r="AD242" s="1286" t="e">
        <f t="shared" si="93"/>
        <v>#VALUE!</v>
      </c>
      <c r="AE242" s="1286">
        <f t="shared" si="94"/>
        <v>0</v>
      </c>
      <c r="AF242" s="1254">
        <f>IF(H242&gt;8,tab!$D$49,tab!$D$52)</f>
        <v>0.5</v>
      </c>
      <c r="AG242" s="1255">
        <f t="shared" si="95"/>
        <v>0</v>
      </c>
      <c r="AH242" s="1251">
        <f t="shared" si="96"/>
        <v>0</v>
      </c>
      <c r="AI242" s="1278" t="e">
        <f>DATE(YEAR(tab!$H$3),MONTH(G242),DAY(G242))&gt;tab!$H$3</f>
        <v>#VALUE!</v>
      </c>
      <c r="AJ242" s="1255" t="e">
        <f t="shared" si="97"/>
        <v>#VALUE!</v>
      </c>
      <c r="AK242" s="1199">
        <f t="shared" si="98"/>
        <v>30</v>
      </c>
      <c r="AL242" s="1199">
        <f t="shared" si="99"/>
        <v>30</v>
      </c>
      <c r="AM242" s="1205">
        <f t="shared" si="100"/>
        <v>0</v>
      </c>
      <c r="AS242" s="819"/>
    </row>
    <row r="243" spans="3:45" ht="12.75" customHeight="1" x14ac:dyDescent="0.2">
      <c r="C243" s="135"/>
      <c r="D243" s="432" t="str">
        <f>IF(op!D176=0,"",op!D176)</f>
        <v/>
      </c>
      <c r="E243" s="432" t="str">
        <f>IF(op!E176=0,"",op!E176)</f>
        <v/>
      </c>
      <c r="F243" s="776" t="str">
        <f>IF(op!F176="","",op!F176+1)</f>
        <v/>
      </c>
      <c r="G243" s="802" t="str">
        <f>IF(op!G176="","",op!G176)</f>
        <v/>
      </c>
      <c r="H243" s="776" t="str">
        <f>IF(op!H176=0,"",op!H176)</f>
        <v/>
      </c>
      <c r="I243" s="433" t="str">
        <f>IF(J243="","",(IF(op!I176+1&gt;LOOKUP(H243,schaal2013,regels2013),op!I176,op!I176+1)))</f>
        <v/>
      </c>
      <c r="J243" s="803" t="str">
        <f>IF(op!J176="","",op!J176)</f>
        <v/>
      </c>
      <c r="K243" s="518"/>
      <c r="L243" s="1207">
        <f>IF(op!L176="","",op!L176)</f>
        <v>0</v>
      </c>
      <c r="M243" s="1207">
        <f>IF(op!M176="","",op!M176)</f>
        <v>0</v>
      </c>
      <c r="N243" s="1209" t="str">
        <f t="shared" si="85"/>
        <v/>
      </c>
      <c r="O243" s="1209" t="str">
        <f t="shared" si="86"/>
        <v/>
      </c>
      <c r="P243" s="1283" t="str">
        <f t="shared" si="87"/>
        <v/>
      </c>
      <c r="Q243" s="518"/>
      <c r="R243" s="1076" t="str">
        <f t="shared" si="101"/>
        <v/>
      </c>
      <c r="S243" s="1076" t="str">
        <f t="shared" si="88"/>
        <v/>
      </c>
      <c r="T243" s="1078" t="str">
        <f t="shared" si="89"/>
        <v/>
      </c>
      <c r="U243" s="599"/>
      <c r="V243" s="1261"/>
      <c r="W243" s="1261"/>
      <c r="X243" s="1218"/>
      <c r="Y243" s="1253" t="e">
        <f>ROUND(VLOOKUP(H243,tab!$A$61:$V$103,I243+2,FALSE),0)</f>
        <v>#VALUE!</v>
      </c>
      <c r="Z243" s="1252">
        <f>tab!$E$48</f>
        <v>0.62</v>
      </c>
      <c r="AA243" s="1284" t="e">
        <f t="shared" si="90"/>
        <v>#VALUE!</v>
      </c>
      <c r="AB243" s="1284" t="e">
        <f t="shared" si="91"/>
        <v>#VALUE!</v>
      </c>
      <c r="AC243" s="1284" t="e">
        <f t="shared" si="92"/>
        <v>#VALUE!</v>
      </c>
      <c r="AD243" s="1286" t="e">
        <f t="shared" si="93"/>
        <v>#VALUE!</v>
      </c>
      <c r="AE243" s="1286">
        <f t="shared" si="94"/>
        <v>0</v>
      </c>
      <c r="AF243" s="1254">
        <f>IF(H243&gt;8,tab!$D$49,tab!$D$52)</f>
        <v>0.5</v>
      </c>
      <c r="AG243" s="1255">
        <f t="shared" si="95"/>
        <v>0</v>
      </c>
      <c r="AH243" s="1251">
        <f t="shared" si="96"/>
        <v>0</v>
      </c>
      <c r="AI243" s="1278" t="e">
        <f>DATE(YEAR(tab!$H$3),MONTH(G243),DAY(G243))&gt;tab!$H$3</f>
        <v>#VALUE!</v>
      </c>
      <c r="AJ243" s="1255" t="e">
        <f t="shared" si="97"/>
        <v>#VALUE!</v>
      </c>
      <c r="AK243" s="1199">
        <f t="shared" si="98"/>
        <v>30</v>
      </c>
      <c r="AL243" s="1199">
        <f t="shared" si="99"/>
        <v>30</v>
      </c>
      <c r="AM243" s="1205">
        <f t="shared" si="100"/>
        <v>0</v>
      </c>
      <c r="AS243" s="819"/>
    </row>
    <row r="244" spans="3:45" ht="12.75" customHeight="1" x14ac:dyDescent="0.2">
      <c r="C244" s="135"/>
      <c r="D244" s="432" t="str">
        <f>IF(op!D177=0,"",op!D177)</f>
        <v/>
      </c>
      <c r="E244" s="432" t="str">
        <f>IF(op!E177=0,"",op!E177)</f>
        <v/>
      </c>
      <c r="F244" s="776" t="str">
        <f>IF(op!F177="","",op!F177+1)</f>
        <v/>
      </c>
      <c r="G244" s="802" t="str">
        <f>IF(op!G177="","",op!G177)</f>
        <v/>
      </c>
      <c r="H244" s="776" t="str">
        <f>IF(op!H177=0,"",op!H177)</f>
        <v/>
      </c>
      <c r="I244" s="433" t="str">
        <f>IF(J244="","",(IF(op!I177+1&gt;LOOKUP(H244,schaal2013,regels2013),op!I177,op!I177+1)))</f>
        <v/>
      </c>
      <c r="J244" s="803" t="str">
        <f>IF(op!J177="","",op!J177)</f>
        <v/>
      </c>
      <c r="K244" s="518"/>
      <c r="L244" s="1207">
        <f>IF(op!L177="","",op!L177)</f>
        <v>0</v>
      </c>
      <c r="M244" s="1207">
        <f>IF(op!M177="","",op!M177)</f>
        <v>0</v>
      </c>
      <c r="N244" s="1209" t="str">
        <f t="shared" si="85"/>
        <v/>
      </c>
      <c r="O244" s="1209" t="str">
        <f t="shared" si="86"/>
        <v/>
      </c>
      <c r="P244" s="1283" t="str">
        <f t="shared" si="87"/>
        <v/>
      </c>
      <c r="Q244" s="518"/>
      <c r="R244" s="1076" t="str">
        <f t="shared" si="101"/>
        <v/>
      </c>
      <c r="S244" s="1076" t="str">
        <f t="shared" si="88"/>
        <v/>
      </c>
      <c r="T244" s="1078" t="str">
        <f t="shared" si="89"/>
        <v/>
      </c>
      <c r="U244" s="599"/>
      <c r="V244" s="1261"/>
      <c r="W244" s="1261"/>
      <c r="X244" s="1218"/>
      <c r="Y244" s="1253" t="e">
        <f>ROUND(VLOOKUP(H244,tab!$A$61:$V$103,I244+2,FALSE),0)</f>
        <v>#VALUE!</v>
      </c>
      <c r="Z244" s="1252">
        <f>tab!$E$48</f>
        <v>0.62</v>
      </c>
      <c r="AA244" s="1284" t="e">
        <f t="shared" si="90"/>
        <v>#VALUE!</v>
      </c>
      <c r="AB244" s="1284" t="e">
        <f t="shared" si="91"/>
        <v>#VALUE!</v>
      </c>
      <c r="AC244" s="1284" t="e">
        <f t="shared" si="92"/>
        <v>#VALUE!</v>
      </c>
      <c r="AD244" s="1286" t="e">
        <f t="shared" si="93"/>
        <v>#VALUE!</v>
      </c>
      <c r="AE244" s="1286">
        <f t="shared" si="94"/>
        <v>0</v>
      </c>
      <c r="AF244" s="1254">
        <f>IF(H244&gt;8,tab!$D$49,tab!$D$52)</f>
        <v>0.5</v>
      </c>
      <c r="AG244" s="1255">
        <f t="shared" si="95"/>
        <v>0</v>
      </c>
      <c r="AH244" s="1251">
        <f t="shared" si="96"/>
        <v>0</v>
      </c>
      <c r="AI244" s="1278" t="e">
        <f>DATE(YEAR(tab!$H$3),MONTH(G244),DAY(G244))&gt;tab!$H$3</f>
        <v>#VALUE!</v>
      </c>
      <c r="AJ244" s="1255" t="e">
        <f t="shared" si="97"/>
        <v>#VALUE!</v>
      </c>
      <c r="AK244" s="1199">
        <f t="shared" si="98"/>
        <v>30</v>
      </c>
      <c r="AL244" s="1199">
        <f t="shared" si="99"/>
        <v>30</v>
      </c>
      <c r="AM244" s="1205">
        <f t="shared" si="100"/>
        <v>0</v>
      </c>
      <c r="AS244" s="819"/>
    </row>
    <row r="245" spans="3:45" ht="12.75" customHeight="1" x14ac:dyDescent="0.2">
      <c r="C245" s="135"/>
      <c r="D245" s="432" t="str">
        <f>IF(op!D178=0,"",op!D178)</f>
        <v/>
      </c>
      <c r="E245" s="432" t="str">
        <f>IF(op!E178=0,"",op!E178)</f>
        <v/>
      </c>
      <c r="F245" s="776" t="str">
        <f>IF(op!F178="","",op!F178+1)</f>
        <v/>
      </c>
      <c r="G245" s="802" t="str">
        <f>IF(op!G178="","",op!G178)</f>
        <v/>
      </c>
      <c r="H245" s="776" t="str">
        <f>IF(op!H178=0,"",op!H178)</f>
        <v/>
      </c>
      <c r="I245" s="433" t="str">
        <f>IF(J245="","",(IF(op!I178+1&gt;LOOKUP(H245,schaal2013,regels2013),op!I178,op!I178+1)))</f>
        <v/>
      </c>
      <c r="J245" s="803" t="str">
        <f>IF(op!J178="","",op!J178)</f>
        <v/>
      </c>
      <c r="K245" s="518"/>
      <c r="L245" s="1207">
        <f>IF(op!L178="","",op!L178)</f>
        <v>0</v>
      </c>
      <c r="M245" s="1207">
        <f>IF(op!M178="","",op!M178)</f>
        <v>0</v>
      </c>
      <c r="N245" s="1209" t="str">
        <f t="shared" si="85"/>
        <v/>
      </c>
      <c r="O245" s="1209" t="str">
        <f t="shared" si="86"/>
        <v/>
      </c>
      <c r="P245" s="1283" t="str">
        <f t="shared" si="87"/>
        <v/>
      </c>
      <c r="Q245" s="518"/>
      <c r="R245" s="1076" t="str">
        <f t="shared" si="101"/>
        <v/>
      </c>
      <c r="S245" s="1076" t="str">
        <f t="shared" si="88"/>
        <v/>
      </c>
      <c r="T245" s="1078" t="str">
        <f t="shared" si="89"/>
        <v/>
      </c>
      <c r="U245" s="599"/>
      <c r="V245" s="1261"/>
      <c r="W245" s="1261"/>
      <c r="X245" s="1218"/>
      <c r="Y245" s="1253" t="e">
        <f>ROUND(VLOOKUP(H245,tab!$A$61:$V$103,I245+2,FALSE),0)</f>
        <v>#VALUE!</v>
      </c>
      <c r="Z245" s="1252">
        <f>tab!$E$48</f>
        <v>0.62</v>
      </c>
      <c r="AA245" s="1284" t="e">
        <f t="shared" si="90"/>
        <v>#VALUE!</v>
      </c>
      <c r="AB245" s="1284" t="e">
        <f t="shared" si="91"/>
        <v>#VALUE!</v>
      </c>
      <c r="AC245" s="1284" t="e">
        <f t="shared" si="92"/>
        <v>#VALUE!</v>
      </c>
      <c r="AD245" s="1286" t="e">
        <f t="shared" si="93"/>
        <v>#VALUE!</v>
      </c>
      <c r="AE245" s="1286">
        <f t="shared" si="94"/>
        <v>0</v>
      </c>
      <c r="AF245" s="1254">
        <f>IF(H245&gt;8,tab!$D$49,tab!$D$52)</f>
        <v>0.5</v>
      </c>
      <c r="AG245" s="1255">
        <f t="shared" si="95"/>
        <v>0</v>
      </c>
      <c r="AH245" s="1251">
        <f t="shared" si="96"/>
        <v>0</v>
      </c>
      <c r="AI245" s="1278" t="e">
        <f>DATE(YEAR(tab!$H$3),MONTH(G245),DAY(G245))&gt;tab!$H$3</f>
        <v>#VALUE!</v>
      </c>
      <c r="AJ245" s="1255" t="e">
        <f t="shared" si="97"/>
        <v>#VALUE!</v>
      </c>
      <c r="AK245" s="1199">
        <f t="shared" si="98"/>
        <v>30</v>
      </c>
      <c r="AL245" s="1199">
        <f t="shared" si="99"/>
        <v>30</v>
      </c>
      <c r="AM245" s="1205">
        <f t="shared" si="100"/>
        <v>0</v>
      </c>
      <c r="AS245" s="819"/>
    </row>
    <row r="246" spans="3:45" ht="12.75" customHeight="1" x14ac:dyDescent="0.2">
      <c r="C246" s="135"/>
      <c r="D246" s="432" t="str">
        <f>IF(op!D179=0,"",op!D179)</f>
        <v/>
      </c>
      <c r="E246" s="432" t="str">
        <f>IF(op!E179=0,"",op!E179)</f>
        <v/>
      </c>
      <c r="F246" s="776" t="str">
        <f>IF(op!F179="","",op!F179+1)</f>
        <v/>
      </c>
      <c r="G246" s="802" t="str">
        <f>IF(op!G179="","",op!G179)</f>
        <v/>
      </c>
      <c r="H246" s="776" t="str">
        <f>IF(op!H179=0,"",op!H179)</f>
        <v/>
      </c>
      <c r="I246" s="433" t="str">
        <f>IF(J246="","",(IF(op!I179+1&gt;LOOKUP(H246,schaal2013,regels2013),op!I179,op!I179+1)))</f>
        <v/>
      </c>
      <c r="J246" s="803" t="str">
        <f>IF(op!J179="","",op!J179)</f>
        <v/>
      </c>
      <c r="K246" s="518"/>
      <c r="L246" s="1207">
        <f>IF(op!L179="","",op!L179)</f>
        <v>0</v>
      </c>
      <c r="M246" s="1207">
        <f>IF(op!M179="","",op!M179)</f>
        <v>0</v>
      </c>
      <c r="N246" s="1209" t="str">
        <f t="shared" si="85"/>
        <v/>
      </c>
      <c r="O246" s="1209" t="str">
        <f t="shared" si="86"/>
        <v/>
      </c>
      <c r="P246" s="1283" t="str">
        <f t="shared" si="87"/>
        <v/>
      </c>
      <c r="Q246" s="518"/>
      <c r="R246" s="1076" t="str">
        <f t="shared" si="101"/>
        <v/>
      </c>
      <c r="S246" s="1076" t="str">
        <f t="shared" si="88"/>
        <v/>
      </c>
      <c r="T246" s="1078" t="str">
        <f t="shared" si="89"/>
        <v/>
      </c>
      <c r="U246" s="599"/>
      <c r="V246" s="1261"/>
      <c r="W246" s="1261"/>
      <c r="X246" s="1218"/>
      <c r="Y246" s="1253" t="e">
        <f>ROUND(VLOOKUP(H246,tab!$A$61:$V$103,I246+2,FALSE),0)</f>
        <v>#VALUE!</v>
      </c>
      <c r="Z246" s="1252">
        <f>tab!$E$48</f>
        <v>0.62</v>
      </c>
      <c r="AA246" s="1284" t="e">
        <f t="shared" si="90"/>
        <v>#VALUE!</v>
      </c>
      <c r="AB246" s="1284" t="e">
        <f t="shared" si="91"/>
        <v>#VALUE!</v>
      </c>
      <c r="AC246" s="1284" t="e">
        <f t="shared" si="92"/>
        <v>#VALUE!</v>
      </c>
      <c r="AD246" s="1286" t="e">
        <f t="shared" si="93"/>
        <v>#VALUE!</v>
      </c>
      <c r="AE246" s="1286">
        <f t="shared" si="94"/>
        <v>0</v>
      </c>
      <c r="AF246" s="1254">
        <f>IF(H246&gt;8,tab!$D$49,tab!$D$52)</f>
        <v>0.5</v>
      </c>
      <c r="AG246" s="1255">
        <f t="shared" si="95"/>
        <v>0</v>
      </c>
      <c r="AH246" s="1251">
        <f t="shared" si="96"/>
        <v>0</v>
      </c>
      <c r="AI246" s="1278" t="e">
        <f>DATE(YEAR(tab!$H$3),MONTH(G246),DAY(G246))&gt;tab!$H$3</f>
        <v>#VALUE!</v>
      </c>
      <c r="AJ246" s="1255" t="e">
        <f t="shared" si="97"/>
        <v>#VALUE!</v>
      </c>
      <c r="AK246" s="1199">
        <f t="shared" si="98"/>
        <v>30</v>
      </c>
      <c r="AL246" s="1199">
        <f t="shared" si="99"/>
        <v>30</v>
      </c>
      <c r="AM246" s="1205">
        <f t="shared" si="100"/>
        <v>0</v>
      </c>
      <c r="AS246" s="819"/>
    </row>
    <row r="247" spans="3:45" ht="12.75" customHeight="1" x14ac:dyDescent="0.2">
      <c r="C247" s="135"/>
      <c r="D247" s="432" t="str">
        <f>IF(op!D180=0,"",op!D180)</f>
        <v/>
      </c>
      <c r="E247" s="432" t="str">
        <f>IF(op!E180=0,"",op!E180)</f>
        <v/>
      </c>
      <c r="F247" s="776" t="str">
        <f>IF(op!F180="","",op!F180+1)</f>
        <v/>
      </c>
      <c r="G247" s="802" t="str">
        <f>IF(op!G180="","",op!G180)</f>
        <v/>
      </c>
      <c r="H247" s="776" t="str">
        <f>IF(op!H180=0,"",op!H180)</f>
        <v/>
      </c>
      <c r="I247" s="433" t="str">
        <f>IF(J247="","",(IF(op!I180+1&gt;LOOKUP(H247,schaal2013,regels2013),op!I180,op!I180+1)))</f>
        <v/>
      </c>
      <c r="J247" s="803" t="str">
        <f>IF(op!J180="","",op!J180)</f>
        <v/>
      </c>
      <c r="K247" s="518"/>
      <c r="L247" s="1207">
        <f>IF(op!L180="","",op!L180)</f>
        <v>0</v>
      </c>
      <c r="M247" s="1207">
        <f>IF(op!M180="","",op!M180)</f>
        <v>0</v>
      </c>
      <c r="N247" s="1209" t="str">
        <f t="shared" si="85"/>
        <v/>
      </c>
      <c r="O247" s="1209" t="str">
        <f t="shared" si="86"/>
        <v/>
      </c>
      <c r="P247" s="1283" t="str">
        <f t="shared" si="87"/>
        <v/>
      </c>
      <c r="Q247" s="518"/>
      <c r="R247" s="1076" t="str">
        <f t="shared" si="101"/>
        <v/>
      </c>
      <c r="S247" s="1076" t="str">
        <f t="shared" si="88"/>
        <v/>
      </c>
      <c r="T247" s="1078" t="str">
        <f t="shared" si="89"/>
        <v/>
      </c>
      <c r="U247" s="599"/>
      <c r="V247" s="1261"/>
      <c r="W247" s="1261"/>
      <c r="X247" s="1218"/>
      <c r="Y247" s="1253" t="e">
        <f>ROUND(VLOOKUP(H247,tab!$A$61:$V$103,I247+2,FALSE),0)</f>
        <v>#VALUE!</v>
      </c>
      <c r="Z247" s="1252">
        <f>tab!$E$48</f>
        <v>0.62</v>
      </c>
      <c r="AA247" s="1284" t="e">
        <f t="shared" si="90"/>
        <v>#VALUE!</v>
      </c>
      <c r="AB247" s="1284" t="e">
        <f t="shared" si="91"/>
        <v>#VALUE!</v>
      </c>
      <c r="AC247" s="1284" t="e">
        <f t="shared" si="92"/>
        <v>#VALUE!</v>
      </c>
      <c r="AD247" s="1286" t="e">
        <f t="shared" si="93"/>
        <v>#VALUE!</v>
      </c>
      <c r="AE247" s="1286">
        <f t="shared" si="94"/>
        <v>0</v>
      </c>
      <c r="AF247" s="1254">
        <f>IF(H247&gt;8,tab!$D$49,tab!$D$52)</f>
        <v>0.5</v>
      </c>
      <c r="AG247" s="1255">
        <f t="shared" si="95"/>
        <v>0</v>
      </c>
      <c r="AH247" s="1251">
        <f t="shared" si="96"/>
        <v>0</v>
      </c>
      <c r="AI247" s="1278" t="e">
        <f>DATE(YEAR(tab!$H$3),MONTH(G247),DAY(G247))&gt;tab!$H$3</f>
        <v>#VALUE!</v>
      </c>
      <c r="AJ247" s="1255" t="e">
        <f t="shared" si="97"/>
        <v>#VALUE!</v>
      </c>
      <c r="AK247" s="1199">
        <f t="shared" si="98"/>
        <v>30</v>
      </c>
      <c r="AL247" s="1199">
        <f t="shared" si="99"/>
        <v>30</v>
      </c>
      <c r="AM247" s="1205">
        <f t="shared" si="100"/>
        <v>0</v>
      </c>
      <c r="AS247" s="819"/>
    </row>
    <row r="248" spans="3:45" ht="12.75" customHeight="1" x14ac:dyDescent="0.2">
      <c r="C248" s="135"/>
      <c r="D248" s="432" t="str">
        <f>IF(op!D181=0,"",op!D181)</f>
        <v/>
      </c>
      <c r="E248" s="432" t="str">
        <f>IF(op!E181=0,"",op!E181)</f>
        <v/>
      </c>
      <c r="F248" s="776" t="str">
        <f>IF(op!F181="","",op!F181+1)</f>
        <v/>
      </c>
      <c r="G248" s="802" t="str">
        <f>IF(op!G181="","",op!G181)</f>
        <v/>
      </c>
      <c r="H248" s="776" t="str">
        <f>IF(op!H181=0,"",op!H181)</f>
        <v/>
      </c>
      <c r="I248" s="433" t="str">
        <f>IF(J248="","",(IF(op!I181+1&gt;LOOKUP(H248,schaal2013,regels2013),op!I181,op!I181+1)))</f>
        <v/>
      </c>
      <c r="J248" s="803" t="str">
        <f>IF(op!J181="","",op!J181)</f>
        <v/>
      </c>
      <c r="K248" s="518"/>
      <c r="L248" s="1207">
        <f>IF(op!L181="","",op!L181)</f>
        <v>0</v>
      </c>
      <c r="M248" s="1207">
        <f>IF(op!M181="","",op!M181)</f>
        <v>0</v>
      </c>
      <c r="N248" s="1209" t="str">
        <f t="shared" si="85"/>
        <v/>
      </c>
      <c r="O248" s="1209" t="str">
        <f t="shared" si="86"/>
        <v/>
      </c>
      <c r="P248" s="1283" t="str">
        <f t="shared" si="87"/>
        <v/>
      </c>
      <c r="Q248" s="518"/>
      <c r="R248" s="1076" t="str">
        <f t="shared" si="101"/>
        <v/>
      </c>
      <c r="S248" s="1076" t="str">
        <f t="shared" si="88"/>
        <v/>
      </c>
      <c r="T248" s="1078" t="str">
        <f t="shared" si="89"/>
        <v/>
      </c>
      <c r="U248" s="599"/>
      <c r="V248" s="1261"/>
      <c r="W248" s="1261"/>
      <c r="X248" s="1218"/>
      <c r="Y248" s="1253" t="e">
        <f>ROUND(VLOOKUP(H248,tab!$A$61:$V$103,I248+2,FALSE),0)</f>
        <v>#VALUE!</v>
      </c>
      <c r="Z248" s="1252">
        <f>tab!$E$48</f>
        <v>0.62</v>
      </c>
      <c r="AA248" s="1284" t="e">
        <f t="shared" si="90"/>
        <v>#VALUE!</v>
      </c>
      <c r="AB248" s="1284" t="e">
        <f t="shared" si="91"/>
        <v>#VALUE!</v>
      </c>
      <c r="AC248" s="1284" t="e">
        <f t="shared" si="92"/>
        <v>#VALUE!</v>
      </c>
      <c r="AD248" s="1286" t="e">
        <f t="shared" si="93"/>
        <v>#VALUE!</v>
      </c>
      <c r="AE248" s="1286">
        <f t="shared" si="94"/>
        <v>0</v>
      </c>
      <c r="AF248" s="1254">
        <f>IF(H248&gt;8,tab!$D$49,tab!$D$52)</f>
        <v>0.5</v>
      </c>
      <c r="AG248" s="1255">
        <f t="shared" si="95"/>
        <v>0</v>
      </c>
      <c r="AH248" s="1251">
        <f t="shared" si="96"/>
        <v>0</v>
      </c>
      <c r="AI248" s="1278" t="e">
        <f>DATE(YEAR(tab!$H$3),MONTH(G248),DAY(G248))&gt;tab!$H$3</f>
        <v>#VALUE!</v>
      </c>
      <c r="AJ248" s="1255" t="e">
        <f t="shared" si="97"/>
        <v>#VALUE!</v>
      </c>
      <c r="AK248" s="1199">
        <f t="shared" si="98"/>
        <v>30</v>
      </c>
      <c r="AL248" s="1199">
        <f t="shared" si="99"/>
        <v>30</v>
      </c>
      <c r="AM248" s="1205">
        <f t="shared" si="100"/>
        <v>0</v>
      </c>
      <c r="AS248" s="819"/>
    </row>
    <row r="249" spans="3:45" ht="12.75" customHeight="1" x14ac:dyDescent="0.2">
      <c r="C249" s="135"/>
      <c r="D249" s="432" t="str">
        <f>IF(op!D182=0,"",op!D182)</f>
        <v/>
      </c>
      <c r="E249" s="432" t="str">
        <f>IF(op!E182=0,"",op!E182)</f>
        <v/>
      </c>
      <c r="F249" s="776" t="str">
        <f>IF(op!F182="","",op!F182+1)</f>
        <v/>
      </c>
      <c r="G249" s="802" t="str">
        <f>IF(op!G182="","",op!G182)</f>
        <v/>
      </c>
      <c r="H249" s="776" t="str">
        <f>IF(op!H182=0,"",op!H182)</f>
        <v/>
      </c>
      <c r="I249" s="433" t="str">
        <f>IF(J249="","",(IF(op!I182+1&gt;LOOKUP(H249,schaal2013,regels2013),op!I182,op!I182+1)))</f>
        <v/>
      </c>
      <c r="J249" s="803" t="str">
        <f>IF(op!J182="","",op!J182)</f>
        <v/>
      </c>
      <c r="K249" s="518"/>
      <c r="L249" s="1207">
        <f>IF(op!L182="","",op!L182)</f>
        <v>0</v>
      </c>
      <c r="M249" s="1207">
        <f>IF(op!M182="","",op!M182)</f>
        <v>0</v>
      </c>
      <c r="N249" s="1209" t="str">
        <f t="shared" si="85"/>
        <v/>
      </c>
      <c r="O249" s="1209" t="str">
        <f t="shared" si="86"/>
        <v/>
      </c>
      <c r="P249" s="1283" t="str">
        <f t="shared" si="87"/>
        <v/>
      </c>
      <c r="Q249" s="518"/>
      <c r="R249" s="1076" t="str">
        <f t="shared" si="101"/>
        <v/>
      </c>
      <c r="S249" s="1076" t="str">
        <f t="shared" si="88"/>
        <v/>
      </c>
      <c r="T249" s="1078" t="str">
        <f t="shared" si="89"/>
        <v/>
      </c>
      <c r="U249" s="599"/>
      <c r="V249" s="1261"/>
      <c r="W249" s="1261"/>
      <c r="X249" s="1218"/>
      <c r="Y249" s="1253" t="e">
        <f>ROUND(VLOOKUP(H249,tab!$A$61:$V$103,I249+2,FALSE),0)</f>
        <v>#VALUE!</v>
      </c>
      <c r="Z249" s="1252">
        <f>tab!$E$48</f>
        <v>0.62</v>
      </c>
      <c r="AA249" s="1284" t="e">
        <f t="shared" si="90"/>
        <v>#VALUE!</v>
      </c>
      <c r="AB249" s="1284" t="e">
        <f t="shared" si="91"/>
        <v>#VALUE!</v>
      </c>
      <c r="AC249" s="1284" t="e">
        <f t="shared" si="92"/>
        <v>#VALUE!</v>
      </c>
      <c r="AD249" s="1286" t="e">
        <f t="shared" si="93"/>
        <v>#VALUE!</v>
      </c>
      <c r="AE249" s="1286">
        <f t="shared" si="94"/>
        <v>0</v>
      </c>
      <c r="AF249" s="1254">
        <f>IF(H249&gt;8,tab!$D$49,tab!$D$52)</f>
        <v>0.5</v>
      </c>
      <c r="AG249" s="1255">
        <f t="shared" si="95"/>
        <v>0</v>
      </c>
      <c r="AH249" s="1251">
        <f t="shared" si="96"/>
        <v>0</v>
      </c>
      <c r="AI249" s="1278" t="e">
        <f>DATE(YEAR(tab!$H$3),MONTH(G249),DAY(G249))&gt;tab!$H$3</f>
        <v>#VALUE!</v>
      </c>
      <c r="AJ249" s="1255" t="e">
        <f t="shared" si="97"/>
        <v>#VALUE!</v>
      </c>
      <c r="AK249" s="1199">
        <f t="shared" si="98"/>
        <v>30</v>
      </c>
      <c r="AL249" s="1199">
        <f t="shared" si="99"/>
        <v>30</v>
      </c>
      <c r="AM249" s="1205">
        <f t="shared" si="100"/>
        <v>0</v>
      </c>
      <c r="AS249" s="819"/>
    </row>
    <row r="250" spans="3:45" ht="12.75" customHeight="1" x14ac:dyDescent="0.2">
      <c r="C250" s="135"/>
      <c r="D250" s="432" t="str">
        <f>IF(op!D183=0,"",op!D183)</f>
        <v/>
      </c>
      <c r="E250" s="432" t="str">
        <f>IF(op!E183=0,"",op!E183)</f>
        <v/>
      </c>
      <c r="F250" s="776" t="str">
        <f>IF(op!F183="","",op!F183+1)</f>
        <v/>
      </c>
      <c r="G250" s="802" t="str">
        <f>IF(op!G183="","",op!G183)</f>
        <v/>
      </c>
      <c r="H250" s="776" t="str">
        <f>IF(op!H183=0,"",op!H183)</f>
        <v/>
      </c>
      <c r="I250" s="433" t="str">
        <f>IF(J250="","",(IF(op!I183+1&gt;LOOKUP(H250,schaal2013,regels2013),op!I183,op!I183+1)))</f>
        <v/>
      </c>
      <c r="J250" s="803" t="str">
        <f>IF(op!J183="","",op!J183)</f>
        <v/>
      </c>
      <c r="K250" s="518"/>
      <c r="L250" s="1207">
        <f>IF(op!L183="","",op!L183)</f>
        <v>0</v>
      </c>
      <c r="M250" s="1207">
        <f>IF(op!M183="","",op!M183)</f>
        <v>0</v>
      </c>
      <c r="N250" s="1209" t="str">
        <f t="shared" si="85"/>
        <v/>
      </c>
      <c r="O250" s="1209" t="str">
        <f t="shared" si="86"/>
        <v/>
      </c>
      <c r="P250" s="1283" t="str">
        <f t="shared" si="87"/>
        <v/>
      </c>
      <c r="Q250" s="518"/>
      <c r="R250" s="1076" t="str">
        <f t="shared" si="101"/>
        <v/>
      </c>
      <c r="S250" s="1076" t="str">
        <f t="shared" si="88"/>
        <v/>
      </c>
      <c r="T250" s="1078" t="str">
        <f t="shared" si="89"/>
        <v/>
      </c>
      <c r="U250" s="599"/>
      <c r="V250" s="1261"/>
      <c r="W250" s="1261"/>
      <c r="X250" s="1218"/>
      <c r="Y250" s="1253" t="e">
        <f>ROUND(VLOOKUP(H250,tab!$A$61:$V$103,I250+2,FALSE),0)</f>
        <v>#VALUE!</v>
      </c>
      <c r="Z250" s="1252">
        <f>tab!$E$48</f>
        <v>0.62</v>
      </c>
      <c r="AA250" s="1284" t="e">
        <f t="shared" si="90"/>
        <v>#VALUE!</v>
      </c>
      <c r="AB250" s="1284" t="e">
        <f t="shared" si="91"/>
        <v>#VALUE!</v>
      </c>
      <c r="AC250" s="1284" t="e">
        <f t="shared" si="92"/>
        <v>#VALUE!</v>
      </c>
      <c r="AD250" s="1286" t="e">
        <f t="shared" si="93"/>
        <v>#VALUE!</v>
      </c>
      <c r="AE250" s="1286">
        <f t="shared" si="94"/>
        <v>0</v>
      </c>
      <c r="AF250" s="1254">
        <f>IF(H250&gt;8,tab!$D$49,tab!$D$52)</f>
        <v>0.5</v>
      </c>
      <c r="AG250" s="1255">
        <f t="shared" si="95"/>
        <v>0</v>
      </c>
      <c r="AH250" s="1251">
        <f t="shared" si="96"/>
        <v>0</v>
      </c>
      <c r="AI250" s="1278" t="e">
        <f>DATE(YEAR(tab!$H$3),MONTH(G250),DAY(G250))&gt;tab!$H$3</f>
        <v>#VALUE!</v>
      </c>
      <c r="AJ250" s="1255" t="e">
        <f t="shared" si="97"/>
        <v>#VALUE!</v>
      </c>
      <c r="AK250" s="1199">
        <f t="shared" si="98"/>
        <v>30</v>
      </c>
      <c r="AL250" s="1199">
        <f t="shared" si="99"/>
        <v>30</v>
      </c>
      <c r="AM250" s="1205">
        <f t="shared" si="100"/>
        <v>0</v>
      </c>
      <c r="AS250" s="819"/>
    </row>
    <row r="251" spans="3:45" ht="12.75" customHeight="1" x14ac:dyDescent="0.2">
      <c r="C251" s="135"/>
      <c r="D251" s="432" t="str">
        <f>IF(op!D184=0,"",op!D184)</f>
        <v/>
      </c>
      <c r="E251" s="432" t="str">
        <f>IF(op!E184=0,"",op!E184)</f>
        <v/>
      </c>
      <c r="F251" s="776" t="str">
        <f>IF(op!F184="","",op!F184+1)</f>
        <v/>
      </c>
      <c r="G251" s="802" t="str">
        <f>IF(op!G184="","",op!G184)</f>
        <v/>
      </c>
      <c r="H251" s="776" t="str">
        <f>IF(op!H184=0,"",op!H184)</f>
        <v/>
      </c>
      <c r="I251" s="433" t="str">
        <f>IF(J251="","",(IF(op!I184+1&gt;LOOKUP(H251,schaal2013,regels2013),op!I184,op!I184+1)))</f>
        <v/>
      </c>
      <c r="J251" s="803" t="str">
        <f>IF(op!J184="","",op!J184)</f>
        <v/>
      </c>
      <c r="K251" s="518"/>
      <c r="L251" s="1207">
        <f>IF(op!L184="","",op!L184)</f>
        <v>0</v>
      </c>
      <c r="M251" s="1207">
        <f>IF(op!M184="","",op!M184)</f>
        <v>0</v>
      </c>
      <c r="N251" s="1209" t="str">
        <f t="shared" si="85"/>
        <v/>
      </c>
      <c r="O251" s="1209" t="str">
        <f t="shared" si="86"/>
        <v/>
      </c>
      <c r="P251" s="1283" t="str">
        <f t="shared" si="87"/>
        <v/>
      </c>
      <c r="Q251" s="518"/>
      <c r="R251" s="1076" t="str">
        <f t="shared" si="101"/>
        <v/>
      </c>
      <c r="S251" s="1076" t="str">
        <f t="shared" si="88"/>
        <v/>
      </c>
      <c r="T251" s="1078" t="str">
        <f t="shared" si="89"/>
        <v/>
      </c>
      <c r="U251" s="599"/>
      <c r="V251" s="1261"/>
      <c r="W251" s="1261"/>
      <c r="X251" s="1218"/>
      <c r="Y251" s="1253" t="e">
        <f>ROUND(VLOOKUP(H251,tab!$A$61:$V$103,I251+2,FALSE),0)</f>
        <v>#VALUE!</v>
      </c>
      <c r="Z251" s="1252">
        <f>tab!$E$48</f>
        <v>0.62</v>
      </c>
      <c r="AA251" s="1284" t="e">
        <f t="shared" si="90"/>
        <v>#VALUE!</v>
      </c>
      <c r="AB251" s="1284" t="e">
        <f t="shared" si="91"/>
        <v>#VALUE!</v>
      </c>
      <c r="AC251" s="1284" t="e">
        <f t="shared" si="92"/>
        <v>#VALUE!</v>
      </c>
      <c r="AD251" s="1286" t="e">
        <f t="shared" si="93"/>
        <v>#VALUE!</v>
      </c>
      <c r="AE251" s="1286">
        <f t="shared" si="94"/>
        <v>0</v>
      </c>
      <c r="AF251" s="1254">
        <f>IF(H251&gt;8,tab!$D$49,tab!$D$52)</f>
        <v>0.5</v>
      </c>
      <c r="AG251" s="1255">
        <f t="shared" ref="AG251:AG273" si="102">IF(F251&lt;25,0,IF(F251=25,25,IF(F251&lt;40,0,IF(F251=40,40,IF(F251&gt;=40,0)))))</f>
        <v>0</v>
      </c>
      <c r="AH251" s="1251">
        <f t="shared" ref="AH251:AH273" si="103">IF(AG251=25,(Y251*1.08*(J251)/2),IF(AG251=40,(Y251*1.08*(J251)),IF(AG251=0,0)))</f>
        <v>0</v>
      </c>
      <c r="AI251" s="1278" t="e">
        <f>DATE(YEAR(tab!$H$3),MONTH(G251),DAY(G251))&gt;tab!$H$3</f>
        <v>#VALUE!</v>
      </c>
      <c r="AJ251" s="1255" t="e">
        <f t="shared" ref="AJ251:AJ273" si="104">YEAR($E$212)-YEAR(G251)-AI251</f>
        <v>#VALUE!</v>
      </c>
      <c r="AK251" s="1199">
        <f t="shared" ref="AK251:AK273" si="105">IF((G251=""),30,AJ251)</f>
        <v>30</v>
      </c>
      <c r="AL251" s="1199">
        <f t="shared" ref="AL251:AL273" si="106">IF((AK251)&gt;50,50,(AK251))</f>
        <v>30</v>
      </c>
      <c r="AM251" s="1205">
        <f t="shared" ref="AM251:AM273" si="107">(AL251*(SUM(J251:J251)))</f>
        <v>0</v>
      </c>
      <c r="AS251" s="819"/>
    </row>
    <row r="252" spans="3:45" ht="12.75" customHeight="1" x14ac:dyDescent="0.2">
      <c r="C252" s="135"/>
      <c r="D252" s="432" t="str">
        <f>IF(op!D185=0,"",op!D185)</f>
        <v/>
      </c>
      <c r="E252" s="432" t="str">
        <f>IF(op!E185=0,"",op!E185)</f>
        <v/>
      </c>
      <c r="F252" s="776" t="str">
        <f>IF(op!F185="","",op!F185+1)</f>
        <v/>
      </c>
      <c r="G252" s="802" t="str">
        <f>IF(op!G185="","",op!G185)</f>
        <v/>
      </c>
      <c r="H252" s="776" t="str">
        <f>IF(op!H185=0,"",op!H185)</f>
        <v/>
      </c>
      <c r="I252" s="433" t="str">
        <f>IF(J252="","",(IF(op!I185+1&gt;LOOKUP(H252,schaal2013,regels2013),op!I185,op!I185+1)))</f>
        <v/>
      </c>
      <c r="J252" s="803" t="str">
        <f>IF(op!J185="","",op!J185)</f>
        <v/>
      </c>
      <c r="K252" s="518"/>
      <c r="L252" s="1207">
        <f>IF(op!L185="","",op!L185)</f>
        <v>0</v>
      </c>
      <c r="M252" s="1207">
        <f>IF(op!M185="","",op!M185)</f>
        <v>0</v>
      </c>
      <c r="N252" s="1209" t="str">
        <f t="shared" si="85"/>
        <v/>
      </c>
      <c r="O252" s="1209" t="str">
        <f t="shared" si="86"/>
        <v/>
      </c>
      <c r="P252" s="1283" t="str">
        <f t="shared" si="87"/>
        <v/>
      </c>
      <c r="Q252" s="518"/>
      <c r="R252" s="1076" t="str">
        <f t="shared" si="101"/>
        <v/>
      </c>
      <c r="S252" s="1076" t="str">
        <f t="shared" si="88"/>
        <v/>
      </c>
      <c r="T252" s="1078" t="str">
        <f t="shared" si="89"/>
        <v/>
      </c>
      <c r="U252" s="599"/>
      <c r="V252" s="1261"/>
      <c r="W252" s="1261"/>
      <c r="X252" s="1218"/>
      <c r="Y252" s="1253" t="e">
        <f>ROUND(VLOOKUP(H252,tab!$A$61:$V$103,I252+2,FALSE),0)</f>
        <v>#VALUE!</v>
      </c>
      <c r="Z252" s="1252">
        <f>tab!$E$48</f>
        <v>0.62</v>
      </c>
      <c r="AA252" s="1284" t="e">
        <f t="shared" si="90"/>
        <v>#VALUE!</v>
      </c>
      <c r="AB252" s="1284" t="e">
        <f t="shared" si="91"/>
        <v>#VALUE!</v>
      </c>
      <c r="AC252" s="1284" t="e">
        <f t="shared" si="92"/>
        <v>#VALUE!</v>
      </c>
      <c r="AD252" s="1286" t="e">
        <f t="shared" si="93"/>
        <v>#VALUE!</v>
      </c>
      <c r="AE252" s="1286">
        <f t="shared" si="94"/>
        <v>0</v>
      </c>
      <c r="AF252" s="1254">
        <f>IF(H252&gt;8,tab!$D$49,tab!$D$52)</f>
        <v>0.5</v>
      </c>
      <c r="AG252" s="1255">
        <f t="shared" si="102"/>
        <v>0</v>
      </c>
      <c r="AH252" s="1251">
        <f t="shared" si="103"/>
        <v>0</v>
      </c>
      <c r="AI252" s="1278" t="e">
        <f>DATE(YEAR(tab!$H$3),MONTH(G252),DAY(G252))&gt;tab!$H$3</f>
        <v>#VALUE!</v>
      </c>
      <c r="AJ252" s="1255" t="e">
        <f t="shared" si="104"/>
        <v>#VALUE!</v>
      </c>
      <c r="AK252" s="1199">
        <f t="shared" si="105"/>
        <v>30</v>
      </c>
      <c r="AL252" s="1199">
        <f t="shared" si="106"/>
        <v>30</v>
      </c>
      <c r="AM252" s="1205">
        <f t="shared" si="107"/>
        <v>0</v>
      </c>
      <c r="AS252" s="819"/>
    </row>
    <row r="253" spans="3:45" ht="12.75" customHeight="1" x14ac:dyDescent="0.2">
      <c r="C253" s="135"/>
      <c r="D253" s="432" t="str">
        <f>IF(op!D186=0,"",op!D186)</f>
        <v/>
      </c>
      <c r="E253" s="432" t="str">
        <f>IF(op!E186=0,"",op!E186)</f>
        <v/>
      </c>
      <c r="F253" s="776" t="str">
        <f>IF(op!F186="","",op!F186+1)</f>
        <v/>
      </c>
      <c r="G253" s="802" t="str">
        <f>IF(op!G186="","",op!G186)</f>
        <v/>
      </c>
      <c r="H253" s="776" t="str">
        <f>IF(op!H186=0,"",op!H186)</f>
        <v/>
      </c>
      <c r="I253" s="433" t="str">
        <f>IF(J253="","",(IF(op!I186+1&gt;LOOKUP(H253,schaal2013,regels2013),op!I186,op!I186+1)))</f>
        <v/>
      </c>
      <c r="J253" s="803" t="str">
        <f>IF(op!J186="","",op!J186)</f>
        <v/>
      </c>
      <c r="K253" s="518"/>
      <c r="L253" s="1207">
        <f>IF(op!L186="","",op!L186)</f>
        <v>0</v>
      </c>
      <c r="M253" s="1207">
        <f>IF(op!M186="","",op!M186)</f>
        <v>0</v>
      </c>
      <c r="N253" s="1209" t="str">
        <f t="shared" si="85"/>
        <v/>
      </c>
      <c r="O253" s="1209" t="str">
        <f t="shared" si="86"/>
        <v/>
      </c>
      <c r="P253" s="1283" t="str">
        <f t="shared" si="87"/>
        <v/>
      </c>
      <c r="Q253" s="518"/>
      <c r="R253" s="1076" t="str">
        <f t="shared" si="101"/>
        <v/>
      </c>
      <c r="S253" s="1076" t="str">
        <f t="shared" si="88"/>
        <v/>
      </c>
      <c r="T253" s="1078" t="str">
        <f t="shared" si="89"/>
        <v/>
      </c>
      <c r="U253" s="599"/>
      <c r="V253" s="1261"/>
      <c r="W253" s="1261"/>
      <c r="X253" s="1218"/>
      <c r="Y253" s="1253" t="e">
        <f>ROUND(VLOOKUP(H253,tab!$A$61:$V$103,I253+2,FALSE),0)</f>
        <v>#VALUE!</v>
      </c>
      <c r="Z253" s="1252">
        <f>tab!$E$48</f>
        <v>0.62</v>
      </c>
      <c r="AA253" s="1284" t="e">
        <f t="shared" si="90"/>
        <v>#VALUE!</v>
      </c>
      <c r="AB253" s="1284" t="e">
        <f t="shared" si="91"/>
        <v>#VALUE!</v>
      </c>
      <c r="AC253" s="1284" t="e">
        <f t="shared" si="92"/>
        <v>#VALUE!</v>
      </c>
      <c r="AD253" s="1286" t="e">
        <f t="shared" si="93"/>
        <v>#VALUE!</v>
      </c>
      <c r="AE253" s="1286">
        <f t="shared" si="94"/>
        <v>0</v>
      </c>
      <c r="AF253" s="1254">
        <f>IF(H253&gt;8,tab!$D$49,tab!$D$52)</f>
        <v>0.5</v>
      </c>
      <c r="AG253" s="1255">
        <f t="shared" si="102"/>
        <v>0</v>
      </c>
      <c r="AH253" s="1251">
        <f t="shared" si="103"/>
        <v>0</v>
      </c>
      <c r="AI253" s="1278" t="e">
        <f>DATE(YEAR(tab!$H$3),MONTH(G253),DAY(G253))&gt;tab!$H$3</f>
        <v>#VALUE!</v>
      </c>
      <c r="AJ253" s="1255" t="e">
        <f t="shared" si="104"/>
        <v>#VALUE!</v>
      </c>
      <c r="AK253" s="1199">
        <f t="shared" si="105"/>
        <v>30</v>
      </c>
      <c r="AL253" s="1199">
        <f t="shared" si="106"/>
        <v>30</v>
      </c>
      <c r="AM253" s="1205">
        <f t="shared" si="107"/>
        <v>0</v>
      </c>
      <c r="AS253" s="819"/>
    </row>
    <row r="254" spans="3:45" ht="12.75" customHeight="1" x14ac:dyDescent="0.2">
      <c r="C254" s="135"/>
      <c r="D254" s="432" t="str">
        <f>IF(op!D187=0,"",op!D187)</f>
        <v/>
      </c>
      <c r="E254" s="432" t="str">
        <f>IF(op!E187=0,"",op!E187)</f>
        <v/>
      </c>
      <c r="F254" s="776" t="str">
        <f>IF(op!F187="","",op!F187+1)</f>
        <v/>
      </c>
      <c r="G254" s="802" t="str">
        <f>IF(op!G187="","",op!G187)</f>
        <v/>
      </c>
      <c r="H254" s="776" t="str">
        <f>IF(op!H187=0,"",op!H187)</f>
        <v/>
      </c>
      <c r="I254" s="433" t="str">
        <f>IF(J254="","",(IF(op!I187+1&gt;LOOKUP(H254,schaal2013,regels2013),op!I187,op!I187+1)))</f>
        <v/>
      </c>
      <c r="J254" s="803" t="str">
        <f>IF(op!J187="","",op!J187)</f>
        <v/>
      </c>
      <c r="K254" s="518"/>
      <c r="L254" s="1207">
        <f>IF(op!L187="","",op!L187)</f>
        <v>0</v>
      </c>
      <c r="M254" s="1207">
        <f>IF(op!M187="","",op!M187)</f>
        <v>0</v>
      </c>
      <c r="N254" s="1209" t="str">
        <f t="shared" si="85"/>
        <v/>
      </c>
      <c r="O254" s="1209" t="str">
        <f t="shared" si="86"/>
        <v/>
      </c>
      <c r="P254" s="1283" t="str">
        <f t="shared" si="87"/>
        <v/>
      </c>
      <c r="Q254" s="518"/>
      <c r="R254" s="1076" t="str">
        <f t="shared" si="101"/>
        <v/>
      </c>
      <c r="S254" s="1076" t="str">
        <f t="shared" si="88"/>
        <v/>
      </c>
      <c r="T254" s="1078" t="str">
        <f t="shared" si="89"/>
        <v/>
      </c>
      <c r="U254" s="599"/>
      <c r="V254" s="1261"/>
      <c r="W254" s="1261"/>
      <c r="X254" s="1218"/>
      <c r="Y254" s="1253" t="e">
        <f>ROUND(VLOOKUP(H254,tab!$A$61:$V$103,I254+2,FALSE),0)</f>
        <v>#VALUE!</v>
      </c>
      <c r="Z254" s="1252">
        <f>tab!$E$48</f>
        <v>0.62</v>
      </c>
      <c r="AA254" s="1284" t="e">
        <f t="shared" si="90"/>
        <v>#VALUE!</v>
      </c>
      <c r="AB254" s="1284" t="e">
        <f t="shared" si="91"/>
        <v>#VALUE!</v>
      </c>
      <c r="AC254" s="1284" t="e">
        <f t="shared" si="92"/>
        <v>#VALUE!</v>
      </c>
      <c r="AD254" s="1286" t="e">
        <f t="shared" si="93"/>
        <v>#VALUE!</v>
      </c>
      <c r="AE254" s="1286">
        <f t="shared" si="94"/>
        <v>0</v>
      </c>
      <c r="AF254" s="1254">
        <f>IF(H254&gt;8,tab!$D$49,tab!$D$52)</f>
        <v>0.5</v>
      </c>
      <c r="AG254" s="1255">
        <f t="shared" si="102"/>
        <v>0</v>
      </c>
      <c r="AH254" s="1251">
        <f t="shared" si="103"/>
        <v>0</v>
      </c>
      <c r="AI254" s="1278" t="e">
        <f>DATE(YEAR(tab!$H$3),MONTH(G254),DAY(G254))&gt;tab!$H$3</f>
        <v>#VALUE!</v>
      </c>
      <c r="AJ254" s="1255" t="e">
        <f t="shared" si="104"/>
        <v>#VALUE!</v>
      </c>
      <c r="AK254" s="1199">
        <f t="shared" si="105"/>
        <v>30</v>
      </c>
      <c r="AL254" s="1199">
        <f t="shared" si="106"/>
        <v>30</v>
      </c>
      <c r="AM254" s="1205">
        <f t="shared" si="107"/>
        <v>0</v>
      </c>
      <c r="AS254" s="819"/>
    </row>
    <row r="255" spans="3:45" ht="12.75" customHeight="1" x14ac:dyDescent="0.2">
      <c r="C255" s="135"/>
      <c r="D255" s="432" t="str">
        <f>IF(op!D188=0,"",op!D188)</f>
        <v/>
      </c>
      <c r="E255" s="432" t="str">
        <f>IF(op!E188=0,"",op!E188)</f>
        <v/>
      </c>
      <c r="F255" s="776" t="str">
        <f>IF(op!F188="","",op!F188+1)</f>
        <v/>
      </c>
      <c r="G255" s="802" t="str">
        <f>IF(op!G188="","",op!G188)</f>
        <v/>
      </c>
      <c r="H255" s="776" t="str">
        <f>IF(op!H188=0,"",op!H188)</f>
        <v/>
      </c>
      <c r="I255" s="433" t="str">
        <f>IF(J255="","",(IF(op!I188+1&gt;LOOKUP(H255,schaal2013,regels2013),op!I188,op!I188+1)))</f>
        <v/>
      </c>
      <c r="J255" s="803" t="str">
        <f>IF(op!J188="","",op!J188)</f>
        <v/>
      </c>
      <c r="K255" s="518"/>
      <c r="L255" s="1207">
        <f>IF(op!L188="","",op!L188)</f>
        <v>0</v>
      </c>
      <c r="M255" s="1207">
        <f>IF(op!M188="","",op!M188)</f>
        <v>0</v>
      </c>
      <c r="N255" s="1209" t="str">
        <f t="shared" si="85"/>
        <v/>
      </c>
      <c r="O255" s="1209" t="str">
        <f t="shared" si="86"/>
        <v/>
      </c>
      <c r="P255" s="1283" t="str">
        <f t="shared" si="87"/>
        <v/>
      </c>
      <c r="Q255" s="518"/>
      <c r="R255" s="1076" t="str">
        <f t="shared" si="101"/>
        <v/>
      </c>
      <c r="S255" s="1076" t="str">
        <f t="shared" si="88"/>
        <v/>
      </c>
      <c r="T255" s="1078" t="str">
        <f t="shared" si="89"/>
        <v/>
      </c>
      <c r="U255" s="599"/>
      <c r="V255" s="1261"/>
      <c r="W255" s="1261"/>
      <c r="X255" s="1218"/>
      <c r="Y255" s="1253" t="e">
        <f>ROUND(VLOOKUP(H255,tab!$A$61:$V$103,I255+2,FALSE),0)</f>
        <v>#VALUE!</v>
      </c>
      <c r="Z255" s="1252">
        <f>tab!$E$48</f>
        <v>0.62</v>
      </c>
      <c r="AA255" s="1284" t="e">
        <f t="shared" si="90"/>
        <v>#VALUE!</v>
      </c>
      <c r="AB255" s="1284" t="e">
        <f t="shared" si="91"/>
        <v>#VALUE!</v>
      </c>
      <c r="AC255" s="1284" t="e">
        <f t="shared" si="92"/>
        <v>#VALUE!</v>
      </c>
      <c r="AD255" s="1286" t="e">
        <f t="shared" si="93"/>
        <v>#VALUE!</v>
      </c>
      <c r="AE255" s="1286">
        <f t="shared" si="94"/>
        <v>0</v>
      </c>
      <c r="AF255" s="1254">
        <f>IF(H255&gt;8,tab!$D$49,tab!$D$52)</f>
        <v>0.5</v>
      </c>
      <c r="AG255" s="1255">
        <f t="shared" si="102"/>
        <v>0</v>
      </c>
      <c r="AH255" s="1251">
        <f t="shared" si="103"/>
        <v>0</v>
      </c>
      <c r="AI255" s="1278" t="e">
        <f>DATE(YEAR(tab!$H$3),MONTH(G255),DAY(G255))&gt;tab!$H$3</f>
        <v>#VALUE!</v>
      </c>
      <c r="AJ255" s="1255" t="e">
        <f t="shared" si="104"/>
        <v>#VALUE!</v>
      </c>
      <c r="AK255" s="1199">
        <f t="shared" si="105"/>
        <v>30</v>
      </c>
      <c r="AL255" s="1199">
        <f t="shared" si="106"/>
        <v>30</v>
      </c>
      <c r="AM255" s="1205">
        <f t="shared" si="107"/>
        <v>0</v>
      </c>
      <c r="AS255" s="819"/>
    </row>
    <row r="256" spans="3:45" ht="12.75" customHeight="1" x14ac:dyDescent="0.2">
      <c r="C256" s="135"/>
      <c r="D256" s="432" t="str">
        <f>IF(op!D189=0,"",op!D189)</f>
        <v/>
      </c>
      <c r="E256" s="432" t="str">
        <f>IF(op!E189=0,"",op!E189)</f>
        <v/>
      </c>
      <c r="F256" s="776" t="str">
        <f>IF(op!F189="","",op!F189+1)</f>
        <v/>
      </c>
      <c r="G256" s="802" t="str">
        <f>IF(op!G189="","",op!G189)</f>
        <v/>
      </c>
      <c r="H256" s="776" t="str">
        <f>IF(op!H189=0,"",op!H189)</f>
        <v/>
      </c>
      <c r="I256" s="433" t="str">
        <f>IF(J256="","",(IF(op!I189+1&gt;LOOKUP(H256,schaal2013,regels2013),op!I189,op!I189+1)))</f>
        <v/>
      </c>
      <c r="J256" s="803" t="str">
        <f>IF(op!J189="","",op!J189)</f>
        <v/>
      </c>
      <c r="K256" s="518"/>
      <c r="L256" s="1207">
        <f>IF(op!L189="","",op!L189)</f>
        <v>0</v>
      </c>
      <c r="M256" s="1207">
        <f>IF(op!M189="","",op!M189)</f>
        <v>0</v>
      </c>
      <c r="N256" s="1209" t="str">
        <f t="shared" si="85"/>
        <v/>
      </c>
      <c r="O256" s="1209" t="str">
        <f t="shared" si="86"/>
        <v/>
      </c>
      <c r="P256" s="1283" t="str">
        <f t="shared" si="87"/>
        <v/>
      </c>
      <c r="Q256" s="518"/>
      <c r="R256" s="1076" t="str">
        <f t="shared" si="101"/>
        <v/>
      </c>
      <c r="S256" s="1076" t="str">
        <f t="shared" si="88"/>
        <v/>
      </c>
      <c r="T256" s="1078" t="str">
        <f t="shared" si="89"/>
        <v/>
      </c>
      <c r="U256" s="599"/>
      <c r="V256" s="1261"/>
      <c r="W256" s="1261"/>
      <c r="X256" s="1218"/>
      <c r="Y256" s="1253" t="e">
        <f>ROUND(VLOOKUP(H256,tab!$A$61:$V$103,I256+2,FALSE),0)</f>
        <v>#VALUE!</v>
      </c>
      <c r="Z256" s="1252">
        <f>tab!$E$48</f>
        <v>0.62</v>
      </c>
      <c r="AA256" s="1284" t="e">
        <f t="shared" si="90"/>
        <v>#VALUE!</v>
      </c>
      <c r="AB256" s="1284" t="e">
        <f t="shared" si="91"/>
        <v>#VALUE!</v>
      </c>
      <c r="AC256" s="1284" t="e">
        <f t="shared" si="92"/>
        <v>#VALUE!</v>
      </c>
      <c r="AD256" s="1286" t="e">
        <f t="shared" si="93"/>
        <v>#VALUE!</v>
      </c>
      <c r="AE256" s="1286">
        <f t="shared" si="94"/>
        <v>0</v>
      </c>
      <c r="AF256" s="1254">
        <f>IF(H256&gt;8,tab!$D$49,tab!$D$52)</f>
        <v>0.5</v>
      </c>
      <c r="AG256" s="1255">
        <f t="shared" si="102"/>
        <v>0</v>
      </c>
      <c r="AH256" s="1251">
        <f t="shared" si="103"/>
        <v>0</v>
      </c>
      <c r="AI256" s="1278" t="e">
        <f>DATE(YEAR(tab!$H$3),MONTH(G256),DAY(G256))&gt;tab!$H$3</f>
        <v>#VALUE!</v>
      </c>
      <c r="AJ256" s="1255" t="e">
        <f t="shared" si="104"/>
        <v>#VALUE!</v>
      </c>
      <c r="AK256" s="1199">
        <f t="shared" si="105"/>
        <v>30</v>
      </c>
      <c r="AL256" s="1199">
        <f t="shared" si="106"/>
        <v>30</v>
      </c>
      <c r="AM256" s="1205">
        <f t="shared" si="107"/>
        <v>0</v>
      </c>
      <c r="AS256" s="819"/>
    </row>
    <row r="257" spans="3:45" ht="12.75" customHeight="1" x14ac:dyDescent="0.2">
      <c r="C257" s="135"/>
      <c r="D257" s="432" t="str">
        <f>IF(op!D190=0,"",op!D190)</f>
        <v/>
      </c>
      <c r="E257" s="432" t="str">
        <f>IF(op!E190=0,"",op!E190)</f>
        <v/>
      </c>
      <c r="F257" s="776" t="str">
        <f>IF(op!F190="","",op!F190+1)</f>
        <v/>
      </c>
      <c r="G257" s="802" t="str">
        <f>IF(op!G190="","",op!G190)</f>
        <v/>
      </c>
      <c r="H257" s="776" t="str">
        <f>IF(op!H190=0,"",op!H190)</f>
        <v/>
      </c>
      <c r="I257" s="433" t="str">
        <f>IF(J257="","",(IF(op!I190+1&gt;LOOKUP(H257,schaal2013,regels2013),op!I190,op!I190+1)))</f>
        <v/>
      </c>
      <c r="J257" s="803" t="str">
        <f>IF(op!J190="","",op!J190)</f>
        <v/>
      </c>
      <c r="K257" s="518"/>
      <c r="L257" s="1207">
        <f>IF(op!L190="","",op!L190)</f>
        <v>0</v>
      </c>
      <c r="M257" s="1207">
        <f>IF(op!M190="","",op!M190)</f>
        <v>0</v>
      </c>
      <c r="N257" s="1209" t="str">
        <f t="shared" si="85"/>
        <v/>
      </c>
      <c r="O257" s="1209" t="str">
        <f t="shared" si="86"/>
        <v/>
      </c>
      <c r="P257" s="1283" t="str">
        <f t="shared" si="87"/>
        <v/>
      </c>
      <c r="Q257" s="518"/>
      <c r="R257" s="1076" t="str">
        <f t="shared" si="101"/>
        <v/>
      </c>
      <c r="S257" s="1076" t="str">
        <f t="shared" si="88"/>
        <v/>
      </c>
      <c r="T257" s="1078" t="str">
        <f t="shared" si="89"/>
        <v/>
      </c>
      <c r="U257" s="599"/>
      <c r="V257" s="1261"/>
      <c r="W257" s="1261"/>
      <c r="X257" s="1218"/>
      <c r="Y257" s="1253" t="e">
        <f>ROUND(VLOOKUP(H257,tab!$A$61:$V$103,I257+2,FALSE),0)</f>
        <v>#VALUE!</v>
      </c>
      <c r="Z257" s="1252">
        <f>tab!$E$48</f>
        <v>0.62</v>
      </c>
      <c r="AA257" s="1284" t="e">
        <f t="shared" si="90"/>
        <v>#VALUE!</v>
      </c>
      <c r="AB257" s="1284" t="e">
        <f t="shared" si="91"/>
        <v>#VALUE!</v>
      </c>
      <c r="AC257" s="1284" t="e">
        <f t="shared" si="92"/>
        <v>#VALUE!</v>
      </c>
      <c r="AD257" s="1286" t="e">
        <f t="shared" si="93"/>
        <v>#VALUE!</v>
      </c>
      <c r="AE257" s="1286">
        <f t="shared" si="94"/>
        <v>0</v>
      </c>
      <c r="AF257" s="1254">
        <f>IF(H257&gt;8,tab!$D$49,tab!$D$52)</f>
        <v>0.5</v>
      </c>
      <c r="AG257" s="1255">
        <f t="shared" si="102"/>
        <v>0</v>
      </c>
      <c r="AH257" s="1251">
        <f t="shared" si="103"/>
        <v>0</v>
      </c>
      <c r="AI257" s="1278" t="e">
        <f>DATE(YEAR(tab!$H$3),MONTH(G257),DAY(G257))&gt;tab!$H$3</f>
        <v>#VALUE!</v>
      </c>
      <c r="AJ257" s="1255" t="e">
        <f t="shared" si="104"/>
        <v>#VALUE!</v>
      </c>
      <c r="AK257" s="1199">
        <f t="shared" si="105"/>
        <v>30</v>
      </c>
      <c r="AL257" s="1199">
        <f t="shared" si="106"/>
        <v>30</v>
      </c>
      <c r="AM257" s="1205">
        <f t="shared" si="107"/>
        <v>0</v>
      </c>
      <c r="AS257" s="819"/>
    </row>
    <row r="258" spans="3:45" ht="12.75" customHeight="1" x14ac:dyDescent="0.2">
      <c r="C258" s="135"/>
      <c r="D258" s="432" t="str">
        <f>IF(op!D191=0,"",op!D191)</f>
        <v/>
      </c>
      <c r="E258" s="432" t="str">
        <f>IF(op!E191=0,"",op!E191)</f>
        <v/>
      </c>
      <c r="F258" s="776" t="str">
        <f>IF(op!F191="","",op!F191+1)</f>
        <v/>
      </c>
      <c r="G258" s="802" t="str">
        <f>IF(op!G191="","",op!G191)</f>
        <v/>
      </c>
      <c r="H258" s="776" t="str">
        <f>IF(op!H191=0,"",op!H191)</f>
        <v/>
      </c>
      <c r="I258" s="433" t="str">
        <f>IF(J258="","",(IF(op!I191+1&gt;LOOKUP(H258,schaal2013,regels2013),op!I191,op!I191+1)))</f>
        <v/>
      </c>
      <c r="J258" s="803" t="str">
        <f>IF(op!J191="","",op!J191)</f>
        <v/>
      </c>
      <c r="K258" s="518"/>
      <c r="L258" s="1207">
        <f>IF(op!L191="","",op!L191)</f>
        <v>0</v>
      </c>
      <c r="M258" s="1207">
        <f>IF(op!M191="","",op!M191)</f>
        <v>0</v>
      </c>
      <c r="N258" s="1209" t="str">
        <f t="shared" si="85"/>
        <v/>
      </c>
      <c r="O258" s="1209" t="str">
        <f t="shared" si="86"/>
        <v/>
      </c>
      <c r="P258" s="1283" t="str">
        <f t="shared" si="87"/>
        <v/>
      </c>
      <c r="Q258" s="518"/>
      <c r="R258" s="1076" t="str">
        <f t="shared" si="101"/>
        <v/>
      </c>
      <c r="S258" s="1076" t="str">
        <f t="shared" si="88"/>
        <v/>
      </c>
      <c r="T258" s="1078" t="str">
        <f t="shared" si="89"/>
        <v/>
      </c>
      <c r="U258" s="599"/>
      <c r="V258" s="1261"/>
      <c r="W258" s="1261"/>
      <c r="X258" s="1218"/>
      <c r="Y258" s="1253" t="e">
        <f>ROUND(VLOOKUP(H258,tab!$A$61:$V$103,I258+2,FALSE),0)</f>
        <v>#VALUE!</v>
      </c>
      <c r="Z258" s="1252">
        <f>tab!$E$48</f>
        <v>0.62</v>
      </c>
      <c r="AA258" s="1284" t="e">
        <f t="shared" si="90"/>
        <v>#VALUE!</v>
      </c>
      <c r="AB258" s="1284" t="e">
        <f t="shared" si="91"/>
        <v>#VALUE!</v>
      </c>
      <c r="AC258" s="1284" t="e">
        <f t="shared" si="92"/>
        <v>#VALUE!</v>
      </c>
      <c r="AD258" s="1286" t="e">
        <f t="shared" si="93"/>
        <v>#VALUE!</v>
      </c>
      <c r="AE258" s="1286">
        <f t="shared" si="94"/>
        <v>0</v>
      </c>
      <c r="AF258" s="1254">
        <f>IF(H258&gt;8,tab!$D$49,tab!$D$52)</f>
        <v>0.5</v>
      </c>
      <c r="AG258" s="1255">
        <f t="shared" si="102"/>
        <v>0</v>
      </c>
      <c r="AH258" s="1251">
        <f t="shared" si="103"/>
        <v>0</v>
      </c>
      <c r="AI258" s="1278" t="e">
        <f>DATE(YEAR(tab!$H$3),MONTH(G258),DAY(G258))&gt;tab!$H$3</f>
        <v>#VALUE!</v>
      </c>
      <c r="AJ258" s="1255" t="e">
        <f t="shared" si="104"/>
        <v>#VALUE!</v>
      </c>
      <c r="AK258" s="1199">
        <f t="shared" si="105"/>
        <v>30</v>
      </c>
      <c r="AL258" s="1199">
        <f t="shared" si="106"/>
        <v>30</v>
      </c>
      <c r="AM258" s="1205">
        <f t="shared" si="107"/>
        <v>0</v>
      </c>
      <c r="AS258" s="819"/>
    </row>
    <row r="259" spans="3:45" ht="12.75" customHeight="1" x14ac:dyDescent="0.2">
      <c r="C259" s="135"/>
      <c r="D259" s="432" t="str">
        <f>IF(op!D192=0,"",op!D192)</f>
        <v/>
      </c>
      <c r="E259" s="432" t="str">
        <f>IF(op!E192=0,"",op!E192)</f>
        <v/>
      </c>
      <c r="F259" s="776" t="str">
        <f>IF(op!F192="","",op!F192+1)</f>
        <v/>
      </c>
      <c r="G259" s="802" t="str">
        <f>IF(op!G192="","",op!G192)</f>
        <v/>
      </c>
      <c r="H259" s="776" t="str">
        <f>IF(op!H192=0,"",op!H192)</f>
        <v/>
      </c>
      <c r="I259" s="433" t="str">
        <f>IF(J259="","",(IF(op!I192+1&gt;LOOKUP(H259,schaal2013,regels2013),op!I192,op!I192+1)))</f>
        <v/>
      </c>
      <c r="J259" s="803" t="str">
        <f>IF(op!J192="","",op!J192)</f>
        <v/>
      </c>
      <c r="K259" s="518"/>
      <c r="L259" s="1207">
        <f>IF(op!L192="","",op!L192)</f>
        <v>0</v>
      </c>
      <c r="M259" s="1207">
        <f>IF(op!M192="","",op!M192)</f>
        <v>0</v>
      </c>
      <c r="N259" s="1209" t="str">
        <f t="shared" si="85"/>
        <v/>
      </c>
      <c r="O259" s="1209" t="str">
        <f t="shared" si="86"/>
        <v/>
      </c>
      <c r="P259" s="1283" t="str">
        <f t="shared" si="87"/>
        <v/>
      </c>
      <c r="Q259" s="518"/>
      <c r="R259" s="1076" t="str">
        <f t="shared" si="101"/>
        <v/>
      </c>
      <c r="S259" s="1076" t="str">
        <f t="shared" si="88"/>
        <v/>
      </c>
      <c r="T259" s="1078" t="str">
        <f t="shared" si="89"/>
        <v/>
      </c>
      <c r="U259" s="599"/>
      <c r="V259" s="1261"/>
      <c r="W259" s="1261"/>
      <c r="X259" s="1218"/>
      <c r="Y259" s="1253" t="e">
        <f>ROUND(VLOOKUP(H259,tab!$A$61:$V$103,I259+2,FALSE),0)</f>
        <v>#VALUE!</v>
      </c>
      <c r="Z259" s="1252">
        <f>tab!$E$48</f>
        <v>0.62</v>
      </c>
      <c r="AA259" s="1284" t="e">
        <f t="shared" si="90"/>
        <v>#VALUE!</v>
      </c>
      <c r="AB259" s="1284" t="e">
        <f t="shared" si="91"/>
        <v>#VALUE!</v>
      </c>
      <c r="AC259" s="1284" t="e">
        <f t="shared" si="92"/>
        <v>#VALUE!</v>
      </c>
      <c r="AD259" s="1286" t="e">
        <f t="shared" si="93"/>
        <v>#VALUE!</v>
      </c>
      <c r="AE259" s="1286">
        <f t="shared" si="94"/>
        <v>0</v>
      </c>
      <c r="AF259" s="1254">
        <f>IF(H259&gt;8,tab!$D$49,tab!$D$52)</f>
        <v>0.5</v>
      </c>
      <c r="AG259" s="1255">
        <f t="shared" si="102"/>
        <v>0</v>
      </c>
      <c r="AH259" s="1251">
        <f t="shared" si="103"/>
        <v>0</v>
      </c>
      <c r="AI259" s="1278" t="e">
        <f>DATE(YEAR(tab!$H$3),MONTH(G259),DAY(G259))&gt;tab!$H$3</f>
        <v>#VALUE!</v>
      </c>
      <c r="AJ259" s="1255" t="e">
        <f t="shared" si="104"/>
        <v>#VALUE!</v>
      </c>
      <c r="AK259" s="1199">
        <f t="shared" si="105"/>
        <v>30</v>
      </c>
      <c r="AL259" s="1199">
        <f t="shared" si="106"/>
        <v>30</v>
      </c>
      <c r="AM259" s="1205">
        <f t="shared" si="107"/>
        <v>0</v>
      </c>
      <c r="AS259" s="819"/>
    </row>
    <row r="260" spans="3:45" ht="12.75" customHeight="1" x14ac:dyDescent="0.2">
      <c r="C260" s="135"/>
      <c r="D260" s="432" t="str">
        <f>IF(op!D193=0,"",op!D193)</f>
        <v/>
      </c>
      <c r="E260" s="432" t="str">
        <f>IF(op!E193=0,"",op!E193)</f>
        <v/>
      </c>
      <c r="F260" s="776" t="str">
        <f>IF(op!F193="","",op!F193+1)</f>
        <v/>
      </c>
      <c r="G260" s="802" t="str">
        <f>IF(op!G193="","",op!G193)</f>
        <v/>
      </c>
      <c r="H260" s="776" t="str">
        <f>IF(op!H193=0,"",op!H193)</f>
        <v/>
      </c>
      <c r="I260" s="433" t="str">
        <f>IF(J260="","",(IF(op!I193+1&gt;LOOKUP(H260,schaal2013,regels2013),op!I193,op!I193+1)))</f>
        <v/>
      </c>
      <c r="J260" s="803" t="str">
        <f>IF(op!J193="","",op!J193)</f>
        <v/>
      </c>
      <c r="K260" s="518"/>
      <c r="L260" s="1207">
        <f>IF(op!L193="","",op!L193)</f>
        <v>0</v>
      </c>
      <c r="M260" s="1207">
        <f>IF(op!M193="","",op!M193)</f>
        <v>0</v>
      </c>
      <c r="N260" s="1209" t="str">
        <f t="shared" si="85"/>
        <v/>
      </c>
      <c r="O260" s="1209" t="str">
        <f t="shared" si="86"/>
        <v/>
      </c>
      <c r="P260" s="1283" t="str">
        <f t="shared" si="87"/>
        <v/>
      </c>
      <c r="Q260" s="518"/>
      <c r="R260" s="1076" t="str">
        <f t="shared" si="101"/>
        <v/>
      </c>
      <c r="S260" s="1076" t="str">
        <f t="shared" si="88"/>
        <v/>
      </c>
      <c r="T260" s="1078" t="str">
        <f t="shared" si="89"/>
        <v/>
      </c>
      <c r="U260" s="599"/>
      <c r="V260" s="1261"/>
      <c r="W260" s="1261"/>
      <c r="X260" s="1218"/>
      <c r="Y260" s="1253" t="e">
        <f>ROUND(VLOOKUP(H260,tab!$A$61:$V$103,I260+2,FALSE),0)</f>
        <v>#VALUE!</v>
      </c>
      <c r="Z260" s="1252">
        <f>tab!$E$48</f>
        <v>0.62</v>
      </c>
      <c r="AA260" s="1284" t="e">
        <f t="shared" si="90"/>
        <v>#VALUE!</v>
      </c>
      <c r="AB260" s="1284" t="e">
        <f t="shared" si="91"/>
        <v>#VALUE!</v>
      </c>
      <c r="AC260" s="1284" t="e">
        <f t="shared" si="92"/>
        <v>#VALUE!</v>
      </c>
      <c r="AD260" s="1286" t="e">
        <f t="shared" si="93"/>
        <v>#VALUE!</v>
      </c>
      <c r="AE260" s="1286">
        <f t="shared" si="94"/>
        <v>0</v>
      </c>
      <c r="AF260" s="1254">
        <f>IF(H260&gt;8,tab!$D$49,tab!$D$52)</f>
        <v>0.5</v>
      </c>
      <c r="AG260" s="1255">
        <f t="shared" si="102"/>
        <v>0</v>
      </c>
      <c r="AH260" s="1251">
        <f t="shared" si="103"/>
        <v>0</v>
      </c>
      <c r="AI260" s="1278" t="e">
        <f>DATE(YEAR(tab!$H$3),MONTH(G260),DAY(G260))&gt;tab!$H$3</f>
        <v>#VALUE!</v>
      </c>
      <c r="AJ260" s="1255" t="e">
        <f t="shared" si="104"/>
        <v>#VALUE!</v>
      </c>
      <c r="AK260" s="1199">
        <f t="shared" si="105"/>
        <v>30</v>
      </c>
      <c r="AL260" s="1199">
        <f t="shared" si="106"/>
        <v>30</v>
      </c>
      <c r="AM260" s="1205">
        <f t="shared" si="107"/>
        <v>0</v>
      </c>
      <c r="AS260" s="819"/>
    </row>
    <row r="261" spans="3:45" ht="12.75" customHeight="1" x14ac:dyDescent="0.2">
      <c r="C261" s="135"/>
      <c r="D261" s="432" t="str">
        <f>IF(op!D194=0,"",op!D194)</f>
        <v/>
      </c>
      <c r="E261" s="432" t="str">
        <f>IF(op!E194=0,"",op!E194)</f>
        <v/>
      </c>
      <c r="F261" s="776" t="str">
        <f>IF(op!F194="","",op!F194+1)</f>
        <v/>
      </c>
      <c r="G261" s="802" t="str">
        <f>IF(op!G194="","",op!G194)</f>
        <v/>
      </c>
      <c r="H261" s="776" t="str">
        <f>IF(op!H194=0,"",op!H194)</f>
        <v/>
      </c>
      <c r="I261" s="433" t="str">
        <f>IF(J261="","",(IF(op!I194+1&gt;LOOKUP(H261,schaal2013,regels2013),op!I194,op!I194+1)))</f>
        <v/>
      </c>
      <c r="J261" s="803" t="str">
        <f>IF(op!J194="","",op!J194)</f>
        <v/>
      </c>
      <c r="K261" s="518"/>
      <c r="L261" s="1207">
        <f>IF(op!L194="","",op!L194)</f>
        <v>0</v>
      </c>
      <c r="M261" s="1207">
        <f>IF(op!M194="","",op!M194)</f>
        <v>0</v>
      </c>
      <c r="N261" s="1209" t="str">
        <f t="shared" si="85"/>
        <v/>
      </c>
      <c r="O261" s="1209" t="str">
        <f t="shared" si="86"/>
        <v/>
      </c>
      <c r="P261" s="1283" t="str">
        <f t="shared" si="87"/>
        <v/>
      </c>
      <c r="Q261" s="518"/>
      <c r="R261" s="1076" t="str">
        <f t="shared" si="101"/>
        <v/>
      </c>
      <c r="S261" s="1076" t="str">
        <f t="shared" si="88"/>
        <v/>
      </c>
      <c r="T261" s="1078" t="str">
        <f t="shared" si="89"/>
        <v/>
      </c>
      <c r="U261" s="599"/>
      <c r="V261" s="1261"/>
      <c r="W261" s="1261"/>
      <c r="X261" s="1218"/>
      <c r="Y261" s="1253" t="e">
        <f>ROUND(VLOOKUP(H261,tab!$A$61:$V$103,I261+2,FALSE),0)</f>
        <v>#VALUE!</v>
      </c>
      <c r="Z261" s="1252">
        <f>tab!$E$48</f>
        <v>0.62</v>
      </c>
      <c r="AA261" s="1284" t="e">
        <f t="shared" si="90"/>
        <v>#VALUE!</v>
      </c>
      <c r="AB261" s="1284" t="e">
        <f t="shared" si="91"/>
        <v>#VALUE!</v>
      </c>
      <c r="AC261" s="1284" t="e">
        <f t="shared" si="92"/>
        <v>#VALUE!</v>
      </c>
      <c r="AD261" s="1286" t="e">
        <f t="shared" si="93"/>
        <v>#VALUE!</v>
      </c>
      <c r="AE261" s="1286">
        <f t="shared" si="94"/>
        <v>0</v>
      </c>
      <c r="AF261" s="1254">
        <f>IF(H261&gt;8,tab!$D$49,tab!$D$52)</f>
        <v>0.5</v>
      </c>
      <c r="AG261" s="1255">
        <f t="shared" si="102"/>
        <v>0</v>
      </c>
      <c r="AH261" s="1251">
        <f t="shared" si="103"/>
        <v>0</v>
      </c>
      <c r="AI261" s="1278" t="e">
        <f>DATE(YEAR(tab!$H$3),MONTH(G261),DAY(G261))&gt;tab!$H$3</f>
        <v>#VALUE!</v>
      </c>
      <c r="AJ261" s="1255" t="e">
        <f t="shared" si="104"/>
        <v>#VALUE!</v>
      </c>
      <c r="AK261" s="1199">
        <f t="shared" si="105"/>
        <v>30</v>
      </c>
      <c r="AL261" s="1199">
        <f t="shared" si="106"/>
        <v>30</v>
      </c>
      <c r="AM261" s="1205">
        <f t="shared" si="107"/>
        <v>0</v>
      </c>
      <c r="AS261" s="819"/>
    </row>
    <row r="262" spans="3:45" ht="12.75" customHeight="1" x14ac:dyDescent="0.2">
      <c r="C262" s="135"/>
      <c r="D262" s="432" t="str">
        <f>IF(op!D195=0,"",op!D195)</f>
        <v/>
      </c>
      <c r="E262" s="432" t="str">
        <f>IF(op!E195=0,"",op!E195)</f>
        <v/>
      </c>
      <c r="F262" s="776" t="str">
        <f>IF(op!F195="","",op!F195+1)</f>
        <v/>
      </c>
      <c r="G262" s="802" t="str">
        <f>IF(op!G195="","",op!G195)</f>
        <v/>
      </c>
      <c r="H262" s="776" t="str">
        <f>IF(op!H195=0,"",op!H195)</f>
        <v/>
      </c>
      <c r="I262" s="433" t="str">
        <f>IF(J262="","",(IF(op!I195+1&gt;LOOKUP(H262,schaal2013,regels2013),op!I195,op!I195+1)))</f>
        <v/>
      </c>
      <c r="J262" s="803" t="str">
        <f>IF(op!J195="","",op!J195)</f>
        <v/>
      </c>
      <c r="K262" s="518"/>
      <c r="L262" s="1207">
        <f>IF(op!L195="","",op!L195)</f>
        <v>0</v>
      </c>
      <c r="M262" s="1207">
        <f>IF(op!M195="","",op!M195)</f>
        <v>0</v>
      </c>
      <c r="N262" s="1209" t="str">
        <f t="shared" si="85"/>
        <v/>
      </c>
      <c r="O262" s="1209" t="str">
        <f t="shared" si="86"/>
        <v/>
      </c>
      <c r="P262" s="1283" t="str">
        <f t="shared" si="87"/>
        <v/>
      </c>
      <c r="Q262" s="518"/>
      <c r="R262" s="1076" t="str">
        <f t="shared" si="101"/>
        <v/>
      </c>
      <c r="S262" s="1076" t="str">
        <f t="shared" si="88"/>
        <v/>
      </c>
      <c r="T262" s="1078" t="str">
        <f t="shared" si="89"/>
        <v/>
      </c>
      <c r="U262" s="599"/>
      <c r="V262" s="1261"/>
      <c r="W262" s="1261"/>
      <c r="X262" s="1218"/>
      <c r="Y262" s="1253" t="e">
        <f>ROUND(VLOOKUP(H262,tab!$A$61:$V$103,I262+2,FALSE),0)</f>
        <v>#VALUE!</v>
      </c>
      <c r="Z262" s="1252">
        <f>tab!$E$48</f>
        <v>0.62</v>
      </c>
      <c r="AA262" s="1284" t="e">
        <f t="shared" si="90"/>
        <v>#VALUE!</v>
      </c>
      <c r="AB262" s="1284" t="e">
        <f t="shared" si="91"/>
        <v>#VALUE!</v>
      </c>
      <c r="AC262" s="1284" t="e">
        <f t="shared" si="92"/>
        <v>#VALUE!</v>
      </c>
      <c r="AD262" s="1286" t="e">
        <f t="shared" si="93"/>
        <v>#VALUE!</v>
      </c>
      <c r="AE262" s="1286">
        <f t="shared" si="94"/>
        <v>0</v>
      </c>
      <c r="AF262" s="1254">
        <f>IF(H262&gt;8,tab!$D$49,tab!$D$52)</f>
        <v>0.5</v>
      </c>
      <c r="AG262" s="1255">
        <f t="shared" si="102"/>
        <v>0</v>
      </c>
      <c r="AH262" s="1251">
        <f t="shared" si="103"/>
        <v>0</v>
      </c>
      <c r="AI262" s="1278" t="e">
        <f>DATE(YEAR(tab!$H$3),MONTH(G262),DAY(G262))&gt;tab!$H$3</f>
        <v>#VALUE!</v>
      </c>
      <c r="AJ262" s="1255" t="e">
        <f t="shared" si="104"/>
        <v>#VALUE!</v>
      </c>
      <c r="AK262" s="1199">
        <f t="shared" si="105"/>
        <v>30</v>
      </c>
      <c r="AL262" s="1199">
        <f t="shared" si="106"/>
        <v>30</v>
      </c>
      <c r="AM262" s="1205">
        <f t="shared" si="107"/>
        <v>0</v>
      </c>
      <c r="AS262" s="819"/>
    </row>
    <row r="263" spans="3:45" ht="12.75" customHeight="1" x14ac:dyDescent="0.2">
      <c r="C263" s="135"/>
      <c r="D263" s="432" t="str">
        <f>IF(op!D196=0,"",op!D196)</f>
        <v/>
      </c>
      <c r="E263" s="432" t="str">
        <f>IF(op!E196=0,"",op!E196)</f>
        <v/>
      </c>
      <c r="F263" s="776" t="str">
        <f>IF(op!F196="","",op!F196+1)</f>
        <v/>
      </c>
      <c r="G263" s="802" t="str">
        <f>IF(op!G196="","",op!G196)</f>
        <v/>
      </c>
      <c r="H263" s="776" t="str">
        <f>IF(op!H196=0,"",op!H196)</f>
        <v/>
      </c>
      <c r="I263" s="433" t="str">
        <f>IF(J263="","",(IF(op!I196+1&gt;LOOKUP(H263,schaal2013,regels2013),op!I196,op!I196+1)))</f>
        <v/>
      </c>
      <c r="J263" s="803" t="str">
        <f>IF(op!J196="","",op!J196)</f>
        <v/>
      </c>
      <c r="K263" s="518"/>
      <c r="L263" s="1207">
        <f>IF(op!L196="","",op!L196)</f>
        <v>0</v>
      </c>
      <c r="M263" s="1207">
        <f>IF(op!M196="","",op!M196)</f>
        <v>0</v>
      </c>
      <c r="N263" s="1209" t="str">
        <f t="shared" si="85"/>
        <v/>
      </c>
      <c r="O263" s="1209" t="str">
        <f t="shared" si="86"/>
        <v/>
      </c>
      <c r="P263" s="1283" t="str">
        <f t="shared" si="87"/>
        <v/>
      </c>
      <c r="Q263" s="518"/>
      <c r="R263" s="1076" t="str">
        <f t="shared" si="101"/>
        <v/>
      </c>
      <c r="S263" s="1076" t="str">
        <f t="shared" si="88"/>
        <v/>
      </c>
      <c r="T263" s="1078" t="str">
        <f t="shared" si="89"/>
        <v/>
      </c>
      <c r="U263" s="599"/>
      <c r="V263" s="1261"/>
      <c r="W263" s="1261"/>
      <c r="X263" s="1218"/>
      <c r="Y263" s="1253" t="e">
        <f>ROUND(VLOOKUP(H263,tab!$A$61:$V$103,I263+2,FALSE),0)</f>
        <v>#VALUE!</v>
      </c>
      <c r="Z263" s="1252">
        <f>tab!$E$48</f>
        <v>0.62</v>
      </c>
      <c r="AA263" s="1284" t="e">
        <f t="shared" si="90"/>
        <v>#VALUE!</v>
      </c>
      <c r="AB263" s="1284" t="e">
        <f t="shared" si="91"/>
        <v>#VALUE!</v>
      </c>
      <c r="AC263" s="1284" t="e">
        <f t="shared" si="92"/>
        <v>#VALUE!</v>
      </c>
      <c r="AD263" s="1286" t="e">
        <f t="shared" si="93"/>
        <v>#VALUE!</v>
      </c>
      <c r="AE263" s="1286">
        <f t="shared" si="94"/>
        <v>0</v>
      </c>
      <c r="AF263" s="1254">
        <f>IF(H263&gt;8,tab!$D$49,tab!$D$52)</f>
        <v>0.5</v>
      </c>
      <c r="AG263" s="1255">
        <f t="shared" si="102"/>
        <v>0</v>
      </c>
      <c r="AH263" s="1251">
        <f t="shared" si="103"/>
        <v>0</v>
      </c>
      <c r="AI263" s="1278" t="e">
        <f>DATE(YEAR(tab!$H$3),MONTH(G263),DAY(G263))&gt;tab!$H$3</f>
        <v>#VALUE!</v>
      </c>
      <c r="AJ263" s="1255" t="e">
        <f t="shared" si="104"/>
        <v>#VALUE!</v>
      </c>
      <c r="AK263" s="1199">
        <f t="shared" si="105"/>
        <v>30</v>
      </c>
      <c r="AL263" s="1199">
        <f t="shared" si="106"/>
        <v>30</v>
      </c>
      <c r="AM263" s="1205">
        <f t="shared" si="107"/>
        <v>0</v>
      </c>
      <c r="AS263" s="819"/>
    </row>
    <row r="264" spans="3:45" ht="12.75" customHeight="1" x14ac:dyDescent="0.2">
      <c r="C264" s="135"/>
      <c r="D264" s="432" t="str">
        <f>IF(op!D197=0,"",op!D197)</f>
        <v/>
      </c>
      <c r="E264" s="432" t="str">
        <f>IF(op!E197=0,"",op!E197)</f>
        <v/>
      </c>
      <c r="F264" s="776" t="str">
        <f>IF(op!F197="","",op!F197+1)</f>
        <v/>
      </c>
      <c r="G264" s="802" t="str">
        <f>IF(op!G197="","",op!G197)</f>
        <v/>
      </c>
      <c r="H264" s="776" t="str">
        <f>IF(op!H197=0,"",op!H197)</f>
        <v/>
      </c>
      <c r="I264" s="433" t="str">
        <f>IF(J264="","",(IF(op!I197+1&gt;LOOKUP(H264,schaal2013,regels2013),op!I197,op!I197+1)))</f>
        <v/>
      </c>
      <c r="J264" s="803" t="str">
        <f>IF(op!J197="","",op!J197)</f>
        <v/>
      </c>
      <c r="K264" s="518"/>
      <c r="L264" s="1207">
        <f>IF(op!L197="","",op!L197)</f>
        <v>0</v>
      </c>
      <c r="M264" s="1207">
        <f>IF(op!M197="","",op!M197)</f>
        <v>0</v>
      </c>
      <c r="N264" s="1209" t="str">
        <f t="shared" si="85"/>
        <v/>
      </c>
      <c r="O264" s="1209" t="str">
        <f t="shared" si="86"/>
        <v/>
      </c>
      <c r="P264" s="1283" t="str">
        <f t="shared" si="87"/>
        <v/>
      </c>
      <c r="Q264" s="518"/>
      <c r="R264" s="1076" t="str">
        <f t="shared" si="101"/>
        <v/>
      </c>
      <c r="S264" s="1076" t="str">
        <f t="shared" si="88"/>
        <v/>
      </c>
      <c r="T264" s="1078" t="str">
        <f t="shared" si="89"/>
        <v/>
      </c>
      <c r="U264" s="599"/>
      <c r="V264" s="1261"/>
      <c r="W264" s="1261"/>
      <c r="X264" s="1218"/>
      <c r="Y264" s="1253" t="e">
        <f>ROUND(VLOOKUP(H264,tab!$A$61:$V$103,I264+2,FALSE),0)</f>
        <v>#VALUE!</v>
      </c>
      <c r="Z264" s="1252">
        <f>tab!$E$48</f>
        <v>0.62</v>
      </c>
      <c r="AA264" s="1284" t="e">
        <f t="shared" si="90"/>
        <v>#VALUE!</v>
      </c>
      <c r="AB264" s="1284" t="e">
        <f t="shared" si="91"/>
        <v>#VALUE!</v>
      </c>
      <c r="AC264" s="1284" t="e">
        <f t="shared" si="92"/>
        <v>#VALUE!</v>
      </c>
      <c r="AD264" s="1286" t="e">
        <f t="shared" si="93"/>
        <v>#VALUE!</v>
      </c>
      <c r="AE264" s="1286">
        <f t="shared" si="94"/>
        <v>0</v>
      </c>
      <c r="AF264" s="1254">
        <f>IF(H264&gt;8,tab!$D$49,tab!$D$52)</f>
        <v>0.5</v>
      </c>
      <c r="AG264" s="1255">
        <f t="shared" si="102"/>
        <v>0</v>
      </c>
      <c r="AH264" s="1251">
        <f t="shared" si="103"/>
        <v>0</v>
      </c>
      <c r="AI264" s="1278" t="e">
        <f>DATE(YEAR(tab!$H$3),MONTH(G264),DAY(G264))&gt;tab!$H$3</f>
        <v>#VALUE!</v>
      </c>
      <c r="AJ264" s="1255" t="e">
        <f t="shared" si="104"/>
        <v>#VALUE!</v>
      </c>
      <c r="AK264" s="1199">
        <f t="shared" si="105"/>
        <v>30</v>
      </c>
      <c r="AL264" s="1199">
        <f t="shared" si="106"/>
        <v>30</v>
      </c>
      <c r="AM264" s="1205">
        <f t="shared" si="107"/>
        <v>0</v>
      </c>
      <c r="AS264" s="819"/>
    </row>
    <row r="265" spans="3:45" ht="12.75" customHeight="1" x14ac:dyDescent="0.2">
      <c r="C265" s="135"/>
      <c r="D265" s="432" t="str">
        <f>IF(op!D198=0,"",op!D198)</f>
        <v/>
      </c>
      <c r="E265" s="432" t="str">
        <f>IF(op!E198=0,"",op!E198)</f>
        <v/>
      </c>
      <c r="F265" s="776" t="str">
        <f>IF(op!F198="","",op!F198+1)</f>
        <v/>
      </c>
      <c r="G265" s="802" t="str">
        <f>IF(op!G198="","",op!G198)</f>
        <v/>
      </c>
      <c r="H265" s="776" t="str">
        <f>IF(op!H198=0,"",op!H198)</f>
        <v/>
      </c>
      <c r="I265" s="433" t="str">
        <f>IF(J265="","",(IF(op!I198+1&gt;LOOKUP(H265,schaal2013,regels2013),op!I198,op!I198+1)))</f>
        <v/>
      </c>
      <c r="J265" s="803" t="str">
        <f>IF(op!J198="","",op!J198)</f>
        <v/>
      </c>
      <c r="K265" s="518"/>
      <c r="L265" s="1207">
        <f>IF(op!L198="","",op!L198)</f>
        <v>0</v>
      </c>
      <c r="M265" s="1207">
        <f>IF(op!M198="","",op!M198)</f>
        <v>0</v>
      </c>
      <c r="N265" s="1209" t="str">
        <f t="shared" si="85"/>
        <v/>
      </c>
      <c r="O265" s="1209" t="str">
        <f t="shared" si="86"/>
        <v/>
      </c>
      <c r="P265" s="1283" t="str">
        <f t="shared" si="87"/>
        <v/>
      </c>
      <c r="Q265" s="518"/>
      <c r="R265" s="1076" t="str">
        <f t="shared" si="101"/>
        <v/>
      </c>
      <c r="S265" s="1076" t="str">
        <f t="shared" si="88"/>
        <v/>
      </c>
      <c r="T265" s="1078" t="str">
        <f t="shared" si="89"/>
        <v/>
      </c>
      <c r="U265" s="599"/>
      <c r="V265" s="1261"/>
      <c r="W265" s="1261"/>
      <c r="X265" s="1218"/>
      <c r="Y265" s="1253" t="e">
        <f>ROUND(VLOOKUP(H265,tab!$A$61:$V$103,I265+2,FALSE),0)</f>
        <v>#VALUE!</v>
      </c>
      <c r="Z265" s="1252">
        <f>tab!$E$48</f>
        <v>0.62</v>
      </c>
      <c r="AA265" s="1284" t="e">
        <f t="shared" si="90"/>
        <v>#VALUE!</v>
      </c>
      <c r="AB265" s="1284" t="e">
        <f t="shared" si="91"/>
        <v>#VALUE!</v>
      </c>
      <c r="AC265" s="1284" t="e">
        <f t="shared" si="92"/>
        <v>#VALUE!</v>
      </c>
      <c r="AD265" s="1286" t="e">
        <f t="shared" si="93"/>
        <v>#VALUE!</v>
      </c>
      <c r="AE265" s="1286">
        <f t="shared" si="94"/>
        <v>0</v>
      </c>
      <c r="AF265" s="1254">
        <f>IF(H265&gt;8,tab!$D$49,tab!$D$52)</f>
        <v>0.5</v>
      </c>
      <c r="AG265" s="1255">
        <f t="shared" si="102"/>
        <v>0</v>
      </c>
      <c r="AH265" s="1251">
        <f t="shared" si="103"/>
        <v>0</v>
      </c>
      <c r="AI265" s="1278" t="e">
        <f>DATE(YEAR(tab!$H$3),MONTH(G265),DAY(G265))&gt;tab!$H$3</f>
        <v>#VALUE!</v>
      </c>
      <c r="AJ265" s="1255" t="e">
        <f t="shared" si="104"/>
        <v>#VALUE!</v>
      </c>
      <c r="AK265" s="1199">
        <f t="shared" si="105"/>
        <v>30</v>
      </c>
      <c r="AL265" s="1199">
        <f t="shared" si="106"/>
        <v>30</v>
      </c>
      <c r="AM265" s="1205">
        <f t="shared" si="107"/>
        <v>0</v>
      </c>
      <c r="AS265" s="819"/>
    </row>
    <row r="266" spans="3:45" ht="12.75" customHeight="1" x14ac:dyDescent="0.2">
      <c r="C266" s="135"/>
      <c r="D266" s="432" t="str">
        <f>IF(op!D199=0,"",op!D199)</f>
        <v/>
      </c>
      <c r="E266" s="432" t="str">
        <f>IF(op!E199=0,"",op!E199)</f>
        <v/>
      </c>
      <c r="F266" s="776" t="str">
        <f>IF(op!F199="","",op!F199+1)</f>
        <v/>
      </c>
      <c r="G266" s="802" t="str">
        <f>IF(op!G199="","",op!G199)</f>
        <v/>
      </c>
      <c r="H266" s="776" t="str">
        <f>IF(op!H199=0,"",op!H199)</f>
        <v/>
      </c>
      <c r="I266" s="433" t="str">
        <f>IF(J266="","",(IF(op!I199+1&gt;LOOKUP(H266,schaal2013,regels2013),op!I199,op!I199+1)))</f>
        <v/>
      </c>
      <c r="J266" s="803" t="str">
        <f>IF(op!J199="","",op!J199)</f>
        <v/>
      </c>
      <c r="K266" s="518"/>
      <c r="L266" s="1207">
        <f>IF(op!L199="","",op!L199)</f>
        <v>0</v>
      </c>
      <c r="M266" s="1207">
        <f>IF(op!M199="","",op!M199)</f>
        <v>0</v>
      </c>
      <c r="N266" s="1209" t="str">
        <f t="shared" si="85"/>
        <v/>
      </c>
      <c r="O266" s="1209" t="str">
        <f t="shared" si="86"/>
        <v/>
      </c>
      <c r="P266" s="1283" t="str">
        <f t="shared" si="87"/>
        <v/>
      </c>
      <c r="Q266" s="518"/>
      <c r="R266" s="1076" t="str">
        <f t="shared" si="101"/>
        <v/>
      </c>
      <c r="S266" s="1076" t="str">
        <f t="shared" si="88"/>
        <v/>
      </c>
      <c r="T266" s="1078" t="str">
        <f t="shared" si="89"/>
        <v/>
      </c>
      <c r="U266" s="599"/>
      <c r="V266" s="1261"/>
      <c r="W266" s="1261"/>
      <c r="X266" s="1218"/>
      <c r="Y266" s="1253" t="e">
        <f>ROUND(VLOOKUP(H266,tab!$A$61:$V$103,I266+2,FALSE),0)</f>
        <v>#VALUE!</v>
      </c>
      <c r="Z266" s="1252">
        <f>tab!$E$48</f>
        <v>0.62</v>
      </c>
      <c r="AA266" s="1284" t="e">
        <f t="shared" si="90"/>
        <v>#VALUE!</v>
      </c>
      <c r="AB266" s="1284" t="e">
        <f t="shared" si="91"/>
        <v>#VALUE!</v>
      </c>
      <c r="AC266" s="1284" t="e">
        <f t="shared" si="92"/>
        <v>#VALUE!</v>
      </c>
      <c r="AD266" s="1286" t="e">
        <f t="shared" si="93"/>
        <v>#VALUE!</v>
      </c>
      <c r="AE266" s="1286">
        <f t="shared" si="94"/>
        <v>0</v>
      </c>
      <c r="AF266" s="1254">
        <f>IF(H266&gt;8,tab!$D$49,tab!$D$52)</f>
        <v>0.5</v>
      </c>
      <c r="AG266" s="1255">
        <f t="shared" si="102"/>
        <v>0</v>
      </c>
      <c r="AH266" s="1251">
        <f t="shared" si="103"/>
        <v>0</v>
      </c>
      <c r="AI266" s="1278" t="e">
        <f>DATE(YEAR(tab!$H$3),MONTH(G266),DAY(G266))&gt;tab!$H$3</f>
        <v>#VALUE!</v>
      </c>
      <c r="AJ266" s="1255" t="e">
        <f t="shared" si="104"/>
        <v>#VALUE!</v>
      </c>
      <c r="AK266" s="1199">
        <f t="shared" si="105"/>
        <v>30</v>
      </c>
      <c r="AL266" s="1199">
        <f t="shared" si="106"/>
        <v>30</v>
      </c>
      <c r="AM266" s="1205">
        <f t="shared" si="107"/>
        <v>0</v>
      </c>
      <c r="AS266" s="819"/>
    </row>
    <row r="267" spans="3:45" ht="12.75" customHeight="1" x14ac:dyDescent="0.2">
      <c r="C267" s="135"/>
      <c r="D267" s="432" t="str">
        <f>IF(op!D200=0,"",op!D200)</f>
        <v/>
      </c>
      <c r="E267" s="432" t="str">
        <f>IF(op!E200=0,"",op!E200)</f>
        <v/>
      </c>
      <c r="F267" s="776" t="str">
        <f>IF(op!F200="","",op!F200+1)</f>
        <v/>
      </c>
      <c r="G267" s="802" t="str">
        <f>IF(op!G200="","",op!G200)</f>
        <v/>
      </c>
      <c r="H267" s="776" t="str">
        <f>IF(op!H200=0,"",op!H200)</f>
        <v/>
      </c>
      <c r="I267" s="433" t="str">
        <f>IF(J267="","",(IF(op!I200+1&gt;LOOKUP(H267,schaal2013,regels2013),op!I200,op!I200+1)))</f>
        <v/>
      </c>
      <c r="J267" s="803" t="str">
        <f>IF(op!J200="","",op!J200)</f>
        <v/>
      </c>
      <c r="K267" s="518"/>
      <c r="L267" s="1207">
        <f>IF(op!L200="","",op!L200)</f>
        <v>0</v>
      </c>
      <c r="M267" s="1207">
        <f>IF(op!M200="","",op!M200)</f>
        <v>0</v>
      </c>
      <c r="N267" s="1209" t="str">
        <f t="shared" si="85"/>
        <v/>
      </c>
      <c r="O267" s="1209" t="str">
        <f t="shared" si="86"/>
        <v/>
      </c>
      <c r="P267" s="1283" t="str">
        <f t="shared" si="87"/>
        <v/>
      </c>
      <c r="Q267" s="518"/>
      <c r="R267" s="1076" t="str">
        <f t="shared" si="101"/>
        <v/>
      </c>
      <c r="S267" s="1076" t="str">
        <f t="shared" si="88"/>
        <v/>
      </c>
      <c r="T267" s="1078" t="str">
        <f t="shared" si="89"/>
        <v/>
      </c>
      <c r="U267" s="599"/>
      <c r="V267" s="1261"/>
      <c r="W267" s="1261"/>
      <c r="X267" s="1218"/>
      <c r="Y267" s="1253" t="e">
        <f>ROUND(VLOOKUP(H267,tab!$A$61:$V$103,I267+2,FALSE),0)</f>
        <v>#VALUE!</v>
      </c>
      <c r="Z267" s="1252">
        <f>tab!$E$48</f>
        <v>0.62</v>
      </c>
      <c r="AA267" s="1284" t="e">
        <f t="shared" si="90"/>
        <v>#VALUE!</v>
      </c>
      <c r="AB267" s="1284" t="e">
        <f t="shared" si="91"/>
        <v>#VALUE!</v>
      </c>
      <c r="AC267" s="1284" t="e">
        <f t="shared" si="92"/>
        <v>#VALUE!</v>
      </c>
      <c r="AD267" s="1286" t="e">
        <f t="shared" si="93"/>
        <v>#VALUE!</v>
      </c>
      <c r="AE267" s="1286">
        <f t="shared" si="94"/>
        <v>0</v>
      </c>
      <c r="AF267" s="1254">
        <f>IF(H267&gt;8,tab!$D$49,tab!$D$52)</f>
        <v>0.5</v>
      </c>
      <c r="AG267" s="1255">
        <f t="shared" si="102"/>
        <v>0</v>
      </c>
      <c r="AH267" s="1251">
        <f t="shared" si="103"/>
        <v>0</v>
      </c>
      <c r="AI267" s="1278" t="e">
        <f>DATE(YEAR(tab!$H$3),MONTH(G267),DAY(G267))&gt;tab!$H$3</f>
        <v>#VALUE!</v>
      </c>
      <c r="AJ267" s="1255" t="e">
        <f t="shared" si="104"/>
        <v>#VALUE!</v>
      </c>
      <c r="AK267" s="1199">
        <f t="shared" si="105"/>
        <v>30</v>
      </c>
      <c r="AL267" s="1199">
        <f t="shared" si="106"/>
        <v>30</v>
      </c>
      <c r="AM267" s="1205">
        <f t="shared" si="107"/>
        <v>0</v>
      </c>
      <c r="AS267" s="819"/>
    </row>
    <row r="268" spans="3:45" ht="12.75" customHeight="1" x14ac:dyDescent="0.2">
      <c r="C268" s="135"/>
      <c r="D268" s="432" t="str">
        <f>IF(op!D201=0,"",op!D201)</f>
        <v/>
      </c>
      <c r="E268" s="432" t="str">
        <f>IF(op!E201=0,"",op!E201)</f>
        <v/>
      </c>
      <c r="F268" s="776" t="str">
        <f>IF(op!F201="","",op!F201+1)</f>
        <v/>
      </c>
      <c r="G268" s="802" t="str">
        <f>IF(op!G201="","",op!G201)</f>
        <v/>
      </c>
      <c r="H268" s="776" t="str">
        <f>IF(op!H201=0,"",op!H201)</f>
        <v/>
      </c>
      <c r="I268" s="433" t="str">
        <f>IF(J268="","",(IF(op!I201+1&gt;LOOKUP(H268,schaal2013,regels2013),op!I201,op!I201+1)))</f>
        <v/>
      </c>
      <c r="J268" s="803" t="str">
        <f>IF(op!J201="","",op!J201)</f>
        <v/>
      </c>
      <c r="K268" s="518"/>
      <c r="L268" s="1207">
        <f>IF(op!L201="","",op!L201)</f>
        <v>0</v>
      </c>
      <c r="M268" s="1207">
        <f>IF(op!M201="","",op!M201)</f>
        <v>0</v>
      </c>
      <c r="N268" s="1209" t="str">
        <f t="shared" si="85"/>
        <v/>
      </c>
      <c r="O268" s="1209" t="str">
        <f t="shared" si="86"/>
        <v/>
      </c>
      <c r="P268" s="1283" t="str">
        <f t="shared" si="87"/>
        <v/>
      </c>
      <c r="Q268" s="518"/>
      <c r="R268" s="1076" t="str">
        <f t="shared" si="101"/>
        <v/>
      </c>
      <c r="S268" s="1076" t="str">
        <f t="shared" si="88"/>
        <v/>
      </c>
      <c r="T268" s="1078" t="str">
        <f t="shared" si="89"/>
        <v/>
      </c>
      <c r="U268" s="599"/>
      <c r="V268" s="1261"/>
      <c r="W268" s="1261"/>
      <c r="X268" s="1218"/>
      <c r="Y268" s="1253" t="e">
        <f>ROUND(VLOOKUP(H268,tab!$A$61:$V$103,I268+2,FALSE),0)</f>
        <v>#VALUE!</v>
      </c>
      <c r="Z268" s="1252">
        <f>tab!$E$48</f>
        <v>0.62</v>
      </c>
      <c r="AA268" s="1284" t="e">
        <f t="shared" si="90"/>
        <v>#VALUE!</v>
      </c>
      <c r="AB268" s="1284" t="e">
        <f t="shared" si="91"/>
        <v>#VALUE!</v>
      </c>
      <c r="AC268" s="1284" t="e">
        <f t="shared" si="92"/>
        <v>#VALUE!</v>
      </c>
      <c r="AD268" s="1286" t="e">
        <f t="shared" si="93"/>
        <v>#VALUE!</v>
      </c>
      <c r="AE268" s="1286">
        <f t="shared" si="94"/>
        <v>0</v>
      </c>
      <c r="AF268" s="1254">
        <f>IF(H268&gt;8,tab!$D$49,tab!$D$52)</f>
        <v>0.5</v>
      </c>
      <c r="AG268" s="1255">
        <f t="shared" si="102"/>
        <v>0</v>
      </c>
      <c r="AH268" s="1251">
        <f t="shared" si="103"/>
        <v>0</v>
      </c>
      <c r="AI268" s="1278" t="e">
        <f>DATE(YEAR(tab!$H$3),MONTH(G268),DAY(G268))&gt;tab!$H$3</f>
        <v>#VALUE!</v>
      </c>
      <c r="AJ268" s="1255" t="e">
        <f t="shared" si="104"/>
        <v>#VALUE!</v>
      </c>
      <c r="AK268" s="1199">
        <f t="shared" si="105"/>
        <v>30</v>
      </c>
      <c r="AL268" s="1199">
        <f t="shared" si="106"/>
        <v>30</v>
      </c>
      <c r="AM268" s="1205">
        <f t="shared" si="107"/>
        <v>0</v>
      </c>
      <c r="AS268" s="819"/>
    </row>
    <row r="269" spans="3:45" ht="12.75" customHeight="1" x14ac:dyDescent="0.2">
      <c r="C269" s="135"/>
      <c r="D269" s="432" t="str">
        <f>IF(op!D202=0,"",op!D202)</f>
        <v/>
      </c>
      <c r="E269" s="432" t="str">
        <f>IF(op!E202=0,"",op!E202)</f>
        <v/>
      </c>
      <c r="F269" s="776" t="str">
        <f>IF(op!F202="","",op!F202+1)</f>
        <v/>
      </c>
      <c r="G269" s="802" t="str">
        <f>IF(op!G202="","",op!G202)</f>
        <v/>
      </c>
      <c r="H269" s="776" t="str">
        <f>IF(op!H202=0,"",op!H202)</f>
        <v/>
      </c>
      <c r="I269" s="433" t="str">
        <f>IF(J269="","",(IF(op!I202+1&gt;LOOKUP(H269,schaal2013,regels2013),op!I202,op!I202+1)))</f>
        <v/>
      </c>
      <c r="J269" s="803" t="str">
        <f>IF(op!J202="","",op!J202)</f>
        <v/>
      </c>
      <c r="K269" s="518"/>
      <c r="L269" s="1207">
        <f>IF(op!L202="","",op!L202)</f>
        <v>0</v>
      </c>
      <c r="M269" s="1207">
        <f>IF(op!M202="","",op!M202)</f>
        <v>0</v>
      </c>
      <c r="N269" s="1209" t="str">
        <f t="shared" si="85"/>
        <v/>
      </c>
      <c r="O269" s="1209" t="str">
        <f t="shared" si="86"/>
        <v/>
      </c>
      <c r="P269" s="1283" t="str">
        <f t="shared" si="87"/>
        <v/>
      </c>
      <c r="Q269" s="518"/>
      <c r="R269" s="1076" t="str">
        <f t="shared" si="101"/>
        <v/>
      </c>
      <c r="S269" s="1076" t="str">
        <f t="shared" si="88"/>
        <v/>
      </c>
      <c r="T269" s="1078" t="str">
        <f t="shared" si="89"/>
        <v/>
      </c>
      <c r="U269" s="599"/>
      <c r="V269" s="1261"/>
      <c r="W269" s="1261"/>
      <c r="X269" s="1218"/>
      <c r="Y269" s="1253" t="e">
        <f>ROUND(VLOOKUP(H269,tab!$A$61:$V$103,I269+2,FALSE),0)</f>
        <v>#VALUE!</v>
      </c>
      <c r="Z269" s="1252">
        <f>tab!$E$48</f>
        <v>0.62</v>
      </c>
      <c r="AA269" s="1284" t="e">
        <f t="shared" si="90"/>
        <v>#VALUE!</v>
      </c>
      <c r="AB269" s="1284" t="e">
        <f t="shared" si="91"/>
        <v>#VALUE!</v>
      </c>
      <c r="AC269" s="1284" t="e">
        <f t="shared" si="92"/>
        <v>#VALUE!</v>
      </c>
      <c r="AD269" s="1286" t="e">
        <f t="shared" si="93"/>
        <v>#VALUE!</v>
      </c>
      <c r="AE269" s="1286">
        <f t="shared" si="94"/>
        <v>0</v>
      </c>
      <c r="AF269" s="1254">
        <f>IF(H269&gt;8,tab!$D$49,tab!$D$52)</f>
        <v>0.5</v>
      </c>
      <c r="AG269" s="1255">
        <f t="shared" si="102"/>
        <v>0</v>
      </c>
      <c r="AH269" s="1251">
        <f t="shared" si="103"/>
        <v>0</v>
      </c>
      <c r="AI269" s="1278" t="e">
        <f>DATE(YEAR(tab!$H$3),MONTH(G269),DAY(G269))&gt;tab!$H$3</f>
        <v>#VALUE!</v>
      </c>
      <c r="AJ269" s="1255" t="e">
        <f t="shared" si="104"/>
        <v>#VALUE!</v>
      </c>
      <c r="AK269" s="1199">
        <f t="shared" si="105"/>
        <v>30</v>
      </c>
      <c r="AL269" s="1199">
        <f t="shared" si="106"/>
        <v>30</v>
      </c>
      <c r="AM269" s="1205">
        <f t="shared" si="107"/>
        <v>0</v>
      </c>
      <c r="AS269" s="819"/>
    </row>
    <row r="270" spans="3:45" ht="12.75" customHeight="1" x14ac:dyDescent="0.2">
      <c r="C270" s="135"/>
      <c r="D270" s="432" t="str">
        <f>IF(op!D203=0,"",op!D203)</f>
        <v/>
      </c>
      <c r="E270" s="432" t="str">
        <f>IF(op!E203=0,"",op!E203)</f>
        <v/>
      </c>
      <c r="F270" s="776" t="str">
        <f>IF(op!F203="","",op!F203+1)</f>
        <v/>
      </c>
      <c r="G270" s="802" t="str">
        <f>IF(op!G203="","",op!G203)</f>
        <v/>
      </c>
      <c r="H270" s="776" t="str">
        <f>IF(op!H203=0,"",op!H203)</f>
        <v/>
      </c>
      <c r="I270" s="433" t="str">
        <f>IF(J270="","",(IF(op!I203+1&gt;LOOKUP(H270,schaal2013,regels2013),op!I203,op!I203+1)))</f>
        <v/>
      </c>
      <c r="J270" s="803" t="str">
        <f>IF(op!J203="","",op!J203)</f>
        <v/>
      </c>
      <c r="K270" s="518"/>
      <c r="L270" s="1207">
        <f>IF(op!L203="","",op!L203)</f>
        <v>0</v>
      </c>
      <c r="M270" s="1207">
        <f>IF(op!M203="","",op!M203)</f>
        <v>0</v>
      </c>
      <c r="N270" s="1209" t="str">
        <f t="shared" si="85"/>
        <v/>
      </c>
      <c r="O270" s="1209" t="str">
        <f t="shared" si="86"/>
        <v/>
      </c>
      <c r="P270" s="1283" t="str">
        <f t="shared" si="87"/>
        <v/>
      </c>
      <c r="Q270" s="518"/>
      <c r="R270" s="1076" t="str">
        <f t="shared" si="101"/>
        <v/>
      </c>
      <c r="S270" s="1076" t="str">
        <f t="shared" si="88"/>
        <v/>
      </c>
      <c r="T270" s="1078" t="str">
        <f t="shared" si="89"/>
        <v/>
      </c>
      <c r="U270" s="599"/>
      <c r="V270" s="1261"/>
      <c r="W270" s="1261"/>
      <c r="X270" s="1218"/>
      <c r="Y270" s="1253" t="e">
        <f>ROUND(VLOOKUP(H270,tab!$A$61:$V$103,I270+2,FALSE),0)</f>
        <v>#VALUE!</v>
      </c>
      <c r="Z270" s="1252">
        <f>tab!$E$48</f>
        <v>0.62</v>
      </c>
      <c r="AA270" s="1284" t="e">
        <f t="shared" si="90"/>
        <v>#VALUE!</v>
      </c>
      <c r="AB270" s="1284" t="e">
        <f t="shared" si="91"/>
        <v>#VALUE!</v>
      </c>
      <c r="AC270" s="1284" t="e">
        <f t="shared" si="92"/>
        <v>#VALUE!</v>
      </c>
      <c r="AD270" s="1286" t="e">
        <f t="shared" si="93"/>
        <v>#VALUE!</v>
      </c>
      <c r="AE270" s="1286">
        <f t="shared" si="94"/>
        <v>0</v>
      </c>
      <c r="AF270" s="1254">
        <f>IF(H270&gt;8,tab!$D$49,tab!$D$52)</f>
        <v>0.5</v>
      </c>
      <c r="AG270" s="1255">
        <f t="shared" si="102"/>
        <v>0</v>
      </c>
      <c r="AH270" s="1251">
        <f t="shared" si="103"/>
        <v>0</v>
      </c>
      <c r="AI270" s="1278" t="e">
        <f>DATE(YEAR(tab!$H$3),MONTH(G270),DAY(G270))&gt;tab!$H$3</f>
        <v>#VALUE!</v>
      </c>
      <c r="AJ270" s="1255" t="e">
        <f t="shared" si="104"/>
        <v>#VALUE!</v>
      </c>
      <c r="AK270" s="1199">
        <f t="shared" si="105"/>
        <v>30</v>
      </c>
      <c r="AL270" s="1199">
        <f t="shared" si="106"/>
        <v>30</v>
      </c>
      <c r="AM270" s="1205">
        <f t="shared" si="107"/>
        <v>0</v>
      </c>
      <c r="AS270" s="819"/>
    </row>
    <row r="271" spans="3:45" ht="12.75" customHeight="1" x14ac:dyDescent="0.2">
      <c r="C271" s="135"/>
      <c r="D271" s="432" t="str">
        <f>IF(op!D204=0,"",op!D204)</f>
        <v/>
      </c>
      <c r="E271" s="432" t="str">
        <f>IF(op!E204=0,"",op!E204)</f>
        <v/>
      </c>
      <c r="F271" s="776" t="str">
        <f>IF(op!F204="","",op!F204+1)</f>
        <v/>
      </c>
      <c r="G271" s="802" t="str">
        <f>IF(op!G204="","",op!G204)</f>
        <v/>
      </c>
      <c r="H271" s="776" t="str">
        <f>IF(op!H204=0,"",op!H204)</f>
        <v/>
      </c>
      <c r="I271" s="433" t="str">
        <f>IF(J271="","",(IF(op!I204+1&gt;LOOKUP(H271,schaal2013,regels2013),op!I204,op!I204+1)))</f>
        <v/>
      </c>
      <c r="J271" s="803" t="str">
        <f>IF(op!J204="","",op!J204)</f>
        <v/>
      </c>
      <c r="K271" s="518"/>
      <c r="L271" s="1207">
        <f>IF(op!L204="","",op!L204)</f>
        <v>0</v>
      </c>
      <c r="M271" s="1207">
        <f>IF(op!M204="","",op!M204)</f>
        <v>0</v>
      </c>
      <c r="N271" s="1209" t="str">
        <f t="shared" si="85"/>
        <v/>
      </c>
      <c r="O271" s="1209" t="str">
        <f t="shared" si="86"/>
        <v/>
      </c>
      <c r="P271" s="1283" t="str">
        <f t="shared" si="87"/>
        <v/>
      </c>
      <c r="Q271" s="518"/>
      <c r="R271" s="1076" t="str">
        <f t="shared" si="101"/>
        <v/>
      </c>
      <c r="S271" s="1076" t="str">
        <f t="shared" si="88"/>
        <v/>
      </c>
      <c r="T271" s="1078" t="str">
        <f t="shared" si="89"/>
        <v/>
      </c>
      <c r="U271" s="599"/>
      <c r="V271" s="1261"/>
      <c r="W271" s="1261"/>
      <c r="X271" s="1218"/>
      <c r="Y271" s="1253" t="e">
        <f>ROUND(VLOOKUP(H271,tab!$A$61:$V$103,I271+2,FALSE),0)</f>
        <v>#VALUE!</v>
      </c>
      <c r="Z271" s="1252">
        <f>tab!$E$48</f>
        <v>0.62</v>
      </c>
      <c r="AA271" s="1284" t="e">
        <f t="shared" si="90"/>
        <v>#VALUE!</v>
      </c>
      <c r="AB271" s="1284" t="e">
        <f t="shared" si="91"/>
        <v>#VALUE!</v>
      </c>
      <c r="AC271" s="1284" t="e">
        <f t="shared" si="92"/>
        <v>#VALUE!</v>
      </c>
      <c r="AD271" s="1286" t="e">
        <f t="shared" si="93"/>
        <v>#VALUE!</v>
      </c>
      <c r="AE271" s="1286">
        <f t="shared" si="94"/>
        <v>0</v>
      </c>
      <c r="AF271" s="1254">
        <f>IF(H271&gt;8,tab!$D$49,tab!$D$52)</f>
        <v>0.5</v>
      </c>
      <c r="AG271" s="1255">
        <f t="shared" si="102"/>
        <v>0</v>
      </c>
      <c r="AH271" s="1251">
        <f t="shared" si="103"/>
        <v>0</v>
      </c>
      <c r="AI271" s="1278" t="e">
        <f>DATE(YEAR(tab!$H$3),MONTH(G271),DAY(G271))&gt;tab!$H$3</f>
        <v>#VALUE!</v>
      </c>
      <c r="AJ271" s="1255" t="e">
        <f t="shared" si="104"/>
        <v>#VALUE!</v>
      </c>
      <c r="AK271" s="1199">
        <f t="shared" si="105"/>
        <v>30</v>
      </c>
      <c r="AL271" s="1199">
        <f t="shared" si="106"/>
        <v>30</v>
      </c>
      <c r="AM271" s="1205">
        <f t="shared" si="107"/>
        <v>0</v>
      </c>
      <c r="AS271" s="819"/>
    </row>
    <row r="272" spans="3:45" ht="12.75" customHeight="1" x14ac:dyDescent="0.2">
      <c r="C272" s="135"/>
      <c r="D272" s="432" t="str">
        <f>IF(op!D205=0,"",op!D205)</f>
        <v/>
      </c>
      <c r="E272" s="432" t="str">
        <f>IF(op!E205=0,"",op!E205)</f>
        <v/>
      </c>
      <c r="F272" s="776" t="str">
        <f>IF(op!F205="","",op!F205+1)</f>
        <v/>
      </c>
      <c r="G272" s="802" t="str">
        <f>IF(op!G205="","",op!G205)</f>
        <v/>
      </c>
      <c r="H272" s="776" t="str">
        <f>IF(op!H205=0,"",op!H205)</f>
        <v/>
      </c>
      <c r="I272" s="433" t="str">
        <f>IF(J272="","",(IF(op!I205+1&gt;LOOKUP(H272,schaal2013,regels2013),op!I205,op!I205+1)))</f>
        <v/>
      </c>
      <c r="J272" s="803" t="str">
        <f>IF(op!J205="","",op!J205)</f>
        <v/>
      </c>
      <c r="K272" s="518"/>
      <c r="L272" s="1207">
        <f>IF(op!L205="","",op!L205)</f>
        <v>0</v>
      </c>
      <c r="M272" s="1207">
        <f>IF(op!M205="","",op!M205)</f>
        <v>0</v>
      </c>
      <c r="N272" s="1209" t="str">
        <f t="shared" si="85"/>
        <v/>
      </c>
      <c r="O272" s="1209" t="str">
        <f t="shared" si="86"/>
        <v/>
      </c>
      <c r="P272" s="1283" t="str">
        <f t="shared" si="87"/>
        <v/>
      </c>
      <c r="Q272" s="518"/>
      <c r="R272" s="1076" t="str">
        <f t="shared" si="101"/>
        <v/>
      </c>
      <c r="S272" s="1076" t="str">
        <f t="shared" si="88"/>
        <v/>
      </c>
      <c r="T272" s="1078" t="str">
        <f t="shared" si="89"/>
        <v/>
      </c>
      <c r="U272" s="599"/>
      <c r="V272" s="1261"/>
      <c r="W272" s="1261"/>
      <c r="X272" s="1218"/>
      <c r="Y272" s="1253" t="e">
        <f>ROUND(VLOOKUP(H272,tab!$A$61:$V$103,I272+2,FALSE),0)</f>
        <v>#VALUE!</v>
      </c>
      <c r="Z272" s="1252">
        <f>tab!$E$48</f>
        <v>0.62</v>
      </c>
      <c r="AA272" s="1284" t="e">
        <f t="shared" si="90"/>
        <v>#VALUE!</v>
      </c>
      <c r="AB272" s="1284" t="e">
        <f t="shared" si="91"/>
        <v>#VALUE!</v>
      </c>
      <c r="AC272" s="1284" t="e">
        <f t="shared" si="92"/>
        <v>#VALUE!</v>
      </c>
      <c r="AD272" s="1286" t="e">
        <f t="shared" si="93"/>
        <v>#VALUE!</v>
      </c>
      <c r="AE272" s="1286">
        <f t="shared" si="94"/>
        <v>0</v>
      </c>
      <c r="AF272" s="1254">
        <f>IF(H272&gt;8,tab!$D$49,tab!$D$52)</f>
        <v>0.5</v>
      </c>
      <c r="AG272" s="1255">
        <f t="shared" si="102"/>
        <v>0</v>
      </c>
      <c r="AH272" s="1251">
        <f t="shared" si="103"/>
        <v>0</v>
      </c>
      <c r="AI272" s="1278" t="e">
        <f>DATE(YEAR(tab!$H$3),MONTH(G272),DAY(G272))&gt;tab!$H$3</f>
        <v>#VALUE!</v>
      </c>
      <c r="AJ272" s="1255" t="e">
        <f t="shared" si="104"/>
        <v>#VALUE!</v>
      </c>
      <c r="AK272" s="1199">
        <f t="shared" si="105"/>
        <v>30</v>
      </c>
      <c r="AL272" s="1199">
        <f t="shared" si="106"/>
        <v>30</v>
      </c>
      <c r="AM272" s="1205">
        <f t="shared" si="107"/>
        <v>0</v>
      </c>
      <c r="AS272" s="819"/>
    </row>
    <row r="273" spans="3:50" ht="12.75" customHeight="1" x14ac:dyDescent="0.2">
      <c r="C273" s="135"/>
      <c r="D273" s="432" t="str">
        <f>IF(op!D206=0,"",op!D206)</f>
        <v/>
      </c>
      <c r="E273" s="432" t="str">
        <f>IF(op!E206=0,"",op!E206)</f>
        <v/>
      </c>
      <c r="F273" s="776" t="str">
        <f>IF(op!F206="","",op!F206+1)</f>
        <v/>
      </c>
      <c r="G273" s="802" t="str">
        <f>IF(op!G206="","",op!G206)</f>
        <v/>
      </c>
      <c r="H273" s="776" t="str">
        <f>IF(op!H206=0,"",op!H206)</f>
        <v/>
      </c>
      <c r="I273" s="433" t="str">
        <f>IF(J273="","",(IF(op!I206+1&gt;LOOKUP(H273,schaal2013,regels2013),op!I206,op!I206+1)))</f>
        <v/>
      </c>
      <c r="J273" s="803" t="str">
        <f>IF(op!J206="","",op!J206)</f>
        <v/>
      </c>
      <c r="K273" s="518"/>
      <c r="L273" s="1207">
        <f>IF(op!L206="","",op!L206)</f>
        <v>0</v>
      </c>
      <c r="M273" s="1207">
        <f>IF(op!M206="","",op!M206)</f>
        <v>0</v>
      </c>
      <c r="N273" s="1209" t="str">
        <f t="shared" si="85"/>
        <v/>
      </c>
      <c r="O273" s="1209" t="str">
        <f t="shared" si="86"/>
        <v/>
      </c>
      <c r="P273" s="1283" t="str">
        <f t="shared" si="87"/>
        <v/>
      </c>
      <c r="Q273" s="518"/>
      <c r="R273" s="1076" t="str">
        <f t="shared" si="101"/>
        <v/>
      </c>
      <c r="S273" s="1076" t="str">
        <f t="shared" si="88"/>
        <v/>
      </c>
      <c r="T273" s="1078" t="str">
        <f t="shared" si="89"/>
        <v/>
      </c>
      <c r="U273" s="599"/>
      <c r="V273" s="1261"/>
      <c r="W273" s="1261"/>
      <c r="X273" s="1218"/>
      <c r="Y273" s="1253" t="e">
        <f>ROUND(VLOOKUP(H273,tab!$A$61:$V$103,I273+2,FALSE),0)</f>
        <v>#VALUE!</v>
      </c>
      <c r="Z273" s="1252">
        <f>tab!$E$48</f>
        <v>0.62</v>
      </c>
      <c r="AA273" s="1284" t="e">
        <f t="shared" si="90"/>
        <v>#VALUE!</v>
      </c>
      <c r="AB273" s="1284" t="e">
        <f t="shared" si="91"/>
        <v>#VALUE!</v>
      </c>
      <c r="AC273" s="1284" t="e">
        <f t="shared" si="92"/>
        <v>#VALUE!</v>
      </c>
      <c r="AD273" s="1286" t="e">
        <f t="shared" si="93"/>
        <v>#VALUE!</v>
      </c>
      <c r="AE273" s="1286">
        <f t="shared" si="94"/>
        <v>0</v>
      </c>
      <c r="AF273" s="1254">
        <f>IF(H273&gt;8,tab!$D$49,tab!$D$52)</f>
        <v>0.5</v>
      </c>
      <c r="AG273" s="1255">
        <f t="shared" si="102"/>
        <v>0</v>
      </c>
      <c r="AH273" s="1251">
        <f t="shared" si="103"/>
        <v>0</v>
      </c>
      <c r="AI273" s="1278" t="e">
        <f>DATE(YEAR(tab!$H$3),MONTH(G273),DAY(G273))&gt;tab!$H$3</f>
        <v>#VALUE!</v>
      </c>
      <c r="AJ273" s="1255" t="e">
        <f t="shared" si="104"/>
        <v>#VALUE!</v>
      </c>
      <c r="AK273" s="1199">
        <f t="shared" si="105"/>
        <v>30</v>
      </c>
      <c r="AL273" s="1199">
        <f t="shared" si="106"/>
        <v>30</v>
      </c>
      <c r="AM273" s="1205">
        <f t="shared" si="107"/>
        <v>0</v>
      </c>
      <c r="AS273" s="819"/>
    </row>
    <row r="274" spans="3:50" x14ac:dyDescent="0.2">
      <c r="C274" s="491"/>
      <c r="D274" s="609"/>
      <c r="E274" s="805"/>
      <c r="F274" s="805"/>
      <c r="G274" s="806"/>
      <c r="H274" s="805"/>
      <c r="I274" s="807"/>
      <c r="J274" s="1111">
        <f>SUM(J219:J273)</f>
        <v>1</v>
      </c>
      <c r="L274" s="1208">
        <f t="shared" ref="L274:P274" si="108">SUM(L219:L273)</f>
        <v>0</v>
      </c>
      <c r="M274" s="1208">
        <f t="shared" si="108"/>
        <v>0</v>
      </c>
      <c r="N274" s="1208">
        <f>SUM(N219:N273)</f>
        <v>40</v>
      </c>
      <c r="O274" s="1208">
        <f t="shared" si="108"/>
        <v>0</v>
      </c>
      <c r="P274" s="1208">
        <f t="shared" si="108"/>
        <v>40</v>
      </c>
      <c r="R274" s="1112">
        <f>SUM(R219:R273)</f>
        <v>64976.647377938512</v>
      </c>
      <c r="S274" s="1113">
        <f t="shared" ref="S274:T274" si="109">SUM(S219:S273)</f>
        <v>1605.3526220614826</v>
      </c>
      <c r="T274" s="1112">
        <f t="shared" si="109"/>
        <v>66582</v>
      </c>
      <c r="U274" s="494"/>
      <c r="V274" s="1221"/>
      <c r="W274" s="1221"/>
      <c r="Y274" s="1256" t="e">
        <f>SUM(Y219:Y273)</f>
        <v>#VALUE!</v>
      </c>
      <c r="Z274" s="1288"/>
      <c r="AA274" s="1256"/>
      <c r="AB274" s="1256"/>
      <c r="AC274" s="1256"/>
      <c r="AG274" s="1257">
        <f>SUM(AG219:AG273)</f>
        <v>0</v>
      </c>
      <c r="AH274" s="1258">
        <f>SUM(AH219:AH273)</f>
        <v>0</v>
      </c>
      <c r="AI274" s="1279"/>
      <c r="AJ274" s="1279"/>
      <c r="AS274" s="819"/>
    </row>
    <row r="275" spans="3:50" x14ac:dyDescent="0.2">
      <c r="H275" s="590"/>
      <c r="K275" s="484"/>
      <c r="Q275" s="484"/>
      <c r="R275" s="782"/>
      <c r="S275" s="808"/>
      <c r="V275" s="1221"/>
      <c r="W275" s="1221"/>
      <c r="Y275" s="1237"/>
      <c r="Z275" s="1288"/>
      <c r="AA275" s="1256"/>
      <c r="AB275" s="1256"/>
      <c r="AC275" s="1256"/>
      <c r="AG275" s="1257"/>
      <c r="AH275" s="1258"/>
      <c r="AS275" s="819"/>
    </row>
    <row r="276" spans="3:50" x14ac:dyDescent="0.2">
      <c r="V276" s="1221"/>
      <c r="W276" s="1221"/>
    </row>
    <row r="277" spans="3:50" x14ac:dyDescent="0.2">
      <c r="V277" s="1221"/>
      <c r="W277" s="1221"/>
    </row>
    <row r="278" spans="3:50" x14ac:dyDescent="0.2">
      <c r="C278" s="454" t="s">
        <v>200</v>
      </c>
      <c r="E278" s="821" t="str">
        <f>dir!E97</f>
        <v>2019/20</v>
      </c>
      <c r="V278" s="1221"/>
      <c r="W278" s="1221"/>
    </row>
    <row r="279" spans="3:50" x14ac:dyDescent="0.2">
      <c r="C279" s="454" t="s">
        <v>213</v>
      </c>
      <c r="E279" s="821">
        <f>dir!E98</f>
        <v>43739</v>
      </c>
      <c r="V279" s="1221"/>
      <c r="W279" s="1221"/>
    </row>
    <row r="280" spans="3:50" x14ac:dyDescent="0.2">
      <c r="V280" s="1221"/>
      <c r="W280" s="1221"/>
    </row>
    <row r="281" spans="3:50" ht="12.75" customHeight="1" x14ac:dyDescent="0.2">
      <c r="C281" s="774"/>
      <c r="D281" s="1090"/>
      <c r="E281" s="1091"/>
      <c r="F281" s="1092"/>
      <c r="G281" s="1093"/>
      <c r="H281" s="1094"/>
      <c r="I281" s="1094"/>
      <c r="J281" s="1095"/>
      <c r="K281" s="1096"/>
      <c r="L281" s="1094"/>
      <c r="M281" s="1094"/>
      <c r="N281" s="1094"/>
      <c r="O281" s="1094"/>
      <c r="P281" s="1094"/>
      <c r="Q281" s="1096"/>
      <c r="R281" s="1096"/>
      <c r="S281" s="1097"/>
      <c r="T281" s="1098"/>
      <c r="U281" s="482"/>
      <c r="V281" s="1221"/>
      <c r="W281" s="1221"/>
      <c r="AN281" s="1202"/>
      <c r="AO281" s="1202"/>
      <c r="AP281" s="1202"/>
      <c r="AQ281" s="1202"/>
      <c r="AR281" s="1106"/>
      <c r="AS281" s="785"/>
      <c r="AT281" s="787"/>
      <c r="AU281" s="799"/>
      <c r="AV281" s="786"/>
    </row>
    <row r="282" spans="3:50" ht="12.75" customHeight="1" x14ac:dyDescent="0.2">
      <c r="C282" s="139"/>
      <c r="D282" s="1191" t="s">
        <v>306</v>
      </c>
      <c r="E282" s="1036"/>
      <c r="F282" s="1036"/>
      <c r="G282" s="1036"/>
      <c r="H282" s="1036"/>
      <c r="I282" s="1036"/>
      <c r="J282" s="1036"/>
      <c r="K282" s="1055"/>
      <c r="L282" s="1191" t="s">
        <v>553</v>
      </c>
      <c r="M282" s="1193"/>
      <c r="N282" s="1191"/>
      <c r="O282" s="1191"/>
      <c r="P282" s="1291"/>
      <c r="Q282" s="1055"/>
      <c r="R282" s="1191" t="s">
        <v>554</v>
      </c>
      <c r="S282" s="1194"/>
      <c r="T282" s="1292"/>
      <c r="U282" s="1293"/>
      <c r="V282" s="1222"/>
      <c r="W282" s="1222"/>
      <c r="X282" s="427"/>
      <c r="Y282" s="1221"/>
      <c r="Z282" s="1294"/>
      <c r="AD282" s="1295"/>
      <c r="AE282" s="1295"/>
      <c r="AF282" s="1222"/>
      <c r="AG282" s="1248"/>
      <c r="AH282" s="1249"/>
      <c r="AM282" s="1199"/>
      <c r="AU282" s="454"/>
      <c r="AV282" s="454"/>
      <c r="AW282" s="817"/>
      <c r="AX282" s="817"/>
    </row>
    <row r="283" spans="3:50" ht="12.75" customHeight="1" x14ac:dyDescent="0.2">
      <c r="C283" s="139"/>
      <c r="D283" s="1030" t="s">
        <v>545</v>
      </c>
      <c r="E283" s="1030" t="s">
        <v>201</v>
      </c>
      <c r="F283" s="1057" t="s">
        <v>151</v>
      </c>
      <c r="G283" s="1058" t="s">
        <v>295</v>
      </c>
      <c r="H283" s="1057" t="s">
        <v>226</v>
      </c>
      <c r="I283" s="1057" t="s">
        <v>247</v>
      </c>
      <c r="J283" s="1059" t="s">
        <v>154</v>
      </c>
      <c r="K283" s="1034"/>
      <c r="L283" s="1060" t="s">
        <v>530</v>
      </c>
      <c r="M283" s="1060" t="s">
        <v>531</v>
      </c>
      <c r="N283" s="1060" t="s">
        <v>529</v>
      </c>
      <c r="O283" s="1060" t="s">
        <v>530</v>
      </c>
      <c r="P283" s="1296" t="s">
        <v>555</v>
      </c>
      <c r="Q283" s="1034"/>
      <c r="R283" s="1195" t="s">
        <v>212</v>
      </c>
      <c r="S283" s="1062" t="s">
        <v>556</v>
      </c>
      <c r="T283" s="1063" t="s">
        <v>212</v>
      </c>
      <c r="U283" s="1297"/>
      <c r="V283" s="1259"/>
      <c r="W283" s="1259"/>
      <c r="X283" s="430"/>
      <c r="Y283" s="1068" t="s">
        <v>325</v>
      </c>
      <c r="Z283" s="1285" t="s">
        <v>548</v>
      </c>
      <c r="AA283" s="1259" t="s">
        <v>549</v>
      </c>
      <c r="AB283" s="1259" t="s">
        <v>549</v>
      </c>
      <c r="AC283" s="1259" t="s">
        <v>546</v>
      </c>
      <c r="AD283" s="1206" t="s">
        <v>539</v>
      </c>
      <c r="AE283" s="1206" t="s">
        <v>540</v>
      </c>
      <c r="AF283" s="1259"/>
      <c r="AG283" s="1250" t="s">
        <v>319</v>
      </c>
      <c r="AH283" s="1249" t="s">
        <v>459</v>
      </c>
      <c r="AI283" s="1069" t="s">
        <v>300</v>
      </c>
      <c r="AJ283" s="1069" t="s">
        <v>301</v>
      </c>
      <c r="AK283" s="1217" t="s">
        <v>153</v>
      </c>
      <c r="AL283" s="1217" t="s">
        <v>224</v>
      </c>
      <c r="AM283" s="1216" t="s">
        <v>208</v>
      </c>
      <c r="AU283" s="454"/>
      <c r="AV283" s="454"/>
      <c r="AW283" s="817"/>
      <c r="AX283" s="818"/>
    </row>
    <row r="284" spans="3:50" ht="12.75" customHeight="1" x14ac:dyDescent="0.2">
      <c r="C284" s="139"/>
      <c r="D284" s="1036"/>
      <c r="E284" s="1030"/>
      <c r="F284" s="1057" t="s">
        <v>152</v>
      </c>
      <c r="G284" s="1058" t="s">
        <v>296</v>
      </c>
      <c r="H284" s="1057"/>
      <c r="I284" s="1057"/>
      <c r="J284" s="1059" t="s">
        <v>299</v>
      </c>
      <c r="K284" s="1034"/>
      <c r="L284" s="1060" t="s">
        <v>533</v>
      </c>
      <c r="M284" s="1060" t="s">
        <v>534</v>
      </c>
      <c r="N284" s="1060" t="s">
        <v>532</v>
      </c>
      <c r="O284" s="1060" t="s">
        <v>544</v>
      </c>
      <c r="P284" s="1296" t="s">
        <v>291</v>
      </c>
      <c r="Q284" s="1034"/>
      <c r="R284" s="1061" t="s">
        <v>557</v>
      </c>
      <c r="S284" s="1062" t="s">
        <v>535</v>
      </c>
      <c r="T284" s="1063" t="s">
        <v>291</v>
      </c>
      <c r="U284" s="1040"/>
      <c r="V284" s="1221"/>
      <c r="W284" s="1221"/>
      <c r="X284" s="144"/>
      <c r="Y284" s="1068" t="s">
        <v>217</v>
      </c>
      <c r="Z284" s="1071">
        <f>tab!$E$48</f>
        <v>0.62</v>
      </c>
      <c r="AA284" s="1259" t="s">
        <v>550</v>
      </c>
      <c r="AB284" s="1259" t="s">
        <v>551</v>
      </c>
      <c r="AC284" s="1259" t="s">
        <v>552</v>
      </c>
      <c r="AD284" s="1206" t="s">
        <v>542</v>
      </c>
      <c r="AE284" s="1206" t="s">
        <v>542</v>
      </c>
      <c r="AG284" s="1250"/>
      <c r="AH284" s="1251" t="s">
        <v>246</v>
      </c>
      <c r="AI284" s="1206" t="s">
        <v>297</v>
      </c>
      <c r="AJ284" s="1206" t="s">
        <v>297</v>
      </c>
      <c r="AK284" s="1217"/>
      <c r="AL284" s="1217" t="s">
        <v>208</v>
      </c>
      <c r="AM284" s="1216"/>
      <c r="AU284" s="454"/>
      <c r="AV284" s="454"/>
      <c r="AX284" s="801"/>
    </row>
    <row r="285" spans="3:50" ht="12.75" customHeight="1" x14ac:dyDescent="0.2">
      <c r="C285" s="135"/>
      <c r="D285" s="1036"/>
      <c r="E285" s="1036"/>
      <c r="F285" s="1099"/>
      <c r="G285" s="1100"/>
      <c r="H285" s="1057"/>
      <c r="I285" s="1057"/>
      <c r="J285" s="1059"/>
      <c r="K285" s="1036"/>
      <c r="L285" s="1060"/>
      <c r="M285" s="1060"/>
      <c r="N285" s="1060"/>
      <c r="O285" s="1060"/>
      <c r="P285" s="1060"/>
      <c r="Q285" s="1036"/>
      <c r="R285" s="1101"/>
      <c r="S285" s="1062"/>
      <c r="T285" s="1102"/>
      <c r="U285" s="487"/>
      <c r="V285" s="1221"/>
      <c r="W285" s="1221"/>
      <c r="Y285" s="1068"/>
      <c r="Z285" s="1222"/>
      <c r="AA285" s="1222"/>
      <c r="AB285" s="1222"/>
      <c r="AC285" s="1222"/>
      <c r="AG285" s="1250"/>
      <c r="AH285" s="1251"/>
      <c r="AM285" s="1216"/>
      <c r="AU285" s="454"/>
      <c r="AV285" s="454"/>
      <c r="AX285" s="801"/>
    </row>
    <row r="286" spans="3:50" ht="12.75" customHeight="1" x14ac:dyDescent="0.2">
      <c r="C286" s="135"/>
      <c r="D286" s="432" t="str">
        <f>IF(op!D219=0,"",op!D219)</f>
        <v/>
      </c>
      <c r="E286" s="432" t="str">
        <f>IF(op!E219=0,"-",op!E219)</f>
        <v>nn</v>
      </c>
      <c r="F286" s="776" t="str">
        <f>IF(op!F219="","",op!F219+1)</f>
        <v/>
      </c>
      <c r="G286" s="802">
        <f>IF(op!G219="","",op!G219)</f>
        <v>26665</v>
      </c>
      <c r="H286" s="776" t="str">
        <f>IF(op!H219=0,"",op!H219)</f>
        <v>LB</v>
      </c>
      <c r="I286" s="433">
        <f>IF(J286="","",(IF(op!I219+1&gt;LOOKUP(H286,schaal2013,regels2013),op!I219,op!I219+1)))</f>
        <v>14</v>
      </c>
      <c r="J286" s="803">
        <f>IF(op!J219="","",op!J219)</f>
        <v>1</v>
      </c>
      <c r="K286" s="518"/>
      <c r="L286" s="1207">
        <f>IF(op!L219="","",op!L219)</f>
        <v>0</v>
      </c>
      <c r="M286" s="1207">
        <f>IF(op!M219="","",op!M219)</f>
        <v>0</v>
      </c>
      <c r="N286" s="1209">
        <f t="shared" ref="N286:N340" si="110">IF(J286="","",IF((J286*40)&gt;40,40,((J286*40))))</f>
        <v>40</v>
      </c>
      <c r="O286" s="1209">
        <f t="shared" ref="O286:O340" si="111">IF(J286="","",IF(I286&lt;4,(40*J286),0))</f>
        <v>0</v>
      </c>
      <c r="P286" s="1283">
        <f t="shared" ref="P286:P340" si="112">IF(J286="","",(SUM(L286:O286)))</f>
        <v>40</v>
      </c>
      <c r="Q286" s="518"/>
      <c r="R286" s="1076">
        <f>IF(J286="","",(((1659*J286)-P286)*AB286))</f>
        <v>67272.172730560589</v>
      </c>
      <c r="S286" s="1076">
        <f t="shared" ref="S286:S340" si="113">IF(J286="","",(P286*AC286)+(AA286*AD286)+((AE286*AA286*(1-AF286))))</f>
        <v>1662.0672694394216</v>
      </c>
      <c r="T286" s="1078">
        <f t="shared" ref="T286:T340" si="114">IF(J286="","",(R286+S286))</f>
        <v>68934.240000000005</v>
      </c>
      <c r="U286" s="599"/>
      <c r="V286" s="1261"/>
      <c r="W286" s="1261"/>
      <c r="X286" s="1218"/>
      <c r="Y286" s="1253">
        <f>ROUND(VLOOKUP(H286,tab!$A$61:$V$103,I286+2,FALSE),0)</f>
        <v>3546</v>
      </c>
      <c r="Z286" s="1252">
        <f>tab!$E$48</f>
        <v>0.62</v>
      </c>
      <c r="AA286" s="1284">
        <f t="shared" ref="AA286:AA340" si="115">(Y286*12/1659)</f>
        <v>25.649186256781192</v>
      </c>
      <c r="AB286" s="1284">
        <f t="shared" ref="AB286:AB340" si="116">(Y286*12*(1+Z286))/1659</f>
        <v>41.551681735985539</v>
      </c>
      <c r="AC286" s="1284">
        <f t="shared" ref="AC286:AC340" si="117">AB286-AA286</f>
        <v>15.902495479204347</v>
      </c>
      <c r="AD286" s="1286">
        <f t="shared" ref="AD286:AD340" si="118">(N286+O286)</f>
        <v>40</v>
      </c>
      <c r="AE286" s="1286">
        <f t="shared" ref="AE286:AE340" si="119">(L286+M286)</f>
        <v>0</v>
      </c>
      <c r="AF286" s="1254">
        <f>IF(H286&gt;8,tab!$D$49,tab!$D$52)</f>
        <v>0.5</v>
      </c>
      <c r="AG286" s="1255">
        <f t="shared" ref="AG286:AG317" si="120">IF(F286&lt;25,0,IF(F286=25,25,IF(F286&lt;40,0,IF(F286=40,40,IF(F286&gt;=40,0)))))</f>
        <v>0</v>
      </c>
      <c r="AH286" s="1251">
        <f t="shared" ref="AH286:AH317" si="121">IF(AG286=25,(Y286*1.08*(J286)/2),IF(AG286=40,(Y286*1.08*(J286)),IF(AG286=0,0)))</f>
        <v>0</v>
      </c>
      <c r="AI286" s="1278" t="b">
        <f>DATE(YEAR(tab!$I$3),MONTH(G286),DAY(G286))&gt;tab!$I$3</f>
        <v>0</v>
      </c>
      <c r="AJ286" s="1255">
        <f t="shared" ref="AJ286:AJ317" si="122">YEAR($E$279)-YEAR(G286)-AI286</f>
        <v>46</v>
      </c>
      <c r="AK286" s="1199">
        <f t="shared" ref="AK286:AK317" si="123">IF((G286=""),30,AJ286)</f>
        <v>46</v>
      </c>
      <c r="AL286" s="1199">
        <f t="shared" ref="AL286:AL317" si="124">IF((AK286)&gt;50,50,(AK286))</f>
        <v>46</v>
      </c>
      <c r="AM286" s="1205">
        <f t="shared" ref="AM286:AM317" si="125">(AL286*(SUM(J286:J286)))</f>
        <v>46</v>
      </c>
      <c r="AS286" s="819"/>
    </row>
    <row r="287" spans="3:50" ht="12.75" customHeight="1" x14ac:dyDescent="0.2">
      <c r="C287" s="135"/>
      <c r="D287" s="432" t="str">
        <f>IF(op!D220=0,"",op!D220)</f>
        <v/>
      </c>
      <c r="E287" s="432" t="str">
        <f>IF(op!E220=0,"-",op!E220)</f>
        <v/>
      </c>
      <c r="F287" s="776" t="str">
        <f>IF(op!F220="","",op!F220+1)</f>
        <v/>
      </c>
      <c r="G287" s="802" t="str">
        <f>IF(op!G220="","",op!G220)</f>
        <v/>
      </c>
      <c r="H287" s="776" t="str">
        <f>IF(op!H220=0,"",op!H220)</f>
        <v/>
      </c>
      <c r="I287" s="433" t="str">
        <f>IF(J287="","",(IF(op!I220+1&gt;LOOKUP(H287,schaal2013,regels2013),op!I220,op!I220+1)))</f>
        <v/>
      </c>
      <c r="J287" s="803" t="str">
        <f>IF(op!J220="","",op!J220)</f>
        <v/>
      </c>
      <c r="K287" s="518"/>
      <c r="L287" s="1207">
        <f>IF(op!L220="","",op!L220)</f>
        <v>0</v>
      </c>
      <c r="M287" s="1207">
        <f>IF(op!M220="","",op!M220)</f>
        <v>0</v>
      </c>
      <c r="N287" s="1209" t="str">
        <f t="shared" si="110"/>
        <v/>
      </c>
      <c r="O287" s="1209" t="str">
        <f t="shared" si="111"/>
        <v/>
      </c>
      <c r="P287" s="1283" t="str">
        <f t="shared" si="112"/>
        <v/>
      </c>
      <c r="Q287" s="518"/>
      <c r="R287" s="1076" t="str">
        <f>IF(J287="","",(((1659*J287)-P287)*AB287))</f>
        <v/>
      </c>
      <c r="S287" s="1076" t="str">
        <f t="shared" si="113"/>
        <v/>
      </c>
      <c r="T287" s="1078" t="str">
        <f t="shared" si="114"/>
        <v/>
      </c>
      <c r="U287" s="599"/>
      <c r="V287" s="1261"/>
      <c r="W287" s="1261"/>
      <c r="X287" s="1218"/>
      <c r="Y287" s="1253" t="e">
        <f>ROUND(VLOOKUP(H287,tab!$A$61:$V$103,I287+2,FALSE),0)</f>
        <v>#VALUE!</v>
      </c>
      <c r="Z287" s="1252">
        <f>tab!$E$48</f>
        <v>0.62</v>
      </c>
      <c r="AA287" s="1284" t="e">
        <f t="shared" si="115"/>
        <v>#VALUE!</v>
      </c>
      <c r="AB287" s="1284" t="e">
        <f t="shared" si="116"/>
        <v>#VALUE!</v>
      </c>
      <c r="AC287" s="1284" t="e">
        <f t="shared" si="117"/>
        <v>#VALUE!</v>
      </c>
      <c r="AD287" s="1286" t="e">
        <f t="shared" si="118"/>
        <v>#VALUE!</v>
      </c>
      <c r="AE287" s="1286">
        <f t="shared" si="119"/>
        <v>0</v>
      </c>
      <c r="AF287" s="1254">
        <f>IF(H287&gt;8,tab!$D$49,tab!$D$52)</f>
        <v>0.5</v>
      </c>
      <c r="AG287" s="1255">
        <f t="shared" si="120"/>
        <v>0</v>
      </c>
      <c r="AH287" s="1251">
        <f t="shared" si="121"/>
        <v>0</v>
      </c>
      <c r="AI287" s="1278" t="e">
        <f>DATE(YEAR(tab!$I$3),MONTH(G287),DAY(G287))&gt;tab!$I$3</f>
        <v>#VALUE!</v>
      </c>
      <c r="AJ287" s="1278" t="e">
        <f t="shared" si="122"/>
        <v>#VALUE!</v>
      </c>
      <c r="AK287" s="1199">
        <f t="shared" si="123"/>
        <v>30</v>
      </c>
      <c r="AL287" s="1199">
        <f t="shared" si="124"/>
        <v>30</v>
      </c>
      <c r="AM287" s="1205">
        <f t="shared" si="125"/>
        <v>0</v>
      </c>
      <c r="AS287" s="819"/>
    </row>
    <row r="288" spans="3:50" ht="12.75" customHeight="1" x14ac:dyDescent="0.2">
      <c r="C288" s="135"/>
      <c r="D288" s="432" t="str">
        <f>IF(op!D221=0,"",op!D221)</f>
        <v/>
      </c>
      <c r="E288" s="432" t="str">
        <f>IF(op!E221=0,"-",op!E221)</f>
        <v/>
      </c>
      <c r="F288" s="776" t="str">
        <f>IF(op!F221="","",op!F221+1)</f>
        <v/>
      </c>
      <c r="G288" s="802" t="str">
        <f>IF(op!G221="","",op!G221)</f>
        <v/>
      </c>
      <c r="H288" s="776" t="str">
        <f>IF(op!H221=0,"",op!H221)</f>
        <v/>
      </c>
      <c r="I288" s="433" t="str">
        <f>IF(J288="","",(IF(op!I221+1&gt;LOOKUP(H288,schaal2013,regels2013),op!I221,op!I221+1)))</f>
        <v/>
      </c>
      <c r="J288" s="803" t="str">
        <f>IF(op!J221="","",op!J221)</f>
        <v/>
      </c>
      <c r="K288" s="518"/>
      <c r="L288" s="1207">
        <f>IF(op!L221="","",op!L221)</f>
        <v>0</v>
      </c>
      <c r="M288" s="1207">
        <f>IF(op!M221="","",op!M221)</f>
        <v>0</v>
      </c>
      <c r="N288" s="1209" t="str">
        <f t="shared" si="110"/>
        <v/>
      </c>
      <c r="O288" s="1209" t="str">
        <f t="shared" si="111"/>
        <v/>
      </c>
      <c r="P288" s="1283" t="str">
        <f t="shared" si="112"/>
        <v/>
      </c>
      <c r="Q288" s="518"/>
      <c r="R288" s="1076" t="str">
        <f t="shared" ref="R288:R340" si="126">IF(J288="","",(((1659*J288)-P288)*AB288))</f>
        <v/>
      </c>
      <c r="S288" s="1076" t="str">
        <f t="shared" si="113"/>
        <v/>
      </c>
      <c r="T288" s="1078" t="str">
        <f t="shared" si="114"/>
        <v/>
      </c>
      <c r="U288" s="599"/>
      <c r="V288" s="1261"/>
      <c r="W288" s="1261"/>
      <c r="X288" s="1218"/>
      <c r="Y288" s="1253" t="e">
        <f>ROUND(VLOOKUP(H288,tab!$A$61:$V$103,I288+2,FALSE),0)</f>
        <v>#VALUE!</v>
      </c>
      <c r="Z288" s="1252">
        <f>tab!$E$48</f>
        <v>0.62</v>
      </c>
      <c r="AA288" s="1284" t="e">
        <f t="shared" si="115"/>
        <v>#VALUE!</v>
      </c>
      <c r="AB288" s="1284" t="e">
        <f t="shared" si="116"/>
        <v>#VALUE!</v>
      </c>
      <c r="AC288" s="1284" t="e">
        <f t="shared" si="117"/>
        <v>#VALUE!</v>
      </c>
      <c r="AD288" s="1286" t="e">
        <f t="shared" si="118"/>
        <v>#VALUE!</v>
      </c>
      <c r="AE288" s="1286">
        <f t="shared" si="119"/>
        <v>0</v>
      </c>
      <c r="AF288" s="1254">
        <f>IF(H288&gt;8,tab!$D$49,tab!$D$52)</f>
        <v>0.5</v>
      </c>
      <c r="AG288" s="1255">
        <f t="shared" si="120"/>
        <v>0</v>
      </c>
      <c r="AH288" s="1251">
        <f t="shared" si="121"/>
        <v>0</v>
      </c>
      <c r="AI288" s="1278" t="e">
        <f>DATE(YEAR(tab!$I$3),MONTH(G288),DAY(G288))&gt;tab!$I$3</f>
        <v>#VALUE!</v>
      </c>
      <c r="AJ288" s="1278" t="e">
        <f t="shared" si="122"/>
        <v>#VALUE!</v>
      </c>
      <c r="AK288" s="1199">
        <f t="shared" si="123"/>
        <v>30</v>
      </c>
      <c r="AL288" s="1199">
        <f t="shared" si="124"/>
        <v>30</v>
      </c>
      <c r="AM288" s="1205">
        <f t="shared" si="125"/>
        <v>0</v>
      </c>
      <c r="AS288" s="819"/>
    </row>
    <row r="289" spans="3:45" ht="12.75" customHeight="1" x14ac:dyDescent="0.2">
      <c r="C289" s="135"/>
      <c r="D289" s="432" t="str">
        <f>IF(op!D222=0,"",op!D222)</f>
        <v/>
      </c>
      <c r="E289" s="432" t="str">
        <f>IF(op!E222=0,"-",op!E222)</f>
        <v/>
      </c>
      <c r="F289" s="776" t="str">
        <f>IF(op!F222="","",op!F222+1)</f>
        <v/>
      </c>
      <c r="G289" s="802" t="str">
        <f>IF(op!G222="","",op!G222)</f>
        <v/>
      </c>
      <c r="H289" s="776" t="str">
        <f>IF(op!H222=0,"",op!H222)</f>
        <v/>
      </c>
      <c r="I289" s="433" t="str">
        <f>IF(J289="","",(IF(op!I222+1&gt;LOOKUP(H289,schaal2013,regels2013),op!I222,op!I222+1)))</f>
        <v/>
      </c>
      <c r="J289" s="803" t="str">
        <f>IF(op!J222="","",op!J222)</f>
        <v/>
      </c>
      <c r="K289" s="518"/>
      <c r="L289" s="1207">
        <f>IF(op!L222="","",op!L222)</f>
        <v>0</v>
      </c>
      <c r="M289" s="1207">
        <f>IF(op!M222="","",op!M222)</f>
        <v>0</v>
      </c>
      <c r="N289" s="1209" t="str">
        <f t="shared" si="110"/>
        <v/>
      </c>
      <c r="O289" s="1209" t="str">
        <f t="shared" si="111"/>
        <v/>
      </c>
      <c r="P289" s="1283" t="str">
        <f t="shared" si="112"/>
        <v/>
      </c>
      <c r="Q289" s="518"/>
      <c r="R289" s="1076" t="str">
        <f t="shared" si="126"/>
        <v/>
      </c>
      <c r="S289" s="1076" t="str">
        <f t="shared" si="113"/>
        <v/>
      </c>
      <c r="T289" s="1078" t="str">
        <f t="shared" si="114"/>
        <v/>
      </c>
      <c r="U289" s="599"/>
      <c r="V289" s="1261"/>
      <c r="W289" s="1261"/>
      <c r="X289" s="1218"/>
      <c r="Y289" s="1253" t="e">
        <f>ROUND(VLOOKUP(H289,tab!$A$61:$V$103,I289+2,FALSE),0)</f>
        <v>#VALUE!</v>
      </c>
      <c r="Z289" s="1252">
        <f>tab!$E$48</f>
        <v>0.62</v>
      </c>
      <c r="AA289" s="1284" t="e">
        <f t="shared" si="115"/>
        <v>#VALUE!</v>
      </c>
      <c r="AB289" s="1284" t="e">
        <f t="shared" si="116"/>
        <v>#VALUE!</v>
      </c>
      <c r="AC289" s="1284" t="e">
        <f t="shared" si="117"/>
        <v>#VALUE!</v>
      </c>
      <c r="AD289" s="1286" t="e">
        <f t="shared" si="118"/>
        <v>#VALUE!</v>
      </c>
      <c r="AE289" s="1286">
        <f t="shared" si="119"/>
        <v>0</v>
      </c>
      <c r="AF289" s="1254">
        <f>IF(H289&gt;8,tab!$D$49,tab!$D$52)</f>
        <v>0.5</v>
      </c>
      <c r="AG289" s="1255">
        <f t="shared" si="120"/>
        <v>0</v>
      </c>
      <c r="AH289" s="1251">
        <f t="shared" si="121"/>
        <v>0</v>
      </c>
      <c r="AI289" s="1278" t="e">
        <f>DATE(YEAR(tab!$I$3),MONTH(G289),DAY(G289))&gt;tab!$I$3</f>
        <v>#VALUE!</v>
      </c>
      <c r="AJ289" s="1278" t="e">
        <f t="shared" si="122"/>
        <v>#VALUE!</v>
      </c>
      <c r="AK289" s="1199">
        <f t="shared" si="123"/>
        <v>30</v>
      </c>
      <c r="AL289" s="1199">
        <f t="shared" si="124"/>
        <v>30</v>
      </c>
      <c r="AM289" s="1205">
        <f t="shared" si="125"/>
        <v>0</v>
      </c>
      <c r="AS289" s="819"/>
    </row>
    <row r="290" spans="3:45" ht="12.75" customHeight="1" x14ac:dyDescent="0.2">
      <c r="C290" s="135"/>
      <c r="D290" s="432" t="str">
        <f>IF(op!D223=0,"",op!D223)</f>
        <v/>
      </c>
      <c r="E290" s="432" t="str">
        <f>IF(op!E223=0,"-",op!E223)</f>
        <v/>
      </c>
      <c r="F290" s="776" t="str">
        <f>IF(op!F223="","",op!F223+1)</f>
        <v/>
      </c>
      <c r="G290" s="802" t="str">
        <f>IF(op!G223="","",op!G223)</f>
        <v/>
      </c>
      <c r="H290" s="776" t="str">
        <f>IF(op!H223=0,"",op!H223)</f>
        <v/>
      </c>
      <c r="I290" s="433" t="str">
        <f>IF(J290="","",(IF(op!I223+1&gt;LOOKUP(H290,schaal2013,regels2013),op!I223,op!I223+1)))</f>
        <v/>
      </c>
      <c r="J290" s="803" t="str">
        <f>IF(op!J223="","",op!J223)</f>
        <v/>
      </c>
      <c r="K290" s="518"/>
      <c r="L290" s="1207">
        <f>IF(op!L223="","",op!L223)</f>
        <v>0</v>
      </c>
      <c r="M290" s="1207">
        <f>IF(op!M223="","",op!M223)</f>
        <v>0</v>
      </c>
      <c r="N290" s="1209" t="str">
        <f t="shared" si="110"/>
        <v/>
      </c>
      <c r="O290" s="1209" t="str">
        <f t="shared" si="111"/>
        <v/>
      </c>
      <c r="P290" s="1283" t="str">
        <f t="shared" si="112"/>
        <v/>
      </c>
      <c r="Q290" s="518"/>
      <c r="R290" s="1076" t="str">
        <f t="shared" si="126"/>
        <v/>
      </c>
      <c r="S290" s="1076" t="str">
        <f t="shared" si="113"/>
        <v/>
      </c>
      <c r="T290" s="1078" t="str">
        <f t="shared" si="114"/>
        <v/>
      </c>
      <c r="U290" s="599"/>
      <c r="V290" s="1261"/>
      <c r="W290" s="1261"/>
      <c r="X290" s="1218"/>
      <c r="Y290" s="1253" t="e">
        <f>ROUND(VLOOKUP(H290,tab!$A$61:$V$103,I290+2,FALSE),0)</f>
        <v>#VALUE!</v>
      </c>
      <c r="Z290" s="1252">
        <f>tab!$E$48</f>
        <v>0.62</v>
      </c>
      <c r="AA290" s="1284" t="e">
        <f t="shared" si="115"/>
        <v>#VALUE!</v>
      </c>
      <c r="AB290" s="1284" t="e">
        <f t="shared" si="116"/>
        <v>#VALUE!</v>
      </c>
      <c r="AC290" s="1284" t="e">
        <f t="shared" si="117"/>
        <v>#VALUE!</v>
      </c>
      <c r="AD290" s="1286" t="e">
        <f t="shared" si="118"/>
        <v>#VALUE!</v>
      </c>
      <c r="AE290" s="1286">
        <f t="shared" si="119"/>
        <v>0</v>
      </c>
      <c r="AF290" s="1254">
        <f>IF(H290&gt;8,tab!$D$49,tab!$D$52)</f>
        <v>0.5</v>
      </c>
      <c r="AG290" s="1255">
        <f t="shared" si="120"/>
        <v>0</v>
      </c>
      <c r="AH290" s="1251">
        <f t="shared" si="121"/>
        <v>0</v>
      </c>
      <c r="AI290" s="1278" t="e">
        <f>DATE(YEAR(tab!$I$3),MONTH(G290),DAY(G290))&gt;tab!$I$3</f>
        <v>#VALUE!</v>
      </c>
      <c r="AJ290" s="1278" t="e">
        <f t="shared" si="122"/>
        <v>#VALUE!</v>
      </c>
      <c r="AK290" s="1199">
        <f t="shared" si="123"/>
        <v>30</v>
      </c>
      <c r="AL290" s="1199">
        <f t="shared" si="124"/>
        <v>30</v>
      </c>
      <c r="AM290" s="1205">
        <f t="shared" si="125"/>
        <v>0</v>
      </c>
      <c r="AS290" s="819"/>
    </row>
    <row r="291" spans="3:45" ht="12.75" customHeight="1" x14ac:dyDescent="0.2">
      <c r="C291" s="135"/>
      <c r="D291" s="432" t="str">
        <f>IF(op!D224=0,"",op!D224)</f>
        <v/>
      </c>
      <c r="E291" s="432" t="str">
        <f>IF(op!E224=0,"-",op!E224)</f>
        <v/>
      </c>
      <c r="F291" s="776" t="str">
        <f>IF(op!F224="","",op!F224+1)</f>
        <v/>
      </c>
      <c r="G291" s="802" t="str">
        <f>IF(op!G224="","",op!G224)</f>
        <v/>
      </c>
      <c r="H291" s="776" t="str">
        <f>IF(op!H224=0,"",op!H224)</f>
        <v/>
      </c>
      <c r="I291" s="433" t="str">
        <f>IF(J291="","",(IF(op!I224+1&gt;LOOKUP(H291,schaal2013,regels2013),op!I224,op!I224+1)))</f>
        <v/>
      </c>
      <c r="J291" s="803" t="str">
        <f>IF(op!J224="","",op!J224)</f>
        <v/>
      </c>
      <c r="K291" s="518"/>
      <c r="L291" s="1207">
        <f>IF(op!L224="","",op!L224)</f>
        <v>0</v>
      </c>
      <c r="M291" s="1207">
        <f>IF(op!M224="","",op!M224)</f>
        <v>0</v>
      </c>
      <c r="N291" s="1209" t="str">
        <f t="shared" si="110"/>
        <v/>
      </c>
      <c r="O291" s="1209" t="str">
        <f t="shared" si="111"/>
        <v/>
      </c>
      <c r="P291" s="1283" t="str">
        <f t="shared" si="112"/>
        <v/>
      </c>
      <c r="Q291" s="518"/>
      <c r="R291" s="1076" t="str">
        <f t="shared" si="126"/>
        <v/>
      </c>
      <c r="S291" s="1076" t="str">
        <f t="shared" si="113"/>
        <v/>
      </c>
      <c r="T291" s="1078" t="str">
        <f t="shared" si="114"/>
        <v/>
      </c>
      <c r="U291" s="599"/>
      <c r="V291" s="1261"/>
      <c r="W291" s="1261"/>
      <c r="X291" s="1218"/>
      <c r="Y291" s="1253" t="e">
        <f>ROUND(VLOOKUP(H291,tab!$A$61:$V$103,I291+2,FALSE),0)</f>
        <v>#VALUE!</v>
      </c>
      <c r="Z291" s="1252">
        <f>tab!$E$48</f>
        <v>0.62</v>
      </c>
      <c r="AA291" s="1284" t="e">
        <f t="shared" si="115"/>
        <v>#VALUE!</v>
      </c>
      <c r="AB291" s="1284" t="e">
        <f t="shared" si="116"/>
        <v>#VALUE!</v>
      </c>
      <c r="AC291" s="1284" t="e">
        <f t="shared" si="117"/>
        <v>#VALUE!</v>
      </c>
      <c r="AD291" s="1286" t="e">
        <f t="shared" si="118"/>
        <v>#VALUE!</v>
      </c>
      <c r="AE291" s="1286">
        <f t="shared" si="119"/>
        <v>0</v>
      </c>
      <c r="AF291" s="1254">
        <f>IF(H291&gt;8,tab!$D$49,tab!$D$52)</f>
        <v>0.5</v>
      </c>
      <c r="AG291" s="1255">
        <f t="shared" si="120"/>
        <v>0</v>
      </c>
      <c r="AH291" s="1251">
        <f t="shared" si="121"/>
        <v>0</v>
      </c>
      <c r="AI291" s="1278" t="e">
        <f>DATE(YEAR(tab!$I$3),MONTH(G291),DAY(G291))&gt;tab!$I$3</f>
        <v>#VALUE!</v>
      </c>
      <c r="AJ291" s="1278" t="e">
        <f t="shared" si="122"/>
        <v>#VALUE!</v>
      </c>
      <c r="AK291" s="1199">
        <f t="shared" si="123"/>
        <v>30</v>
      </c>
      <c r="AL291" s="1199">
        <f t="shared" si="124"/>
        <v>30</v>
      </c>
      <c r="AM291" s="1205">
        <f t="shared" si="125"/>
        <v>0</v>
      </c>
      <c r="AS291" s="819"/>
    </row>
    <row r="292" spans="3:45" ht="12.75" customHeight="1" x14ac:dyDescent="0.2">
      <c r="C292" s="135"/>
      <c r="D292" s="432" t="str">
        <f>IF(op!D225=0,"",op!D225)</f>
        <v/>
      </c>
      <c r="E292" s="432" t="str">
        <f>IF(op!E225=0,"-",op!E225)</f>
        <v/>
      </c>
      <c r="F292" s="776" t="str">
        <f>IF(op!F225="","",op!F225+1)</f>
        <v/>
      </c>
      <c r="G292" s="802" t="str">
        <f>IF(op!G225="","",op!G225)</f>
        <v/>
      </c>
      <c r="H292" s="776" t="str">
        <f>IF(op!H225=0,"",op!H225)</f>
        <v/>
      </c>
      <c r="I292" s="433" t="str">
        <f>IF(J292="","",(IF(op!I225+1&gt;LOOKUP(H292,schaal2013,regels2013),op!I225,op!I225+1)))</f>
        <v/>
      </c>
      <c r="J292" s="803" t="str">
        <f>IF(op!J225="","",op!J225)</f>
        <v/>
      </c>
      <c r="K292" s="518"/>
      <c r="L292" s="1207">
        <f>IF(op!L225="","",op!L225)</f>
        <v>0</v>
      </c>
      <c r="M292" s="1207">
        <f>IF(op!M225="","",op!M225)</f>
        <v>0</v>
      </c>
      <c r="N292" s="1209" t="str">
        <f t="shared" si="110"/>
        <v/>
      </c>
      <c r="O292" s="1209" t="str">
        <f t="shared" si="111"/>
        <v/>
      </c>
      <c r="P292" s="1283" t="str">
        <f t="shared" si="112"/>
        <v/>
      </c>
      <c r="Q292" s="518"/>
      <c r="R292" s="1076" t="str">
        <f t="shared" si="126"/>
        <v/>
      </c>
      <c r="S292" s="1076" t="str">
        <f t="shared" si="113"/>
        <v/>
      </c>
      <c r="T292" s="1078" t="str">
        <f t="shared" si="114"/>
        <v/>
      </c>
      <c r="U292" s="599"/>
      <c r="V292" s="1261"/>
      <c r="W292" s="1261"/>
      <c r="X292" s="1218"/>
      <c r="Y292" s="1253" t="e">
        <f>ROUND(VLOOKUP(H292,tab!$A$61:$V$103,I292+2,FALSE),0)</f>
        <v>#VALUE!</v>
      </c>
      <c r="Z292" s="1252">
        <f>tab!$E$48</f>
        <v>0.62</v>
      </c>
      <c r="AA292" s="1284" t="e">
        <f t="shared" si="115"/>
        <v>#VALUE!</v>
      </c>
      <c r="AB292" s="1284" t="e">
        <f t="shared" si="116"/>
        <v>#VALUE!</v>
      </c>
      <c r="AC292" s="1284" t="e">
        <f t="shared" si="117"/>
        <v>#VALUE!</v>
      </c>
      <c r="AD292" s="1286" t="e">
        <f t="shared" si="118"/>
        <v>#VALUE!</v>
      </c>
      <c r="AE292" s="1286">
        <f t="shared" si="119"/>
        <v>0</v>
      </c>
      <c r="AF292" s="1254">
        <f>IF(H292&gt;8,tab!$D$49,tab!$D$52)</f>
        <v>0.5</v>
      </c>
      <c r="AG292" s="1255">
        <f t="shared" si="120"/>
        <v>0</v>
      </c>
      <c r="AH292" s="1251">
        <f t="shared" si="121"/>
        <v>0</v>
      </c>
      <c r="AI292" s="1278" t="e">
        <f>DATE(YEAR(tab!$I$3),MONTH(G292),DAY(G292))&gt;tab!$I$3</f>
        <v>#VALUE!</v>
      </c>
      <c r="AJ292" s="1278" t="e">
        <f t="shared" si="122"/>
        <v>#VALUE!</v>
      </c>
      <c r="AK292" s="1199">
        <f t="shared" si="123"/>
        <v>30</v>
      </c>
      <c r="AL292" s="1199">
        <f t="shared" si="124"/>
        <v>30</v>
      </c>
      <c r="AM292" s="1205">
        <f t="shared" si="125"/>
        <v>0</v>
      </c>
      <c r="AS292" s="819"/>
    </row>
    <row r="293" spans="3:45" ht="12.75" customHeight="1" x14ac:dyDescent="0.2">
      <c r="C293" s="135"/>
      <c r="D293" s="432" t="str">
        <f>IF(op!D226=0,"",op!D226)</f>
        <v/>
      </c>
      <c r="E293" s="432" t="str">
        <f>IF(op!E226=0,"-",op!E226)</f>
        <v/>
      </c>
      <c r="F293" s="776" t="str">
        <f>IF(op!F226="","",op!F226+1)</f>
        <v/>
      </c>
      <c r="G293" s="802" t="str">
        <f>IF(op!G226="","",op!G226)</f>
        <v/>
      </c>
      <c r="H293" s="776" t="str">
        <f>IF(op!H226=0,"",op!H226)</f>
        <v/>
      </c>
      <c r="I293" s="433" t="str">
        <f>IF(J293="","",(IF(op!I226+1&gt;LOOKUP(H293,schaal2013,regels2013),op!I226,op!I226+1)))</f>
        <v/>
      </c>
      <c r="J293" s="803" t="str">
        <f>IF(op!J226="","",op!J226)</f>
        <v/>
      </c>
      <c r="K293" s="518"/>
      <c r="L293" s="1207">
        <f>IF(op!L226="","",op!L226)</f>
        <v>0</v>
      </c>
      <c r="M293" s="1207">
        <f>IF(op!M226="","",op!M226)</f>
        <v>0</v>
      </c>
      <c r="N293" s="1209" t="str">
        <f t="shared" si="110"/>
        <v/>
      </c>
      <c r="O293" s="1209" t="str">
        <f t="shared" si="111"/>
        <v/>
      </c>
      <c r="P293" s="1283" t="str">
        <f t="shared" si="112"/>
        <v/>
      </c>
      <c r="Q293" s="518"/>
      <c r="R293" s="1076" t="str">
        <f t="shared" si="126"/>
        <v/>
      </c>
      <c r="S293" s="1076" t="str">
        <f t="shared" si="113"/>
        <v/>
      </c>
      <c r="T293" s="1078" t="str">
        <f t="shared" si="114"/>
        <v/>
      </c>
      <c r="U293" s="599"/>
      <c r="V293" s="1261"/>
      <c r="W293" s="1261"/>
      <c r="X293" s="1218"/>
      <c r="Y293" s="1253" t="e">
        <f>ROUND(VLOOKUP(H293,tab!$A$61:$V$103,I293+2,FALSE),0)</f>
        <v>#VALUE!</v>
      </c>
      <c r="Z293" s="1252">
        <f>tab!$E$48</f>
        <v>0.62</v>
      </c>
      <c r="AA293" s="1284" t="e">
        <f t="shared" si="115"/>
        <v>#VALUE!</v>
      </c>
      <c r="AB293" s="1284" t="e">
        <f t="shared" si="116"/>
        <v>#VALUE!</v>
      </c>
      <c r="AC293" s="1284" t="e">
        <f t="shared" si="117"/>
        <v>#VALUE!</v>
      </c>
      <c r="AD293" s="1286" t="e">
        <f t="shared" si="118"/>
        <v>#VALUE!</v>
      </c>
      <c r="AE293" s="1286">
        <f t="shared" si="119"/>
        <v>0</v>
      </c>
      <c r="AF293" s="1254">
        <f>IF(H293&gt;8,tab!$D$49,tab!$D$52)</f>
        <v>0.5</v>
      </c>
      <c r="AG293" s="1255">
        <f t="shared" si="120"/>
        <v>0</v>
      </c>
      <c r="AH293" s="1251">
        <f t="shared" si="121"/>
        <v>0</v>
      </c>
      <c r="AI293" s="1278" t="e">
        <f>DATE(YEAR(tab!$I$3),MONTH(G293),DAY(G293))&gt;tab!$I$3</f>
        <v>#VALUE!</v>
      </c>
      <c r="AJ293" s="1278" t="e">
        <f t="shared" si="122"/>
        <v>#VALUE!</v>
      </c>
      <c r="AK293" s="1199">
        <f t="shared" si="123"/>
        <v>30</v>
      </c>
      <c r="AL293" s="1199">
        <f t="shared" si="124"/>
        <v>30</v>
      </c>
      <c r="AM293" s="1205">
        <f t="shared" si="125"/>
        <v>0</v>
      </c>
      <c r="AS293" s="819"/>
    </row>
    <row r="294" spans="3:45" ht="12.75" customHeight="1" x14ac:dyDescent="0.2">
      <c r="C294" s="135"/>
      <c r="D294" s="432" t="str">
        <f>IF(op!D227=0,"",op!D227)</f>
        <v/>
      </c>
      <c r="E294" s="432" t="str">
        <f>IF(op!E227=0,"-",op!E227)</f>
        <v/>
      </c>
      <c r="F294" s="776" t="str">
        <f>IF(op!F227="","",op!F227+1)</f>
        <v/>
      </c>
      <c r="G294" s="802" t="str">
        <f>IF(op!G227="","",op!G227)</f>
        <v/>
      </c>
      <c r="H294" s="776" t="str">
        <f>IF(op!H227=0,"",op!H227)</f>
        <v/>
      </c>
      <c r="I294" s="433" t="str">
        <f>IF(J294="","",(IF(op!I227+1&gt;LOOKUP(H294,schaal2013,regels2013),op!I227,op!I227+1)))</f>
        <v/>
      </c>
      <c r="J294" s="803" t="str">
        <f>IF(op!J227="","",op!J227)</f>
        <v/>
      </c>
      <c r="K294" s="518"/>
      <c r="L294" s="1207">
        <f>IF(op!L227="","",op!L227)</f>
        <v>0</v>
      </c>
      <c r="M294" s="1207">
        <f>IF(op!M227="","",op!M227)</f>
        <v>0</v>
      </c>
      <c r="N294" s="1209" t="str">
        <f t="shared" si="110"/>
        <v/>
      </c>
      <c r="O294" s="1209" t="str">
        <f t="shared" si="111"/>
        <v/>
      </c>
      <c r="P294" s="1283" t="str">
        <f t="shared" si="112"/>
        <v/>
      </c>
      <c r="Q294" s="518"/>
      <c r="R294" s="1076" t="str">
        <f t="shared" si="126"/>
        <v/>
      </c>
      <c r="S294" s="1076" t="str">
        <f t="shared" si="113"/>
        <v/>
      </c>
      <c r="T294" s="1078" t="str">
        <f t="shared" si="114"/>
        <v/>
      </c>
      <c r="U294" s="599"/>
      <c r="V294" s="1261"/>
      <c r="W294" s="1261"/>
      <c r="X294" s="1218"/>
      <c r="Y294" s="1253" t="e">
        <f>ROUND(VLOOKUP(H294,tab!$A$61:$V$103,I294+2,FALSE),0)</f>
        <v>#VALUE!</v>
      </c>
      <c r="Z294" s="1252">
        <f>tab!$E$48</f>
        <v>0.62</v>
      </c>
      <c r="AA294" s="1284" t="e">
        <f t="shared" si="115"/>
        <v>#VALUE!</v>
      </c>
      <c r="AB294" s="1284" t="e">
        <f t="shared" si="116"/>
        <v>#VALUE!</v>
      </c>
      <c r="AC294" s="1284" t="e">
        <f t="shared" si="117"/>
        <v>#VALUE!</v>
      </c>
      <c r="AD294" s="1286" t="e">
        <f t="shared" si="118"/>
        <v>#VALUE!</v>
      </c>
      <c r="AE294" s="1286">
        <f t="shared" si="119"/>
        <v>0</v>
      </c>
      <c r="AF294" s="1254">
        <f>IF(H294&gt;8,tab!$D$49,tab!$D$52)</f>
        <v>0.5</v>
      </c>
      <c r="AG294" s="1255">
        <f t="shared" si="120"/>
        <v>0</v>
      </c>
      <c r="AH294" s="1251">
        <f t="shared" si="121"/>
        <v>0</v>
      </c>
      <c r="AI294" s="1278" t="e">
        <f>DATE(YEAR(tab!$I$3),MONTH(G294),DAY(G294))&gt;tab!$I$3</f>
        <v>#VALUE!</v>
      </c>
      <c r="AJ294" s="1278" t="e">
        <f t="shared" si="122"/>
        <v>#VALUE!</v>
      </c>
      <c r="AK294" s="1199">
        <f t="shared" si="123"/>
        <v>30</v>
      </c>
      <c r="AL294" s="1199">
        <f t="shared" si="124"/>
        <v>30</v>
      </c>
      <c r="AM294" s="1205">
        <f t="shared" si="125"/>
        <v>0</v>
      </c>
      <c r="AS294" s="819"/>
    </row>
    <row r="295" spans="3:45" ht="12.75" customHeight="1" x14ac:dyDescent="0.2">
      <c r="C295" s="135"/>
      <c r="D295" s="432" t="str">
        <f>IF(op!D228=0,"",op!D228)</f>
        <v/>
      </c>
      <c r="E295" s="432" t="str">
        <f>IF(op!E228=0,"-",op!E228)</f>
        <v/>
      </c>
      <c r="F295" s="776" t="str">
        <f>IF(op!F228="","",op!F228+1)</f>
        <v/>
      </c>
      <c r="G295" s="802" t="str">
        <f>IF(op!G228="","",op!G228)</f>
        <v/>
      </c>
      <c r="H295" s="776" t="str">
        <f>IF(op!H228=0,"",op!H228)</f>
        <v/>
      </c>
      <c r="I295" s="433" t="str">
        <f>IF(J295="","",(IF(op!I228+1&gt;LOOKUP(H295,schaal2013,regels2013),op!I228,op!I228+1)))</f>
        <v/>
      </c>
      <c r="J295" s="803" t="str">
        <f>IF(op!J228="","",op!J228)</f>
        <v/>
      </c>
      <c r="K295" s="518"/>
      <c r="L295" s="1207">
        <f>IF(op!L228="","",op!L228)</f>
        <v>0</v>
      </c>
      <c r="M295" s="1207">
        <f>IF(op!M228="","",op!M228)</f>
        <v>0</v>
      </c>
      <c r="N295" s="1209" t="str">
        <f t="shared" si="110"/>
        <v/>
      </c>
      <c r="O295" s="1209" t="str">
        <f t="shared" si="111"/>
        <v/>
      </c>
      <c r="P295" s="1283" t="str">
        <f t="shared" si="112"/>
        <v/>
      </c>
      <c r="Q295" s="518"/>
      <c r="R295" s="1076" t="str">
        <f t="shared" si="126"/>
        <v/>
      </c>
      <c r="S295" s="1076" t="str">
        <f t="shared" si="113"/>
        <v/>
      </c>
      <c r="T295" s="1078" t="str">
        <f t="shared" si="114"/>
        <v/>
      </c>
      <c r="U295" s="599"/>
      <c r="V295" s="1261"/>
      <c r="W295" s="1261"/>
      <c r="X295" s="1218"/>
      <c r="Y295" s="1253" t="e">
        <f>ROUND(VLOOKUP(H295,tab!$A$61:$V$103,I295+2,FALSE),0)</f>
        <v>#VALUE!</v>
      </c>
      <c r="Z295" s="1252">
        <f>tab!$E$48</f>
        <v>0.62</v>
      </c>
      <c r="AA295" s="1284" t="e">
        <f t="shared" si="115"/>
        <v>#VALUE!</v>
      </c>
      <c r="AB295" s="1284" t="e">
        <f t="shared" si="116"/>
        <v>#VALUE!</v>
      </c>
      <c r="AC295" s="1284" t="e">
        <f t="shared" si="117"/>
        <v>#VALUE!</v>
      </c>
      <c r="AD295" s="1286" t="e">
        <f t="shared" si="118"/>
        <v>#VALUE!</v>
      </c>
      <c r="AE295" s="1286">
        <f t="shared" si="119"/>
        <v>0</v>
      </c>
      <c r="AF295" s="1254">
        <f>IF(H295&gt;8,tab!$D$49,tab!$D$52)</f>
        <v>0.5</v>
      </c>
      <c r="AG295" s="1255">
        <f t="shared" si="120"/>
        <v>0</v>
      </c>
      <c r="AH295" s="1251">
        <f t="shared" si="121"/>
        <v>0</v>
      </c>
      <c r="AI295" s="1278" t="e">
        <f>DATE(YEAR(tab!$I$3),MONTH(G295),DAY(G295))&gt;tab!$I$3</f>
        <v>#VALUE!</v>
      </c>
      <c r="AJ295" s="1278" t="e">
        <f t="shared" si="122"/>
        <v>#VALUE!</v>
      </c>
      <c r="AK295" s="1199">
        <f t="shared" si="123"/>
        <v>30</v>
      </c>
      <c r="AL295" s="1199">
        <f t="shared" si="124"/>
        <v>30</v>
      </c>
      <c r="AM295" s="1205">
        <f t="shared" si="125"/>
        <v>0</v>
      </c>
      <c r="AS295" s="819"/>
    </row>
    <row r="296" spans="3:45" ht="12.75" customHeight="1" x14ac:dyDescent="0.2">
      <c r="C296" s="135"/>
      <c r="D296" s="432" t="str">
        <f>IF(op!D229=0,"",op!D229)</f>
        <v/>
      </c>
      <c r="E296" s="432" t="str">
        <f>IF(op!E229=0,"-",op!E229)</f>
        <v/>
      </c>
      <c r="F296" s="776" t="str">
        <f>IF(op!F229="","",op!F229+1)</f>
        <v/>
      </c>
      <c r="G296" s="802" t="str">
        <f>IF(op!G229="","",op!G229)</f>
        <v/>
      </c>
      <c r="H296" s="776" t="str">
        <f>IF(op!H229=0,"",op!H229)</f>
        <v/>
      </c>
      <c r="I296" s="433" t="str">
        <f>IF(J296="","",(IF(op!I229+1&gt;LOOKUP(H296,schaal2013,regels2013),op!I229,op!I229+1)))</f>
        <v/>
      </c>
      <c r="J296" s="803" t="str">
        <f>IF(op!J229="","",op!J229)</f>
        <v/>
      </c>
      <c r="K296" s="518"/>
      <c r="L296" s="1207">
        <f>IF(op!L229="","",op!L229)</f>
        <v>0</v>
      </c>
      <c r="M296" s="1207">
        <f>IF(op!M229="","",op!M229)</f>
        <v>0</v>
      </c>
      <c r="N296" s="1209" t="str">
        <f t="shared" si="110"/>
        <v/>
      </c>
      <c r="O296" s="1209" t="str">
        <f t="shared" si="111"/>
        <v/>
      </c>
      <c r="P296" s="1283" t="str">
        <f t="shared" si="112"/>
        <v/>
      </c>
      <c r="Q296" s="518"/>
      <c r="R296" s="1076" t="str">
        <f t="shared" si="126"/>
        <v/>
      </c>
      <c r="S296" s="1076" t="str">
        <f t="shared" si="113"/>
        <v/>
      </c>
      <c r="T296" s="1078" t="str">
        <f t="shared" si="114"/>
        <v/>
      </c>
      <c r="U296" s="599"/>
      <c r="V296" s="1261"/>
      <c r="W296" s="1261"/>
      <c r="X296" s="1218"/>
      <c r="Y296" s="1253" t="e">
        <f>ROUND(VLOOKUP(H296,tab!$A$61:$V$103,I296+2,FALSE),0)</f>
        <v>#VALUE!</v>
      </c>
      <c r="Z296" s="1252">
        <f>tab!$E$48</f>
        <v>0.62</v>
      </c>
      <c r="AA296" s="1284" t="e">
        <f t="shared" si="115"/>
        <v>#VALUE!</v>
      </c>
      <c r="AB296" s="1284" t="e">
        <f t="shared" si="116"/>
        <v>#VALUE!</v>
      </c>
      <c r="AC296" s="1284" t="e">
        <f t="shared" si="117"/>
        <v>#VALUE!</v>
      </c>
      <c r="AD296" s="1286" t="e">
        <f t="shared" si="118"/>
        <v>#VALUE!</v>
      </c>
      <c r="AE296" s="1286">
        <f t="shared" si="119"/>
        <v>0</v>
      </c>
      <c r="AF296" s="1254">
        <f>IF(H296&gt;8,tab!$D$49,tab!$D$52)</f>
        <v>0.5</v>
      </c>
      <c r="AG296" s="1255">
        <f t="shared" si="120"/>
        <v>0</v>
      </c>
      <c r="AH296" s="1251">
        <f t="shared" si="121"/>
        <v>0</v>
      </c>
      <c r="AI296" s="1278" t="e">
        <f>DATE(YEAR(tab!$I$3),MONTH(G296),DAY(G296))&gt;tab!$I$3</f>
        <v>#VALUE!</v>
      </c>
      <c r="AJ296" s="1278" t="e">
        <f t="shared" si="122"/>
        <v>#VALUE!</v>
      </c>
      <c r="AK296" s="1199">
        <f t="shared" si="123"/>
        <v>30</v>
      </c>
      <c r="AL296" s="1199">
        <f t="shared" si="124"/>
        <v>30</v>
      </c>
      <c r="AM296" s="1205">
        <f t="shared" si="125"/>
        <v>0</v>
      </c>
      <c r="AS296" s="819"/>
    </row>
    <row r="297" spans="3:45" ht="12.75" customHeight="1" x14ac:dyDescent="0.2">
      <c r="C297" s="135"/>
      <c r="D297" s="432" t="str">
        <f>IF(op!D230=0,"",op!D230)</f>
        <v/>
      </c>
      <c r="E297" s="432" t="str">
        <f>IF(op!E230=0,"-",op!E230)</f>
        <v/>
      </c>
      <c r="F297" s="776" t="str">
        <f>IF(op!F230="","",op!F230+1)</f>
        <v/>
      </c>
      <c r="G297" s="802" t="str">
        <f>IF(op!G230="","",op!G230)</f>
        <v/>
      </c>
      <c r="H297" s="776" t="str">
        <f>IF(op!H230=0,"",op!H230)</f>
        <v/>
      </c>
      <c r="I297" s="433" t="str">
        <f>IF(J297="","",(IF(op!I230+1&gt;LOOKUP(H297,schaal2013,regels2013),op!I230,op!I230+1)))</f>
        <v/>
      </c>
      <c r="J297" s="803" t="str">
        <f>IF(op!J230="","",op!J230)</f>
        <v/>
      </c>
      <c r="K297" s="518"/>
      <c r="L297" s="1207">
        <f>IF(op!L230="","",op!L230)</f>
        <v>0</v>
      </c>
      <c r="M297" s="1207">
        <f>IF(op!M230="","",op!M230)</f>
        <v>0</v>
      </c>
      <c r="N297" s="1209" t="str">
        <f t="shared" si="110"/>
        <v/>
      </c>
      <c r="O297" s="1209" t="str">
        <f t="shared" si="111"/>
        <v/>
      </c>
      <c r="P297" s="1283" t="str">
        <f t="shared" si="112"/>
        <v/>
      </c>
      <c r="Q297" s="518"/>
      <c r="R297" s="1076" t="str">
        <f t="shared" si="126"/>
        <v/>
      </c>
      <c r="S297" s="1076" t="str">
        <f t="shared" si="113"/>
        <v/>
      </c>
      <c r="T297" s="1078" t="str">
        <f t="shared" si="114"/>
        <v/>
      </c>
      <c r="U297" s="599"/>
      <c r="V297" s="1261"/>
      <c r="W297" s="1261"/>
      <c r="X297" s="1218"/>
      <c r="Y297" s="1253" t="e">
        <f>ROUND(VLOOKUP(H297,tab!$A$61:$V$103,I297+2,FALSE),0)</f>
        <v>#VALUE!</v>
      </c>
      <c r="Z297" s="1252">
        <f>tab!$E$48</f>
        <v>0.62</v>
      </c>
      <c r="AA297" s="1284" t="e">
        <f t="shared" si="115"/>
        <v>#VALUE!</v>
      </c>
      <c r="AB297" s="1284" t="e">
        <f t="shared" si="116"/>
        <v>#VALUE!</v>
      </c>
      <c r="AC297" s="1284" t="e">
        <f t="shared" si="117"/>
        <v>#VALUE!</v>
      </c>
      <c r="AD297" s="1286" t="e">
        <f t="shared" si="118"/>
        <v>#VALUE!</v>
      </c>
      <c r="AE297" s="1286">
        <f t="shared" si="119"/>
        <v>0</v>
      </c>
      <c r="AF297" s="1254">
        <f>IF(H297&gt;8,tab!$D$49,tab!$D$52)</f>
        <v>0.5</v>
      </c>
      <c r="AG297" s="1255">
        <f t="shared" si="120"/>
        <v>0</v>
      </c>
      <c r="AH297" s="1251">
        <f t="shared" si="121"/>
        <v>0</v>
      </c>
      <c r="AI297" s="1278" t="e">
        <f>DATE(YEAR(tab!$I$3),MONTH(G297),DAY(G297))&gt;tab!$I$3</f>
        <v>#VALUE!</v>
      </c>
      <c r="AJ297" s="1278" t="e">
        <f t="shared" si="122"/>
        <v>#VALUE!</v>
      </c>
      <c r="AK297" s="1199">
        <f t="shared" si="123"/>
        <v>30</v>
      </c>
      <c r="AL297" s="1199">
        <f t="shared" si="124"/>
        <v>30</v>
      </c>
      <c r="AM297" s="1205">
        <f t="shared" si="125"/>
        <v>0</v>
      </c>
      <c r="AS297" s="819"/>
    </row>
    <row r="298" spans="3:45" ht="12.75" customHeight="1" x14ac:dyDescent="0.2">
      <c r="C298" s="135"/>
      <c r="D298" s="432" t="str">
        <f>IF(op!D231=0,"",op!D231)</f>
        <v/>
      </c>
      <c r="E298" s="432" t="str">
        <f>IF(op!E231=0,"-",op!E231)</f>
        <v/>
      </c>
      <c r="F298" s="776" t="str">
        <f>IF(op!F231="","",op!F231+1)</f>
        <v/>
      </c>
      <c r="G298" s="802" t="str">
        <f>IF(op!G231="","",op!G231)</f>
        <v/>
      </c>
      <c r="H298" s="776" t="str">
        <f>IF(op!H231=0,"",op!H231)</f>
        <v/>
      </c>
      <c r="I298" s="433" t="str">
        <f>IF(J298="","",(IF(op!I231+1&gt;LOOKUP(H298,schaal2013,regels2013),op!I231,op!I231+1)))</f>
        <v/>
      </c>
      <c r="J298" s="803" t="str">
        <f>IF(op!J231="","",op!J231)</f>
        <v/>
      </c>
      <c r="K298" s="518"/>
      <c r="L298" s="1207">
        <f>IF(op!L231="","",op!L231)</f>
        <v>0</v>
      </c>
      <c r="M298" s="1207">
        <f>IF(op!M231="","",op!M231)</f>
        <v>0</v>
      </c>
      <c r="N298" s="1209" t="str">
        <f t="shared" si="110"/>
        <v/>
      </c>
      <c r="O298" s="1209" t="str">
        <f t="shared" si="111"/>
        <v/>
      </c>
      <c r="P298" s="1283" t="str">
        <f t="shared" si="112"/>
        <v/>
      </c>
      <c r="Q298" s="518"/>
      <c r="R298" s="1076" t="str">
        <f t="shared" si="126"/>
        <v/>
      </c>
      <c r="S298" s="1076" t="str">
        <f t="shared" si="113"/>
        <v/>
      </c>
      <c r="T298" s="1078" t="str">
        <f t="shared" si="114"/>
        <v/>
      </c>
      <c r="U298" s="599"/>
      <c r="V298" s="1261"/>
      <c r="W298" s="1261"/>
      <c r="X298" s="1218"/>
      <c r="Y298" s="1253" t="e">
        <f>ROUND(VLOOKUP(H298,tab!$A$61:$V$103,I298+2,FALSE),0)</f>
        <v>#VALUE!</v>
      </c>
      <c r="Z298" s="1252">
        <f>tab!$E$48</f>
        <v>0.62</v>
      </c>
      <c r="AA298" s="1284" t="e">
        <f t="shared" si="115"/>
        <v>#VALUE!</v>
      </c>
      <c r="AB298" s="1284" t="e">
        <f t="shared" si="116"/>
        <v>#VALUE!</v>
      </c>
      <c r="AC298" s="1284" t="e">
        <f t="shared" si="117"/>
        <v>#VALUE!</v>
      </c>
      <c r="AD298" s="1286" t="e">
        <f t="shared" si="118"/>
        <v>#VALUE!</v>
      </c>
      <c r="AE298" s="1286">
        <f t="shared" si="119"/>
        <v>0</v>
      </c>
      <c r="AF298" s="1254">
        <f>IF(H298&gt;8,tab!$D$49,tab!$D$52)</f>
        <v>0.5</v>
      </c>
      <c r="AG298" s="1255">
        <f t="shared" si="120"/>
        <v>0</v>
      </c>
      <c r="AH298" s="1251">
        <f t="shared" si="121"/>
        <v>0</v>
      </c>
      <c r="AI298" s="1278" t="e">
        <f>DATE(YEAR(tab!$I$3),MONTH(G298),DAY(G298))&gt;tab!$I$3</f>
        <v>#VALUE!</v>
      </c>
      <c r="AJ298" s="1278" t="e">
        <f t="shared" si="122"/>
        <v>#VALUE!</v>
      </c>
      <c r="AK298" s="1199">
        <f t="shared" si="123"/>
        <v>30</v>
      </c>
      <c r="AL298" s="1199">
        <f t="shared" si="124"/>
        <v>30</v>
      </c>
      <c r="AM298" s="1205">
        <f t="shared" si="125"/>
        <v>0</v>
      </c>
      <c r="AS298" s="819"/>
    </row>
    <row r="299" spans="3:45" ht="12.75" customHeight="1" x14ac:dyDescent="0.2">
      <c r="C299" s="135"/>
      <c r="D299" s="432" t="str">
        <f>IF(op!D232=0,"",op!D232)</f>
        <v/>
      </c>
      <c r="E299" s="432" t="str">
        <f>IF(op!E232=0,"-",op!E232)</f>
        <v/>
      </c>
      <c r="F299" s="776" t="str">
        <f>IF(op!F232="","",op!F232+1)</f>
        <v/>
      </c>
      <c r="G299" s="802" t="str">
        <f>IF(op!G232="","",op!G232)</f>
        <v/>
      </c>
      <c r="H299" s="776" t="str">
        <f>IF(op!H232=0,"",op!H232)</f>
        <v/>
      </c>
      <c r="I299" s="433" t="str">
        <f>IF(J299="","",(IF(op!I232+1&gt;LOOKUP(H299,schaal2013,regels2013),op!I232,op!I232+1)))</f>
        <v/>
      </c>
      <c r="J299" s="803" t="str">
        <f>IF(op!J232="","",op!J232)</f>
        <v/>
      </c>
      <c r="K299" s="518"/>
      <c r="L299" s="1207">
        <f>IF(op!L232="","",op!L232)</f>
        <v>0</v>
      </c>
      <c r="M299" s="1207">
        <f>IF(op!M232="","",op!M232)</f>
        <v>0</v>
      </c>
      <c r="N299" s="1209" t="str">
        <f t="shared" si="110"/>
        <v/>
      </c>
      <c r="O299" s="1209" t="str">
        <f t="shared" si="111"/>
        <v/>
      </c>
      <c r="P299" s="1283" t="str">
        <f t="shared" si="112"/>
        <v/>
      </c>
      <c r="Q299" s="518"/>
      <c r="R299" s="1076" t="str">
        <f t="shared" si="126"/>
        <v/>
      </c>
      <c r="S299" s="1076" t="str">
        <f t="shared" si="113"/>
        <v/>
      </c>
      <c r="T299" s="1078" t="str">
        <f t="shared" si="114"/>
        <v/>
      </c>
      <c r="U299" s="599"/>
      <c r="V299" s="1261"/>
      <c r="W299" s="1261"/>
      <c r="X299" s="1218"/>
      <c r="Y299" s="1253" t="e">
        <f>ROUND(VLOOKUP(H299,tab!$A$61:$V$103,I299+2,FALSE),0)</f>
        <v>#VALUE!</v>
      </c>
      <c r="Z299" s="1252">
        <f>tab!$E$48</f>
        <v>0.62</v>
      </c>
      <c r="AA299" s="1284" t="e">
        <f t="shared" si="115"/>
        <v>#VALUE!</v>
      </c>
      <c r="AB299" s="1284" t="e">
        <f t="shared" si="116"/>
        <v>#VALUE!</v>
      </c>
      <c r="AC299" s="1284" t="e">
        <f t="shared" si="117"/>
        <v>#VALUE!</v>
      </c>
      <c r="AD299" s="1286" t="e">
        <f t="shared" si="118"/>
        <v>#VALUE!</v>
      </c>
      <c r="AE299" s="1286">
        <f t="shared" si="119"/>
        <v>0</v>
      </c>
      <c r="AF299" s="1254">
        <f>IF(H299&gt;8,tab!$D$49,tab!$D$52)</f>
        <v>0.5</v>
      </c>
      <c r="AG299" s="1255">
        <f t="shared" si="120"/>
        <v>0</v>
      </c>
      <c r="AH299" s="1251">
        <f t="shared" si="121"/>
        <v>0</v>
      </c>
      <c r="AI299" s="1278" t="e">
        <f>DATE(YEAR(tab!$I$3),MONTH(G299),DAY(G299))&gt;tab!$I$3</f>
        <v>#VALUE!</v>
      </c>
      <c r="AJ299" s="1278" t="e">
        <f t="shared" si="122"/>
        <v>#VALUE!</v>
      </c>
      <c r="AK299" s="1199">
        <f t="shared" si="123"/>
        <v>30</v>
      </c>
      <c r="AL299" s="1199">
        <f t="shared" si="124"/>
        <v>30</v>
      </c>
      <c r="AM299" s="1205">
        <f t="shared" si="125"/>
        <v>0</v>
      </c>
      <c r="AS299" s="819"/>
    </row>
    <row r="300" spans="3:45" ht="12.75" customHeight="1" x14ac:dyDescent="0.2">
      <c r="C300" s="135"/>
      <c r="D300" s="432" t="str">
        <f>IF(op!D233=0,"",op!D233)</f>
        <v/>
      </c>
      <c r="E300" s="432" t="str">
        <f>IF(op!E233=0,"-",op!E233)</f>
        <v/>
      </c>
      <c r="F300" s="776" t="str">
        <f>IF(op!F233="","",op!F233+1)</f>
        <v/>
      </c>
      <c r="G300" s="802" t="str">
        <f>IF(op!G233="","",op!G233)</f>
        <v/>
      </c>
      <c r="H300" s="776" t="str">
        <f>IF(op!H233=0,"",op!H233)</f>
        <v/>
      </c>
      <c r="I300" s="433" t="str">
        <f>IF(J300="","",(IF(op!I233+1&gt;LOOKUP(H300,schaal2013,regels2013),op!I233,op!I233+1)))</f>
        <v/>
      </c>
      <c r="J300" s="803" t="str">
        <f>IF(op!J233="","",op!J233)</f>
        <v/>
      </c>
      <c r="K300" s="518"/>
      <c r="L300" s="1207">
        <f>IF(op!L233="","",op!L233)</f>
        <v>0</v>
      </c>
      <c r="M300" s="1207">
        <f>IF(op!M233="","",op!M233)</f>
        <v>0</v>
      </c>
      <c r="N300" s="1209" t="str">
        <f t="shared" si="110"/>
        <v/>
      </c>
      <c r="O300" s="1209" t="str">
        <f t="shared" si="111"/>
        <v/>
      </c>
      <c r="P300" s="1283" t="str">
        <f t="shared" si="112"/>
        <v/>
      </c>
      <c r="Q300" s="518"/>
      <c r="R300" s="1076" t="str">
        <f t="shared" si="126"/>
        <v/>
      </c>
      <c r="S300" s="1076" t="str">
        <f t="shared" si="113"/>
        <v/>
      </c>
      <c r="T300" s="1078" t="str">
        <f t="shared" si="114"/>
        <v/>
      </c>
      <c r="U300" s="599"/>
      <c r="V300" s="1261"/>
      <c r="W300" s="1261"/>
      <c r="X300" s="1218"/>
      <c r="Y300" s="1253" t="e">
        <f>ROUND(VLOOKUP(H300,tab!$A$61:$V$103,I300+2,FALSE),0)</f>
        <v>#VALUE!</v>
      </c>
      <c r="Z300" s="1252">
        <f>tab!$E$48</f>
        <v>0.62</v>
      </c>
      <c r="AA300" s="1284" t="e">
        <f t="shared" si="115"/>
        <v>#VALUE!</v>
      </c>
      <c r="AB300" s="1284" t="e">
        <f t="shared" si="116"/>
        <v>#VALUE!</v>
      </c>
      <c r="AC300" s="1284" t="e">
        <f t="shared" si="117"/>
        <v>#VALUE!</v>
      </c>
      <c r="AD300" s="1286" t="e">
        <f t="shared" si="118"/>
        <v>#VALUE!</v>
      </c>
      <c r="AE300" s="1286">
        <f t="shared" si="119"/>
        <v>0</v>
      </c>
      <c r="AF300" s="1254">
        <f>IF(H300&gt;8,tab!$D$49,tab!$D$52)</f>
        <v>0.5</v>
      </c>
      <c r="AG300" s="1255">
        <f t="shared" si="120"/>
        <v>0</v>
      </c>
      <c r="AH300" s="1251">
        <f t="shared" si="121"/>
        <v>0</v>
      </c>
      <c r="AI300" s="1278" t="e">
        <f>DATE(YEAR(tab!$I$3),MONTH(G300),DAY(G300))&gt;tab!$I$3</f>
        <v>#VALUE!</v>
      </c>
      <c r="AJ300" s="1278" t="e">
        <f t="shared" si="122"/>
        <v>#VALUE!</v>
      </c>
      <c r="AK300" s="1199">
        <f t="shared" si="123"/>
        <v>30</v>
      </c>
      <c r="AL300" s="1199">
        <f t="shared" si="124"/>
        <v>30</v>
      </c>
      <c r="AM300" s="1205">
        <f t="shared" si="125"/>
        <v>0</v>
      </c>
      <c r="AS300" s="819"/>
    </row>
    <row r="301" spans="3:45" ht="12.75" customHeight="1" x14ac:dyDescent="0.2">
      <c r="C301" s="135"/>
      <c r="D301" s="432" t="str">
        <f>IF(op!D234=0,"",op!D234)</f>
        <v/>
      </c>
      <c r="E301" s="432" t="str">
        <f>IF(op!E234=0,"-",op!E234)</f>
        <v/>
      </c>
      <c r="F301" s="776" t="str">
        <f>IF(op!F234="","",op!F234+1)</f>
        <v/>
      </c>
      <c r="G301" s="802" t="str">
        <f>IF(op!G234="","",op!G234)</f>
        <v/>
      </c>
      <c r="H301" s="776" t="str">
        <f>IF(op!H234=0,"",op!H234)</f>
        <v/>
      </c>
      <c r="I301" s="433" t="str">
        <f>IF(J301="","",(IF(op!I234+1&gt;LOOKUP(H301,schaal2013,regels2013),op!I234,op!I234+1)))</f>
        <v/>
      </c>
      <c r="J301" s="803" t="str">
        <f>IF(op!J234="","",op!J234)</f>
        <v/>
      </c>
      <c r="K301" s="518"/>
      <c r="L301" s="1207">
        <f>IF(op!L234="","",op!L234)</f>
        <v>0</v>
      </c>
      <c r="M301" s="1207">
        <f>IF(op!M234="","",op!M234)</f>
        <v>0</v>
      </c>
      <c r="N301" s="1209" t="str">
        <f t="shared" si="110"/>
        <v/>
      </c>
      <c r="O301" s="1209" t="str">
        <f t="shared" si="111"/>
        <v/>
      </c>
      <c r="P301" s="1283" t="str">
        <f t="shared" si="112"/>
        <v/>
      </c>
      <c r="Q301" s="518"/>
      <c r="R301" s="1076" t="str">
        <f t="shared" si="126"/>
        <v/>
      </c>
      <c r="S301" s="1076" t="str">
        <f t="shared" si="113"/>
        <v/>
      </c>
      <c r="T301" s="1078" t="str">
        <f t="shared" si="114"/>
        <v/>
      </c>
      <c r="U301" s="599"/>
      <c r="V301" s="1261"/>
      <c r="W301" s="1261"/>
      <c r="X301" s="1218"/>
      <c r="Y301" s="1253" t="e">
        <f>ROUND(VLOOKUP(H301,tab!$A$61:$V$103,I301+2,FALSE),0)</f>
        <v>#VALUE!</v>
      </c>
      <c r="Z301" s="1252">
        <f>tab!$E$48</f>
        <v>0.62</v>
      </c>
      <c r="AA301" s="1284" t="e">
        <f t="shared" si="115"/>
        <v>#VALUE!</v>
      </c>
      <c r="AB301" s="1284" t="e">
        <f t="shared" si="116"/>
        <v>#VALUE!</v>
      </c>
      <c r="AC301" s="1284" t="e">
        <f t="shared" si="117"/>
        <v>#VALUE!</v>
      </c>
      <c r="AD301" s="1286" t="e">
        <f t="shared" si="118"/>
        <v>#VALUE!</v>
      </c>
      <c r="AE301" s="1286">
        <f t="shared" si="119"/>
        <v>0</v>
      </c>
      <c r="AF301" s="1254">
        <f>IF(H301&gt;8,tab!$D$49,tab!$D$52)</f>
        <v>0.5</v>
      </c>
      <c r="AG301" s="1255">
        <f t="shared" si="120"/>
        <v>0</v>
      </c>
      <c r="AH301" s="1251">
        <f t="shared" si="121"/>
        <v>0</v>
      </c>
      <c r="AI301" s="1278" t="e">
        <f>DATE(YEAR(tab!$I$3),MONTH(G301),DAY(G301))&gt;tab!$I$3</f>
        <v>#VALUE!</v>
      </c>
      <c r="AJ301" s="1278" t="e">
        <f t="shared" si="122"/>
        <v>#VALUE!</v>
      </c>
      <c r="AK301" s="1199">
        <f t="shared" si="123"/>
        <v>30</v>
      </c>
      <c r="AL301" s="1199">
        <f t="shared" si="124"/>
        <v>30</v>
      </c>
      <c r="AM301" s="1205">
        <f t="shared" si="125"/>
        <v>0</v>
      </c>
      <c r="AS301" s="819"/>
    </row>
    <row r="302" spans="3:45" ht="12.75" customHeight="1" x14ac:dyDescent="0.2">
      <c r="C302" s="135"/>
      <c r="D302" s="432" t="str">
        <f>IF(op!D235=0,"",op!D235)</f>
        <v/>
      </c>
      <c r="E302" s="432" t="str">
        <f>IF(op!E235=0,"-",op!E235)</f>
        <v/>
      </c>
      <c r="F302" s="776" t="str">
        <f>IF(op!F235="","",op!F235+1)</f>
        <v/>
      </c>
      <c r="G302" s="802" t="str">
        <f>IF(op!G235="","",op!G235)</f>
        <v/>
      </c>
      <c r="H302" s="776" t="str">
        <f>IF(op!H235=0,"",op!H235)</f>
        <v/>
      </c>
      <c r="I302" s="433" t="str">
        <f>IF(J302="","",(IF(op!I235+1&gt;LOOKUP(H302,schaal2013,regels2013),op!I235,op!I235+1)))</f>
        <v/>
      </c>
      <c r="J302" s="803" t="str">
        <f>IF(op!J235="","",op!J235)</f>
        <v/>
      </c>
      <c r="K302" s="518"/>
      <c r="L302" s="1207">
        <f>IF(op!L235="","",op!L235)</f>
        <v>0</v>
      </c>
      <c r="M302" s="1207">
        <f>IF(op!M235="","",op!M235)</f>
        <v>0</v>
      </c>
      <c r="N302" s="1209" t="str">
        <f t="shared" si="110"/>
        <v/>
      </c>
      <c r="O302" s="1209" t="str">
        <f t="shared" si="111"/>
        <v/>
      </c>
      <c r="P302" s="1283" t="str">
        <f t="shared" si="112"/>
        <v/>
      </c>
      <c r="Q302" s="518"/>
      <c r="R302" s="1076" t="str">
        <f t="shared" si="126"/>
        <v/>
      </c>
      <c r="S302" s="1076" t="str">
        <f t="shared" si="113"/>
        <v/>
      </c>
      <c r="T302" s="1078" t="str">
        <f t="shared" si="114"/>
        <v/>
      </c>
      <c r="U302" s="599"/>
      <c r="V302" s="1261"/>
      <c r="W302" s="1261"/>
      <c r="X302" s="1218"/>
      <c r="Y302" s="1253" t="e">
        <f>ROUND(VLOOKUP(H302,tab!$A$61:$V$103,I302+2,FALSE),0)</f>
        <v>#VALUE!</v>
      </c>
      <c r="Z302" s="1252">
        <f>tab!$E$48</f>
        <v>0.62</v>
      </c>
      <c r="AA302" s="1284" t="e">
        <f t="shared" si="115"/>
        <v>#VALUE!</v>
      </c>
      <c r="AB302" s="1284" t="e">
        <f t="shared" si="116"/>
        <v>#VALUE!</v>
      </c>
      <c r="AC302" s="1284" t="e">
        <f t="shared" si="117"/>
        <v>#VALUE!</v>
      </c>
      <c r="AD302" s="1286" t="e">
        <f t="shared" si="118"/>
        <v>#VALUE!</v>
      </c>
      <c r="AE302" s="1286">
        <f t="shared" si="119"/>
        <v>0</v>
      </c>
      <c r="AF302" s="1254">
        <f>IF(H302&gt;8,tab!$D$49,tab!$D$52)</f>
        <v>0.5</v>
      </c>
      <c r="AG302" s="1255">
        <f t="shared" si="120"/>
        <v>0</v>
      </c>
      <c r="AH302" s="1251">
        <f t="shared" si="121"/>
        <v>0</v>
      </c>
      <c r="AI302" s="1278" t="e">
        <f>DATE(YEAR(tab!$I$3),MONTH(G302),DAY(G302))&gt;tab!$I$3</f>
        <v>#VALUE!</v>
      </c>
      <c r="AJ302" s="1278" t="e">
        <f t="shared" si="122"/>
        <v>#VALUE!</v>
      </c>
      <c r="AK302" s="1199">
        <f t="shared" si="123"/>
        <v>30</v>
      </c>
      <c r="AL302" s="1199">
        <f t="shared" si="124"/>
        <v>30</v>
      </c>
      <c r="AM302" s="1205">
        <f t="shared" si="125"/>
        <v>0</v>
      </c>
      <c r="AS302" s="819"/>
    </row>
    <row r="303" spans="3:45" ht="12.75" customHeight="1" x14ac:dyDescent="0.2">
      <c r="C303" s="135"/>
      <c r="D303" s="432" t="str">
        <f>IF(op!D236=0,"",op!D236)</f>
        <v/>
      </c>
      <c r="E303" s="432" t="str">
        <f>IF(op!E236=0,"-",op!E236)</f>
        <v/>
      </c>
      <c r="F303" s="776" t="str">
        <f>IF(op!F236="","",op!F236+1)</f>
        <v/>
      </c>
      <c r="G303" s="802" t="str">
        <f>IF(op!G236="","",op!G236)</f>
        <v/>
      </c>
      <c r="H303" s="776" t="str">
        <f>IF(op!H236=0,"",op!H236)</f>
        <v/>
      </c>
      <c r="I303" s="433" t="str">
        <f>IF(J303="","",(IF(op!I236+1&gt;LOOKUP(H303,schaal2013,regels2013),op!I236,op!I236+1)))</f>
        <v/>
      </c>
      <c r="J303" s="803" t="str">
        <f>IF(op!J236="","",op!J236)</f>
        <v/>
      </c>
      <c r="K303" s="518"/>
      <c r="L303" s="1207">
        <f>IF(op!L236="","",op!L236)</f>
        <v>0</v>
      </c>
      <c r="M303" s="1207">
        <f>IF(op!M236="","",op!M236)</f>
        <v>0</v>
      </c>
      <c r="N303" s="1209" t="str">
        <f t="shared" si="110"/>
        <v/>
      </c>
      <c r="O303" s="1209" t="str">
        <f t="shared" si="111"/>
        <v/>
      </c>
      <c r="P303" s="1283" t="str">
        <f t="shared" si="112"/>
        <v/>
      </c>
      <c r="Q303" s="518"/>
      <c r="R303" s="1076" t="str">
        <f t="shared" si="126"/>
        <v/>
      </c>
      <c r="S303" s="1076" t="str">
        <f t="shared" si="113"/>
        <v/>
      </c>
      <c r="T303" s="1078" t="str">
        <f t="shared" si="114"/>
        <v/>
      </c>
      <c r="U303" s="599"/>
      <c r="V303" s="1261"/>
      <c r="W303" s="1261"/>
      <c r="X303" s="1218"/>
      <c r="Y303" s="1253" t="e">
        <f>ROUND(VLOOKUP(H303,tab!$A$61:$V$103,I303+2,FALSE),0)</f>
        <v>#VALUE!</v>
      </c>
      <c r="Z303" s="1252">
        <f>tab!$E$48</f>
        <v>0.62</v>
      </c>
      <c r="AA303" s="1284" t="e">
        <f t="shared" si="115"/>
        <v>#VALUE!</v>
      </c>
      <c r="AB303" s="1284" t="e">
        <f t="shared" si="116"/>
        <v>#VALUE!</v>
      </c>
      <c r="AC303" s="1284" t="e">
        <f t="shared" si="117"/>
        <v>#VALUE!</v>
      </c>
      <c r="AD303" s="1286" t="e">
        <f t="shared" si="118"/>
        <v>#VALUE!</v>
      </c>
      <c r="AE303" s="1286">
        <f t="shared" si="119"/>
        <v>0</v>
      </c>
      <c r="AF303" s="1254">
        <f>IF(H303&gt;8,tab!$D$49,tab!$D$52)</f>
        <v>0.5</v>
      </c>
      <c r="AG303" s="1255">
        <f t="shared" si="120"/>
        <v>0</v>
      </c>
      <c r="AH303" s="1251">
        <f t="shared" si="121"/>
        <v>0</v>
      </c>
      <c r="AI303" s="1278" t="e">
        <f>DATE(YEAR(tab!$I$3),MONTH(G303),DAY(G303))&gt;tab!$I$3</f>
        <v>#VALUE!</v>
      </c>
      <c r="AJ303" s="1278" t="e">
        <f t="shared" si="122"/>
        <v>#VALUE!</v>
      </c>
      <c r="AK303" s="1199">
        <f t="shared" si="123"/>
        <v>30</v>
      </c>
      <c r="AL303" s="1199">
        <f t="shared" si="124"/>
        <v>30</v>
      </c>
      <c r="AM303" s="1205">
        <f t="shared" si="125"/>
        <v>0</v>
      </c>
      <c r="AS303" s="819"/>
    </row>
    <row r="304" spans="3:45" ht="12.75" customHeight="1" x14ac:dyDescent="0.2">
      <c r="C304" s="135"/>
      <c r="D304" s="432" t="str">
        <f>IF(op!D237=0,"",op!D237)</f>
        <v/>
      </c>
      <c r="E304" s="432" t="str">
        <f>IF(op!E237=0,"-",op!E237)</f>
        <v/>
      </c>
      <c r="F304" s="776" t="str">
        <f>IF(op!F237="","",op!F237+1)</f>
        <v/>
      </c>
      <c r="G304" s="802" t="str">
        <f>IF(op!G237="","",op!G237)</f>
        <v/>
      </c>
      <c r="H304" s="776" t="str">
        <f>IF(op!H237=0,"",op!H237)</f>
        <v/>
      </c>
      <c r="I304" s="433" t="str">
        <f>IF(J304="","",(IF(op!I237+1&gt;LOOKUP(H304,schaal2013,regels2013),op!I237,op!I237+1)))</f>
        <v/>
      </c>
      <c r="J304" s="803" t="str">
        <f>IF(op!J237="","",op!J237)</f>
        <v/>
      </c>
      <c r="K304" s="518"/>
      <c r="L304" s="1207">
        <f>IF(op!L237="","",op!L237)</f>
        <v>0</v>
      </c>
      <c r="M304" s="1207">
        <f>IF(op!M237="","",op!M237)</f>
        <v>0</v>
      </c>
      <c r="N304" s="1209" t="str">
        <f t="shared" si="110"/>
        <v/>
      </c>
      <c r="O304" s="1209" t="str">
        <f t="shared" si="111"/>
        <v/>
      </c>
      <c r="P304" s="1283" t="str">
        <f t="shared" si="112"/>
        <v/>
      </c>
      <c r="Q304" s="518"/>
      <c r="R304" s="1076" t="str">
        <f t="shared" si="126"/>
        <v/>
      </c>
      <c r="S304" s="1076" t="str">
        <f t="shared" si="113"/>
        <v/>
      </c>
      <c r="T304" s="1078" t="str">
        <f t="shared" si="114"/>
        <v/>
      </c>
      <c r="U304" s="599"/>
      <c r="V304" s="1261"/>
      <c r="W304" s="1261"/>
      <c r="X304" s="1218"/>
      <c r="Y304" s="1253" t="e">
        <f>ROUND(VLOOKUP(H304,tab!$A$61:$V$103,I304+2,FALSE),0)</f>
        <v>#VALUE!</v>
      </c>
      <c r="Z304" s="1252">
        <f>tab!$E$48</f>
        <v>0.62</v>
      </c>
      <c r="AA304" s="1284" t="e">
        <f t="shared" si="115"/>
        <v>#VALUE!</v>
      </c>
      <c r="AB304" s="1284" t="e">
        <f t="shared" si="116"/>
        <v>#VALUE!</v>
      </c>
      <c r="AC304" s="1284" t="e">
        <f t="shared" si="117"/>
        <v>#VALUE!</v>
      </c>
      <c r="AD304" s="1286" t="e">
        <f t="shared" si="118"/>
        <v>#VALUE!</v>
      </c>
      <c r="AE304" s="1286">
        <f t="shared" si="119"/>
        <v>0</v>
      </c>
      <c r="AF304" s="1254">
        <f>IF(H304&gt;8,tab!$D$49,tab!$D$52)</f>
        <v>0.5</v>
      </c>
      <c r="AG304" s="1255">
        <f t="shared" si="120"/>
        <v>0</v>
      </c>
      <c r="AH304" s="1251">
        <f t="shared" si="121"/>
        <v>0</v>
      </c>
      <c r="AI304" s="1278" t="e">
        <f>DATE(YEAR(tab!$I$3),MONTH(G304),DAY(G304))&gt;tab!$I$3</f>
        <v>#VALUE!</v>
      </c>
      <c r="AJ304" s="1278" t="e">
        <f t="shared" si="122"/>
        <v>#VALUE!</v>
      </c>
      <c r="AK304" s="1199">
        <f t="shared" si="123"/>
        <v>30</v>
      </c>
      <c r="AL304" s="1199">
        <f t="shared" si="124"/>
        <v>30</v>
      </c>
      <c r="AM304" s="1205">
        <f t="shared" si="125"/>
        <v>0</v>
      </c>
      <c r="AS304" s="819"/>
    </row>
    <row r="305" spans="3:45" ht="12.75" customHeight="1" x14ac:dyDescent="0.2">
      <c r="C305" s="135"/>
      <c r="D305" s="432" t="str">
        <f>IF(op!D238=0,"",op!D238)</f>
        <v/>
      </c>
      <c r="E305" s="432" t="str">
        <f>IF(op!E238=0,"-",op!E238)</f>
        <v/>
      </c>
      <c r="F305" s="776" t="str">
        <f>IF(op!F238="","",op!F238+1)</f>
        <v/>
      </c>
      <c r="G305" s="802" t="str">
        <f>IF(op!G238="","",op!G238)</f>
        <v/>
      </c>
      <c r="H305" s="776" t="str">
        <f>IF(op!H238=0,"",op!H238)</f>
        <v/>
      </c>
      <c r="I305" s="433" t="str">
        <f>IF(J305="","",(IF(op!I238+1&gt;LOOKUP(H305,schaal2013,regels2013),op!I238,op!I238+1)))</f>
        <v/>
      </c>
      <c r="J305" s="803" t="str">
        <f>IF(op!J238="","",op!J238)</f>
        <v/>
      </c>
      <c r="K305" s="518"/>
      <c r="L305" s="1207">
        <f>IF(op!L238="","",op!L238)</f>
        <v>0</v>
      </c>
      <c r="M305" s="1207">
        <f>IF(op!M238="","",op!M238)</f>
        <v>0</v>
      </c>
      <c r="N305" s="1209" t="str">
        <f t="shared" si="110"/>
        <v/>
      </c>
      <c r="O305" s="1209" t="str">
        <f t="shared" si="111"/>
        <v/>
      </c>
      <c r="P305" s="1283" t="str">
        <f t="shared" si="112"/>
        <v/>
      </c>
      <c r="Q305" s="518"/>
      <c r="R305" s="1076" t="str">
        <f t="shared" si="126"/>
        <v/>
      </c>
      <c r="S305" s="1076" t="str">
        <f t="shared" si="113"/>
        <v/>
      </c>
      <c r="T305" s="1078" t="str">
        <f t="shared" si="114"/>
        <v/>
      </c>
      <c r="U305" s="599"/>
      <c r="V305" s="1261"/>
      <c r="W305" s="1261"/>
      <c r="X305" s="1218"/>
      <c r="Y305" s="1253" t="e">
        <f>ROUND(VLOOKUP(H305,tab!$A$61:$V$103,I305+2,FALSE),0)</f>
        <v>#VALUE!</v>
      </c>
      <c r="Z305" s="1252">
        <f>tab!$E$48</f>
        <v>0.62</v>
      </c>
      <c r="AA305" s="1284" t="e">
        <f t="shared" si="115"/>
        <v>#VALUE!</v>
      </c>
      <c r="AB305" s="1284" t="e">
        <f t="shared" si="116"/>
        <v>#VALUE!</v>
      </c>
      <c r="AC305" s="1284" t="e">
        <f t="shared" si="117"/>
        <v>#VALUE!</v>
      </c>
      <c r="AD305" s="1286" t="e">
        <f t="shared" si="118"/>
        <v>#VALUE!</v>
      </c>
      <c r="AE305" s="1286">
        <f t="shared" si="119"/>
        <v>0</v>
      </c>
      <c r="AF305" s="1254">
        <f>IF(H305&gt;8,tab!$D$49,tab!$D$52)</f>
        <v>0.5</v>
      </c>
      <c r="AG305" s="1255">
        <f t="shared" si="120"/>
        <v>0</v>
      </c>
      <c r="AH305" s="1251">
        <f t="shared" si="121"/>
        <v>0</v>
      </c>
      <c r="AI305" s="1278" t="e">
        <f>DATE(YEAR(tab!$I$3),MONTH(G305),DAY(G305))&gt;tab!$I$3</f>
        <v>#VALUE!</v>
      </c>
      <c r="AJ305" s="1278" t="e">
        <f t="shared" si="122"/>
        <v>#VALUE!</v>
      </c>
      <c r="AK305" s="1199">
        <f t="shared" si="123"/>
        <v>30</v>
      </c>
      <c r="AL305" s="1199">
        <f t="shared" si="124"/>
        <v>30</v>
      </c>
      <c r="AM305" s="1205">
        <f t="shared" si="125"/>
        <v>0</v>
      </c>
      <c r="AS305" s="819"/>
    </row>
    <row r="306" spans="3:45" ht="12.75" customHeight="1" x14ac:dyDescent="0.2">
      <c r="C306" s="135"/>
      <c r="D306" s="432" t="str">
        <f>IF(op!D239=0,"",op!D239)</f>
        <v/>
      </c>
      <c r="E306" s="432" t="str">
        <f>IF(op!E239=0,"-",op!E239)</f>
        <v/>
      </c>
      <c r="F306" s="776" t="str">
        <f>IF(op!F239="","",op!F239+1)</f>
        <v/>
      </c>
      <c r="G306" s="802" t="str">
        <f>IF(op!G239="","",op!G239)</f>
        <v/>
      </c>
      <c r="H306" s="776" t="str">
        <f>IF(op!H239=0,"",op!H239)</f>
        <v/>
      </c>
      <c r="I306" s="433" t="str">
        <f>IF(J306="","",(IF(op!I239+1&gt;LOOKUP(H306,schaal2013,regels2013),op!I239,op!I239+1)))</f>
        <v/>
      </c>
      <c r="J306" s="803" t="str">
        <f>IF(op!J239="","",op!J239)</f>
        <v/>
      </c>
      <c r="K306" s="518"/>
      <c r="L306" s="1207">
        <f>IF(op!L239="","",op!L239)</f>
        <v>0</v>
      </c>
      <c r="M306" s="1207">
        <f>IF(op!M239="","",op!M239)</f>
        <v>0</v>
      </c>
      <c r="N306" s="1209" t="str">
        <f t="shared" si="110"/>
        <v/>
      </c>
      <c r="O306" s="1209" t="str">
        <f t="shared" si="111"/>
        <v/>
      </c>
      <c r="P306" s="1283" t="str">
        <f t="shared" si="112"/>
        <v/>
      </c>
      <c r="Q306" s="518"/>
      <c r="R306" s="1076" t="str">
        <f t="shared" si="126"/>
        <v/>
      </c>
      <c r="S306" s="1076" t="str">
        <f t="shared" si="113"/>
        <v/>
      </c>
      <c r="T306" s="1078" t="str">
        <f t="shared" si="114"/>
        <v/>
      </c>
      <c r="U306" s="599"/>
      <c r="V306" s="1261"/>
      <c r="W306" s="1261"/>
      <c r="X306" s="1218"/>
      <c r="Y306" s="1253" t="e">
        <f>ROUND(VLOOKUP(H306,tab!$A$61:$V$103,I306+2,FALSE),0)</f>
        <v>#VALUE!</v>
      </c>
      <c r="Z306" s="1252">
        <f>tab!$E$48</f>
        <v>0.62</v>
      </c>
      <c r="AA306" s="1284" t="e">
        <f t="shared" si="115"/>
        <v>#VALUE!</v>
      </c>
      <c r="AB306" s="1284" t="e">
        <f t="shared" si="116"/>
        <v>#VALUE!</v>
      </c>
      <c r="AC306" s="1284" t="e">
        <f t="shared" si="117"/>
        <v>#VALUE!</v>
      </c>
      <c r="AD306" s="1286" t="e">
        <f t="shared" si="118"/>
        <v>#VALUE!</v>
      </c>
      <c r="AE306" s="1286">
        <f t="shared" si="119"/>
        <v>0</v>
      </c>
      <c r="AF306" s="1254">
        <f>IF(H306&gt;8,tab!$D$49,tab!$D$52)</f>
        <v>0.5</v>
      </c>
      <c r="AG306" s="1255">
        <f t="shared" si="120"/>
        <v>0</v>
      </c>
      <c r="AH306" s="1251">
        <f t="shared" si="121"/>
        <v>0</v>
      </c>
      <c r="AI306" s="1278" t="e">
        <f>DATE(YEAR(tab!$I$3),MONTH(G306),DAY(G306))&gt;tab!$I$3</f>
        <v>#VALUE!</v>
      </c>
      <c r="AJ306" s="1278" t="e">
        <f t="shared" si="122"/>
        <v>#VALUE!</v>
      </c>
      <c r="AK306" s="1199">
        <f t="shared" si="123"/>
        <v>30</v>
      </c>
      <c r="AL306" s="1199">
        <f t="shared" si="124"/>
        <v>30</v>
      </c>
      <c r="AM306" s="1205">
        <f t="shared" si="125"/>
        <v>0</v>
      </c>
      <c r="AS306" s="819"/>
    </row>
    <row r="307" spans="3:45" ht="12.75" customHeight="1" x14ac:dyDescent="0.2">
      <c r="C307" s="135"/>
      <c r="D307" s="432" t="str">
        <f>IF(op!D240=0,"",op!D240)</f>
        <v/>
      </c>
      <c r="E307" s="432" t="str">
        <f>IF(op!E240=0,"-",op!E240)</f>
        <v/>
      </c>
      <c r="F307" s="776" t="str">
        <f>IF(op!F240="","",op!F240+1)</f>
        <v/>
      </c>
      <c r="G307" s="802" t="str">
        <f>IF(op!G240="","",op!G240)</f>
        <v/>
      </c>
      <c r="H307" s="776" t="str">
        <f>IF(op!H240=0,"",op!H240)</f>
        <v/>
      </c>
      <c r="I307" s="433" t="str">
        <f>IF(J307="","",(IF(op!I240+1&gt;LOOKUP(H307,schaal2013,regels2013),op!I240,op!I240+1)))</f>
        <v/>
      </c>
      <c r="J307" s="803" t="str">
        <f>IF(op!J240="","",op!J240)</f>
        <v/>
      </c>
      <c r="K307" s="518"/>
      <c r="L307" s="1207">
        <f>IF(op!L240="","",op!L240)</f>
        <v>0</v>
      </c>
      <c r="M307" s="1207">
        <f>IF(op!M240="","",op!M240)</f>
        <v>0</v>
      </c>
      <c r="N307" s="1209" t="str">
        <f t="shared" si="110"/>
        <v/>
      </c>
      <c r="O307" s="1209" t="str">
        <f t="shared" si="111"/>
        <v/>
      </c>
      <c r="P307" s="1283" t="str">
        <f t="shared" si="112"/>
        <v/>
      </c>
      <c r="Q307" s="518"/>
      <c r="R307" s="1076" t="str">
        <f t="shared" si="126"/>
        <v/>
      </c>
      <c r="S307" s="1076" t="str">
        <f t="shared" si="113"/>
        <v/>
      </c>
      <c r="T307" s="1078" t="str">
        <f t="shared" si="114"/>
        <v/>
      </c>
      <c r="U307" s="599"/>
      <c r="V307" s="1261"/>
      <c r="W307" s="1261"/>
      <c r="X307" s="1218"/>
      <c r="Y307" s="1253" t="e">
        <f>ROUND(VLOOKUP(H307,tab!$A$61:$V$103,I307+2,FALSE),0)</f>
        <v>#VALUE!</v>
      </c>
      <c r="Z307" s="1252">
        <f>tab!$E$48</f>
        <v>0.62</v>
      </c>
      <c r="AA307" s="1284" t="e">
        <f t="shared" si="115"/>
        <v>#VALUE!</v>
      </c>
      <c r="AB307" s="1284" t="e">
        <f t="shared" si="116"/>
        <v>#VALUE!</v>
      </c>
      <c r="AC307" s="1284" t="e">
        <f t="shared" si="117"/>
        <v>#VALUE!</v>
      </c>
      <c r="AD307" s="1286" t="e">
        <f t="shared" si="118"/>
        <v>#VALUE!</v>
      </c>
      <c r="AE307" s="1286">
        <f t="shared" si="119"/>
        <v>0</v>
      </c>
      <c r="AF307" s="1254">
        <f>IF(H307&gt;8,tab!$D$49,tab!$D$52)</f>
        <v>0.5</v>
      </c>
      <c r="AG307" s="1255">
        <f t="shared" si="120"/>
        <v>0</v>
      </c>
      <c r="AH307" s="1251">
        <f t="shared" si="121"/>
        <v>0</v>
      </c>
      <c r="AI307" s="1278" t="e">
        <f>DATE(YEAR(tab!$I$3),MONTH(G307),DAY(G307))&gt;tab!$I$3</f>
        <v>#VALUE!</v>
      </c>
      <c r="AJ307" s="1278" t="e">
        <f t="shared" si="122"/>
        <v>#VALUE!</v>
      </c>
      <c r="AK307" s="1199">
        <f t="shared" si="123"/>
        <v>30</v>
      </c>
      <c r="AL307" s="1199">
        <f t="shared" si="124"/>
        <v>30</v>
      </c>
      <c r="AM307" s="1205">
        <f t="shared" si="125"/>
        <v>0</v>
      </c>
      <c r="AS307" s="819"/>
    </row>
    <row r="308" spans="3:45" ht="12.75" customHeight="1" x14ac:dyDescent="0.2">
      <c r="C308" s="135"/>
      <c r="D308" s="432" t="str">
        <f>IF(op!D241=0,"",op!D241)</f>
        <v/>
      </c>
      <c r="E308" s="432" t="str">
        <f>IF(op!E241=0,"-",op!E241)</f>
        <v/>
      </c>
      <c r="F308" s="776" t="str">
        <f>IF(op!F241="","",op!F241+1)</f>
        <v/>
      </c>
      <c r="G308" s="802" t="str">
        <f>IF(op!G241="","",op!G241)</f>
        <v/>
      </c>
      <c r="H308" s="776" t="str">
        <f>IF(op!H241=0,"",op!H241)</f>
        <v/>
      </c>
      <c r="I308" s="433" t="str">
        <f>IF(J308="","",(IF(op!I241+1&gt;LOOKUP(H308,schaal2013,regels2013),op!I241,op!I241+1)))</f>
        <v/>
      </c>
      <c r="J308" s="803" t="str">
        <f>IF(op!J241="","",op!J241)</f>
        <v/>
      </c>
      <c r="K308" s="518"/>
      <c r="L308" s="1207">
        <f>IF(op!L241="","",op!L241)</f>
        <v>0</v>
      </c>
      <c r="M308" s="1207">
        <f>IF(op!M241="","",op!M241)</f>
        <v>0</v>
      </c>
      <c r="N308" s="1209" t="str">
        <f t="shared" si="110"/>
        <v/>
      </c>
      <c r="O308" s="1209" t="str">
        <f t="shared" si="111"/>
        <v/>
      </c>
      <c r="P308" s="1283" t="str">
        <f t="shared" si="112"/>
        <v/>
      </c>
      <c r="Q308" s="518"/>
      <c r="R308" s="1076" t="str">
        <f t="shared" si="126"/>
        <v/>
      </c>
      <c r="S308" s="1076" t="str">
        <f t="shared" si="113"/>
        <v/>
      </c>
      <c r="T308" s="1078" t="str">
        <f t="shared" si="114"/>
        <v/>
      </c>
      <c r="U308" s="599"/>
      <c r="V308" s="1261"/>
      <c r="W308" s="1261"/>
      <c r="X308" s="1218"/>
      <c r="Y308" s="1253" t="e">
        <f>ROUND(VLOOKUP(H308,tab!$A$61:$V$103,I308+2,FALSE),0)</f>
        <v>#VALUE!</v>
      </c>
      <c r="Z308" s="1252">
        <f>tab!$E$48</f>
        <v>0.62</v>
      </c>
      <c r="AA308" s="1284" t="e">
        <f t="shared" si="115"/>
        <v>#VALUE!</v>
      </c>
      <c r="AB308" s="1284" t="e">
        <f t="shared" si="116"/>
        <v>#VALUE!</v>
      </c>
      <c r="AC308" s="1284" t="e">
        <f t="shared" si="117"/>
        <v>#VALUE!</v>
      </c>
      <c r="AD308" s="1286" t="e">
        <f t="shared" si="118"/>
        <v>#VALUE!</v>
      </c>
      <c r="AE308" s="1286">
        <f t="shared" si="119"/>
        <v>0</v>
      </c>
      <c r="AF308" s="1254">
        <f>IF(H308&gt;8,tab!$D$49,tab!$D$52)</f>
        <v>0.5</v>
      </c>
      <c r="AG308" s="1255">
        <f t="shared" si="120"/>
        <v>0</v>
      </c>
      <c r="AH308" s="1251">
        <f t="shared" si="121"/>
        <v>0</v>
      </c>
      <c r="AI308" s="1278" t="e">
        <f>DATE(YEAR(tab!$I$3),MONTH(G308),DAY(G308))&gt;tab!$I$3</f>
        <v>#VALUE!</v>
      </c>
      <c r="AJ308" s="1278" t="e">
        <f t="shared" si="122"/>
        <v>#VALUE!</v>
      </c>
      <c r="AK308" s="1199">
        <f t="shared" si="123"/>
        <v>30</v>
      </c>
      <c r="AL308" s="1199">
        <f t="shared" si="124"/>
        <v>30</v>
      </c>
      <c r="AM308" s="1205">
        <f t="shared" si="125"/>
        <v>0</v>
      </c>
      <c r="AS308" s="819"/>
    </row>
    <row r="309" spans="3:45" ht="12.75" customHeight="1" x14ac:dyDescent="0.2">
      <c r="C309" s="135"/>
      <c r="D309" s="432" t="str">
        <f>IF(op!D242=0,"",op!D242)</f>
        <v/>
      </c>
      <c r="E309" s="432" t="str">
        <f>IF(op!E242=0,"-",op!E242)</f>
        <v/>
      </c>
      <c r="F309" s="776" t="str">
        <f>IF(op!F242="","",op!F242+1)</f>
        <v/>
      </c>
      <c r="G309" s="802" t="str">
        <f>IF(op!G242="","",op!G242)</f>
        <v/>
      </c>
      <c r="H309" s="776" t="str">
        <f>IF(op!H242=0,"",op!H242)</f>
        <v/>
      </c>
      <c r="I309" s="433" t="str">
        <f>IF(J309="","",(IF(op!I242+1&gt;LOOKUP(H309,schaal2013,regels2013),op!I242,op!I242+1)))</f>
        <v/>
      </c>
      <c r="J309" s="803" t="str">
        <f>IF(op!J242="","",op!J242)</f>
        <v/>
      </c>
      <c r="K309" s="518"/>
      <c r="L309" s="1207">
        <f>IF(op!L242="","",op!L242)</f>
        <v>0</v>
      </c>
      <c r="M309" s="1207">
        <f>IF(op!M242="","",op!M242)</f>
        <v>0</v>
      </c>
      <c r="N309" s="1209" t="str">
        <f t="shared" si="110"/>
        <v/>
      </c>
      <c r="O309" s="1209" t="str">
        <f t="shared" si="111"/>
        <v/>
      </c>
      <c r="P309" s="1283" t="str">
        <f t="shared" si="112"/>
        <v/>
      </c>
      <c r="Q309" s="518"/>
      <c r="R309" s="1076" t="str">
        <f t="shared" si="126"/>
        <v/>
      </c>
      <c r="S309" s="1076" t="str">
        <f t="shared" si="113"/>
        <v/>
      </c>
      <c r="T309" s="1078" t="str">
        <f t="shared" si="114"/>
        <v/>
      </c>
      <c r="U309" s="599"/>
      <c r="V309" s="1261"/>
      <c r="W309" s="1261"/>
      <c r="X309" s="1218"/>
      <c r="Y309" s="1253" t="e">
        <f>ROUND(VLOOKUP(H309,tab!$A$61:$V$103,I309+2,FALSE),0)</f>
        <v>#VALUE!</v>
      </c>
      <c r="Z309" s="1252">
        <f>tab!$E$48</f>
        <v>0.62</v>
      </c>
      <c r="AA309" s="1284" t="e">
        <f t="shared" si="115"/>
        <v>#VALUE!</v>
      </c>
      <c r="AB309" s="1284" t="e">
        <f t="shared" si="116"/>
        <v>#VALUE!</v>
      </c>
      <c r="AC309" s="1284" t="e">
        <f t="shared" si="117"/>
        <v>#VALUE!</v>
      </c>
      <c r="AD309" s="1286" t="e">
        <f t="shared" si="118"/>
        <v>#VALUE!</v>
      </c>
      <c r="AE309" s="1286">
        <f t="shared" si="119"/>
        <v>0</v>
      </c>
      <c r="AF309" s="1254">
        <f>IF(H309&gt;8,tab!$D$49,tab!$D$52)</f>
        <v>0.5</v>
      </c>
      <c r="AG309" s="1255">
        <f t="shared" si="120"/>
        <v>0</v>
      </c>
      <c r="AH309" s="1251">
        <f t="shared" si="121"/>
        <v>0</v>
      </c>
      <c r="AI309" s="1278" t="e">
        <f>DATE(YEAR(tab!$I$3),MONTH(G309),DAY(G309))&gt;tab!$I$3</f>
        <v>#VALUE!</v>
      </c>
      <c r="AJ309" s="1278" t="e">
        <f t="shared" si="122"/>
        <v>#VALUE!</v>
      </c>
      <c r="AK309" s="1199">
        <f t="shared" si="123"/>
        <v>30</v>
      </c>
      <c r="AL309" s="1199">
        <f t="shared" si="124"/>
        <v>30</v>
      </c>
      <c r="AM309" s="1205">
        <f t="shared" si="125"/>
        <v>0</v>
      </c>
      <c r="AS309" s="819"/>
    </row>
    <row r="310" spans="3:45" ht="12.75" customHeight="1" x14ac:dyDescent="0.2">
      <c r="C310" s="135"/>
      <c r="D310" s="432" t="str">
        <f>IF(op!D243=0,"",op!D243)</f>
        <v/>
      </c>
      <c r="E310" s="432" t="str">
        <f>IF(op!E243=0,"-",op!E243)</f>
        <v/>
      </c>
      <c r="F310" s="776" t="str">
        <f>IF(op!F243="","",op!F243+1)</f>
        <v/>
      </c>
      <c r="G310" s="802" t="str">
        <f>IF(op!G243="","",op!G243)</f>
        <v/>
      </c>
      <c r="H310" s="776" t="str">
        <f>IF(op!H243=0,"",op!H243)</f>
        <v/>
      </c>
      <c r="I310" s="433" t="str">
        <f>IF(J310="","",(IF(op!I243+1&gt;LOOKUP(H310,schaal2013,regels2013),op!I243,op!I243+1)))</f>
        <v/>
      </c>
      <c r="J310" s="803" t="str">
        <f>IF(op!J243="","",op!J243)</f>
        <v/>
      </c>
      <c r="K310" s="518"/>
      <c r="L310" s="1207">
        <f>IF(op!L243="","",op!L243)</f>
        <v>0</v>
      </c>
      <c r="M310" s="1207">
        <f>IF(op!M243="","",op!M243)</f>
        <v>0</v>
      </c>
      <c r="N310" s="1209" t="str">
        <f t="shared" si="110"/>
        <v/>
      </c>
      <c r="O310" s="1209" t="str">
        <f t="shared" si="111"/>
        <v/>
      </c>
      <c r="P310" s="1283" t="str">
        <f t="shared" si="112"/>
        <v/>
      </c>
      <c r="Q310" s="518"/>
      <c r="R310" s="1076" t="str">
        <f t="shared" si="126"/>
        <v/>
      </c>
      <c r="S310" s="1076" t="str">
        <f t="shared" si="113"/>
        <v/>
      </c>
      <c r="T310" s="1078" t="str">
        <f t="shared" si="114"/>
        <v/>
      </c>
      <c r="U310" s="599"/>
      <c r="V310" s="1261"/>
      <c r="W310" s="1261"/>
      <c r="X310" s="1218"/>
      <c r="Y310" s="1253" t="e">
        <f>ROUND(VLOOKUP(H310,tab!$A$61:$V$103,I310+2,FALSE),0)</f>
        <v>#VALUE!</v>
      </c>
      <c r="Z310" s="1252">
        <f>tab!$E$48</f>
        <v>0.62</v>
      </c>
      <c r="AA310" s="1284" t="e">
        <f t="shared" si="115"/>
        <v>#VALUE!</v>
      </c>
      <c r="AB310" s="1284" t="e">
        <f t="shared" si="116"/>
        <v>#VALUE!</v>
      </c>
      <c r="AC310" s="1284" t="e">
        <f t="shared" si="117"/>
        <v>#VALUE!</v>
      </c>
      <c r="AD310" s="1286" t="e">
        <f t="shared" si="118"/>
        <v>#VALUE!</v>
      </c>
      <c r="AE310" s="1286">
        <f t="shared" si="119"/>
        <v>0</v>
      </c>
      <c r="AF310" s="1254">
        <f>IF(H310&gt;8,tab!$D$49,tab!$D$52)</f>
        <v>0.5</v>
      </c>
      <c r="AG310" s="1255">
        <f t="shared" si="120"/>
        <v>0</v>
      </c>
      <c r="AH310" s="1251">
        <f t="shared" si="121"/>
        <v>0</v>
      </c>
      <c r="AI310" s="1278" t="e">
        <f>DATE(YEAR(tab!$I$3),MONTH(G310),DAY(G310))&gt;tab!$I$3</f>
        <v>#VALUE!</v>
      </c>
      <c r="AJ310" s="1278" t="e">
        <f t="shared" si="122"/>
        <v>#VALUE!</v>
      </c>
      <c r="AK310" s="1199">
        <f t="shared" si="123"/>
        <v>30</v>
      </c>
      <c r="AL310" s="1199">
        <f t="shared" si="124"/>
        <v>30</v>
      </c>
      <c r="AM310" s="1205">
        <f t="shared" si="125"/>
        <v>0</v>
      </c>
      <c r="AS310" s="819"/>
    </row>
    <row r="311" spans="3:45" ht="12.75" customHeight="1" x14ac:dyDescent="0.2">
      <c r="C311" s="135"/>
      <c r="D311" s="432" t="str">
        <f>IF(op!D244=0,"",op!D244)</f>
        <v/>
      </c>
      <c r="E311" s="432" t="str">
        <f>IF(op!E244=0,"-",op!E244)</f>
        <v/>
      </c>
      <c r="F311" s="776" t="str">
        <f>IF(op!F244="","",op!F244+1)</f>
        <v/>
      </c>
      <c r="G311" s="802" t="str">
        <f>IF(op!G244="","",op!G244)</f>
        <v/>
      </c>
      <c r="H311" s="776" t="str">
        <f>IF(op!H244=0,"",op!H244)</f>
        <v/>
      </c>
      <c r="I311" s="433" t="str">
        <f>IF(J311="","",(IF(op!I244+1&gt;LOOKUP(H311,schaal2013,regels2013),op!I244,op!I244+1)))</f>
        <v/>
      </c>
      <c r="J311" s="803" t="str">
        <f>IF(op!J244="","",op!J244)</f>
        <v/>
      </c>
      <c r="K311" s="518"/>
      <c r="L311" s="1207">
        <f>IF(op!L244="","",op!L244)</f>
        <v>0</v>
      </c>
      <c r="M311" s="1207">
        <f>IF(op!M244="","",op!M244)</f>
        <v>0</v>
      </c>
      <c r="N311" s="1209" t="str">
        <f t="shared" si="110"/>
        <v/>
      </c>
      <c r="O311" s="1209" t="str">
        <f t="shared" si="111"/>
        <v/>
      </c>
      <c r="P311" s="1283" t="str">
        <f t="shared" si="112"/>
        <v/>
      </c>
      <c r="Q311" s="518"/>
      <c r="R311" s="1076" t="str">
        <f t="shared" si="126"/>
        <v/>
      </c>
      <c r="S311" s="1076" t="str">
        <f t="shared" si="113"/>
        <v/>
      </c>
      <c r="T311" s="1078" t="str">
        <f t="shared" si="114"/>
        <v/>
      </c>
      <c r="U311" s="599"/>
      <c r="V311" s="1261"/>
      <c r="W311" s="1261"/>
      <c r="X311" s="1218"/>
      <c r="Y311" s="1253" t="e">
        <f>ROUND(VLOOKUP(H311,tab!$A$61:$V$103,I311+2,FALSE),0)</f>
        <v>#VALUE!</v>
      </c>
      <c r="Z311" s="1252">
        <f>tab!$E$48</f>
        <v>0.62</v>
      </c>
      <c r="AA311" s="1284" t="e">
        <f t="shared" si="115"/>
        <v>#VALUE!</v>
      </c>
      <c r="AB311" s="1284" t="e">
        <f t="shared" si="116"/>
        <v>#VALUE!</v>
      </c>
      <c r="AC311" s="1284" t="e">
        <f t="shared" si="117"/>
        <v>#VALUE!</v>
      </c>
      <c r="AD311" s="1286" t="e">
        <f t="shared" si="118"/>
        <v>#VALUE!</v>
      </c>
      <c r="AE311" s="1286">
        <f t="shared" si="119"/>
        <v>0</v>
      </c>
      <c r="AF311" s="1254">
        <f>IF(H311&gt;8,tab!$D$49,tab!$D$52)</f>
        <v>0.5</v>
      </c>
      <c r="AG311" s="1255">
        <f t="shared" si="120"/>
        <v>0</v>
      </c>
      <c r="AH311" s="1251">
        <f t="shared" si="121"/>
        <v>0</v>
      </c>
      <c r="AI311" s="1278" t="e">
        <f>DATE(YEAR(tab!$I$3),MONTH(G311),DAY(G311))&gt;tab!$I$3</f>
        <v>#VALUE!</v>
      </c>
      <c r="AJ311" s="1278" t="e">
        <f t="shared" si="122"/>
        <v>#VALUE!</v>
      </c>
      <c r="AK311" s="1199">
        <f t="shared" si="123"/>
        <v>30</v>
      </c>
      <c r="AL311" s="1199">
        <f t="shared" si="124"/>
        <v>30</v>
      </c>
      <c r="AM311" s="1205">
        <f t="shared" si="125"/>
        <v>0</v>
      </c>
      <c r="AS311" s="819"/>
    </row>
    <row r="312" spans="3:45" ht="12.75" customHeight="1" x14ac:dyDescent="0.2">
      <c r="C312" s="135"/>
      <c r="D312" s="432" t="str">
        <f>IF(op!D245=0,"",op!D245)</f>
        <v/>
      </c>
      <c r="E312" s="432" t="str">
        <f>IF(op!E245=0,"-",op!E245)</f>
        <v/>
      </c>
      <c r="F312" s="776" t="str">
        <f>IF(op!F245="","",op!F245+1)</f>
        <v/>
      </c>
      <c r="G312" s="802" t="str">
        <f>IF(op!G245="","",op!G245)</f>
        <v/>
      </c>
      <c r="H312" s="776" t="str">
        <f>IF(op!H245=0,"",op!H245)</f>
        <v/>
      </c>
      <c r="I312" s="433" t="str">
        <f>IF(J312="","",(IF(op!I245+1&gt;LOOKUP(H312,schaal2013,regels2013),op!I245,op!I245+1)))</f>
        <v/>
      </c>
      <c r="J312" s="803" t="str">
        <f>IF(op!J245="","",op!J245)</f>
        <v/>
      </c>
      <c r="K312" s="518"/>
      <c r="L312" s="1207">
        <f>IF(op!L245="","",op!L245)</f>
        <v>0</v>
      </c>
      <c r="M312" s="1207">
        <f>IF(op!M245="","",op!M245)</f>
        <v>0</v>
      </c>
      <c r="N312" s="1209" t="str">
        <f t="shared" si="110"/>
        <v/>
      </c>
      <c r="O312" s="1209" t="str">
        <f t="shared" si="111"/>
        <v/>
      </c>
      <c r="P312" s="1283" t="str">
        <f t="shared" si="112"/>
        <v/>
      </c>
      <c r="Q312" s="518"/>
      <c r="R312" s="1076" t="str">
        <f t="shared" si="126"/>
        <v/>
      </c>
      <c r="S312" s="1076" t="str">
        <f t="shared" si="113"/>
        <v/>
      </c>
      <c r="T312" s="1078" t="str">
        <f t="shared" si="114"/>
        <v/>
      </c>
      <c r="U312" s="599"/>
      <c r="V312" s="1261"/>
      <c r="W312" s="1261"/>
      <c r="X312" s="1218"/>
      <c r="Y312" s="1253" t="e">
        <f>ROUND(VLOOKUP(H312,tab!$A$61:$V$103,I312+2,FALSE),0)</f>
        <v>#VALUE!</v>
      </c>
      <c r="Z312" s="1252">
        <f>tab!$E$48</f>
        <v>0.62</v>
      </c>
      <c r="AA312" s="1284" t="e">
        <f t="shared" si="115"/>
        <v>#VALUE!</v>
      </c>
      <c r="AB312" s="1284" t="e">
        <f t="shared" si="116"/>
        <v>#VALUE!</v>
      </c>
      <c r="AC312" s="1284" t="e">
        <f t="shared" si="117"/>
        <v>#VALUE!</v>
      </c>
      <c r="AD312" s="1286" t="e">
        <f t="shared" si="118"/>
        <v>#VALUE!</v>
      </c>
      <c r="AE312" s="1286">
        <f t="shared" si="119"/>
        <v>0</v>
      </c>
      <c r="AF312" s="1254">
        <f>IF(H312&gt;8,tab!$D$49,tab!$D$52)</f>
        <v>0.5</v>
      </c>
      <c r="AG312" s="1255">
        <f t="shared" si="120"/>
        <v>0</v>
      </c>
      <c r="AH312" s="1251">
        <f t="shared" si="121"/>
        <v>0</v>
      </c>
      <c r="AI312" s="1278" t="e">
        <f>DATE(YEAR(tab!$I$3),MONTH(G312),DAY(G312))&gt;tab!$I$3</f>
        <v>#VALUE!</v>
      </c>
      <c r="AJ312" s="1278" t="e">
        <f t="shared" si="122"/>
        <v>#VALUE!</v>
      </c>
      <c r="AK312" s="1199">
        <f t="shared" si="123"/>
        <v>30</v>
      </c>
      <c r="AL312" s="1199">
        <f t="shared" si="124"/>
        <v>30</v>
      </c>
      <c r="AM312" s="1205">
        <f t="shared" si="125"/>
        <v>0</v>
      </c>
      <c r="AS312" s="819"/>
    </row>
    <row r="313" spans="3:45" ht="12.75" customHeight="1" x14ac:dyDescent="0.2">
      <c r="C313" s="135"/>
      <c r="D313" s="432" t="str">
        <f>IF(op!D246=0,"",op!D246)</f>
        <v/>
      </c>
      <c r="E313" s="432" t="str">
        <f>IF(op!E246=0,"-",op!E246)</f>
        <v/>
      </c>
      <c r="F313" s="776" t="str">
        <f>IF(op!F246="","",op!F246+1)</f>
        <v/>
      </c>
      <c r="G313" s="802" t="str">
        <f>IF(op!G246="","",op!G246)</f>
        <v/>
      </c>
      <c r="H313" s="776" t="str">
        <f>IF(op!H246=0,"",op!H246)</f>
        <v/>
      </c>
      <c r="I313" s="433" t="str">
        <f>IF(J313="","",(IF(op!I246+1&gt;LOOKUP(H313,schaal2013,regels2013),op!I246,op!I246+1)))</f>
        <v/>
      </c>
      <c r="J313" s="803" t="str">
        <f>IF(op!J246="","",op!J246)</f>
        <v/>
      </c>
      <c r="K313" s="518"/>
      <c r="L313" s="1207">
        <f>IF(op!L246="","",op!L246)</f>
        <v>0</v>
      </c>
      <c r="M313" s="1207">
        <f>IF(op!M246="","",op!M246)</f>
        <v>0</v>
      </c>
      <c r="N313" s="1209" t="str">
        <f t="shared" si="110"/>
        <v/>
      </c>
      <c r="O313" s="1209" t="str">
        <f t="shared" si="111"/>
        <v/>
      </c>
      <c r="P313" s="1283" t="str">
        <f t="shared" si="112"/>
        <v/>
      </c>
      <c r="Q313" s="518"/>
      <c r="R313" s="1076" t="str">
        <f t="shared" si="126"/>
        <v/>
      </c>
      <c r="S313" s="1076" t="str">
        <f t="shared" si="113"/>
        <v/>
      </c>
      <c r="T313" s="1078" t="str">
        <f t="shared" si="114"/>
        <v/>
      </c>
      <c r="U313" s="599"/>
      <c r="V313" s="1261"/>
      <c r="W313" s="1261"/>
      <c r="X313" s="1218"/>
      <c r="Y313" s="1253" t="e">
        <f>ROUND(VLOOKUP(H313,tab!$A$61:$V$103,I313+2,FALSE),0)</f>
        <v>#VALUE!</v>
      </c>
      <c r="Z313" s="1252">
        <f>tab!$E$48</f>
        <v>0.62</v>
      </c>
      <c r="AA313" s="1284" t="e">
        <f t="shared" si="115"/>
        <v>#VALUE!</v>
      </c>
      <c r="AB313" s="1284" t="e">
        <f t="shared" si="116"/>
        <v>#VALUE!</v>
      </c>
      <c r="AC313" s="1284" t="e">
        <f t="shared" si="117"/>
        <v>#VALUE!</v>
      </c>
      <c r="AD313" s="1286" t="e">
        <f t="shared" si="118"/>
        <v>#VALUE!</v>
      </c>
      <c r="AE313" s="1286">
        <f t="shared" si="119"/>
        <v>0</v>
      </c>
      <c r="AF313" s="1254">
        <f>IF(H313&gt;8,tab!$D$49,tab!$D$52)</f>
        <v>0.5</v>
      </c>
      <c r="AG313" s="1255">
        <f t="shared" si="120"/>
        <v>0</v>
      </c>
      <c r="AH313" s="1251">
        <f t="shared" si="121"/>
        <v>0</v>
      </c>
      <c r="AI313" s="1278" t="e">
        <f>DATE(YEAR(tab!$I$3),MONTH(G313),DAY(G313))&gt;tab!$I$3</f>
        <v>#VALUE!</v>
      </c>
      <c r="AJ313" s="1278" t="e">
        <f t="shared" si="122"/>
        <v>#VALUE!</v>
      </c>
      <c r="AK313" s="1199">
        <f t="shared" si="123"/>
        <v>30</v>
      </c>
      <c r="AL313" s="1199">
        <f t="shared" si="124"/>
        <v>30</v>
      </c>
      <c r="AM313" s="1205">
        <f t="shared" si="125"/>
        <v>0</v>
      </c>
      <c r="AS313" s="819"/>
    </row>
    <row r="314" spans="3:45" ht="12.75" customHeight="1" x14ac:dyDescent="0.2">
      <c r="C314" s="135"/>
      <c r="D314" s="432" t="str">
        <f>IF(op!D247=0,"",op!D247)</f>
        <v/>
      </c>
      <c r="E314" s="432" t="str">
        <f>IF(op!E247=0,"-",op!E247)</f>
        <v/>
      </c>
      <c r="F314" s="776" t="str">
        <f>IF(op!F247="","",op!F247+1)</f>
        <v/>
      </c>
      <c r="G314" s="802" t="str">
        <f>IF(op!G247="","",op!G247)</f>
        <v/>
      </c>
      <c r="H314" s="776" t="str">
        <f>IF(op!H247=0,"",op!H247)</f>
        <v/>
      </c>
      <c r="I314" s="433" t="str">
        <f>IF(J314="","",(IF(op!I247+1&gt;LOOKUP(H314,schaal2013,regels2013),op!I247,op!I247+1)))</f>
        <v/>
      </c>
      <c r="J314" s="803" t="str">
        <f>IF(op!J247="","",op!J247)</f>
        <v/>
      </c>
      <c r="K314" s="518"/>
      <c r="L314" s="1207">
        <f>IF(op!L247="","",op!L247)</f>
        <v>0</v>
      </c>
      <c r="M314" s="1207">
        <f>IF(op!M247="","",op!M247)</f>
        <v>0</v>
      </c>
      <c r="N314" s="1209" t="str">
        <f t="shared" si="110"/>
        <v/>
      </c>
      <c r="O314" s="1209" t="str">
        <f t="shared" si="111"/>
        <v/>
      </c>
      <c r="P314" s="1283" t="str">
        <f t="shared" si="112"/>
        <v/>
      </c>
      <c r="Q314" s="518"/>
      <c r="R314" s="1076" t="str">
        <f t="shared" si="126"/>
        <v/>
      </c>
      <c r="S314" s="1076" t="str">
        <f t="shared" si="113"/>
        <v/>
      </c>
      <c r="T314" s="1078" t="str">
        <f t="shared" si="114"/>
        <v/>
      </c>
      <c r="U314" s="599"/>
      <c r="V314" s="1261"/>
      <c r="W314" s="1261"/>
      <c r="X314" s="1218"/>
      <c r="Y314" s="1253" t="e">
        <f>ROUND(VLOOKUP(H314,tab!$A$61:$V$103,I314+2,FALSE),0)</f>
        <v>#VALUE!</v>
      </c>
      <c r="Z314" s="1252">
        <f>tab!$E$48</f>
        <v>0.62</v>
      </c>
      <c r="AA314" s="1284" t="e">
        <f t="shared" si="115"/>
        <v>#VALUE!</v>
      </c>
      <c r="AB314" s="1284" t="e">
        <f t="shared" si="116"/>
        <v>#VALUE!</v>
      </c>
      <c r="AC314" s="1284" t="e">
        <f t="shared" si="117"/>
        <v>#VALUE!</v>
      </c>
      <c r="AD314" s="1286" t="e">
        <f t="shared" si="118"/>
        <v>#VALUE!</v>
      </c>
      <c r="AE314" s="1286">
        <f t="shared" si="119"/>
        <v>0</v>
      </c>
      <c r="AF314" s="1254">
        <f>IF(H314&gt;8,tab!$D$49,tab!$D$52)</f>
        <v>0.5</v>
      </c>
      <c r="AG314" s="1255">
        <f t="shared" si="120"/>
        <v>0</v>
      </c>
      <c r="AH314" s="1251">
        <f t="shared" si="121"/>
        <v>0</v>
      </c>
      <c r="AI314" s="1278" t="e">
        <f>DATE(YEAR(tab!$I$3),MONTH(G314),DAY(G314))&gt;tab!$I$3</f>
        <v>#VALUE!</v>
      </c>
      <c r="AJ314" s="1278" t="e">
        <f t="shared" si="122"/>
        <v>#VALUE!</v>
      </c>
      <c r="AK314" s="1199">
        <f t="shared" si="123"/>
        <v>30</v>
      </c>
      <c r="AL314" s="1199">
        <f t="shared" si="124"/>
        <v>30</v>
      </c>
      <c r="AM314" s="1205">
        <f t="shared" si="125"/>
        <v>0</v>
      </c>
      <c r="AS314" s="819"/>
    </row>
    <row r="315" spans="3:45" ht="12.75" customHeight="1" x14ac:dyDescent="0.2">
      <c r="C315" s="135"/>
      <c r="D315" s="432" t="str">
        <f>IF(op!D248=0,"",op!D248)</f>
        <v/>
      </c>
      <c r="E315" s="432" t="str">
        <f>IF(op!E248=0,"-",op!E248)</f>
        <v/>
      </c>
      <c r="F315" s="776" t="str">
        <f>IF(op!F248="","",op!F248+1)</f>
        <v/>
      </c>
      <c r="G315" s="802" t="str">
        <f>IF(op!G248="","",op!G248)</f>
        <v/>
      </c>
      <c r="H315" s="776" t="str">
        <f>IF(op!H248=0,"",op!H248)</f>
        <v/>
      </c>
      <c r="I315" s="433" t="str">
        <f>IF(J315="","",(IF(op!I248+1&gt;LOOKUP(H315,schaal2013,regels2013),op!I248,op!I248+1)))</f>
        <v/>
      </c>
      <c r="J315" s="803" t="str">
        <f>IF(op!J248="","",op!J248)</f>
        <v/>
      </c>
      <c r="K315" s="518"/>
      <c r="L315" s="1207">
        <f>IF(op!L248="","",op!L248)</f>
        <v>0</v>
      </c>
      <c r="M315" s="1207">
        <f>IF(op!M248="","",op!M248)</f>
        <v>0</v>
      </c>
      <c r="N315" s="1209" t="str">
        <f t="shared" si="110"/>
        <v/>
      </c>
      <c r="O315" s="1209" t="str">
        <f t="shared" si="111"/>
        <v/>
      </c>
      <c r="P315" s="1283" t="str">
        <f t="shared" si="112"/>
        <v/>
      </c>
      <c r="Q315" s="518"/>
      <c r="R315" s="1076" t="str">
        <f t="shared" si="126"/>
        <v/>
      </c>
      <c r="S315" s="1076" t="str">
        <f t="shared" si="113"/>
        <v/>
      </c>
      <c r="T315" s="1078" t="str">
        <f t="shared" si="114"/>
        <v/>
      </c>
      <c r="U315" s="599"/>
      <c r="V315" s="1261"/>
      <c r="W315" s="1261"/>
      <c r="X315" s="1218"/>
      <c r="Y315" s="1253" t="e">
        <f>ROUND(VLOOKUP(H315,tab!$A$61:$V$103,I315+2,FALSE),0)</f>
        <v>#VALUE!</v>
      </c>
      <c r="Z315" s="1252">
        <f>tab!$E$48</f>
        <v>0.62</v>
      </c>
      <c r="AA315" s="1284" t="e">
        <f t="shared" si="115"/>
        <v>#VALUE!</v>
      </c>
      <c r="AB315" s="1284" t="e">
        <f t="shared" si="116"/>
        <v>#VALUE!</v>
      </c>
      <c r="AC315" s="1284" t="e">
        <f t="shared" si="117"/>
        <v>#VALUE!</v>
      </c>
      <c r="AD315" s="1286" t="e">
        <f t="shared" si="118"/>
        <v>#VALUE!</v>
      </c>
      <c r="AE315" s="1286">
        <f t="shared" si="119"/>
        <v>0</v>
      </c>
      <c r="AF315" s="1254">
        <f>IF(H315&gt;8,tab!$D$49,tab!$D$52)</f>
        <v>0.5</v>
      </c>
      <c r="AG315" s="1255">
        <f t="shared" si="120"/>
        <v>0</v>
      </c>
      <c r="AH315" s="1251">
        <f t="shared" si="121"/>
        <v>0</v>
      </c>
      <c r="AI315" s="1278" t="e">
        <f>DATE(YEAR(tab!$I$3),MONTH(G315),DAY(G315))&gt;tab!$I$3</f>
        <v>#VALUE!</v>
      </c>
      <c r="AJ315" s="1278" t="e">
        <f t="shared" si="122"/>
        <v>#VALUE!</v>
      </c>
      <c r="AK315" s="1199">
        <f t="shared" si="123"/>
        <v>30</v>
      </c>
      <c r="AL315" s="1199">
        <f t="shared" si="124"/>
        <v>30</v>
      </c>
      <c r="AM315" s="1205">
        <f t="shared" si="125"/>
        <v>0</v>
      </c>
      <c r="AS315" s="819"/>
    </row>
    <row r="316" spans="3:45" ht="12.75" customHeight="1" x14ac:dyDescent="0.2">
      <c r="C316" s="135"/>
      <c r="D316" s="432" t="str">
        <f>IF(op!D249=0,"",op!D249)</f>
        <v/>
      </c>
      <c r="E316" s="432" t="str">
        <f>IF(op!E249=0,"-",op!E249)</f>
        <v/>
      </c>
      <c r="F316" s="776" t="str">
        <f>IF(op!F249="","",op!F249+1)</f>
        <v/>
      </c>
      <c r="G316" s="802" t="str">
        <f>IF(op!G249="","",op!G249)</f>
        <v/>
      </c>
      <c r="H316" s="776" t="str">
        <f>IF(op!H249=0,"",op!H249)</f>
        <v/>
      </c>
      <c r="I316" s="433" t="str">
        <f>IF(J316="","",(IF(op!I249+1&gt;LOOKUP(H316,schaal2013,regels2013),op!I249,op!I249+1)))</f>
        <v/>
      </c>
      <c r="J316" s="803" t="str">
        <f>IF(op!J249="","",op!J249)</f>
        <v/>
      </c>
      <c r="K316" s="518"/>
      <c r="L316" s="1207">
        <f>IF(op!L249="","",op!L249)</f>
        <v>0</v>
      </c>
      <c r="M316" s="1207">
        <f>IF(op!M249="","",op!M249)</f>
        <v>0</v>
      </c>
      <c r="N316" s="1209" t="str">
        <f t="shared" si="110"/>
        <v/>
      </c>
      <c r="O316" s="1209" t="str">
        <f t="shared" si="111"/>
        <v/>
      </c>
      <c r="P316" s="1283" t="str">
        <f t="shared" si="112"/>
        <v/>
      </c>
      <c r="Q316" s="518"/>
      <c r="R316" s="1076" t="str">
        <f t="shared" si="126"/>
        <v/>
      </c>
      <c r="S316" s="1076" t="str">
        <f t="shared" si="113"/>
        <v/>
      </c>
      <c r="T316" s="1078" t="str">
        <f t="shared" si="114"/>
        <v/>
      </c>
      <c r="U316" s="599"/>
      <c r="V316" s="1261"/>
      <c r="W316" s="1261"/>
      <c r="X316" s="1218"/>
      <c r="Y316" s="1253" t="e">
        <f>ROUND(VLOOKUP(H316,tab!$A$61:$V$103,I316+2,FALSE),0)</f>
        <v>#VALUE!</v>
      </c>
      <c r="Z316" s="1252">
        <f>tab!$E$48</f>
        <v>0.62</v>
      </c>
      <c r="AA316" s="1284" t="e">
        <f t="shared" si="115"/>
        <v>#VALUE!</v>
      </c>
      <c r="AB316" s="1284" t="e">
        <f t="shared" si="116"/>
        <v>#VALUE!</v>
      </c>
      <c r="AC316" s="1284" t="e">
        <f t="shared" si="117"/>
        <v>#VALUE!</v>
      </c>
      <c r="AD316" s="1286" t="e">
        <f t="shared" si="118"/>
        <v>#VALUE!</v>
      </c>
      <c r="AE316" s="1286">
        <f t="shared" si="119"/>
        <v>0</v>
      </c>
      <c r="AF316" s="1254">
        <f>IF(H316&gt;8,tab!$D$49,tab!$D$52)</f>
        <v>0.5</v>
      </c>
      <c r="AG316" s="1255">
        <f t="shared" si="120"/>
        <v>0</v>
      </c>
      <c r="AH316" s="1251">
        <f t="shared" si="121"/>
        <v>0</v>
      </c>
      <c r="AI316" s="1278" t="e">
        <f>DATE(YEAR(tab!$I$3),MONTH(G316),DAY(G316))&gt;tab!$I$3</f>
        <v>#VALUE!</v>
      </c>
      <c r="AJ316" s="1278" t="e">
        <f t="shared" si="122"/>
        <v>#VALUE!</v>
      </c>
      <c r="AK316" s="1199">
        <f t="shared" si="123"/>
        <v>30</v>
      </c>
      <c r="AL316" s="1199">
        <f t="shared" si="124"/>
        <v>30</v>
      </c>
      <c r="AM316" s="1205">
        <f t="shared" si="125"/>
        <v>0</v>
      </c>
      <c r="AS316" s="819"/>
    </row>
    <row r="317" spans="3:45" ht="12.75" customHeight="1" x14ac:dyDescent="0.2">
      <c r="C317" s="135"/>
      <c r="D317" s="432" t="str">
        <f>IF(op!D250=0,"",op!D250)</f>
        <v/>
      </c>
      <c r="E317" s="432" t="str">
        <f>IF(op!E250=0,"-",op!E250)</f>
        <v/>
      </c>
      <c r="F317" s="776" t="str">
        <f>IF(op!F250="","",op!F250+1)</f>
        <v/>
      </c>
      <c r="G317" s="802" t="str">
        <f>IF(op!G250="","",op!G250)</f>
        <v/>
      </c>
      <c r="H317" s="776" t="str">
        <f>IF(op!H250=0,"",op!H250)</f>
        <v/>
      </c>
      <c r="I317" s="433" t="str">
        <f>IF(J317="","",(IF(op!I250+1&gt;LOOKUP(H317,schaal2013,regels2013),op!I250,op!I250+1)))</f>
        <v/>
      </c>
      <c r="J317" s="803" t="str">
        <f>IF(op!J250="","",op!J250)</f>
        <v/>
      </c>
      <c r="K317" s="518"/>
      <c r="L317" s="1207">
        <f>IF(op!L250="","",op!L250)</f>
        <v>0</v>
      </c>
      <c r="M317" s="1207">
        <f>IF(op!M250="","",op!M250)</f>
        <v>0</v>
      </c>
      <c r="N317" s="1209" t="str">
        <f t="shared" si="110"/>
        <v/>
      </c>
      <c r="O317" s="1209" t="str">
        <f t="shared" si="111"/>
        <v/>
      </c>
      <c r="P317" s="1283" t="str">
        <f t="shared" si="112"/>
        <v/>
      </c>
      <c r="Q317" s="518"/>
      <c r="R317" s="1076" t="str">
        <f t="shared" si="126"/>
        <v/>
      </c>
      <c r="S317" s="1076" t="str">
        <f t="shared" si="113"/>
        <v/>
      </c>
      <c r="T317" s="1078" t="str">
        <f t="shared" si="114"/>
        <v/>
      </c>
      <c r="U317" s="599"/>
      <c r="V317" s="1261"/>
      <c r="W317" s="1261"/>
      <c r="X317" s="1218"/>
      <c r="Y317" s="1253" t="e">
        <f>ROUND(VLOOKUP(H317,tab!$A$61:$V$103,I317+2,FALSE),0)</f>
        <v>#VALUE!</v>
      </c>
      <c r="Z317" s="1252">
        <f>tab!$E$48</f>
        <v>0.62</v>
      </c>
      <c r="AA317" s="1284" t="e">
        <f t="shared" si="115"/>
        <v>#VALUE!</v>
      </c>
      <c r="AB317" s="1284" t="e">
        <f t="shared" si="116"/>
        <v>#VALUE!</v>
      </c>
      <c r="AC317" s="1284" t="e">
        <f t="shared" si="117"/>
        <v>#VALUE!</v>
      </c>
      <c r="AD317" s="1286" t="e">
        <f t="shared" si="118"/>
        <v>#VALUE!</v>
      </c>
      <c r="AE317" s="1286">
        <f t="shared" si="119"/>
        <v>0</v>
      </c>
      <c r="AF317" s="1254">
        <f>IF(H317&gt;8,tab!$D$49,tab!$D$52)</f>
        <v>0.5</v>
      </c>
      <c r="AG317" s="1255">
        <f t="shared" si="120"/>
        <v>0</v>
      </c>
      <c r="AH317" s="1251">
        <f t="shared" si="121"/>
        <v>0</v>
      </c>
      <c r="AI317" s="1278" t="e">
        <f>DATE(YEAR(tab!$I$3),MONTH(G317),DAY(G317))&gt;tab!$I$3</f>
        <v>#VALUE!</v>
      </c>
      <c r="AJ317" s="1278" t="e">
        <f t="shared" si="122"/>
        <v>#VALUE!</v>
      </c>
      <c r="AK317" s="1199">
        <f t="shared" si="123"/>
        <v>30</v>
      </c>
      <c r="AL317" s="1199">
        <f t="shared" si="124"/>
        <v>30</v>
      </c>
      <c r="AM317" s="1205">
        <f t="shared" si="125"/>
        <v>0</v>
      </c>
      <c r="AS317" s="819"/>
    </row>
    <row r="318" spans="3:45" ht="12.75" customHeight="1" x14ac:dyDescent="0.2">
      <c r="C318" s="135"/>
      <c r="D318" s="432" t="str">
        <f>IF(op!D251=0,"",op!D251)</f>
        <v/>
      </c>
      <c r="E318" s="432" t="str">
        <f>IF(op!E251=0,"-",op!E251)</f>
        <v/>
      </c>
      <c r="F318" s="776" t="str">
        <f>IF(op!F251="","",op!F251+1)</f>
        <v/>
      </c>
      <c r="G318" s="802" t="str">
        <f>IF(op!G251="","",op!G251)</f>
        <v/>
      </c>
      <c r="H318" s="776" t="str">
        <f>IF(op!H251=0,"",op!H251)</f>
        <v/>
      </c>
      <c r="I318" s="433" t="str">
        <f>IF(J318="","",(IF(op!I251+1&gt;LOOKUP(H318,schaal2013,regels2013),op!I251,op!I251+1)))</f>
        <v/>
      </c>
      <c r="J318" s="803" t="str">
        <f>IF(op!J251="","",op!J251)</f>
        <v/>
      </c>
      <c r="K318" s="518"/>
      <c r="L318" s="1207">
        <f>IF(op!L251="","",op!L251)</f>
        <v>0</v>
      </c>
      <c r="M318" s="1207">
        <f>IF(op!M251="","",op!M251)</f>
        <v>0</v>
      </c>
      <c r="N318" s="1209" t="str">
        <f t="shared" si="110"/>
        <v/>
      </c>
      <c r="O318" s="1209" t="str">
        <f t="shared" si="111"/>
        <v/>
      </c>
      <c r="P318" s="1283" t="str">
        <f t="shared" si="112"/>
        <v/>
      </c>
      <c r="Q318" s="518"/>
      <c r="R318" s="1076" t="str">
        <f t="shared" si="126"/>
        <v/>
      </c>
      <c r="S318" s="1076" t="str">
        <f t="shared" si="113"/>
        <v/>
      </c>
      <c r="T318" s="1078" t="str">
        <f t="shared" si="114"/>
        <v/>
      </c>
      <c r="U318" s="599"/>
      <c r="V318" s="1261"/>
      <c r="W318" s="1261"/>
      <c r="X318" s="1218"/>
      <c r="Y318" s="1253" t="e">
        <f>ROUND(VLOOKUP(H318,tab!$A$61:$V$103,I318+2,FALSE),0)</f>
        <v>#VALUE!</v>
      </c>
      <c r="Z318" s="1252">
        <f>tab!$E$48</f>
        <v>0.62</v>
      </c>
      <c r="AA318" s="1284" t="e">
        <f t="shared" si="115"/>
        <v>#VALUE!</v>
      </c>
      <c r="AB318" s="1284" t="e">
        <f t="shared" si="116"/>
        <v>#VALUE!</v>
      </c>
      <c r="AC318" s="1284" t="e">
        <f t="shared" si="117"/>
        <v>#VALUE!</v>
      </c>
      <c r="AD318" s="1286" t="e">
        <f t="shared" si="118"/>
        <v>#VALUE!</v>
      </c>
      <c r="AE318" s="1286">
        <f t="shared" si="119"/>
        <v>0</v>
      </c>
      <c r="AF318" s="1254">
        <f>IF(H318&gt;8,tab!$D$49,tab!$D$52)</f>
        <v>0.5</v>
      </c>
      <c r="AG318" s="1255">
        <f t="shared" ref="AG318:AG340" si="127">IF(F318&lt;25,0,IF(F318=25,25,IF(F318&lt;40,0,IF(F318=40,40,IF(F318&gt;=40,0)))))</f>
        <v>0</v>
      </c>
      <c r="AH318" s="1251">
        <f t="shared" ref="AH318:AH340" si="128">IF(AG318=25,(Y318*1.08*(J318)/2),IF(AG318=40,(Y318*1.08*(J318)),IF(AG318=0,0)))</f>
        <v>0</v>
      </c>
      <c r="AI318" s="1278" t="e">
        <f>DATE(YEAR(tab!$I$3),MONTH(G318),DAY(G318))&gt;tab!$I$3</f>
        <v>#VALUE!</v>
      </c>
      <c r="AJ318" s="1278" t="e">
        <f t="shared" ref="AJ318:AJ340" si="129">YEAR($E$279)-YEAR(G318)-AI318</f>
        <v>#VALUE!</v>
      </c>
      <c r="AK318" s="1199">
        <f t="shared" ref="AK318:AK340" si="130">IF((G318=""),30,AJ318)</f>
        <v>30</v>
      </c>
      <c r="AL318" s="1199">
        <f t="shared" ref="AL318:AL340" si="131">IF((AK318)&gt;50,50,(AK318))</f>
        <v>30</v>
      </c>
      <c r="AM318" s="1205">
        <f t="shared" ref="AM318:AM340" si="132">(AL318*(SUM(J318:J318)))</f>
        <v>0</v>
      </c>
      <c r="AS318" s="819"/>
    </row>
    <row r="319" spans="3:45" ht="12.75" customHeight="1" x14ac:dyDescent="0.2">
      <c r="C319" s="135"/>
      <c r="D319" s="432" t="str">
        <f>IF(op!D252=0,"",op!D252)</f>
        <v/>
      </c>
      <c r="E319" s="432" t="str">
        <f>IF(op!E252=0,"-",op!E252)</f>
        <v/>
      </c>
      <c r="F319" s="776" t="str">
        <f>IF(op!F252="","",op!F252+1)</f>
        <v/>
      </c>
      <c r="G319" s="802" t="str">
        <f>IF(op!G252="","",op!G252)</f>
        <v/>
      </c>
      <c r="H319" s="776" t="str">
        <f>IF(op!H252=0,"",op!H252)</f>
        <v/>
      </c>
      <c r="I319" s="433" t="str">
        <f>IF(J319="","",(IF(op!I252+1&gt;LOOKUP(H319,schaal2013,regels2013),op!I252,op!I252+1)))</f>
        <v/>
      </c>
      <c r="J319" s="803" t="str">
        <f>IF(op!J252="","",op!J252)</f>
        <v/>
      </c>
      <c r="K319" s="518"/>
      <c r="L319" s="1207">
        <f>IF(op!L252="","",op!L252)</f>
        <v>0</v>
      </c>
      <c r="M319" s="1207">
        <f>IF(op!M252="","",op!M252)</f>
        <v>0</v>
      </c>
      <c r="N319" s="1209" t="str">
        <f t="shared" si="110"/>
        <v/>
      </c>
      <c r="O319" s="1209" t="str">
        <f t="shared" si="111"/>
        <v/>
      </c>
      <c r="P319" s="1283" t="str">
        <f t="shared" si="112"/>
        <v/>
      </c>
      <c r="Q319" s="518"/>
      <c r="R319" s="1076" t="str">
        <f t="shared" si="126"/>
        <v/>
      </c>
      <c r="S319" s="1076" t="str">
        <f t="shared" si="113"/>
        <v/>
      </c>
      <c r="T319" s="1078" t="str">
        <f t="shared" si="114"/>
        <v/>
      </c>
      <c r="U319" s="599"/>
      <c r="V319" s="1261"/>
      <c r="W319" s="1261"/>
      <c r="X319" s="1218"/>
      <c r="Y319" s="1253" t="e">
        <f>ROUND(VLOOKUP(H319,tab!$A$61:$V$103,I319+2,FALSE),0)</f>
        <v>#VALUE!</v>
      </c>
      <c r="Z319" s="1252">
        <f>tab!$E$48</f>
        <v>0.62</v>
      </c>
      <c r="AA319" s="1284" t="e">
        <f t="shared" si="115"/>
        <v>#VALUE!</v>
      </c>
      <c r="AB319" s="1284" t="e">
        <f t="shared" si="116"/>
        <v>#VALUE!</v>
      </c>
      <c r="AC319" s="1284" t="e">
        <f t="shared" si="117"/>
        <v>#VALUE!</v>
      </c>
      <c r="AD319" s="1286" t="e">
        <f t="shared" si="118"/>
        <v>#VALUE!</v>
      </c>
      <c r="AE319" s="1286">
        <f t="shared" si="119"/>
        <v>0</v>
      </c>
      <c r="AF319" s="1254">
        <f>IF(H319&gt;8,tab!$D$49,tab!$D$52)</f>
        <v>0.5</v>
      </c>
      <c r="AG319" s="1255">
        <f t="shared" si="127"/>
        <v>0</v>
      </c>
      <c r="AH319" s="1251">
        <f t="shared" si="128"/>
        <v>0</v>
      </c>
      <c r="AI319" s="1278" t="e">
        <f>DATE(YEAR(tab!$I$3),MONTH(G319),DAY(G319))&gt;tab!$I$3</f>
        <v>#VALUE!</v>
      </c>
      <c r="AJ319" s="1278" t="e">
        <f t="shared" si="129"/>
        <v>#VALUE!</v>
      </c>
      <c r="AK319" s="1199">
        <f t="shared" si="130"/>
        <v>30</v>
      </c>
      <c r="AL319" s="1199">
        <f t="shared" si="131"/>
        <v>30</v>
      </c>
      <c r="AM319" s="1205">
        <f t="shared" si="132"/>
        <v>0</v>
      </c>
      <c r="AS319" s="819"/>
    </row>
    <row r="320" spans="3:45" ht="12.75" customHeight="1" x14ac:dyDescent="0.2">
      <c r="C320" s="135"/>
      <c r="D320" s="432" t="str">
        <f>IF(op!D253=0,"",op!D253)</f>
        <v/>
      </c>
      <c r="E320" s="432" t="str">
        <f>IF(op!E253=0,"-",op!E253)</f>
        <v/>
      </c>
      <c r="F320" s="776" t="str">
        <f>IF(op!F253="","",op!F253+1)</f>
        <v/>
      </c>
      <c r="G320" s="802" t="str">
        <f>IF(op!G253="","",op!G253)</f>
        <v/>
      </c>
      <c r="H320" s="776" t="str">
        <f>IF(op!H253=0,"",op!H253)</f>
        <v/>
      </c>
      <c r="I320" s="433" t="str">
        <f>IF(J320="","",(IF(op!I253+1&gt;LOOKUP(H320,schaal2013,regels2013),op!I253,op!I253+1)))</f>
        <v/>
      </c>
      <c r="J320" s="803" t="str">
        <f>IF(op!J253="","",op!J253)</f>
        <v/>
      </c>
      <c r="K320" s="518"/>
      <c r="L320" s="1207">
        <f>IF(op!L253="","",op!L253)</f>
        <v>0</v>
      </c>
      <c r="M320" s="1207">
        <f>IF(op!M253="","",op!M253)</f>
        <v>0</v>
      </c>
      <c r="N320" s="1209" t="str">
        <f t="shared" si="110"/>
        <v/>
      </c>
      <c r="O320" s="1209" t="str">
        <f t="shared" si="111"/>
        <v/>
      </c>
      <c r="P320" s="1283" t="str">
        <f t="shared" si="112"/>
        <v/>
      </c>
      <c r="Q320" s="518"/>
      <c r="R320" s="1076" t="str">
        <f t="shared" si="126"/>
        <v/>
      </c>
      <c r="S320" s="1076" t="str">
        <f t="shared" si="113"/>
        <v/>
      </c>
      <c r="T320" s="1078" t="str">
        <f t="shared" si="114"/>
        <v/>
      </c>
      <c r="U320" s="599"/>
      <c r="V320" s="1261"/>
      <c r="W320" s="1261"/>
      <c r="X320" s="1218"/>
      <c r="Y320" s="1253" t="e">
        <f>ROUND(VLOOKUP(H320,tab!$A$61:$V$103,I320+2,FALSE),0)</f>
        <v>#VALUE!</v>
      </c>
      <c r="Z320" s="1252">
        <f>tab!$E$48</f>
        <v>0.62</v>
      </c>
      <c r="AA320" s="1284" t="e">
        <f t="shared" si="115"/>
        <v>#VALUE!</v>
      </c>
      <c r="AB320" s="1284" t="e">
        <f t="shared" si="116"/>
        <v>#VALUE!</v>
      </c>
      <c r="AC320" s="1284" t="e">
        <f t="shared" si="117"/>
        <v>#VALUE!</v>
      </c>
      <c r="AD320" s="1286" t="e">
        <f t="shared" si="118"/>
        <v>#VALUE!</v>
      </c>
      <c r="AE320" s="1286">
        <f t="shared" si="119"/>
        <v>0</v>
      </c>
      <c r="AF320" s="1254">
        <f>IF(H320&gt;8,tab!$D$49,tab!$D$52)</f>
        <v>0.5</v>
      </c>
      <c r="AG320" s="1255">
        <f t="shared" si="127"/>
        <v>0</v>
      </c>
      <c r="AH320" s="1251">
        <f t="shared" si="128"/>
        <v>0</v>
      </c>
      <c r="AI320" s="1278" t="e">
        <f>DATE(YEAR(tab!$I$3),MONTH(G320),DAY(G320))&gt;tab!$I$3</f>
        <v>#VALUE!</v>
      </c>
      <c r="AJ320" s="1278" t="e">
        <f t="shared" si="129"/>
        <v>#VALUE!</v>
      </c>
      <c r="AK320" s="1199">
        <f t="shared" si="130"/>
        <v>30</v>
      </c>
      <c r="AL320" s="1199">
        <f t="shared" si="131"/>
        <v>30</v>
      </c>
      <c r="AM320" s="1205">
        <f t="shared" si="132"/>
        <v>0</v>
      </c>
      <c r="AS320" s="819"/>
    </row>
    <row r="321" spans="3:45" ht="12.75" customHeight="1" x14ac:dyDescent="0.2">
      <c r="C321" s="135"/>
      <c r="D321" s="432" t="str">
        <f>IF(op!D254=0,"",op!D254)</f>
        <v/>
      </c>
      <c r="E321" s="432" t="str">
        <f>IF(op!E254=0,"-",op!E254)</f>
        <v/>
      </c>
      <c r="F321" s="776" t="str">
        <f>IF(op!F254="","",op!F254+1)</f>
        <v/>
      </c>
      <c r="G321" s="802" t="str">
        <f>IF(op!G254="","",op!G254)</f>
        <v/>
      </c>
      <c r="H321" s="776" t="str">
        <f>IF(op!H254=0,"",op!H254)</f>
        <v/>
      </c>
      <c r="I321" s="433" t="str">
        <f>IF(J321="","",(IF(op!I254+1&gt;LOOKUP(H321,schaal2013,regels2013),op!I254,op!I254+1)))</f>
        <v/>
      </c>
      <c r="J321" s="803" t="str">
        <f>IF(op!J254="","",op!J254)</f>
        <v/>
      </c>
      <c r="K321" s="518"/>
      <c r="L321" s="1207">
        <f>IF(op!L254="","",op!L254)</f>
        <v>0</v>
      </c>
      <c r="M321" s="1207">
        <f>IF(op!M254="","",op!M254)</f>
        <v>0</v>
      </c>
      <c r="N321" s="1209" t="str">
        <f t="shared" si="110"/>
        <v/>
      </c>
      <c r="O321" s="1209" t="str">
        <f t="shared" si="111"/>
        <v/>
      </c>
      <c r="P321" s="1283" t="str">
        <f t="shared" si="112"/>
        <v/>
      </c>
      <c r="Q321" s="518"/>
      <c r="R321" s="1076" t="str">
        <f t="shared" si="126"/>
        <v/>
      </c>
      <c r="S321" s="1076" t="str">
        <f t="shared" si="113"/>
        <v/>
      </c>
      <c r="T321" s="1078" t="str">
        <f t="shared" si="114"/>
        <v/>
      </c>
      <c r="U321" s="599"/>
      <c r="V321" s="1261"/>
      <c r="W321" s="1261"/>
      <c r="X321" s="1218"/>
      <c r="Y321" s="1253" t="e">
        <f>ROUND(VLOOKUP(H321,tab!$A$61:$V$103,I321+2,FALSE),0)</f>
        <v>#VALUE!</v>
      </c>
      <c r="Z321" s="1252">
        <f>tab!$E$48</f>
        <v>0.62</v>
      </c>
      <c r="AA321" s="1284" t="e">
        <f t="shared" si="115"/>
        <v>#VALUE!</v>
      </c>
      <c r="AB321" s="1284" t="e">
        <f t="shared" si="116"/>
        <v>#VALUE!</v>
      </c>
      <c r="AC321" s="1284" t="e">
        <f t="shared" si="117"/>
        <v>#VALUE!</v>
      </c>
      <c r="AD321" s="1286" t="e">
        <f t="shared" si="118"/>
        <v>#VALUE!</v>
      </c>
      <c r="AE321" s="1286">
        <f t="shared" si="119"/>
        <v>0</v>
      </c>
      <c r="AF321" s="1254">
        <f>IF(H321&gt;8,tab!$D$49,tab!$D$52)</f>
        <v>0.5</v>
      </c>
      <c r="AG321" s="1255">
        <f t="shared" si="127"/>
        <v>0</v>
      </c>
      <c r="AH321" s="1251">
        <f t="shared" si="128"/>
        <v>0</v>
      </c>
      <c r="AI321" s="1278" t="e">
        <f>DATE(YEAR(tab!$I$3),MONTH(G321),DAY(G321))&gt;tab!$I$3</f>
        <v>#VALUE!</v>
      </c>
      <c r="AJ321" s="1278" t="e">
        <f t="shared" si="129"/>
        <v>#VALUE!</v>
      </c>
      <c r="AK321" s="1199">
        <f t="shared" si="130"/>
        <v>30</v>
      </c>
      <c r="AL321" s="1199">
        <f t="shared" si="131"/>
        <v>30</v>
      </c>
      <c r="AM321" s="1205">
        <f t="shared" si="132"/>
        <v>0</v>
      </c>
      <c r="AS321" s="819"/>
    </row>
    <row r="322" spans="3:45" ht="12.75" customHeight="1" x14ac:dyDescent="0.2">
      <c r="C322" s="135"/>
      <c r="D322" s="432" t="str">
        <f>IF(op!D255=0,"",op!D255)</f>
        <v/>
      </c>
      <c r="E322" s="432" t="str">
        <f>IF(op!E255=0,"-",op!E255)</f>
        <v/>
      </c>
      <c r="F322" s="776" t="str">
        <f>IF(op!F255="","",op!F255+1)</f>
        <v/>
      </c>
      <c r="G322" s="802" t="str">
        <f>IF(op!G255="","",op!G255)</f>
        <v/>
      </c>
      <c r="H322" s="776" t="str">
        <f>IF(op!H255=0,"",op!H255)</f>
        <v/>
      </c>
      <c r="I322" s="433" t="str">
        <f>IF(J322="","",(IF(op!I255+1&gt;LOOKUP(H322,schaal2013,regels2013),op!I255,op!I255+1)))</f>
        <v/>
      </c>
      <c r="J322" s="803" t="str">
        <f>IF(op!J255="","",op!J255)</f>
        <v/>
      </c>
      <c r="K322" s="518"/>
      <c r="L322" s="1207">
        <f>IF(op!L255="","",op!L255)</f>
        <v>0</v>
      </c>
      <c r="M322" s="1207">
        <f>IF(op!M255="","",op!M255)</f>
        <v>0</v>
      </c>
      <c r="N322" s="1209" t="str">
        <f t="shared" si="110"/>
        <v/>
      </c>
      <c r="O322" s="1209" t="str">
        <f t="shared" si="111"/>
        <v/>
      </c>
      <c r="P322" s="1283" t="str">
        <f t="shared" si="112"/>
        <v/>
      </c>
      <c r="Q322" s="518"/>
      <c r="R322" s="1076" t="str">
        <f t="shared" si="126"/>
        <v/>
      </c>
      <c r="S322" s="1076" t="str">
        <f t="shared" si="113"/>
        <v/>
      </c>
      <c r="T322" s="1078" t="str">
        <f t="shared" si="114"/>
        <v/>
      </c>
      <c r="U322" s="599"/>
      <c r="V322" s="1261"/>
      <c r="W322" s="1261"/>
      <c r="X322" s="1218"/>
      <c r="Y322" s="1253" t="e">
        <f>ROUND(VLOOKUP(H322,tab!$A$61:$V$103,I322+2,FALSE),0)</f>
        <v>#VALUE!</v>
      </c>
      <c r="Z322" s="1252">
        <f>tab!$E$48</f>
        <v>0.62</v>
      </c>
      <c r="AA322" s="1284" t="e">
        <f t="shared" si="115"/>
        <v>#VALUE!</v>
      </c>
      <c r="AB322" s="1284" t="e">
        <f t="shared" si="116"/>
        <v>#VALUE!</v>
      </c>
      <c r="AC322" s="1284" t="e">
        <f t="shared" si="117"/>
        <v>#VALUE!</v>
      </c>
      <c r="AD322" s="1286" t="e">
        <f t="shared" si="118"/>
        <v>#VALUE!</v>
      </c>
      <c r="AE322" s="1286">
        <f t="shared" si="119"/>
        <v>0</v>
      </c>
      <c r="AF322" s="1254">
        <f>IF(H322&gt;8,tab!$D$49,tab!$D$52)</f>
        <v>0.5</v>
      </c>
      <c r="AG322" s="1255">
        <f t="shared" si="127"/>
        <v>0</v>
      </c>
      <c r="AH322" s="1251">
        <f t="shared" si="128"/>
        <v>0</v>
      </c>
      <c r="AI322" s="1278" t="e">
        <f>DATE(YEAR(tab!$I$3),MONTH(G322),DAY(G322))&gt;tab!$I$3</f>
        <v>#VALUE!</v>
      </c>
      <c r="AJ322" s="1278" t="e">
        <f t="shared" si="129"/>
        <v>#VALUE!</v>
      </c>
      <c r="AK322" s="1199">
        <f t="shared" si="130"/>
        <v>30</v>
      </c>
      <c r="AL322" s="1199">
        <f t="shared" si="131"/>
        <v>30</v>
      </c>
      <c r="AM322" s="1205">
        <f t="shared" si="132"/>
        <v>0</v>
      </c>
      <c r="AS322" s="819"/>
    </row>
    <row r="323" spans="3:45" ht="12.75" customHeight="1" x14ac:dyDescent="0.2">
      <c r="C323" s="135"/>
      <c r="D323" s="432" t="str">
        <f>IF(op!D256=0,"",op!D256)</f>
        <v/>
      </c>
      <c r="E323" s="432" t="str">
        <f>IF(op!E256=0,"-",op!E256)</f>
        <v/>
      </c>
      <c r="F323" s="776" t="str">
        <f>IF(op!F256="","",op!F256+1)</f>
        <v/>
      </c>
      <c r="G323" s="802" t="str">
        <f>IF(op!G256="","",op!G256)</f>
        <v/>
      </c>
      <c r="H323" s="776" t="str">
        <f>IF(op!H256=0,"",op!H256)</f>
        <v/>
      </c>
      <c r="I323" s="433" t="str">
        <f>IF(J323="","",(IF(op!I256+1&gt;LOOKUP(H323,schaal2013,regels2013),op!I256,op!I256+1)))</f>
        <v/>
      </c>
      <c r="J323" s="803" t="str">
        <f>IF(op!J256="","",op!J256)</f>
        <v/>
      </c>
      <c r="K323" s="518"/>
      <c r="L323" s="1207">
        <f>IF(op!L256="","",op!L256)</f>
        <v>0</v>
      </c>
      <c r="M323" s="1207">
        <f>IF(op!M256="","",op!M256)</f>
        <v>0</v>
      </c>
      <c r="N323" s="1209" t="str">
        <f t="shared" si="110"/>
        <v/>
      </c>
      <c r="O323" s="1209" t="str">
        <f t="shared" si="111"/>
        <v/>
      </c>
      <c r="P323" s="1283" t="str">
        <f t="shared" si="112"/>
        <v/>
      </c>
      <c r="Q323" s="518"/>
      <c r="R323" s="1076" t="str">
        <f t="shared" si="126"/>
        <v/>
      </c>
      <c r="S323" s="1076" t="str">
        <f t="shared" si="113"/>
        <v/>
      </c>
      <c r="T323" s="1078" t="str">
        <f t="shared" si="114"/>
        <v/>
      </c>
      <c r="U323" s="599"/>
      <c r="V323" s="1261"/>
      <c r="W323" s="1261"/>
      <c r="X323" s="1218"/>
      <c r="Y323" s="1253" t="e">
        <f>ROUND(VLOOKUP(H323,tab!$A$61:$V$103,I323+2,FALSE),0)</f>
        <v>#VALUE!</v>
      </c>
      <c r="Z323" s="1252">
        <f>tab!$E$48</f>
        <v>0.62</v>
      </c>
      <c r="AA323" s="1284" t="e">
        <f t="shared" si="115"/>
        <v>#VALUE!</v>
      </c>
      <c r="AB323" s="1284" t="e">
        <f t="shared" si="116"/>
        <v>#VALUE!</v>
      </c>
      <c r="AC323" s="1284" t="e">
        <f t="shared" si="117"/>
        <v>#VALUE!</v>
      </c>
      <c r="AD323" s="1286" t="e">
        <f t="shared" si="118"/>
        <v>#VALUE!</v>
      </c>
      <c r="AE323" s="1286">
        <f t="shared" si="119"/>
        <v>0</v>
      </c>
      <c r="AF323" s="1254">
        <f>IF(H323&gt;8,tab!$D$49,tab!$D$52)</f>
        <v>0.5</v>
      </c>
      <c r="AG323" s="1255">
        <f t="shared" si="127"/>
        <v>0</v>
      </c>
      <c r="AH323" s="1251">
        <f t="shared" si="128"/>
        <v>0</v>
      </c>
      <c r="AI323" s="1278" t="e">
        <f>DATE(YEAR(tab!$I$3),MONTH(G323),DAY(G323))&gt;tab!$I$3</f>
        <v>#VALUE!</v>
      </c>
      <c r="AJ323" s="1278" t="e">
        <f t="shared" si="129"/>
        <v>#VALUE!</v>
      </c>
      <c r="AK323" s="1199">
        <f t="shared" si="130"/>
        <v>30</v>
      </c>
      <c r="AL323" s="1199">
        <f t="shared" si="131"/>
        <v>30</v>
      </c>
      <c r="AM323" s="1205">
        <f t="shared" si="132"/>
        <v>0</v>
      </c>
      <c r="AS323" s="819"/>
    </row>
    <row r="324" spans="3:45" ht="12.75" customHeight="1" x14ac:dyDescent="0.2">
      <c r="C324" s="135"/>
      <c r="D324" s="432" t="str">
        <f>IF(op!D257=0,"",op!D257)</f>
        <v/>
      </c>
      <c r="E324" s="432" t="str">
        <f>IF(op!E257=0,"-",op!E257)</f>
        <v/>
      </c>
      <c r="F324" s="776" t="str">
        <f>IF(op!F257="","",op!F257+1)</f>
        <v/>
      </c>
      <c r="G324" s="802" t="str">
        <f>IF(op!G257="","",op!G257)</f>
        <v/>
      </c>
      <c r="H324" s="776" t="str">
        <f>IF(op!H257=0,"",op!H257)</f>
        <v/>
      </c>
      <c r="I324" s="433" t="str">
        <f>IF(J324="","",(IF(op!I257+1&gt;LOOKUP(H324,schaal2013,regels2013),op!I257,op!I257+1)))</f>
        <v/>
      </c>
      <c r="J324" s="803" t="str">
        <f>IF(op!J257="","",op!J257)</f>
        <v/>
      </c>
      <c r="K324" s="518"/>
      <c r="L324" s="1207">
        <f>IF(op!L257="","",op!L257)</f>
        <v>0</v>
      </c>
      <c r="M324" s="1207">
        <f>IF(op!M257="","",op!M257)</f>
        <v>0</v>
      </c>
      <c r="N324" s="1209" t="str">
        <f t="shared" si="110"/>
        <v/>
      </c>
      <c r="O324" s="1209" t="str">
        <f t="shared" si="111"/>
        <v/>
      </c>
      <c r="P324" s="1283" t="str">
        <f t="shared" si="112"/>
        <v/>
      </c>
      <c r="Q324" s="518"/>
      <c r="R324" s="1076" t="str">
        <f t="shared" si="126"/>
        <v/>
      </c>
      <c r="S324" s="1076" t="str">
        <f t="shared" si="113"/>
        <v/>
      </c>
      <c r="T324" s="1078" t="str">
        <f t="shared" si="114"/>
        <v/>
      </c>
      <c r="U324" s="599"/>
      <c r="V324" s="1261"/>
      <c r="W324" s="1261"/>
      <c r="X324" s="1218"/>
      <c r="Y324" s="1253" t="e">
        <f>ROUND(VLOOKUP(H324,tab!$A$61:$V$103,I324+2,FALSE),0)</f>
        <v>#VALUE!</v>
      </c>
      <c r="Z324" s="1252">
        <f>tab!$E$48</f>
        <v>0.62</v>
      </c>
      <c r="AA324" s="1284" t="e">
        <f t="shared" si="115"/>
        <v>#VALUE!</v>
      </c>
      <c r="AB324" s="1284" t="e">
        <f t="shared" si="116"/>
        <v>#VALUE!</v>
      </c>
      <c r="AC324" s="1284" t="e">
        <f t="shared" si="117"/>
        <v>#VALUE!</v>
      </c>
      <c r="AD324" s="1286" t="e">
        <f t="shared" si="118"/>
        <v>#VALUE!</v>
      </c>
      <c r="AE324" s="1286">
        <f t="shared" si="119"/>
        <v>0</v>
      </c>
      <c r="AF324" s="1254">
        <f>IF(H324&gt;8,tab!$D$49,tab!$D$52)</f>
        <v>0.5</v>
      </c>
      <c r="AG324" s="1255">
        <f t="shared" si="127"/>
        <v>0</v>
      </c>
      <c r="AH324" s="1251">
        <f t="shared" si="128"/>
        <v>0</v>
      </c>
      <c r="AI324" s="1278" t="e">
        <f>DATE(YEAR(tab!$I$3),MONTH(G324),DAY(G324))&gt;tab!$I$3</f>
        <v>#VALUE!</v>
      </c>
      <c r="AJ324" s="1278" t="e">
        <f t="shared" si="129"/>
        <v>#VALUE!</v>
      </c>
      <c r="AK324" s="1199">
        <f t="shared" si="130"/>
        <v>30</v>
      </c>
      <c r="AL324" s="1199">
        <f t="shared" si="131"/>
        <v>30</v>
      </c>
      <c r="AM324" s="1205">
        <f t="shared" si="132"/>
        <v>0</v>
      </c>
      <c r="AS324" s="819"/>
    </row>
    <row r="325" spans="3:45" ht="12.75" customHeight="1" x14ac:dyDescent="0.2">
      <c r="C325" s="135"/>
      <c r="D325" s="432" t="str">
        <f>IF(op!D258=0,"",op!D258)</f>
        <v/>
      </c>
      <c r="E325" s="432" t="str">
        <f>IF(op!E258=0,"-",op!E258)</f>
        <v/>
      </c>
      <c r="F325" s="776" t="str">
        <f>IF(op!F258="","",op!F258+1)</f>
        <v/>
      </c>
      <c r="G325" s="802" t="str">
        <f>IF(op!G258="","",op!G258)</f>
        <v/>
      </c>
      <c r="H325" s="776" t="str">
        <f>IF(op!H258=0,"",op!H258)</f>
        <v/>
      </c>
      <c r="I325" s="433" t="str">
        <f>IF(J325="","",(IF(op!I258+1&gt;LOOKUP(H325,schaal2013,regels2013),op!I258,op!I258+1)))</f>
        <v/>
      </c>
      <c r="J325" s="803" t="str">
        <f>IF(op!J258="","",op!J258)</f>
        <v/>
      </c>
      <c r="K325" s="518"/>
      <c r="L325" s="1207">
        <f>IF(op!L258="","",op!L258)</f>
        <v>0</v>
      </c>
      <c r="M325" s="1207">
        <f>IF(op!M258="","",op!M258)</f>
        <v>0</v>
      </c>
      <c r="N325" s="1209" t="str">
        <f t="shared" si="110"/>
        <v/>
      </c>
      <c r="O325" s="1209" t="str">
        <f t="shared" si="111"/>
        <v/>
      </c>
      <c r="P325" s="1283" t="str">
        <f t="shared" si="112"/>
        <v/>
      </c>
      <c r="Q325" s="518"/>
      <c r="R325" s="1076" t="str">
        <f t="shared" si="126"/>
        <v/>
      </c>
      <c r="S325" s="1076" t="str">
        <f t="shared" si="113"/>
        <v/>
      </c>
      <c r="T325" s="1078" t="str">
        <f t="shared" si="114"/>
        <v/>
      </c>
      <c r="U325" s="599"/>
      <c r="V325" s="1261"/>
      <c r="W325" s="1261"/>
      <c r="X325" s="1218"/>
      <c r="Y325" s="1253" t="e">
        <f>ROUND(VLOOKUP(H325,tab!$A$61:$V$103,I325+2,FALSE),0)</f>
        <v>#VALUE!</v>
      </c>
      <c r="Z325" s="1252">
        <f>tab!$E$48</f>
        <v>0.62</v>
      </c>
      <c r="AA325" s="1284" t="e">
        <f t="shared" si="115"/>
        <v>#VALUE!</v>
      </c>
      <c r="AB325" s="1284" t="e">
        <f t="shared" si="116"/>
        <v>#VALUE!</v>
      </c>
      <c r="AC325" s="1284" t="e">
        <f t="shared" si="117"/>
        <v>#VALUE!</v>
      </c>
      <c r="AD325" s="1286" t="e">
        <f t="shared" si="118"/>
        <v>#VALUE!</v>
      </c>
      <c r="AE325" s="1286">
        <f t="shared" si="119"/>
        <v>0</v>
      </c>
      <c r="AF325" s="1254">
        <f>IF(H325&gt;8,tab!$D$49,tab!$D$52)</f>
        <v>0.5</v>
      </c>
      <c r="AG325" s="1255">
        <f t="shared" si="127"/>
        <v>0</v>
      </c>
      <c r="AH325" s="1251">
        <f t="shared" si="128"/>
        <v>0</v>
      </c>
      <c r="AI325" s="1278" t="e">
        <f>DATE(YEAR(tab!$I$3),MONTH(G325),DAY(G325))&gt;tab!$I$3</f>
        <v>#VALUE!</v>
      </c>
      <c r="AJ325" s="1278" t="e">
        <f t="shared" si="129"/>
        <v>#VALUE!</v>
      </c>
      <c r="AK325" s="1199">
        <f t="shared" si="130"/>
        <v>30</v>
      </c>
      <c r="AL325" s="1199">
        <f t="shared" si="131"/>
        <v>30</v>
      </c>
      <c r="AM325" s="1205">
        <f t="shared" si="132"/>
        <v>0</v>
      </c>
      <c r="AS325" s="819"/>
    </row>
    <row r="326" spans="3:45" ht="12.75" customHeight="1" x14ac:dyDescent="0.2">
      <c r="C326" s="135"/>
      <c r="D326" s="432" t="str">
        <f>IF(op!D259=0,"",op!D259)</f>
        <v/>
      </c>
      <c r="E326" s="432" t="str">
        <f>IF(op!E259=0,"-",op!E259)</f>
        <v/>
      </c>
      <c r="F326" s="776" t="str">
        <f>IF(op!F259="","",op!F259+1)</f>
        <v/>
      </c>
      <c r="G326" s="802" t="str">
        <f>IF(op!G259="","",op!G259)</f>
        <v/>
      </c>
      <c r="H326" s="776" t="str">
        <f>IF(op!H259=0,"",op!H259)</f>
        <v/>
      </c>
      <c r="I326" s="433" t="str">
        <f>IF(J326="","",(IF(op!I259+1&gt;LOOKUP(H326,schaal2013,regels2013),op!I259,op!I259+1)))</f>
        <v/>
      </c>
      <c r="J326" s="803" t="str">
        <f>IF(op!J259="","",op!J259)</f>
        <v/>
      </c>
      <c r="K326" s="518"/>
      <c r="L326" s="1207">
        <f>IF(op!L259="","",op!L259)</f>
        <v>0</v>
      </c>
      <c r="M326" s="1207">
        <f>IF(op!M259="","",op!M259)</f>
        <v>0</v>
      </c>
      <c r="N326" s="1209" t="str">
        <f t="shared" si="110"/>
        <v/>
      </c>
      <c r="O326" s="1209" t="str">
        <f t="shared" si="111"/>
        <v/>
      </c>
      <c r="P326" s="1283" t="str">
        <f t="shared" si="112"/>
        <v/>
      </c>
      <c r="Q326" s="518"/>
      <c r="R326" s="1076" t="str">
        <f t="shared" si="126"/>
        <v/>
      </c>
      <c r="S326" s="1076" t="str">
        <f t="shared" si="113"/>
        <v/>
      </c>
      <c r="T326" s="1078" t="str">
        <f t="shared" si="114"/>
        <v/>
      </c>
      <c r="U326" s="599"/>
      <c r="V326" s="1261"/>
      <c r="W326" s="1261"/>
      <c r="X326" s="1218"/>
      <c r="Y326" s="1253" t="e">
        <f>ROUND(VLOOKUP(H326,tab!$A$61:$V$103,I326+2,FALSE),0)</f>
        <v>#VALUE!</v>
      </c>
      <c r="Z326" s="1252">
        <f>tab!$E$48</f>
        <v>0.62</v>
      </c>
      <c r="AA326" s="1284" t="e">
        <f t="shared" si="115"/>
        <v>#VALUE!</v>
      </c>
      <c r="AB326" s="1284" t="e">
        <f t="shared" si="116"/>
        <v>#VALUE!</v>
      </c>
      <c r="AC326" s="1284" t="e">
        <f t="shared" si="117"/>
        <v>#VALUE!</v>
      </c>
      <c r="AD326" s="1286" t="e">
        <f t="shared" si="118"/>
        <v>#VALUE!</v>
      </c>
      <c r="AE326" s="1286">
        <f t="shared" si="119"/>
        <v>0</v>
      </c>
      <c r="AF326" s="1254">
        <f>IF(H326&gt;8,tab!$D$49,tab!$D$52)</f>
        <v>0.5</v>
      </c>
      <c r="AG326" s="1255">
        <f t="shared" si="127"/>
        <v>0</v>
      </c>
      <c r="AH326" s="1251">
        <f t="shared" si="128"/>
        <v>0</v>
      </c>
      <c r="AI326" s="1278" t="e">
        <f>DATE(YEAR(tab!$I$3),MONTH(G326),DAY(G326))&gt;tab!$I$3</f>
        <v>#VALUE!</v>
      </c>
      <c r="AJ326" s="1278" t="e">
        <f t="shared" si="129"/>
        <v>#VALUE!</v>
      </c>
      <c r="AK326" s="1199">
        <f t="shared" si="130"/>
        <v>30</v>
      </c>
      <c r="AL326" s="1199">
        <f t="shared" si="131"/>
        <v>30</v>
      </c>
      <c r="AM326" s="1205">
        <f t="shared" si="132"/>
        <v>0</v>
      </c>
      <c r="AS326" s="819"/>
    </row>
    <row r="327" spans="3:45" ht="12.75" customHeight="1" x14ac:dyDescent="0.2">
      <c r="C327" s="135"/>
      <c r="D327" s="432" t="str">
        <f>IF(op!D260=0,"",op!D260)</f>
        <v/>
      </c>
      <c r="E327" s="432" t="str">
        <f>IF(op!E260=0,"-",op!E260)</f>
        <v/>
      </c>
      <c r="F327" s="776" t="str">
        <f>IF(op!F260="","",op!F260+1)</f>
        <v/>
      </c>
      <c r="G327" s="802" t="str">
        <f>IF(op!G260="","",op!G260)</f>
        <v/>
      </c>
      <c r="H327" s="776" t="str">
        <f>IF(op!H260=0,"",op!H260)</f>
        <v/>
      </c>
      <c r="I327" s="433" t="str">
        <f>IF(J327="","",(IF(op!I260+1&gt;LOOKUP(H327,schaal2013,regels2013),op!I260,op!I260+1)))</f>
        <v/>
      </c>
      <c r="J327" s="803" t="str">
        <f>IF(op!J260="","",op!J260)</f>
        <v/>
      </c>
      <c r="K327" s="518"/>
      <c r="L327" s="1207">
        <f>IF(op!L260="","",op!L260)</f>
        <v>0</v>
      </c>
      <c r="M327" s="1207">
        <f>IF(op!M260="","",op!M260)</f>
        <v>0</v>
      </c>
      <c r="N327" s="1209" t="str">
        <f t="shared" si="110"/>
        <v/>
      </c>
      <c r="O327" s="1209" t="str">
        <f t="shared" si="111"/>
        <v/>
      </c>
      <c r="P327" s="1283" t="str">
        <f t="shared" si="112"/>
        <v/>
      </c>
      <c r="Q327" s="518"/>
      <c r="R327" s="1076" t="str">
        <f t="shared" si="126"/>
        <v/>
      </c>
      <c r="S327" s="1076" t="str">
        <f t="shared" si="113"/>
        <v/>
      </c>
      <c r="T327" s="1078" t="str">
        <f t="shared" si="114"/>
        <v/>
      </c>
      <c r="U327" s="599"/>
      <c r="V327" s="1261"/>
      <c r="W327" s="1261"/>
      <c r="X327" s="1218"/>
      <c r="Y327" s="1253" t="e">
        <f>ROUND(VLOOKUP(H327,tab!$A$61:$V$103,I327+2,FALSE),0)</f>
        <v>#VALUE!</v>
      </c>
      <c r="Z327" s="1252">
        <f>tab!$E$48</f>
        <v>0.62</v>
      </c>
      <c r="AA327" s="1284" t="e">
        <f t="shared" si="115"/>
        <v>#VALUE!</v>
      </c>
      <c r="AB327" s="1284" t="e">
        <f t="shared" si="116"/>
        <v>#VALUE!</v>
      </c>
      <c r="AC327" s="1284" t="e">
        <f t="shared" si="117"/>
        <v>#VALUE!</v>
      </c>
      <c r="AD327" s="1286" t="e">
        <f t="shared" si="118"/>
        <v>#VALUE!</v>
      </c>
      <c r="AE327" s="1286">
        <f t="shared" si="119"/>
        <v>0</v>
      </c>
      <c r="AF327" s="1254">
        <f>IF(H327&gt;8,tab!$D$49,tab!$D$52)</f>
        <v>0.5</v>
      </c>
      <c r="AG327" s="1255">
        <f t="shared" si="127"/>
        <v>0</v>
      </c>
      <c r="AH327" s="1251">
        <f t="shared" si="128"/>
        <v>0</v>
      </c>
      <c r="AI327" s="1278" t="e">
        <f>DATE(YEAR(tab!$I$3),MONTH(G327),DAY(G327))&gt;tab!$I$3</f>
        <v>#VALUE!</v>
      </c>
      <c r="AJ327" s="1278" t="e">
        <f t="shared" si="129"/>
        <v>#VALUE!</v>
      </c>
      <c r="AK327" s="1199">
        <f t="shared" si="130"/>
        <v>30</v>
      </c>
      <c r="AL327" s="1199">
        <f t="shared" si="131"/>
        <v>30</v>
      </c>
      <c r="AM327" s="1205">
        <f t="shared" si="132"/>
        <v>0</v>
      </c>
      <c r="AS327" s="819"/>
    </row>
    <row r="328" spans="3:45" ht="12.75" customHeight="1" x14ac:dyDescent="0.2">
      <c r="C328" s="135"/>
      <c r="D328" s="432" t="str">
        <f>IF(op!D261=0,"",op!D261)</f>
        <v/>
      </c>
      <c r="E328" s="432" t="str">
        <f>IF(op!E261=0,"-",op!E261)</f>
        <v/>
      </c>
      <c r="F328" s="776" t="str">
        <f>IF(op!F261="","",op!F261+1)</f>
        <v/>
      </c>
      <c r="G328" s="802" t="str">
        <f>IF(op!G261="","",op!G261)</f>
        <v/>
      </c>
      <c r="H328" s="776" t="str">
        <f>IF(op!H261=0,"",op!H261)</f>
        <v/>
      </c>
      <c r="I328" s="433" t="str">
        <f>IF(J328="","",(IF(op!I261+1&gt;LOOKUP(H328,schaal2013,regels2013),op!I261,op!I261+1)))</f>
        <v/>
      </c>
      <c r="J328" s="803" t="str">
        <f>IF(op!J261="","",op!J261)</f>
        <v/>
      </c>
      <c r="K328" s="518"/>
      <c r="L328" s="1207">
        <f>IF(op!L261="","",op!L261)</f>
        <v>0</v>
      </c>
      <c r="M328" s="1207">
        <f>IF(op!M261="","",op!M261)</f>
        <v>0</v>
      </c>
      <c r="N328" s="1209" t="str">
        <f t="shared" si="110"/>
        <v/>
      </c>
      <c r="O328" s="1209" t="str">
        <f t="shared" si="111"/>
        <v/>
      </c>
      <c r="P328" s="1283" t="str">
        <f t="shared" si="112"/>
        <v/>
      </c>
      <c r="Q328" s="518"/>
      <c r="R328" s="1076" t="str">
        <f t="shared" si="126"/>
        <v/>
      </c>
      <c r="S328" s="1076" t="str">
        <f t="shared" si="113"/>
        <v/>
      </c>
      <c r="T328" s="1078" t="str">
        <f t="shared" si="114"/>
        <v/>
      </c>
      <c r="U328" s="599"/>
      <c r="V328" s="1261"/>
      <c r="W328" s="1261"/>
      <c r="X328" s="1218"/>
      <c r="Y328" s="1253" t="e">
        <f>ROUND(VLOOKUP(H328,tab!$A$61:$V$103,I328+2,FALSE),0)</f>
        <v>#VALUE!</v>
      </c>
      <c r="Z328" s="1252">
        <f>tab!$E$48</f>
        <v>0.62</v>
      </c>
      <c r="AA328" s="1284" t="e">
        <f t="shared" si="115"/>
        <v>#VALUE!</v>
      </c>
      <c r="AB328" s="1284" t="e">
        <f t="shared" si="116"/>
        <v>#VALUE!</v>
      </c>
      <c r="AC328" s="1284" t="e">
        <f t="shared" si="117"/>
        <v>#VALUE!</v>
      </c>
      <c r="AD328" s="1286" t="e">
        <f t="shared" si="118"/>
        <v>#VALUE!</v>
      </c>
      <c r="AE328" s="1286">
        <f t="shared" si="119"/>
        <v>0</v>
      </c>
      <c r="AF328" s="1254">
        <f>IF(H328&gt;8,tab!$D$49,tab!$D$52)</f>
        <v>0.5</v>
      </c>
      <c r="AG328" s="1255">
        <f t="shared" si="127"/>
        <v>0</v>
      </c>
      <c r="AH328" s="1251">
        <f t="shared" si="128"/>
        <v>0</v>
      </c>
      <c r="AI328" s="1278" t="e">
        <f>DATE(YEAR(tab!$I$3),MONTH(G328),DAY(G328))&gt;tab!$I$3</f>
        <v>#VALUE!</v>
      </c>
      <c r="AJ328" s="1278" t="e">
        <f t="shared" si="129"/>
        <v>#VALUE!</v>
      </c>
      <c r="AK328" s="1199">
        <f t="shared" si="130"/>
        <v>30</v>
      </c>
      <c r="AL328" s="1199">
        <f t="shared" si="131"/>
        <v>30</v>
      </c>
      <c r="AM328" s="1205">
        <f t="shared" si="132"/>
        <v>0</v>
      </c>
      <c r="AS328" s="819"/>
    </row>
    <row r="329" spans="3:45" ht="12.75" customHeight="1" x14ac:dyDescent="0.2">
      <c r="C329" s="135"/>
      <c r="D329" s="432" t="str">
        <f>IF(op!D262=0,"",op!D262)</f>
        <v/>
      </c>
      <c r="E329" s="432" t="str">
        <f>IF(op!E262=0,"-",op!E262)</f>
        <v/>
      </c>
      <c r="F329" s="776" t="str">
        <f>IF(op!F262="","",op!F262+1)</f>
        <v/>
      </c>
      <c r="G329" s="802" t="str">
        <f>IF(op!G262="","",op!G262)</f>
        <v/>
      </c>
      <c r="H329" s="776" t="str">
        <f>IF(op!H262=0,"",op!H262)</f>
        <v/>
      </c>
      <c r="I329" s="433" t="str">
        <f>IF(J329="","",(IF(op!I262+1&gt;LOOKUP(H329,schaal2013,regels2013),op!I262,op!I262+1)))</f>
        <v/>
      </c>
      <c r="J329" s="803" t="str">
        <f>IF(op!J262="","",op!J262)</f>
        <v/>
      </c>
      <c r="K329" s="518"/>
      <c r="L329" s="1207">
        <f>IF(op!L262="","",op!L262)</f>
        <v>0</v>
      </c>
      <c r="M329" s="1207">
        <f>IF(op!M262="","",op!M262)</f>
        <v>0</v>
      </c>
      <c r="N329" s="1209" t="str">
        <f t="shared" si="110"/>
        <v/>
      </c>
      <c r="O329" s="1209" t="str">
        <f t="shared" si="111"/>
        <v/>
      </c>
      <c r="P329" s="1283" t="str">
        <f t="shared" si="112"/>
        <v/>
      </c>
      <c r="Q329" s="518"/>
      <c r="R329" s="1076" t="str">
        <f t="shared" si="126"/>
        <v/>
      </c>
      <c r="S329" s="1076" t="str">
        <f t="shared" si="113"/>
        <v/>
      </c>
      <c r="T329" s="1078" t="str">
        <f t="shared" si="114"/>
        <v/>
      </c>
      <c r="U329" s="599"/>
      <c r="V329" s="1261"/>
      <c r="W329" s="1261"/>
      <c r="X329" s="1218"/>
      <c r="Y329" s="1253" t="e">
        <f>ROUND(VLOOKUP(H329,tab!$A$61:$V$103,I329+2,FALSE),0)</f>
        <v>#VALUE!</v>
      </c>
      <c r="Z329" s="1252">
        <f>tab!$E$48</f>
        <v>0.62</v>
      </c>
      <c r="AA329" s="1284" t="e">
        <f t="shared" si="115"/>
        <v>#VALUE!</v>
      </c>
      <c r="AB329" s="1284" t="e">
        <f t="shared" si="116"/>
        <v>#VALUE!</v>
      </c>
      <c r="AC329" s="1284" t="e">
        <f t="shared" si="117"/>
        <v>#VALUE!</v>
      </c>
      <c r="AD329" s="1286" t="e">
        <f t="shared" si="118"/>
        <v>#VALUE!</v>
      </c>
      <c r="AE329" s="1286">
        <f t="shared" si="119"/>
        <v>0</v>
      </c>
      <c r="AF329" s="1254">
        <f>IF(H329&gt;8,tab!$D$49,tab!$D$52)</f>
        <v>0.5</v>
      </c>
      <c r="AG329" s="1255">
        <f t="shared" si="127"/>
        <v>0</v>
      </c>
      <c r="AH329" s="1251">
        <f t="shared" si="128"/>
        <v>0</v>
      </c>
      <c r="AI329" s="1278" t="e">
        <f>DATE(YEAR(tab!$I$3),MONTH(G329),DAY(G329))&gt;tab!$I$3</f>
        <v>#VALUE!</v>
      </c>
      <c r="AJ329" s="1278" t="e">
        <f t="shared" si="129"/>
        <v>#VALUE!</v>
      </c>
      <c r="AK329" s="1199">
        <f t="shared" si="130"/>
        <v>30</v>
      </c>
      <c r="AL329" s="1199">
        <f t="shared" si="131"/>
        <v>30</v>
      </c>
      <c r="AM329" s="1205">
        <f t="shared" si="132"/>
        <v>0</v>
      </c>
      <c r="AS329" s="819"/>
    </row>
    <row r="330" spans="3:45" ht="12.75" customHeight="1" x14ac:dyDescent="0.2">
      <c r="C330" s="135"/>
      <c r="D330" s="432" t="str">
        <f>IF(op!D263=0,"",op!D263)</f>
        <v/>
      </c>
      <c r="E330" s="432" t="str">
        <f>IF(op!E263=0,"-",op!E263)</f>
        <v/>
      </c>
      <c r="F330" s="776" t="str">
        <f>IF(op!F263="","",op!F263+1)</f>
        <v/>
      </c>
      <c r="G330" s="802" t="str">
        <f>IF(op!G263="","",op!G263)</f>
        <v/>
      </c>
      <c r="H330" s="776" t="str">
        <f>IF(op!H263=0,"",op!H263)</f>
        <v/>
      </c>
      <c r="I330" s="433" t="str">
        <f>IF(J330="","",(IF(op!I263+1&gt;LOOKUP(H330,schaal2013,regels2013),op!I263,op!I263+1)))</f>
        <v/>
      </c>
      <c r="J330" s="803" t="str">
        <f>IF(op!J263="","",op!J263)</f>
        <v/>
      </c>
      <c r="K330" s="518"/>
      <c r="L330" s="1207">
        <f>IF(op!L263="","",op!L263)</f>
        <v>0</v>
      </c>
      <c r="M330" s="1207">
        <f>IF(op!M263="","",op!M263)</f>
        <v>0</v>
      </c>
      <c r="N330" s="1209" t="str">
        <f t="shared" si="110"/>
        <v/>
      </c>
      <c r="O330" s="1209" t="str">
        <f t="shared" si="111"/>
        <v/>
      </c>
      <c r="P330" s="1283" t="str">
        <f t="shared" si="112"/>
        <v/>
      </c>
      <c r="Q330" s="518"/>
      <c r="R330" s="1076" t="str">
        <f t="shared" si="126"/>
        <v/>
      </c>
      <c r="S330" s="1076" t="str">
        <f t="shared" si="113"/>
        <v/>
      </c>
      <c r="T330" s="1078" t="str">
        <f t="shared" si="114"/>
        <v/>
      </c>
      <c r="U330" s="599"/>
      <c r="V330" s="1261"/>
      <c r="W330" s="1261"/>
      <c r="X330" s="1218"/>
      <c r="Y330" s="1253" t="e">
        <f>ROUND(VLOOKUP(H330,tab!$A$61:$V$103,I330+2,FALSE),0)</f>
        <v>#VALUE!</v>
      </c>
      <c r="Z330" s="1252">
        <f>tab!$E$48</f>
        <v>0.62</v>
      </c>
      <c r="AA330" s="1284" t="e">
        <f t="shared" si="115"/>
        <v>#VALUE!</v>
      </c>
      <c r="AB330" s="1284" t="e">
        <f t="shared" si="116"/>
        <v>#VALUE!</v>
      </c>
      <c r="AC330" s="1284" t="e">
        <f t="shared" si="117"/>
        <v>#VALUE!</v>
      </c>
      <c r="AD330" s="1286" t="e">
        <f t="shared" si="118"/>
        <v>#VALUE!</v>
      </c>
      <c r="AE330" s="1286">
        <f t="shared" si="119"/>
        <v>0</v>
      </c>
      <c r="AF330" s="1254">
        <f>IF(H330&gt;8,tab!$D$49,tab!$D$52)</f>
        <v>0.5</v>
      </c>
      <c r="AG330" s="1255">
        <f t="shared" si="127"/>
        <v>0</v>
      </c>
      <c r="AH330" s="1251">
        <f t="shared" si="128"/>
        <v>0</v>
      </c>
      <c r="AI330" s="1278" t="e">
        <f>DATE(YEAR(tab!$I$3),MONTH(G330),DAY(G330))&gt;tab!$I$3</f>
        <v>#VALUE!</v>
      </c>
      <c r="AJ330" s="1278" t="e">
        <f t="shared" si="129"/>
        <v>#VALUE!</v>
      </c>
      <c r="AK330" s="1199">
        <f t="shared" si="130"/>
        <v>30</v>
      </c>
      <c r="AL330" s="1199">
        <f t="shared" si="131"/>
        <v>30</v>
      </c>
      <c r="AM330" s="1205">
        <f t="shared" si="132"/>
        <v>0</v>
      </c>
      <c r="AS330" s="819"/>
    </row>
    <row r="331" spans="3:45" ht="12.75" customHeight="1" x14ac:dyDescent="0.2">
      <c r="C331" s="135"/>
      <c r="D331" s="432" t="str">
        <f>IF(op!D264=0,"",op!D264)</f>
        <v/>
      </c>
      <c r="E331" s="432" t="str">
        <f>IF(op!E264=0,"-",op!E264)</f>
        <v/>
      </c>
      <c r="F331" s="776" t="str">
        <f>IF(op!F264="","",op!F264+1)</f>
        <v/>
      </c>
      <c r="G331" s="802" t="str">
        <f>IF(op!G264="","",op!G264)</f>
        <v/>
      </c>
      <c r="H331" s="776" t="str">
        <f>IF(op!H264=0,"",op!H264)</f>
        <v/>
      </c>
      <c r="I331" s="433" t="str">
        <f>IF(J331="","",(IF(op!I264+1&gt;LOOKUP(H331,schaal2013,regels2013),op!I264,op!I264+1)))</f>
        <v/>
      </c>
      <c r="J331" s="803" t="str">
        <f>IF(op!J264="","",op!J264)</f>
        <v/>
      </c>
      <c r="K331" s="518"/>
      <c r="L331" s="1207">
        <f>IF(op!L264="","",op!L264)</f>
        <v>0</v>
      </c>
      <c r="M331" s="1207">
        <f>IF(op!M264="","",op!M264)</f>
        <v>0</v>
      </c>
      <c r="N331" s="1209" t="str">
        <f t="shared" si="110"/>
        <v/>
      </c>
      <c r="O331" s="1209" t="str">
        <f t="shared" si="111"/>
        <v/>
      </c>
      <c r="P331" s="1283" t="str">
        <f t="shared" si="112"/>
        <v/>
      </c>
      <c r="Q331" s="518"/>
      <c r="R331" s="1076" t="str">
        <f t="shared" si="126"/>
        <v/>
      </c>
      <c r="S331" s="1076" t="str">
        <f t="shared" si="113"/>
        <v/>
      </c>
      <c r="T331" s="1078" t="str">
        <f t="shared" si="114"/>
        <v/>
      </c>
      <c r="U331" s="599"/>
      <c r="V331" s="1261"/>
      <c r="W331" s="1261"/>
      <c r="X331" s="1218"/>
      <c r="Y331" s="1253" t="e">
        <f>ROUND(VLOOKUP(H331,tab!$A$61:$V$103,I331+2,FALSE),0)</f>
        <v>#VALUE!</v>
      </c>
      <c r="Z331" s="1252">
        <f>tab!$E$48</f>
        <v>0.62</v>
      </c>
      <c r="AA331" s="1284" t="e">
        <f t="shared" si="115"/>
        <v>#VALUE!</v>
      </c>
      <c r="AB331" s="1284" t="e">
        <f t="shared" si="116"/>
        <v>#VALUE!</v>
      </c>
      <c r="AC331" s="1284" t="e">
        <f t="shared" si="117"/>
        <v>#VALUE!</v>
      </c>
      <c r="AD331" s="1286" t="e">
        <f t="shared" si="118"/>
        <v>#VALUE!</v>
      </c>
      <c r="AE331" s="1286">
        <f t="shared" si="119"/>
        <v>0</v>
      </c>
      <c r="AF331" s="1254">
        <f>IF(H331&gt;8,tab!$D$49,tab!$D$52)</f>
        <v>0.5</v>
      </c>
      <c r="AG331" s="1255">
        <f t="shared" si="127"/>
        <v>0</v>
      </c>
      <c r="AH331" s="1251">
        <f t="shared" si="128"/>
        <v>0</v>
      </c>
      <c r="AI331" s="1278" t="e">
        <f>DATE(YEAR(tab!$I$3),MONTH(G331),DAY(G331))&gt;tab!$I$3</f>
        <v>#VALUE!</v>
      </c>
      <c r="AJ331" s="1278" t="e">
        <f t="shared" si="129"/>
        <v>#VALUE!</v>
      </c>
      <c r="AK331" s="1199">
        <f t="shared" si="130"/>
        <v>30</v>
      </c>
      <c r="AL331" s="1199">
        <f t="shared" si="131"/>
        <v>30</v>
      </c>
      <c r="AM331" s="1205">
        <f t="shared" si="132"/>
        <v>0</v>
      </c>
      <c r="AS331" s="819"/>
    </row>
    <row r="332" spans="3:45" ht="12.75" customHeight="1" x14ac:dyDescent="0.2">
      <c r="C332" s="135"/>
      <c r="D332" s="432" t="str">
        <f>IF(op!D265=0,"",op!D265)</f>
        <v/>
      </c>
      <c r="E332" s="432" t="str">
        <f>IF(op!E265=0,"-",op!E265)</f>
        <v/>
      </c>
      <c r="F332" s="776" t="str">
        <f>IF(op!F265="","",op!F265+1)</f>
        <v/>
      </c>
      <c r="G332" s="802" t="str">
        <f>IF(op!G265="","",op!G265)</f>
        <v/>
      </c>
      <c r="H332" s="776" t="str">
        <f>IF(op!H265=0,"",op!H265)</f>
        <v/>
      </c>
      <c r="I332" s="433" t="str">
        <f>IF(J332="","",(IF(op!I265+1&gt;LOOKUP(H332,schaal2013,regels2013),op!I265,op!I265+1)))</f>
        <v/>
      </c>
      <c r="J332" s="803" t="str">
        <f>IF(op!J265="","",op!J265)</f>
        <v/>
      </c>
      <c r="K332" s="518"/>
      <c r="L332" s="1207">
        <f>IF(op!L265="","",op!L265)</f>
        <v>0</v>
      </c>
      <c r="M332" s="1207">
        <f>IF(op!M265="","",op!M265)</f>
        <v>0</v>
      </c>
      <c r="N332" s="1209" t="str">
        <f t="shared" si="110"/>
        <v/>
      </c>
      <c r="O332" s="1209" t="str">
        <f t="shared" si="111"/>
        <v/>
      </c>
      <c r="P332" s="1283" t="str">
        <f t="shared" si="112"/>
        <v/>
      </c>
      <c r="Q332" s="518"/>
      <c r="R332" s="1076" t="str">
        <f t="shared" si="126"/>
        <v/>
      </c>
      <c r="S332" s="1076" t="str">
        <f t="shared" si="113"/>
        <v/>
      </c>
      <c r="T332" s="1078" t="str">
        <f t="shared" si="114"/>
        <v/>
      </c>
      <c r="U332" s="599"/>
      <c r="V332" s="1261"/>
      <c r="W332" s="1261"/>
      <c r="X332" s="1218"/>
      <c r="Y332" s="1253" t="e">
        <f>ROUND(VLOOKUP(H332,tab!$A$61:$V$103,I332+2,FALSE),0)</f>
        <v>#VALUE!</v>
      </c>
      <c r="Z332" s="1252">
        <f>tab!$E$48</f>
        <v>0.62</v>
      </c>
      <c r="AA332" s="1284" t="e">
        <f t="shared" si="115"/>
        <v>#VALUE!</v>
      </c>
      <c r="AB332" s="1284" t="e">
        <f t="shared" si="116"/>
        <v>#VALUE!</v>
      </c>
      <c r="AC332" s="1284" t="e">
        <f t="shared" si="117"/>
        <v>#VALUE!</v>
      </c>
      <c r="AD332" s="1286" t="e">
        <f t="shared" si="118"/>
        <v>#VALUE!</v>
      </c>
      <c r="AE332" s="1286">
        <f t="shared" si="119"/>
        <v>0</v>
      </c>
      <c r="AF332" s="1254">
        <f>IF(H332&gt;8,tab!$D$49,tab!$D$52)</f>
        <v>0.5</v>
      </c>
      <c r="AG332" s="1255">
        <f t="shared" si="127"/>
        <v>0</v>
      </c>
      <c r="AH332" s="1251">
        <f t="shared" si="128"/>
        <v>0</v>
      </c>
      <c r="AI332" s="1278" t="e">
        <f>DATE(YEAR(tab!$I$3),MONTH(G332),DAY(G332))&gt;tab!$I$3</f>
        <v>#VALUE!</v>
      </c>
      <c r="AJ332" s="1278" t="e">
        <f t="shared" si="129"/>
        <v>#VALUE!</v>
      </c>
      <c r="AK332" s="1199">
        <f t="shared" si="130"/>
        <v>30</v>
      </c>
      <c r="AL332" s="1199">
        <f t="shared" si="131"/>
        <v>30</v>
      </c>
      <c r="AM332" s="1205">
        <f t="shared" si="132"/>
        <v>0</v>
      </c>
      <c r="AS332" s="819"/>
    </row>
    <row r="333" spans="3:45" ht="12.75" customHeight="1" x14ac:dyDescent="0.2">
      <c r="C333" s="135"/>
      <c r="D333" s="432" t="str">
        <f>IF(op!D266=0,"",op!D266)</f>
        <v/>
      </c>
      <c r="E333" s="432" t="str">
        <f>IF(op!E266=0,"-",op!E266)</f>
        <v/>
      </c>
      <c r="F333" s="776" t="str">
        <f>IF(op!F266="","",op!F266+1)</f>
        <v/>
      </c>
      <c r="G333" s="802" t="str">
        <f>IF(op!G266="","",op!G266)</f>
        <v/>
      </c>
      <c r="H333" s="776" t="str">
        <f>IF(op!H266=0,"",op!H266)</f>
        <v/>
      </c>
      <c r="I333" s="433" t="str">
        <f>IF(J333="","",(IF(op!I266+1&gt;LOOKUP(H333,schaal2013,regels2013),op!I266,op!I266+1)))</f>
        <v/>
      </c>
      <c r="J333" s="803" t="str">
        <f>IF(op!J266="","",op!J266)</f>
        <v/>
      </c>
      <c r="K333" s="518"/>
      <c r="L333" s="1207">
        <f>IF(op!L266="","",op!L266)</f>
        <v>0</v>
      </c>
      <c r="M333" s="1207">
        <f>IF(op!M266="","",op!M266)</f>
        <v>0</v>
      </c>
      <c r="N333" s="1209" t="str">
        <f t="shared" si="110"/>
        <v/>
      </c>
      <c r="O333" s="1209" t="str">
        <f t="shared" si="111"/>
        <v/>
      </c>
      <c r="P333" s="1283" t="str">
        <f t="shared" si="112"/>
        <v/>
      </c>
      <c r="Q333" s="518"/>
      <c r="R333" s="1076" t="str">
        <f t="shared" si="126"/>
        <v/>
      </c>
      <c r="S333" s="1076" t="str">
        <f t="shared" si="113"/>
        <v/>
      </c>
      <c r="T333" s="1078" t="str">
        <f t="shared" si="114"/>
        <v/>
      </c>
      <c r="U333" s="599"/>
      <c r="V333" s="1261"/>
      <c r="W333" s="1261"/>
      <c r="X333" s="1218"/>
      <c r="Y333" s="1253" t="e">
        <f>ROUND(VLOOKUP(H333,tab!$A$61:$V$103,I333+2,FALSE),0)</f>
        <v>#VALUE!</v>
      </c>
      <c r="Z333" s="1252">
        <f>tab!$E$48</f>
        <v>0.62</v>
      </c>
      <c r="AA333" s="1284" t="e">
        <f t="shared" si="115"/>
        <v>#VALUE!</v>
      </c>
      <c r="AB333" s="1284" t="e">
        <f t="shared" si="116"/>
        <v>#VALUE!</v>
      </c>
      <c r="AC333" s="1284" t="e">
        <f t="shared" si="117"/>
        <v>#VALUE!</v>
      </c>
      <c r="AD333" s="1286" t="e">
        <f t="shared" si="118"/>
        <v>#VALUE!</v>
      </c>
      <c r="AE333" s="1286">
        <f t="shared" si="119"/>
        <v>0</v>
      </c>
      <c r="AF333" s="1254">
        <f>IF(H333&gt;8,tab!$D$49,tab!$D$52)</f>
        <v>0.5</v>
      </c>
      <c r="AG333" s="1255">
        <f t="shared" si="127"/>
        <v>0</v>
      </c>
      <c r="AH333" s="1251">
        <f t="shared" si="128"/>
        <v>0</v>
      </c>
      <c r="AI333" s="1278" t="e">
        <f>DATE(YEAR(tab!$I$3),MONTH(G333),DAY(G333))&gt;tab!$I$3</f>
        <v>#VALUE!</v>
      </c>
      <c r="AJ333" s="1278" t="e">
        <f t="shared" si="129"/>
        <v>#VALUE!</v>
      </c>
      <c r="AK333" s="1199">
        <f t="shared" si="130"/>
        <v>30</v>
      </c>
      <c r="AL333" s="1199">
        <f t="shared" si="131"/>
        <v>30</v>
      </c>
      <c r="AM333" s="1205">
        <f t="shared" si="132"/>
        <v>0</v>
      </c>
      <c r="AS333" s="819"/>
    </row>
    <row r="334" spans="3:45" ht="12.75" customHeight="1" x14ac:dyDescent="0.2">
      <c r="C334" s="135"/>
      <c r="D334" s="432" t="str">
        <f>IF(op!D267=0,"",op!D267)</f>
        <v/>
      </c>
      <c r="E334" s="432" t="str">
        <f>IF(op!E267=0,"-",op!E267)</f>
        <v/>
      </c>
      <c r="F334" s="776" t="str">
        <f>IF(op!F267="","",op!F267+1)</f>
        <v/>
      </c>
      <c r="G334" s="802" t="str">
        <f>IF(op!G267="","",op!G267)</f>
        <v/>
      </c>
      <c r="H334" s="776" t="str">
        <f>IF(op!H267=0,"",op!H267)</f>
        <v/>
      </c>
      <c r="I334" s="433" t="str">
        <f>IF(J334="","",(IF(op!I267+1&gt;LOOKUP(H334,schaal2013,regels2013),op!I267,op!I267+1)))</f>
        <v/>
      </c>
      <c r="J334" s="803" t="str">
        <f>IF(op!J267="","",op!J267)</f>
        <v/>
      </c>
      <c r="K334" s="518"/>
      <c r="L334" s="1207">
        <f>IF(op!L267="","",op!L267)</f>
        <v>0</v>
      </c>
      <c r="M334" s="1207">
        <f>IF(op!M267="","",op!M267)</f>
        <v>0</v>
      </c>
      <c r="N334" s="1209" t="str">
        <f t="shared" si="110"/>
        <v/>
      </c>
      <c r="O334" s="1209" t="str">
        <f t="shared" si="111"/>
        <v/>
      </c>
      <c r="P334" s="1283" t="str">
        <f t="shared" si="112"/>
        <v/>
      </c>
      <c r="Q334" s="518"/>
      <c r="R334" s="1076" t="str">
        <f t="shared" si="126"/>
        <v/>
      </c>
      <c r="S334" s="1076" t="str">
        <f t="shared" si="113"/>
        <v/>
      </c>
      <c r="T334" s="1078" t="str">
        <f t="shared" si="114"/>
        <v/>
      </c>
      <c r="U334" s="599"/>
      <c r="V334" s="1261"/>
      <c r="W334" s="1261"/>
      <c r="X334" s="1218"/>
      <c r="Y334" s="1253" t="e">
        <f>ROUND(VLOOKUP(H334,tab!$A$61:$V$103,I334+2,FALSE),0)</f>
        <v>#VALUE!</v>
      </c>
      <c r="Z334" s="1252">
        <f>tab!$E$48</f>
        <v>0.62</v>
      </c>
      <c r="AA334" s="1284" t="e">
        <f t="shared" si="115"/>
        <v>#VALUE!</v>
      </c>
      <c r="AB334" s="1284" t="e">
        <f t="shared" si="116"/>
        <v>#VALUE!</v>
      </c>
      <c r="AC334" s="1284" t="e">
        <f t="shared" si="117"/>
        <v>#VALUE!</v>
      </c>
      <c r="AD334" s="1286" t="e">
        <f t="shared" si="118"/>
        <v>#VALUE!</v>
      </c>
      <c r="AE334" s="1286">
        <f t="shared" si="119"/>
        <v>0</v>
      </c>
      <c r="AF334" s="1254">
        <f>IF(H334&gt;8,tab!$D$49,tab!$D$52)</f>
        <v>0.5</v>
      </c>
      <c r="AG334" s="1255">
        <f t="shared" si="127"/>
        <v>0</v>
      </c>
      <c r="AH334" s="1251">
        <f t="shared" si="128"/>
        <v>0</v>
      </c>
      <c r="AI334" s="1278" t="e">
        <f>DATE(YEAR(tab!$I$3),MONTH(G334),DAY(G334))&gt;tab!$I$3</f>
        <v>#VALUE!</v>
      </c>
      <c r="AJ334" s="1278" t="e">
        <f t="shared" si="129"/>
        <v>#VALUE!</v>
      </c>
      <c r="AK334" s="1199">
        <f t="shared" si="130"/>
        <v>30</v>
      </c>
      <c r="AL334" s="1199">
        <f t="shared" si="131"/>
        <v>30</v>
      </c>
      <c r="AM334" s="1205">
        <f t="shared" si="132"/>
        <v>0</v>
      </c>
      <c r="AS334" s="819"/>
    </row>
    <row r="335" spans="3:45" ht="12.75" customHeight="1" x14ac:dyDescent="0.2">
      <c r="C335" s="135"/>
      <c r="D335" s="432" t="str">
        <f>IF(op!D268=0,"",op!D268)</f>
        <v/>
      </c>
      <c r="E335" s="432" t="str">
        <f>IF(op!E268=0,"-",op!E268)</f>
        <v/>
      </c>
      <c r="F335" s="776" t="str">
        <f>IF(op!F268="","",op!F268+1)</f>
        <v/>
      </c>
      <c r="G335" s="802" t="str">
        <f>IF(op!G268="","",op!G268)</f>
        <v/>
      </c>
      <c r="H335" s="776" t="str">
        <f>IF(op!H268=0,"",op!H268)</f>
        <v/>
      </c>
      <c r="I335" s="433" t="str">
        <f>IF(J335="","",(IF(op!I268+1&gt;LOOKUP(H335,schaal2013,regels2013),op!I268,op!I268+1)))</f>
        <v/>
      </c>
      <c r="J335" s="803" t="str">
        <f>IF(op!J268="","",op!J268)</f>
        <v/>
      </c>
      <c r="K335" s="518"/>
      <c r="L335" s="1207">
        <f>IF(op!L268="","",op!L268)</f>
        <v>0</v>
      </c>
      <c r="M335" s="1207">
        <f>IF(op!M268="","",op!M268)</f>
        <v>0</v>
      </c>
      <c r="N335" s="1209" t="str">
        <f t="shared" si="110"/>
        <v/>
      </c>
      <c r="O335" s="1209" t="str">
        <f t="shared" si="111"/>
        <v/>
      </c>
      <c r="P335" s="1283" t="str">
        <f t="shared" si="112"/>
        <v/>
      </c>
      <c r="Q335" s="518"/>
      <c r="R335" s="1076" t="str">
        <f t="shared" si="126"/>
        <v/>
      </c>
      <c r="S335" s="1076" t="str">
        <f t="shared" si="113"/>
        <v/>
      </c>
      <c r="T335" s="1078" t="str">
        <f t="shared" si="114"/>
        <v/>
      </c>
      <c r="U335" s="599"/>
      <c r="V335" s="1261"/>
      <c r="W335" s="1261"/>
      <c r="X335" s="1218"/>
      <c r="Y335" s="1253" t="e">
        <f>ROUND(VLOOKUP(H335,tab!$A$61:$V$103,I335+2,FALSE),0)</f>
        <v>#VALUE!</v>
      </c>
      <c r="Z335" s="1252">
        <f>tab!$E$48</f>
        <v>0.62</v>
      </c>
      <c r="AA335" s="1284" t="e">
        <f t="shared" si="115"/>
        <v>#VALUE!</v>
      </c>
      <c r="AB335" s="1284" t="e">
        <f t="shared" si="116"/>
        <v>#VALUE!</v>
      </c>
      <c r="AC335" s="1284" t="e">
        <f t="shared" si="117"/>
        <v>#VALUE!</v>
      </c>
      <c r="AD335" s="1286" t="e">
        <f t="shared" si="118"/>
        <v>#VALUE!</v>
      </c>
      <c r="AE335" s="1286">
        <f t="shared" si="119"/>
        <v>0</v>
      </c>
      <c r="AF335" s="1254">
        <f>IF(H335&gt;8,tab!$D$49,tab!$D$52)</f>
        <v>0.5</v>
      </c>
      <c r="AG335" s="1255">
        <f t="shared" si="127"/>
        <v>0</v>
      </c>
      <c r="AH335" s="1251">
        <f t="shared" si="128"/>
        <v>0</v>
      </c>
      <c r="AI335" s="1278" t="e">
        <f>DATE(YEAR(tab!$I$3),MONTH(G335),DAY(G335))&gt;tab!$I$3</f>
        <v>#VALUE!</v>
      </c>
      <c r="AJ335" s="1278" t="e">
        <f t="shared" si="129"/>
        <v>#VALUE!</v>
      </c>
      <c r="AK335" s="1199">
        <f t="shared" si="130"/>
        <v>30</v>
      </c>
      <c r="AL335" s="1199">
        <f t="shared" si="131"/>
        <v>30</v>
      </c>
      <c r="AM335" s="1205">
        <f t="shared" si="132"/>
        <v>0</v>
      </c>
      <c r="AS335" s="819"/>
    </row>
    <row r="336" spans="3:45" ht="12.75" customHeight="1" x14ac:dyDescent="0.2">
      <c r="C336" s="135"/>
      <c r="D336" s="432" t="str">
        <f>IF(op!D269=0,"",op!D269)</f>
        <v/>
      </c>
      <c r="E336" s="432" t="str">
        <f>IF(op!E269=0,"-",op!E269)</f>
        <v/>
      </c>
      <c r="F336" s="776" t="str">
        <f>IF(op!F269="","",op!F269+1)</f>
        <v/>
      </c>
      <c r="G336" s="802" t="str">
        <f>IF(op!G269="","",op!G269)</f>
        <v/>
      </c>
      <c r="H336" s="776" t="str">
        <f>IF(op!H269=0,"",op!H269)</f>
        <v/>
      </c>
      <c r="I336" s="433" t="str">
        <f>IF(J336="","",(IF(op!I269+1&gt;LOOKUP(H336,schaal2013,regels2013),op!I269,op!I269+1)))</f>
        <v/>
      </c>
      <c r="J336" s="803" t="str">
        <f>IF(op!J269="","",op!J269)</f>
        <v/>
      </c>
      <c r="K336" s="518"/>
      <c r="L336" s="1207">
        <f>IF(op!L269="","",op!L269)</f>
        <v>0</v>
      </c>
      <c r="M336" s="1207">
        <f>IF(op!M269="","",op!M269)</f>
        <v>0</v>
      </c>
      <c r="N336" s="1209" t="str">
        <f t="shared" si="110"/>
        <v/>
      </c>
      <c r="O336" s="1209" t="str">
        <f t="shared" si="111"/>
        <v/>
      </c>
      <c r="P336" s="1283" t="str">
        <f t="shared" si="112"/>
        <v/>
      </c>
      <c r="Q336" s="518"/>
      <c r="R336" s="1076" t="str">
        <f t="shared" si="126"/>
        <v/>
      </c>
      <c r="S336" s="1076" t="str">
        <f t="shared" si="113"/>
        <v/>
      </c>
      <c r="T336" s="1078" t="str">
        <f t="shared" si="114"/>
        <v/>
      </c>
      <c r="U336" s="599"/>
      <c r="V336" s="1261"/>
      <c r="W336" s="1261"/>
      <c r="X336" s="1218"/>
      <c r="Y336" s="1253" t="e">
        <f>ROUND(VLOOKUP(H336,tab!$A$61:$V$103,I336+2,FALSE),0)</f>
        <v>#VALUE!</v>
      </c>
      <c r="Z336" s="1252">
        <f>tab!$E$48</f>
        <v>0.62</v>
      </c>
      <c r="AA336" s="1284" t="e">
        <f t="shared" si="115"/>
        <v>#VALUE!</v>
      </c>
      <c r="AB336" s="1284" t="e">
        <f t="shared" si="116"/>
        <v>#VALUE!</v>
      </c>
      <c r="AC336" s="1284" t="e">
        <f t="shared" si="117"/>
        <v>#VALUE!</v>
      </c>
      <c r="AD336" s="1286" t="e">
        <f t="shared" si="118"/>
        <v>#VALUE!</v>
      </c>
      <c r="AE336" s="1286">
        <f t="shared" si="119"/>
        <v>0</v>
      </c>
      <c r="AF336" s="1254">
        <f>IF(H336&gt;8,tab!$D$49,tab!$D$52)</f>
        <v>0.5</v>
      </c>
      <c r="AG336" s="1255">
        <f t="shared" si="127"/>
        <v>0</v>
      </c>
      <c r="AH336" s="1251">
        <f t="shared" si="128"/>
        <v>0</v>
      </c>
      <c r="AI336" s="1278" t="e">
        <f>DATE(YEAR(tab!$I$3),MONTH(G336),DAY(G336))&gt;tab!$I$3</f>
        <v>#VALUE!</v>
      </c>
      <c r="AJ336" s="1278" t="e">
        <f t="shared" si="129"/>
        <v>#VALUE!</v>
      </c>
      <c r="AK336" s="1199">
        <f t="shared" si="130"/>
        <v>30</v>
      </c>
      <c r="AL336" s="1199">
        <f t="shared" si="131"/>
        <v>30</v>
      </c>
      <c r="AM336" s="1205">
        <f t="shared" si="132"/>
        <v>0</v>
      </c>
      <c r="AS336" s="819"/>
    </row>
    <row r="337" spans="2:45" ht="12.75" customHeight="1" x14ac:dyDescent="0.2">
      <c r="C337" s="135"/>
      <c r="D337" s="432" t="str">
        <f>IF(op!D270=0,"",op!D270)</f>
        <v/>
      </c>
      <c r="E337" s="432" t="str">
        <f>IF(op!E270=0,"-",op!E270)</f>
        <v/>
      </c>
      <c r="F337" s="776" t="str">
        <f>IF(op!F270="","",op!F270+1)</f>
        <v/>
      </c>
      <c r="G337" s="802" t="str">
        <f>IF(op!G270="","",op!G270)</f>
        <v/>
      </c>
      <c r="H337" s="776" t="str">
        <f>IF(op!H270=0,"",op!H270)</f>
        <v/>
      </c>
      <c r="I337" s="433" t="str">
        <f>IF(J337="","",(IF(op!I270+1&gt;LOOKUP(H337,schaal2013,regels2013),op!I270,op!I270+1)))</f>
        <v/>
      </c>
      <c r="J337" s="803" t="str">
        <f>IF(op!J270="","",op!J270)</f>
        <v/>
      </c>
      <c r="K337" s="518"/>
      <c r="L337" s="1207">
        <f>IF(op!L270="","",op!L270)</f>
        <v>0</v>
      </c>
      <c r="M337" s="1207">
        <f>IF(op!M270="","",op!M270)</f>
        <v>0</v>
      </c>
      <c r="N337" s="1209" t="str">
        <f t="shared" si="110"/>
        <v/>
      </c>
      <c r="O337" s="1209" t="str">
        <f t="shared" si="111"/>
        <v/>
      </c>
      <c r="P337" s="1283" t="str">
        <f t="shared" si="112"/>
        <v/>
      </c>
      <c r="Q337" s="518"/>
      <c r="R337" s="1076" t="str">
        <f t="shared" si="126"/>
        <v/>
      </c>
      <c r="S337" s="1076" t="str">
        <f t="shared" si="113"/>
        <v/>
      </c>
      <c r="T337" s="1078" t="str">
        <f t="shared" si="114"/>
        <v/>
      </c>
      <c r="U337" s="599"/>
      <c r="V337" s="1261"/>
      <c r="W337" s="1261"/>
      <c r="X337" s="1218"/>
      <c r="Y337" s="1253" t="e">
        <f>ROUND(VLOOKUP(H337,tab!$A$61:$V$103,I337+2,FALSE),0)</f>
        <v>#VALUE!</v>
      </c>
      <c r="Z337" s="1252">
        <f>tab!$E$48</f>
        <v>0.62</v>
      </c>
      <c r="AA337" s="1284" t="e">
        <f t="shared" si="115"/>
        <v>#VALUE!</v>
      </c>
      <c r="AB337" s="1284" t="e">
        <f t="shared" si="116"/>
        <v>#VALUE!</v>
      </c>
      <c r="AC337" s="1284" t="e">
        <f t="shared" si="117"/>
        <v>#VALUE!</v>
      </c>
      <c r="AD337" s="1286" t="e">
        <f t="shared" si="118"/>
        <v>#VALUE!</v>
      </c>
      <c r="AE337" s="1286">
        <f t="shared" si="119"/>
        <v>0</v>
      </c>
      <c r="AF337" s="1254">
        <f>IF(H337&gt;8,tab!$D$49,tab!$D$52)</f>
        <v>0.5</v>
      </c>
      <c r="AG337" s="1255">
        <f t="shared" si="127"/>
        <v>0</v>
      </c>
      <c r="AH337" s="1251">
        <f t="shared" si="128"/>
        <v>0</v>
      </c>
      <c r="AI337" s="1278" t="e">
        <f>DATE(YEAR(tab!$I$3),MONTH(G337),DAY(G337))&gt;tab!$I$3</f>
        <v>#VALUE!</v>
      </c>
      <c r="AJ337" s="1278" t="e">
        <f t="shared" si="129"/>
        <v>#VALUE!</v>
      </c>
      <c r="AK337" s="1199">
        <f t="shared" si="130"/>
        <v>30</v>
      </c>
      <c r="AL337" s="1199">
        <f t="shared" si="131"/>
        <v>30</v>
      </c>
      <c r="AM337" s="1205">
        <f t="shared" si="132"/>
        <v>0</v>
      </c>
      <c r="AS337" s="819"/>
    </row>
    <row r="338" spans="2:45" ht="12.75" customHeight="1" x14ac:dyDescent="0.2">
      <c r="C338" s="135"/>
      <c r="D338" s="432" t="str">
        <f>IF(op!D271=0,"",op!D271)</f>
        <v/>
      </c>
      <c r="E338" s="432" t="str">
        <f>IF(op!E271=0,"-",op!E271)</f>
        <v/>
      </c>
      <c r="F338" s="776" t="str">
        <f>IF(op!F271="","",op!F271+1)</f>
        <v/>
      </c>
      <c r="G338" s="802" t="str">
        <f>IF(op!G271="","",op!G271)</f>
        <v/>
      </c>
      <c r="H338" s="776" t="str">
        <f>IF(op!H271=0,"",op!H271)</f>
        <v/>
      </c>
      <c r="I338" s="433" t="str">
        <f>IF(J338="","",(IF(op!I271+1&gt;LOOKUP(H338,schaal2013,regels2013),op!I271,op!I271+1)))</f>
        <v/>
      </c>
      <c r="J338" s="803" t="str">
        <f>IF(op!J271="","",op!J271)</f>
        <v/>
      </c>
      <c r="K338" s="518"/>
      <c r="L338" s="1207">
        <f>IF(op!L271="","",op!L271)</f>
        <v>0</v>
      </c>
      <c r="M338" s="1207">
        <f>IF(op!M271="","",op!M271)</f>
        <v>0</v>
      </c>
      <c r="N338" s="1209" t="str">
        <f t="shared" si="110"/>
        <v/>
      </c>
      <c r="O338" s="1209" t="str">
        <f t="shared" si="111"/>
        <v/>
      </c>
      <c r="P338" s="1283" t="str">
        <f t="shared" si="112"/>
        <v/>
      </c>
      <c r="Q338" s="518"/>
      <c r="R338" s="1076" t="str">
        <f t="shared" si="126"/>
        <v/>
      </c>
      <c r="S338" s="1076" t="str">
        <f t="shared" si="113"/>
        <v/>
      </c>
      <c r="T338" s="1078" t="str">
        <f t="shared" si="114"/>
        <v/>
      </c>
      <c r="U338" s="599"/>
      <c r="V338" s="1261"/>
      <c r="W338" s="1261"/>
      <c r="X338" s="1218"/>
      <c r="Y338" s="1253" t="e">
        <f>ROUND(VLOOKUP(H338,tab!$A$61:$V$103,I338+2,FALSE),0)</f>
        <v>#VALUE!</v>
      </c>
      <c r="Z338" s="1252">
        <f>tab!$E$48</f>
        <v>0.62</v>
      </c>
      <c r="AA338" s="1284" t="e">
        <f t="shared" si="115"/>
        <v>#VALUE!</v>
      </c>
      <c r="AB338" s="1284" t="e">
        <f t="shared" si="116"/>
        <v>#VALUE!</v>
      </c>
      <c r="AC338" s="1284" t="e">
        <f t="shared" si="117"/>
        <v>#VALUE!</v>
      </c>
      <c r="AD338" s="1286" t="e">
        <f t="shared" si="118"/>
        <v>#VALUE!</v>
      </c>
      <c r="AE338" s="1286">
        <f t="shared" si="119"/>
        <v>0</v>
      </c>
      <c r="AF338" s="1254">
        <f>IF(H338&gt;8,tab!$D$49,tab!$D$52)</f>
        <v>0.5</v>
      </c>
      <c r="AG338" s="1255">
        <f t="shared" si="127"/>
        <v>0</v>
      </c>
      <c r="AH338" s="1251">
        <f t="shared" si="128"/>
        <v>0</v>
      </c>
      <c r="AI338" s="1278" t="e">
        <f>DATE(YEAR(tab!$I$3),MONTH(G338),DAY(G338))&gt;tab!$I$3</f>
        <v>#VALUE!</v>
      </c>
      <c r="AJ338" s="1278" t="e">
        <f t="shared" si="129"/>
        <v>#VALUE!</v>
      </c>
      <c r="AK338" s="1199">
        <f t="shared" si="130"/>
        <v>30</v>
      </c>
      <c r="AL338" s="1199">
        <f t="shared" si="131"/>
        <v>30</v>
      </c>
      <c r="AM338" s="1205">
        <f t="shared" si="132"/>
        <v>0</v>
      </c>
      <c r="AS338" s="819"/>
    </row>
    <row r="339" spans="2:45" ht="12.75" customHeight="1" x14ac:dyDescent="0.2">
      <c r="C339" s="135"/>
      <c r="D339" s="432" t="str">
        <f>IF(op!D272=0,"",op!D272)</f>
        <v/>
      </c>
      <c r="E339" s="432" t="str">
        <f>IF(op!E272=0,"-",op!E272)</f>
        <v/>
      </c>
      <c r="F339" s="776" t="str">
        <f>IF(op!F272="","",op!F272+1)</f>
        <v/>
      </c>
      <c r="G339" s="802" t="str">
        <f>IF(op!G272="","",op!G272)</f>
        <v/>
      </c>
      <c r="H339" s="776" t="str">
        <f>IF(op!H272=0,"",op!H272)</f>
        <v/>
      </c>
      <c r="I339" s="433" t="str">
        <f>IF(J339="","",(IF(op!I272+1&gt;LOOKUP(H339,schaal2013,regels2013),op!I272,op!I272+1)))</f>
        <v/>
      </c>
      <c r="J339" s="803" t="str">
        <f>IF(op!J272="","",op!J272)</f>
        <v/>
      </c>
      <c r="K339" s="518"/>
      <c r="L339" s="1207">
        <f>IF(op!L272="","",op!L272)</f>
        <v>0</v>
      </c>
      <c r="M339" s="1207">
        <f>IF(op!M272="","",op!M272)</f>
        <v>0</v>
      </c>
      <c r="N339" s="1209" t="str">
        <f t="shared" si="110"/>
        <v/>
      </c>
      <c r="O339" s="1209" t="str">
        <f t="shared" si="111"/>
        <v/>
      </c>
      <c r="P339" s="1283" t="str">
        <f t="shared" si="112"/>
        <v/>
      </c>
      <c r="Q339" s="518"/>
      <c r="R339" s="1076" t="str">
        <f t="shared" si="126"/>
        <v/>
      </c>
      <c r="S339" s="1076" t="str">
        <f t="shared" si="113"/>
        <v/>
      </c>
      <c r="T339" s="1078" t="str">
        <f t="shared" si="114"/>
        <v/>
      </c>
      <c r="U339" s="599"/>
      <c r="V339" s="1261"/>
      <c r="W339" s="1261"/>
      <c r="X339" s="1218"/>
      <c r="Y339" s="1253" t="e">
        <f>ROUND(VLOOKUP(H339,tab!$A$61:$V$103,I339+2,FALSE),0)</f>
        <v>#VALUE!</v>
      </c>
      <c r="Z339" s="1252">
        <f>tab!$E$48</f>
        <v>0.62</v>
      </c>
      <c r="AA339" s="1284" t="e">
        <f t="shared" si="115"/>
        <v>#VALUE!</v>
      </c>
      <c r="AB339" s="1284" t="e">
        <f t="shared" si="116"/>
        <v>#VALUE!</v>
      </c>
      <c r="AC339" s="1284" t="e">
        <f t="shared" si="117"/>
        <v>#VALUE!</v>
      </c>
      <c r="AD339" s="1286" t="e">
        <f t="shared" si="118"/>
        <v>#VALUE!</v>
      </c>
      <c r="AE339" s="1286">
        <f t="shared" si="119"/>
        <v>0</v>
      </c>
      <c r="AF339" s="1254">
        <f>IF(H339&gt;8,tab!$D$49,tab!$D$52)</f>
        <v>0.5</v>
      </c>
      <c r="AG339" s="1255">
        <f t="shared" si="127"/>
        <v>0</v>
      </c>
      <c r="AH339" s="1251">
        <f t="shared" si="128"/>
        <v>0</v>
      </c>
      <c r="AI339" s="1278" t="e">
        <f>DATE(YEAR(tab!$I$3),MONTH(G339),DAY(G339))&gt;tab!$I$3</f>
        <v>#VALUE!</v>
      </c>
      <c r="AJ339" s="1278" t="e">
        <f t="shared" si="129"/>
        <v>#VALUE!</v>
      </c>
      <c r="AK339" s="1199">
        <f t="shared" si="130"/>
        <v>30</v>
      </c>
      <c r="AL339" s="1199">
        <f t="shared" si="131"/>
        <v>30</v>
      </c>
      <c r="AM339" s="1205">
        <f t="shared" si="132"/>
        <v>0</v>
      </c>
      <c r="AS339" s="819"/>
    </row>
    <row r="340" spans="2:45" ht="12.75" customHeight="1" x14ac:dyDescent="0.2">
      <c r="C340" s="135"/>
      <c r="D340" s="432" t="str">
        <f>IF(op!D273=0,"",op!D273)</f>
        <v/>
      </c>
      <c r="E340" s="432" t="str">
        <f>IF(op!E273=0,"-",op!E273)</f>
        <v/>
      </c>
      <c r="F340" s="776" t="str">
        <f>IF(op!F273="","",op!F273+1)</f>
        <v/>
      </c>
      <c r="G340" s="802" t="str">
        <f>IF(op!G273="","",op!G273)</f>
        <v/>
      </c>
      <c r="H340" s="776" t="str">
        <f>IF(op!H273=0,"",op!H273)</f>
        <v/>
      </c>
      <c r="I340" s="433" t="str">
        <f>IF(J340="","",(IF(op!I273+1&gt;LOOKUP(H340,schaal2013,regels2013),op!I273,op!I273+1)))</f>
        <v/>
      </c>
      <c r="J340" s="803" t="str">
        <f>IF(op!J273="","",op!J273)</f>
        <v/>
      </c>
      <c r="K340" s="518"/>
      <c r="L340" s="1207">
        <f>IF(op!L273="","",op!L273)</f>
        <v>0</v>
      </c>
      <c r="M340" s="1207">
        <f>IF(op!M273="","",op!M273)</f>
        <v>0</v>
      </c>
      <c r="N340" s="1209" t="str">
        <f t="shared" si="110"/>
        <v/>
      </c>
      <c r="O340" s="1209" t="str">
        <f t="shared" si="111"/>
        <v/>
      </c>
      <c r="P340" s="1283" t="str">
        <f t="shared" si="112"/>
        <v/>
      </c>
      <c r="Q340" s="518"/>
      <c r="R340" s="1076" t="str">
        <f t="shared" si="126"/>
        <v/>
      </c>
      <c r="S340" s="1076" t="str">
        <f t="shared" si="113"/>
        <v/>
      </c>
      <c r="T340" s="1078" t="str">
        <f t="shared" si="114"/>
        <v/>
      </c>
      <c r="U340" s="599"/>
      <c r="V340" s="1261"/>
      <c r="W340" s="1261"/>
      <c r="X340" s="1218"/>
      <c r="Y340" s="1253" t="e">
        <f>ROUND(VLOOKUP(H340,tab!$A$61:$V$103,I340+2,FALSE),0)</f>
        <v>#VALUE!</v>
      </c>
      <c r="Z340" s="1252">
        <f>tab!$E$48</f>
        <v>0.62</v>
      </c>
      <c r="AA340" s="1284" t="e">
        <f t="shared" si="115"/>
        <v>#VALUE!</v>
      </c>
      <c r="AB340" s="1284" t="e">
        <f t="shared" si="116"/>
        <v>#VALUE!</v>
      </c>
      <c r="AC340" s="1284" t="e">
        <f t="shared" si="117"/>
        <v>#VALUE!</v>
      </c>
      <c r="AD340" s="1286" t="e">
        <f t="shared" si="118"/>
        <v>#VALUE!</v>
      </c>
      <c r="AE340" s="1286">
        <f t="shared" si="119"/>
        <v>0</v>
      </c>
      <c r="AF340" s="1254">
        <f>IF(H340&gt;8,tab!$D$49,tab!$D$52)</f>
        <v>0.5</v>
      </c>
      <c r="AG340" s="1255">
        <f t="shared" si="127"/>
        <v>0</v>
      </c>
      <c r="AH340" s="1251">
        <f t="shared" si="128"/>
        <v>0</v>
      </c>
      <c r="AI340" s="1278" t="e">
        <f>DATE(YEAR(tab!$I$3),MONTH(G340),DAY(G340))&gt;tab!$I$3</f>
        <v>#VALUE!</v>
      </c>
      <c r="AJ340" s="1278" t="e">
        <f t="shared" si="129"/>
        <v>#VALUE!</v>
      </c>
      <c r="AK340" s="1199">
        <f t="shared" si="130"/>
        <v>30</v>
      </c>
      <c r="AL340" s="1199">
        <f t="shared" si="131"/>
        <v>30</v>
      </c>
      <c r="AM340" s="1205">
        <f t="shared" si="132"/>
        <v>0</v>
      </c>
      <c r="AS340" s="819"/>
    </row>
    <row r="341" spans="2:45" x14ac:dyDescent="0.2">
      <c r="C341" s="491"/>
      <c r="D341" s="609"/>
      <c r="E341" s="805"/>
      <c r="F341" s="805"/>
      <c r="G341" s="806"/>
      <c r="H341" s="805"/>
      <c r="I341" s="807"/>
      <c r="J341" s="1111">
        <f>SUM(J286:J340)</f>
        <v>1</v>
      </c>
      <c r="L341" s="1208">
        <f t="shared" ref="L341:P341" si="133">SUM(L286:L340)</f>
        <v>0</v>
      </c>
      <c r="M341" s="1208">
        <f t="shared" si="133"/>
        <v>0</v>
      </c>
      <c r="N341" s="1208">
        <f>SUM(N286:N340)</f>
        <v>40</v>
      </c>
      <c r="O341" s="1208">
        <f t="shared" si="133"/>
        <v>0</v>
      </c>
      <c r="P341" s="1208">
        <f t="shared" si="133"/>
        <v>40</v>
      </c>
      <c r="R341" s="1112">
        <f t="shared" ref="R341:T341" si="134">SUM(R286:R340)</f>
        <v>67272.172730560589</v>
      </c>
      <c r="S341" s="1113">
        <f t="shared" si="134"/>
        <v>1662.0672694394216</v>
      </c>
      <c r="T341" s="1112">
        <f t="shared" si="134"/>
        <v>68934.240000000005</v>
      </c>
      <c r="U341" s="494"/>
      <c r="V341" s="1221"/>
      <c r="W341" s="1221"/>
      <c r="Y341" s="1256" t="e">
        <f>SUM(Y286:Y340)</f>
        <v>#VALUE!</v>
      </c>
      <c r="Z341" s="1288"/>
      <c r="AA341" s="1256"/>
      <c r="AB341" s="1256"/>
      <c r="AC341" s="1256"/>
      <c r="AG341" s="1257">
        <f>SUM(AG286:AG340)</f>
        <v>0</v>
      </c>
      <c r="AH341" s="1258">
        <f>SUM(AH286:AH340)</f>
        <v>0</v>
      </c>
      <c r="AI341" s="1279"/>
      <c r="AJ341" s="1279"/>
      <c r="AS341" s="819"/>
    </row>
    <row r="342" spans="2:45" x14ac:dyDescent="0.2">
      <c r="H342" s="590"/>
      <c r="K342" s="484"/>
      <c r="Q342" s="484"/>
      <c r="R342" s="782"/>
      <c r="S342" s="808"/>
      <c r="V342" s="1221"/>
      <c r="W342" s="1221"/>
      <c r="Y342" s="1237"/>
      <c r="Z342" s="1288"/>
      <c r="AA342" s="1256"/>
      <c r="AB342" s="1256"/>
      <c r="AC342" s="1256"/>
      <c r="AG342" s="1257"/>
      <c r="AH342" s="1258"/>
      <c r="AS342" s="819"/>
    </row>
    <row r="343" spans="2:45" x14ac:dyDescent="0.2">
      <c r="V343" s="1221"/>
      <c r="W343" s="1221"/>
    </row>
    <row r="344" spans="2:45" x14ac:dyDescent="0.2">
      <c r="V344" s="1221"/>
      <c r="W344" s="1221"/>
    </row>
    <row r="345" spans="2:45" x14ac:dyDescent="0.2">
      <c r="B345" s="484"/>
      <c r="C345" s="484"/>
      <c r="V345" s="1221"/>
      <c r="W345" s="1221"/>
    </row>
    <row r="346" spans="2:45" x14ac:dyDescent="0.2">
      <c r="B346" s="484"/>
      <c r="C346" s="484"/>
      <c r="V346" s="1221"/>
      <c r="W346" s="1221"/>
    </row>
    <row r="347" spans="2:45" x14ac:dyDescent="0.2">
      <c r="B347" s="484"/>
      <c r="C347" s="484"/>
      <c r="V347" s="1221"/>
      <c r="W347" s="1221"/>
    </row>
    <row r="348" spans="2:45" x14ac:dyDescent="0.2">
      <c r="B348" s="484"/>
      <c r="C348" s="484"/>
      <c r="V348" s="1221"/>
      <c r="W348" s="1221"/>
    </row>
    <row r="349" spans="2:45" x14ac:dyDescent="0.2">
      <c r="B349" s="484"/>
      <c r="C349" s="484"/>
      <c r="V349" s="1221"/>
      <c r="W349" s="1221"/>
    </row>
    <row r="350" spans="2:45" x14ac:dyDescent="0.2">
      <c r="B350" s="484"/>
      <c r="C350" s="484"/>
      <c r="V350" s="1221"/>
      <c r="W350" s="1221"/>
    </row>
    <row r="351" spans="2:45" x14ac:dyDescent="0.2">
      <c r="B351" s="484"/>
      <c r="C351" s="484"/>
      <c r="V351" s="1221"/>
      <c r="W351" s="1221"/>
    </row>
    <row r="352" spans="2:45" x14ac:dyDescent="0.2">
      <c r="B352" s="484"/>
      <c r="C352" s="484"/>
      <c r="V352" s="1221"/>
      <c r="W352" s="1221"/>
    </row>
    <row r="353" spans="2:23" x14ac:dyDescent="0.2">
      <c r="B353" s="484"/>
      <c r="C353" s="484"/>
      <c r="V353" s="1221"/>
      <c r="W353" s="1221"/>
    </row>
    <row r="354" spans="2:23" x14ac:dyDescent="0.2">
      <c r="B354" s="484"/>
      <c r="C354" s="484"/>
      <c r="V354" s="1221"/>
      <c r="W354" s="1221"/>
    </row>
    <row r="355" spans="2:23" x14ac:dyDescent="0.2">
      <c r="B355" s="484"/>
      <c r="C355" s="484"/>
      <c r="V355" s="1221"/>
      <c r="W355" s="1221"/>
    </row>
    <row r="356" spans="2:23" x14ac:dyDescent="0.2">
      <c r="B356" s="484"/>
      <c r="C356" s="484"/>
    </row>
    <row r="357" spans="2:23" x14ac:dyDescent="0.2">
      <c r="B357" s="484"/>
      <c r="C357" s="484"/>
    </row>
    <row r="358" spans="2:23" x14ac:dyDescent="0.2">
      <c r="B358" s="484"/>
      <c r="C358" s="484"/>
    </row>
    <row r="359" spans="2:23" x14ac:dyDescent="0.2">
      <c r="B359" s="484"/>
      <c r="C359" s="484"/>
    </row>
    <row r="360" spans="2:23" x14ac:dyDescent="0.2">
      <c r="B360" s="484"/>
      <c r="C360" s="484"/>
    </row>
    <row r="361" spans="2:23" x14ac:dyDescent="0.2">
      <c r="B361" s="484"/>
      <c r="C361" s="484"/>
    </row>
    <row r="362" spans="2:23" x14ac:dyDescent="0.2">
      <c r="B362" s="484"/>
      <c r="C362" s="484"/>
    </row>
    <row r="363" spans="2:23" x14ac:dyDescent="0.2">
      <c r="B363" s="484"/>
      <c r="C363" s="484"/>
    </row>
    <row r="364" spans="2:23" x14ac:dyDescent="0.2">
      <c r="B364" s="484"/>
      <c r="C364" s="484"/>
    </row>
    <row r="365" spans="2:23" x14ac:dyDescent="0.2">
      <c r="B365" s="484"/>
      <c r="C365" s="484"/>
    </row>
    <row r="366" spans="2:23" x14ac:dyDescent="0.2">
      <c r="B366" s="484"/>
      <c r="C366" s="484"/>
    </row>
    <row r="367" spans="2:23" x14ac:dyDescent="0.2">
      <c r="B367" s="484"/>
      <c r="C367" s="484"/>
    </row>
    <row r="368" spans="2:23" x14ac:dyDescent="0.2">
      <c r="B368" s="484"/>
      <c r="C368" s="484"/>
    </row>
    <row r="369" spans="2:3" x14ac:dyDescent="0.2">
      <c r="B369" s="484"/>
      <c r="C369" s="484"/>
    </row>
    <row r="370" spans="2:3" x14ac:dyDescent="0.2">
      <c r="B370" s="484"/>
      <c r="C370" s="484"/>
    </row>
    <row r="371" spans="2:3" x14ac:dyDescent="0.2">
      <c r="B371" s="484"/>
      <c r="C371" s="484"/>
    </row>
    <row r="372" spans="2:3" x14ac:dyDescent="0.2">
      <c r="B372" s="484"/>
      <c r="C372" s="484"/>
    </row>
    <row r="373" spans="2:3" x14ac:dyDescent="0.2">
      <c r="B373" s="484"/>
      <c r="C373" s="484"/>
    </row>
    <row r="374" spans="2:3" x14ac:dyDescent="0.2">
      <c r="B374" s="484"/>
      <c r="C374" s="484"/>
    </row>
    <row r="375" spans="2:3" x14ac:dyDescent="0.2">
      <c r="B375" s="484"/>
      <c r="C375" s="484"/>
    </row>
    <row r="376" spans="2:3" x14ac:dyDescent="0.2">
      <c r="B376" s="484"/>
      <c r="C376" s="484"/>
    </row>
    <row r="377" spans="2:3" x14ac:dyDescent="0.2">
      <c r="B377" s="484"/>
      <c r="C377" s="484"/>
    </row>
    <row r="378" spans="2:3" x14ac:dyDescent="0.2">
      <c r="B378" s="484"/>
      <c r="C378" s="484"/>
    </row>
    <row r="379" spans="2:3" x14ac:dyDescent="0.2">
      <c r="B379" s="484"/>
      <c r="C379" s="484"/>
    </row>
    <row r="380" spans="2:3" x14ac:dyDescent="0.2">
      <c r="B380" s="484"/>
      <c r="C380" s="484"/>
    </row>
    <row r="381" spans="2:3" x14ac:dyDescent="0.2">
      <c r="B381" s="484"/>
      <c r="C381" s="484"/>
    </row>
    <row r="382" spans="2:3" x14ac:dyDescent="0.2">
      <c r="B382" s="484"/>
      <c r="C382" s="484"/>
    </row>
    <row r="383" spans="2:3" x14ac:dyDescent="0.2">
      <c r="B383" s="484"/>
      <c r="C383" s="484"/>
    </row>
    <row r="384" spans="2:3" x14ac:dyDescent="0.2">
      <c r="B384" s="484"/>
      <c r="C384" s="484"/>
    </row>
    <row r="385" spans="2:3" x14ac:dyDescent="0.2">
      <c r="B385" s="484"/>
      <c r="C385" s="484"/>
    </row>
    <row r="386" spans="2:3" x14ac:dyDescent="0.2">
      <c r="B386" s="484"/>
      <c r="C386" s="484"/>
    </row>
    <row r="387" spans="2:3" x14ac:dyDescent="0.2">
      <c r="B387" s="484"/>
      <c r="C387" s="484"/>
    </row>
    <row r="388" spans="2:3" x14ac:dyDescent="0.2">
      <c r="B388" s="484"/>
      <c r="C388" s="484"/>
    </row>
    <row r="389" spans="2:3" x14ac:dyDescent="0.2">
      <c r="B389" s="484"/>
      <c r="C389" s="484"/>
    </row>
    <row r="390" spans="2:3" x14ac:dyDescent="0.2">
      <c r="B390" s="484"/>
      <c r="C390" s="484"/>
    </row>
    <row r="391" spans="2:3" x14ac:dyDescent="0.2">
      <c r="B391" s="484"/>
      <c r="C391" s="484"/>
    </row>
    <row r="392" spans="2:3" x14ac:dyDescent="0.2">
      <c r="B392" s="484"/>
      <c r="C392" s="484"/>
    </row>
    <row r="393" spans="2:3" x14ac:dyDescent="0.2">
      <c r="B393" s="484"/>
      <c r="C393" s="484"/>
    </row>
    <row r="394" spans="2:3" x14ac:dyDescent="0.2">
      <c r="B394" s="484"/>
      <c r="C394" s="484"/>
    </row>
    <row r="395" spans="2:3" x14ac:dyDescent="0.2">
      <c r="B395" s="484"/>
      <c r="C395" s="484"/>
    </row>
    <row r="396" spans="2:3" x14ac:dyDescent="0.2">
      <c r="B396" s="484"/>
      <c r="C396" s="484"/>
    </row>
    <row r="397" spans="2:3" x14ac:dyDescent="0.2">
      <c r="B397" s="484"/>
      <c r="C397" s="484"/>
    </row>
    <row r="398" spans="2:3" x14ac:dyDescent="0.2">
      <c r="B398" s="484"/>
      <c r="C398" s="484"/>
    </row>
    <row r="399" spans="2:3" x14ac:dyDescent="0.2">
      <c r="B399" s="484"/>
      <c r="C399" s="484"/>
    </row>
    <row r="400" spans="2:3" x14ac:dyDescent="0.2">
      <c r="B400" s="484"/>
      <c r="C400" s="484"/>
    </row>
    <row r="401" spans="2:3" x14ac:dyDescent="0.2">
      <c r="B401" s="484"/>
      <c r="C401" s="484"/>
    </row>
    <row r="402" spans="2:3" x14ac:dyDescent="0.2">
      <c r="B402" s="484"/>
      <c r="C402" s="484"/>
    </row>
    <row r="403" spans="2:3" x14ac:dyDescent="0.2">
      <c r="B403" s="484"/>
      <c r="C403" s="484"/>
    </row>
    <row r="404" spans="2:3" x14ac:dyDescent="0.2">
      <c r="B404" s="484"/>
      <c r="C404" s="484"/>
    </row>
    <row r="405" spans="2:3" x14ac:dyDescent="0.2">
      <c r="B405" s="484"/>
      <c r="C405" s="484"/>
    </row>
    <row r="406" spans="2:3" x14ac:dyDescent="0.2">
      <c r="B406" s="484"/>
      <c r="C406" s="484"/>
    </row>
    <row r="407" spans="2:3" x14ac:dyDescent="0.2">
      <c r="B407" s="484"/>
      <c r="C407" s="484"/>
    </row>
    <row r="408" spans="2:3" x14ac:dyDescent="0.2">
      <c r="B408" s="484"/>
      <c r="C408" s="484"/>
    </row>
    <row r="409" spans="2:3" x14ac:dyDescent="0.2">
      <c r="B409" s="484"/>
      <c r="C409" s="484"/>
    </row>
    <row r="410" spans="2:3" x14ac:dyDescent="0.2">
      <c r="B410" s="484"/>
      <c r="C410" s="484"/>
    </row>
    <row r="411" spans="2:3" x14ac:dyDescent="0.2">
      <c r="B411" s="484"/>
      <c r="C411" s="484"/>
    </row>
    <row r="412" spans="2:3" x14ac:dyDescent="0.2">
      <c r="B412" s="484"/>
      <c r="C412" s="484"/>
    </row>
    <row r="413" spans="2:3" x14ac:dyDescent="0.2">
      <c r="B413" s="484"/>
      <c r="C413" s="484"/>
    </row>
    <row r="414" spans="2:3" x14ac:dyDescent="0.2">
      <c r="B414" s="484"/>
      <c r="C414" s="484"/>
    </row>
    <row r="415" spans="2:3" x14ac:dyDescent="0.2">
      <c r="B415" s="484"/>
      <c r="C415" s="484"/>
    </row>
    <row r="416" spans="2:3" x14ac:dyDescent="0.2">
      <c r="B416" s="484"/>
      <c r="C416" s="484"/>
    </row>
    <row r="417" spans="2:3" x14ac:dyDescent="0.2">
      <c r="B417" s="484"/>
      <c r="C417" s="484"/>
    </row>
    <row r="418" spans="2:3" x14ac:dyDescent="0.2">
      <c r="B418" s="484"/>
      <c r="C418" s="484"/>
    </row>
    <row r="419" spans="2:3" x14ac:dyDescent="0.2">
      <c r="B419" s="484"/>
      <c r="C419" s="484"/>
    </row>
    <row r="420" spans="2:3" x14ac:dyDescent="0.2">
      <c r="B420" s="484"/>
      <c r="C420" s="484"/>
    </row>
    <row r="421" spans="2:3" x14ac:dyDescent="0.2">
      <c r="B421" s="484"/>
      <c r="C421" s="484"/>
    </row>
    <row r="422" spans="2:3" x14ac:dyDescent="0.2">
      <c r="B422" s="484"/>
      <c r="C422" s="484"/>
    </row>
    <row r="423" spans="2:3" x14ac:dyDescent="0.2">
      <c r="B423" s="484"/>
      <c r="C423" s="484"/>
    </row>
    <row r="424" spans="2:3" x14ac:dyDescent="0.2">
      <c r="B424" s="484"/>
      <c r="C424" s="484"/>
    </row>
    <row r="425" spans="2:3" x14ac:dyDescent="0.2">
      <c r="B425" s="484"/>
      <c r="C425" s="484"/>
    </row>
    <row r="426" spans="2:3" x14ac:dyDescent="0.2">
      <c r="B426" s="484"/>
      <c r="C426" s="484"/>
    </row>
    <row r="427" spans="2:3" x14ac:dyDescent="0.2">
      <c r="B427" s="484"/>
      <c r="C427" s="484"/>
    </row>
    <row r="428" spans="2:3" x14ac:dyDescent="0.2">
      <c r="B428" s="484"/>
      <c r="C428" s="484"/>
    </row>
    <row r="429" spans="2:3" x14ac:dyDescent="0.2">
      <c r="B429" s="484"/>
      <c r="C429" s="484"/>
    </row>
    <row r="430" spans="2:3" x14ac:dyDescent="0.2">
      <c r="B430" s="484"/>
      <c r="C430" s="484"/>
    </row>
    <row r="431" spans="2:3" x14ac:dyDescent="0.2">
      <c r="B431" s="484"/>
      <c r="C431" s="484"/>
    </row>
    <row r="432" spans="2:3" x14ac:dyDescent="0.2">
      <c r="B432" s="484"/>
      <c r="C432" s="484"/>
    </row>
    <row r="433" spans="2:3" x14ac:dyDescent="0.2">
      <c r="B433" s="484"/>
      <c r="C433" s="484"/>
    </row>
    <row r="434" spans="2:3" x14ac:dyDescent="0.2">
      <c r="B434" s="484"/>
      <c r="C434" s="484"/>
    </row>
    <row r="435" spans="2:3" x14ac:dyDescent="0.2">
      <c r="B435" s="484"/>
      <c r="C435" s="484"/>
    </row>
    <row r="436" spans="2:3" x14ac:dyDescent="0.2">
      <c r="B436" s="484"/>
      <c r="C436" s="484"/>
    </row>
    <row r="437" spans="2:3" x14ac:dyDescent="0.2">
      <c r="B437" s="484"/>
      <c r="C437" s="484"/>
    </row>
    <row r="438" spans="2:3" x14ac:dyDescent="0.2">
      <c r="B438" s="484"/>
      <c r="C438" s="484"/>
    </row>
  </sheetData>
  <sheetProtection algorithmName="SHA-512" hashValue="fSR/hld1jwUt4FULKBoBUKDgWMaLnACw1v1cb8shWX/n8usycxruAc5F++7zu8eTfF+cvlSscb5NU+OPeMxdrw==" saltValue="TNnvnWAEYKj8+JLwRXBeaA==" spinCount="100000" sheet="1" objects="1" scenarios="1"/>
  <phoneticPr fontId="0" type="noConversion"/>
  <dataValidations count="2">
    <dataValidation type="list" allowBlank="1" showInputMessage="1" showErrorMessage="1" sqref="H286:H340 H16:H70 H73:H78 H84:H138 H152:H206 H219:H273">
      <formula1>"LA,LB,LC,LD,LE"</formula1>
    </dataValidation>
    <dataValidation type="whole" allowBlank="1" showInputMessage="1" showErrorMessage="1" sqref="I16:I70">
      <formula1>1</formula1>
      <formula2>16</formula2>
    </dataValidation>
  </dataValidations>
  <pageMargins left="0.78740157480314965" right="0.78740157480314965" top="0.98425196850393704" bottom="0.98425196850393704" header="0.51181102362204722" footer="0.51181102362204722"/>
  <pageSetup paperSize="9" scale="50" orientation="portrait" r:id="rId1"/>
  <headerFooter alignWithMargins="0">
    <oddHeader>&amp;L&amp;"Arial,Vet"&amp;F&amp;R&amp;"Arial,Vet"&amp;A</oddHeader>
    <oddFooter>&amp;L&amp;"Arial,Vet"PO-Raad&amp;C&amp;"Arial,Vet"&amp;D&amp;R&amp;"Arial,Vet"pagina &amp;P</oddFooter>
  </headerFooter>
  <rowBreaks count="1" manualBreakCount="1">
    <brk id="73" min="1" max="25"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8"/>
  <dimension ref="B1:AP268"/>
  <sheetViews>
    <sheetView showGridLines="0" zoomScale="85" zoomScaleNormal="85" workbookViewId="0">
      <pane ySplit="15" topLeftCell="A16" activePane="bottomLeft" state="frozen"/>
      <selection activeCell="AA31" sqref="AA31"/>
      <selection pane="bottomLeft" activeCell="B2" sqref="B2"/>
    </sheetView>
  </sheetViews>
  <sheetFormatPr defaultColWidth="9.140625" defaultRowHeight="12.75" x14ac:dyDescent="0.2"/>
  <cols>
    <col min="1" max="1" width="3.7109375" style="14" customWidth="1"/>
    <col min="2" max="3" width="2.7109375" style="14" customWidth="1"/>
    <col min="4" max="4" width="9.140625" style="21" customWidth="1"/>
    <col min="5" max="5" width="21.140625" style="21" customWidth="1"/>
    <col min="6" max="7" width="8.7109375" style="22" customWidth="1"/>
    <col min="8" max="9" width="8.7109375" style="311" customWidth="1"/>
    <col min="10" max="10" width="8.7109375" style="24" customWidth="1"/>
    <col min="11" max="11" width="0.85546875" style="14" customWidth="1"/>
    <col min="12" max="13" width="10.85546875" style="311" customWidth="1"/>
    <col min="14" max="14" width="10.85546875" style="24" customWidth="1"/>
    <col min="15" max="16" width="10.85546875" style="311" customWidth="1"/>
    <col min="17" max="17" width="0.85546875" style="14" customWidth="1"/>
    <col min="18" max="18" width="10.85546875" style="14" customWidth="1"/>
    <col min="19" max="19" width="10.85546875" style="174" customWidth="1"/>
    <col min="20" max="20" width="10.85546875" style="588" customWidth="1"/>
    <col min="21" max="22" width="2.7109375" style="14" customWidth="1"/>
    <col min="23" max="24" width="21.28515625" style="14" customWidth="1"/>
    <col min="25" max="25" width="9.7109375" style="1223" customWidth="1"/>
    <col min="26" max="29" width="10.85546875" style="1221" customWidth="1"/>
    <col min="30" max="30" width="8.7109375" style="1221" customWidth="1"/>
    <col min="31" max="31" width="8.7109375" style="1224" customWidth="1"/>
    <col min="32" max="32" width="8.7109375" style="1225" customWidth="1"/>
    <col min="33" max="33" width="8.7109375" style="1226" customWidth="1"/>
    <col min="34" max="34" width="8.7109375" style="1227" customWidth="1"/>
    <col min="35" max="36" width="8.7109375" style="1221" customWidth="1"/>
    <col min="37" max="38" width="8.7109375" style="14" customWidth="1"/>
    <col min="39" max="39" width="8.7109375" style="22" customWidth="1"/>
    <col min="40" max="40" width="8.7109375" style="313" customWidth="1"/>
    <col min="41" max="47" width="8.7109375" style="14" customWidth="1"/>
    <col min="48" max="52" width="9.28515625" style="14" bestFit="1" customWidth="1"/>
    <col min="53" max="16384" width="9.140625" style="14"/>
  </cols>
  <sheetData>
    <row r="1" spans="2:42" ht="12.75" customHeight="1" x14ac:dyDescent="0.2"/>
    <row r="2" spans="2:42" x14ac:dyDescent="0.2">
      <c r="B2" s="729"/>
      <c r="C2" s="176"/>
      <c r="D2" s="730"/>
      <c r="E2" s="730"/>
      <c r="F2" s="731"/>
      <c r="G2" s="731"/>
      <c r="H2" s="732"/>
      <c r="I2" s="732"/>
      <c r="J2" s="733"/>
      <c r="K2" s="176"/>
      <c r="L2" s="732"/>
      <c r="M2" s="732"/>
      <c r="N2" s="733"/>
      <c r="O2" s="732"/>
      <c r="P2" s="732"/>
      <c r="Q2" s="176"/>
      <c r="R2" s="176"/>
      <c r="S2" s="734"/>
      <c r="T2" s="878"/>
      <c r="U2" s="176"/>
      <c r="V2" s="735"/>
      <c r="Y2" s="1262"/>
      <c r="Z2" s="1263"/>
      <c r="AA2" s="1263"/>
      <c r="AB2" s="1263"/>
      <c r="AC2" s="1263"/>
      <c r="AG2" s="1257"/>
      <c r="AH2" s="1258"/>
    </row>
    <row r="3" spans="2:42" x14ac:dyDescent="0.2">
      <c r="B3" s="95"/>
      <c r="C3" s="75"/>
      <c r="D3" s="222"/>
      <c r="E3" s="222"/>
      <c r="F3" s="736"/>
      <c r="G3" s="736"/>
      <c r="H3" s="737"/>
      <c r="I3" s="737"/>
      <c r="J3" s="738"/>
      <c r="K3" s="75"/>
      <c r="L3" s="737"/>
      <c r="M3" s="737"/>
      <c r="N3" s="738"/>
      <c r="O3" s="737"/>
      <c r="P3" s="737"/>
      <c r="Q3" s="75"/>
      <c r="R3" s="75"/>
      <c r="S3" s="385"/>
      <c r="T3" s="879"/>
      <c r="U3" s="75"/>
      <c r="V3" s="211"/>
      <c r="Y3" s="1262"/>
      <c r="Z3" s="1263"/>
      <c r="AA3" s="1263"/>
      <c r="AB3" s="1263"/>
      <c r="AC3" s="1263"/>
      <c r="AG3" s="1257"/>
      <c r="AH3" s="1258"/>
    </row>
    <row r="4" spans="2:42" s="768" customFormat="1" ht="18.75" x14ac:dyDescent="0.3">
      <c r="B4" s="1001"/>
      <c r="C4" s="970" t="s">
        <v>483</v>
      </c>
      <c r="D4" s="1002"/>
      <c r="E4" s="1002"/>
      <c r="F4" s="1003"/>
      <c r="G4" s="1003"/>
      <c r="H4" s="1004"/>
      <c r="I4" s="1004"/>
      <c r="J4" s="1005"/>
      <c r="K4" s="1002"/>
      <c r="L4" s="1004"/>
      <c r="M4" s="1004"/>
      <c r="N4" s="1005"/>
      <c r="O4" s="1004"/>
      <c r="P4" s="1004"/>
      <c r="Q4" s="1002"/>
      <c r="R4" s="1002"/>
      <c r="S4" s="1006"/>
      <c r="T4" s="1007"/>
      <c r="U4" s="1002"/>
      <c r="V4" s="1008"/>
      <c r="Y4" s="1228"/>
      <c r="Z4" s="1229"/>
      <c r="AA4" s="1229"/>
      <c r="AB4" s="1229"/>
      <c r="AC4" s="1229"/>
      <c r="AD4" s="1229"/>
      <c r="AE4" s="1230"/>
      <c r="AF4" s="1231"/>
      <c r="AG4" s="1232"/>
      <c r="AH4" s="1231"/>
      <c r="AI4" s="1230"/>
      <c r="AJ4" s="1264"/>
      <c r="AK4" s="770"/>
      <c r="AL4" s="771"/>
      <c r="AM4" s="772"/>
      <c r="AN4" s="769"/>
    </row>
    <row r="5" spans="2:42" s="319" customFormat="1" ht="18.75" x14ac:dyDescent="0.3">
      <c r="B5" s="739"/>
      <c r="C5" s="361" t="str">
        <f>geg!F11</f>
        <v>Voorbeeld SBO</v>
      </c>
      <c r="D5" s="368"/>
      <c r="E5" s="368"/>
      <c r="F5" s="364"/>
      <c r="G5" s="364"/>
      <c r="H5" s="366"/>
      <c r="I5" s="366"/>
      <c r="J5" s="367"/>
      <c r="K5" s="368"/>
      <c r="L5" s="366"/>
      <c r="M5" s="366"/>
      <c r="N5" s="367"/>
      <c r="O5" s="366"/>
      <c r="P5" s="366"/>
      <c r="Q5" s="368"/>
      <c r="R5" s="368"/>
      <c r="S5" s="369"/>
      <c r="T5" s="880"/>
      <c r="U5" s="368"/>
      <c r="V5" s="370"/>
      <c r="Y5" s="1228"/>
      <c r="Z5" s="1229"/>
      <c r="AA5" s="1229"/>
      <c r="AB5" s="1229"/>
      <c r="AC5" s="1229"/>
      <c r="AD5" s="1229"/>
      <c r="AE5" s="1230"/>
      <c r="AF5" s="1231"/>
      <c r="AG5" s="1232"/>
      <c r="AH5" s="1231"/>
      <c r="AI5" s="1230"/>
      <c r="AJ5" s="1264"/>
      <c r="AK5" s="320"/>
      <c r="AL5" s="322"/>
      <c r="AM5" s="323"/>
      <c r="AN5" s="321"/>
    </row>
    <row r="6" spans="2:42" ht="12.75" customHeight="1" x14ac:dyDescent="0.2">
      <c r="B6" s="95"/>
      <c r="C6" s="75"/>
      <c r="D6" s="75"/>
      <c r="E6" s="75"/>
      <c r="F6" s="736"/>
      <c r="G6" s="736"/>
      <c r="H6" s="737"/>
      <c r="I6" s="737"/>
      <c r="J6" s="738"/>
      <c r="K6" s="75"/>
      <c r="L6" s="737"/>
      <c r="M6" s="737"/>
      <c r="N6" s="738"/>
      <c r="O6" s="737"/>
      <c r="P6" s="737"/>
      <c r="Q6" s="75"/>
      <c r="R6" s="75"/>
      <c r="S6" s="385"/>
      <c r="T6" s="879"/>
      <c r="U6" s="75"/>
      <c r="V6" s="211"/>
      <c r="Y6" s="1262"/>
      <c r="Z6" s="1263"/>
      <c r="AA6" s="1263"/>
      <c r="AB6" s="1263"/>
      <c r="AC6" s="1263"/>
      <c r="AE6" s="1235"/>
      <c r="AF6" s="1236"/>
      <c r="AG6" s="1257"/>
      <c r="AH6" s="1258"/>
      <c r="AI6" s="1235"/>
      <c r="AJ6" s="1247"/>
      <c r="AK6" s="311"/>
      <c r="AL6" s="312"/>
      <c r="AM6" s="324"/>
      <c r="AN6" s="24"/>
    </row>
    <row r="7" spans="2:42" ht="12.75" customHeight="1" x14ac:dyDescent="0.2">
      <c r="B7" s="95"/>
      <c r="C7" s="75"/>
      <c r="D7" s="75"/>
      <c r="E7" s="75"/>
      <c r="F7" s="736"/>
      <c r="G7" s="736"/>
      <c r="H7" s="737"/>
      <c r="I7" s="737"/>
      <c r="J7" s="738"/>
      <c r="K7" s="75"/>
      <c r="L7" s="737"/>
      <c r="M7" s="737"/>
      <c r="N7" s="738"/>
      <c r="O7" s="737"/>
      <c r="P7" s="737"/>
      <c r="Q7" s="75"/>
      <c r="R7" s="75"/>
      <c r="S7" s="385"/>
      <c r="T7" s="879"/>
      <c r="U7" s="75"/>
      <c r="V7" s="211"/>
      <c r="Y7" s="1262"/>
      <c r="Z7" s="1263"/>
      <c r="AA7" s="1263"/>
      <c r="AB7" s="1263"/>
      <c r="AC7" s="1263"/>
      <c r="AE7" s="1235"/>
      <c r="AF7" s="1236"/>
      <c r="AG7" s="1257"/>
      <c r="AH7" s="1258"/>
      <c r="AI7" s="1235"/>
      <c r="AJ7" s="1247"/>
      <c r="AK7" s="311"/>
      <c r="AL7" s="312"/>
      <c r="AM7" s="324"/>
      <c r="AN7" s="24"/>
    </row>
    <row r="8" spans="2:42" s="325" customFormat="1" ht="12.75" customHeight="1" x14ac:dyDescent="0.25">
      <c r="B8" s="740"/>
      <c r="C8" s="68" t="s">
        <v>200</v>
      </c>
      <c r="D8" s="84"/>
      <c r="E8" s="381" t="str">
        <f>op!E8</f>
        <v>2015/16</v>
      </c>
      <c r="F8" s="375"/>
      <c r="G8" s="375"/>
      <c r="H8" s="741"/>
      <c r="I8" s="741"/>
      <c r="J8" s="742"/>
      <c r="K8" s="179"/>
      <c r="L8" s="741"/>
      <c r="M8" s="741"/>
      <c r="N8" s="742"/>
      <c r="O8" s="741"/>
      <c r="P8" s="741"/>
      <c r="Q8" s="179"/>
      <c r="R8" s="179"/>
      <c r="S8" s="743"/>
      <c r="T8" s="744"/>
      <c r="U8" s="179"/>
      <c r="V8" s="745"/>
      <c r="Y8" s="1265"/>
      <c r="Z8" s="1266"/>
      <c r="AA8" s="1266"/>
      <c r="AB8" s="1266"/>
      <c r="AC8" s="1266"/>
      <c r="AD8" s="1240"/>
      <c r="AE8" s="1241"/>
      <c r="AF8" s="1242"/>
      <c r="AG8" s="1267"/>
      <c r="AH8" s="1268"/>
      <c r="AI8" s="1241"/>
      <c r="AJ8" s="1269"/>
      <c r="AK8" s="326"/>
      <c r="AL8" s="328"/>
      <c r="AM8" s="329"/>
      <c r="AN8" s="327"/>
    </row>
    <row r="9" spans="2:42" ht="12.75" customHeight="1" x14ac:dyDescent="0.2">
      <c r="B9" s="95"/>
      <c r="C9" s="68" t="s">
        <v>213</v>
      </c>
      <c r="D9" s="84"/>
      <c r="E9" s="381">
        <f>op!E9</f>
        <v>42278</v>
      </c>
      <c r="F9" s="70"/>
      <c r="G9" s="70"/>
      <c r="H9" s="737"/>
      <c r="I9" s="737"/>
      <c r="J9" s="738"/>
      <c r="K9" s="75"/>
      <c r="L9" s="737"/>
      <c r="M9" s="737"/>
      <c r="N9" s="738"/>
      <c r="O9" s="737"/>
      <c r="P9" s="737"/>
      <c r="Q9" s="75"/>
      <c r="R9" s="75"/>
      <c r="S9" s="385"/>
      <c r="T9" s="879"/>
      <c r="U9" s="75"/>
      <c r="V9" s="211"/>
      <c r="Y9" s="1262"/>
      <c r="Z9" s="1263"/>
      <c r="AA9" s="1263"/>
      <c r="AB9" s="1263"/>
      <c r="AC9" s="1263"/>
      <c r="AE9" s="1235"/>
      <c r="AF9" s="1236"/>
      <c r="AG9" s="1257"/>
      <c r="AH9" s="1258"/>
      <c r="AI9" s="1235"/>
      <c r="AJ9" s="1247"/>
      <c r="AK9" s="311"/>
      <c r="AL9" s="312"/>
      <c r="AM9" s="324"/>
      <c r="AN9" s="24"/>
    </row>
    <row r="10" spans="2:42" ht="12.75" customHeight="1" x14ac:dyDescent="0.25">
      <c r="B10" s="95"/>
      <c r="C10" s="75"/>
      <c r="D10" s="383"/>
      <c r="E10" s="746"/>
      <c r="F10" s="70"/>
      <c r="G10" s="70"/>
      <c r="H10" s="737"/>
      <c r="I10" s="737"/>
      <c r="J10" s="738"/>
      <c r="K10" s="75"/>
      <c r="L10" s="737"/>
      <c r="M10" s="737"/>
      <c r="N10" s="738"/>
      <c r="O10" s="737"/>
      <c r="P10" s="737"/>
      <c r="Q10" s="75"/>
      <c r="R10" s="75"/>
      <c r="S10" s="385"/>
      <c r="T10" s="879"/>
      <c r="U10" s="75"/>
      <c r="V10" s="211"/>
      <c r="Y10" s="1262"/>
      <c r="Z10" s="1263"/>
      <c r="AA10" s="1263"/>
      <c r="AB10" s="1263"/>
      <c r="AC10" s="1263"/>
      <c r="AE10" s="1235"/>
      <c r="AF10" s="1236"/>
      <c r="AG10" s="1257"/>
      <c r="AH10" s="1258"/>
      <c r="AI10" s="1235"/>
      <c r="AJ10" s="1247"/>
      <c r="AK10" s="311"/>
      <c r="AL10" s="312"/>
      <c r="AM10" s="324"/>
      <c r="AN10" s="24"/>
    </row>
    <row r="11" spans="2:42" ht="12.75" customHeight="1" x14ac:dyDescent="0.2">
      <c r="B11" s="67"/>
      <c r="C11" s="184"/>
      <c r="D11" s="1114"/>
      <c r="E11" s="1080"/>
      <c r="F11" s="1081"/>
      <c r="G11" s="1082"/>
      <c r="H11" s="1083"/>
      <c r="I11" s="1083"/>
      <c r="J11" s="1084"/>
      <c r="K11" s="1085"/>
      <c r="L11" s="1083"/>
      <c r="M11" s="1083"/>
      <c r="N11" s="1084"/>
      <c r="O11" s="1083"/>
      <c r="P11" s="1083"/>
      <c r="Q11" s="1085"/>
      <c r="R11" s="1085"/>
      <c r="S11" s="1086"/>
      <c r="T11" s="1087"/>
      <c r="U11" s="121"/>
      <c r="V11" s="71"/>
      <c r="AE11" s="1235"/>
      <c r="AF11" s="1236"/>
      <c r="AI11" s="1235"/>
      <c r="AJ11" s="1247"/>
      <c r="AK11" s="311"/>
      <c r="AL11" s="312"/>
      <c r="AM11" s="324"/>
      <c r="AN11" s="24"/>
    </row>
    <row r="12" spans="2:42" s="144" customFormat="1" ht="12.75" customHeight="1" x14ac:dyDescent="0.2">
      <c r="B12" s="150"/>
      <c r="C12" s="425"/>
      <c r="D12" s="1191" t="s">
        <v>307</v>
      </c>
      <c r="E12" s="1191"/>
      <c r="F12" s="1191"/>
      <c r="G12" s="1191"/>
      <c r="H12" s="1191"/>
      <c r="I12" s="1191"/>
      <c r="J12" s="1191"/>
      <c r="K12" s="1192"/>
      <c r="L12" s="1191" t="s">
        <v>553</v>
      </c>
      <c r="M12" s="1193"/>
      <c r="N12" s="1191"/>
      <c r="O12" s="1191"/>
      <c r="P12" s="1291"/>
      <c r="Q12" s="1055"/>
      <c r="R12" s="1191" t="s">
        <v>554</v>
      </c>
      <c r="S12" s="1194"/>
      <c r="T12" s="1292"/>
      <c r="U12" s="1293"/>
      <c r="V12" s="426"/>
      <c r="W12" s="427"/>
      <c r="X12" s="427"/>
      <c r="Y12" s="1221"/>
      <c r="Z12" s="1294"/>
      <c r="AA12" s="1221"/>
      <c r="AB12" s="1221"/>
      <c r="AC12" s="1221"/>
      <c r="AD12" s="1295"/>
      <c r="AE12" s="1295"/>
      <c r="AF12" s="1294"/>
      <c r="AG12" s="1248"/>
      <c r="AH12" s="1249"/>
      <c r="AI12" s="1221"/>
      <c r="AJ12" s="1221"/>
      <c r="AO12" s="427"/>
      <c r="AP12" s="427"/>
    </row>
    <row r="13" spans="2:42" s="144" customFormat="1" ht="12.75" customHeight="1" x14ac:dyDescent="0.2">
      <c r="B13" s="150"/>
      <c r="C13" s="425"/>
      <c r="D13" s="1056" t="s">
        <v>545</v>
      </c>
      <c r="E13" s="1030" t="s">
        <v>201</v>
      </c>
      <c r="F13" s="1057" t="s">
        <v>151</v>
      </c>
      <c r="G13" s="1058" t="s">
        <v>295</v>
      </c>
      <c r="H13" s="1057" t="s">
        <v>226</v>
      </c>
      <c r="I13" s="1057" t="s">
        <v>247</v>
      </c>
      <c r="J13" s="1059" t="s">
        <v>154</v>
      </c>
      <c r="K13" s="1067"/>
      <c r="L13" s="1060" t="s">
        <v>530</v>
      </c>
      <c r="M13" s="1060" t="s">
        <v>531</v>
      </c>
      <c r="N13" s="1060" t="s">
        <v>529</v>
      </c>
      <c r="O13" s="1060" t="s">
        <v>530</v>
      </c>
      <c r="P13" s="1296" t="s">
        <v>555</v>
      </c>
      <c r="Q13" s="1034"/>
      <c r="R13" s="1195" t="s">
        <v>212</v>
      </c>
      <c r="S13" s="1062" t="s">
        <v>556</v>
      </c>
      <c r="T13" s="1063" t="s">
        <v>212</v>
      </c>
      <c r="U13" s="1297"/>
      <c r="V13" s="429"/>
      <c r="W13" s="430"/>
      <c r="X13" s="430"/>
      <c r="Y13" s="1068" t="s">
        <v>325</v>
      </c>
      <c r="Z13" s="1285" t="s">
        <v>548</v>
      </c>
      <c r="AA13" s="1259" t="s">
        <v>549</v>
      </c>
      <c r="AB13" s="1259" t="s">
        <v>549</v>
      </c>
      <c r="AC13" s="1259" t="s">
        <v>546</v>
      </c>
      <c r="AD13" s="1206" t="s">
        <v>539</v>
      </c>
      <c r="AE13" s="1206" t="s">
        <v>540</v>
      </c>
      <c r="AF13" s="1069" t="s">
        <v>541</v>
      </c>
      <c r="AG13" s="1250" t="s">
        <v>319</v>
      </c>
      <c r="AH13" s="1249" t="s">
        <v>459</v>
      </c>
      <c r="AI13" s="1221"/>
      <c r="AJ13" s="1221"/>
      <c r="AO13" s="427"/>
      <c r="AP13" s="430"/>
    </row>
    <row r="14" spans="2:42" s="144" customFormat="1" ht="12.75" customHeight="1" x14ac:dyDescent="0.2">
      <c r="B14" s="150"/>
      <c r="C14" s="425"/>
      <c r="D14" s="1064"/>
      <c r="E14" s="1030"/>
      <c r="F14" s="1057" t="s">
        <v>152</v>
      </c>
      <c r="G14" s="1058" t="s">
        <v>296</v>
      </c>
      <c r="H14" s="1057"/>
      <c r="I14" s="1057"/>
      <c r="J14" s="1059" t="s">
        <v>489</v>
      </c>
      <c r="K14" s="1067"/>
      <c r="L14" s="1060" t="s">
        <v>533</v>
      </c>
      <c r="M14" s="1060" t="s">
        <v>534</v>
      </c>
      <c r="N14" s="1060" t="s">
        <v>532</v>
      </c>
      <c r="O14" s="1060" t="s">
        <v>544</v>
      </c>
      <c r="P14" s="1296" t="s">
        <v>291</v>
      </c>
      <c r="Q14" s="1034"/>
      <c r="R14" s="1061" t="s">
        <v>557</v>
      </c>
      <c r="S14" s="1062" t="s">
        <v>535</v>
      </c>
      <c r="T14" s="1063" t="s">
        <v>291</v>
      </c>
      <c r="U14" s="1040"/>
      <c r="V14" s="151"/>
      <c r="Y14" s="1068" t="s">
        <v>217</v>
      </c>
      <c r="Z14" s="1287">
        <f>tab!$D$48</f>
        <v>0.62</v>
      </c>
      <c r="AA14" s="1259" t="s">
        <v>550</v>
      </c>
      <c r="AB14" s="1259" t="s">
        <v>551</v>
      </c>
      <c r="AC14" s="1259" t="s">
        <v>552</v>
      </c>
      <c r="AD14" s="1206" t="s">
        <v>542</v>
      </c>
      <c r="AE14" s="1206" t="s">
        <v>542</v>
      </c>
      <c r="AF14" s="1069" t="s">
        <v>543</v>
      </c>
      <c r="AG14" s="1250"/>
      <c r="AH14" s="1251" t="s">
        <v>246</v>
      </c>
      <c r="AI14" s="1221"/>
      <c r="AJ14" s="1221"/>
      <c r="AP14" s="767"/>
    </row>
    <row r="15" spans="2:42" ht="12.75" customHeight="1" x14ac:dyDescent="0.2">
      <c r="B15" s="67"/>
      <c r="C15" s="126"/>
      <c r="D15" s="1065"/>
      <c r="E15" s="1065"/>
      <c r="F15" s="1065"/>
      <c r="G15" s="1065"/>
      <c r="H15" s="1065"/>
      <c r="I15" s="1065"/>
      <c r="J15" s="1065"/>
      <c r="K15" s="1066"/>
      <c r="L15" s="1065"/>
      <c r="M15" s="1065"/>
      <c r="N15" s="1065"/>
      <c r="O15" s="1065"/>
      <c r="P15" s="1065"/>
      <c r="Q15" s="1066"/>
      <c r="R15" s="1088"/>
      <c r="S15" s="1070"/>
      <c r="T15" s="1089"/>
      <c r="U15" s="125"/>
      <c r="V15" s="71"/>
      <c r="Y15" s="1068"/>
      <c r="Z15" s="1222"/>
      <c r="AA15" s="1222"/>
      <c r="AB15" s="1222"/>
      <c r="AC15" s="1222"/>
      <c r="AD15" s="1206"/>
      <c r="AE15" s="1206"/>
      <c r="AF15" s="1221"/>
      <c r="AG15" s="1250"/>
      <c r="AH15" s="1251"/>
      <c r="AM15" s="14"/>
      <c r="AN15" s="14"/>
      <c r="AP15" s="332"/>
    </row>
    <row r="16" spans="2:42" ht="12.75" customHeight="1" x14ac:dyDescent="0.2">
      <c r="B16" s="95"/>
      <c r="C16" s="126"/>
      <c r="D16" s="396"/>
      <c r="E16" s="432" t="s">
        <v>564</v>
      </c>
      <c r="F16" s="776"/>
      <c r="G16" s="802"/>
      <c r="H16" s="776">
        <v>8</v>
      </c>
      <c r="I16" s="433">
        <v>8</v>
      </c>
      <c r="J16" s="803">
        <v>1</v>
      </c>
      <c r="K16" s="413"/>
      <c r="L16" s="1207"/>
      <c r="M16" s="1207"/>
      <c r="N16" s="1209">
        <f t="shared" ref="N16" si="0">IF(J16="","",IF((J16*40)&gt;40,40,((J16*40))))</f>
        <v>40</v>
      </c>
      <c r="O16" s="1209"/>
      <c r="P16" s="1283">
        <f t="shared" ref="P16" si="1">IF(J16="","",(SUM(L16:O16)))</f>
        <v>40</v>
      </c>
      <c r="Q16" s="518"/>
      <c r="R16" s="1076">
        <f>IF(J16="","",(((1659*J16)-P16)*AB16))</f>
        <v>50311.844918625684</v>
      </c>
      <c r="S16" s="1076">
        <f t="shared" ref="S16" si="2">IF(J16="","",(P16*AC16)+(AA16*AD16)+((AE16*AA16*(1-AF16))))</f>
        <v>1243.0350813743221</v>
      </c>
      <c r="T16" s="1078">
        <f t="shared" ref="T16" si="3">IF(J16="","",(R16+S16))</f>
        <v>51554.880000000005</v>
      </c>
      <c r="U16" s="599"/>
      <c r="V16" s="804"/>
      <c r="W16" s="1110"/>
      <c r="X16" s="1218"/>
      <c r="Y16" s="1253">
        <f>ROUND(VLOOKUP(H16,tab!$A$61:$V$103,I16+2,FALSE),0)</f>
        <v>2652</v>
      </c>
      <c r="Z16" s="1252">
        <f>tab!$D$48</f>
        <v>0.62</v>
      </c>
      <c r="AA16" s="1284">
        <f t="shared" ref="AA16" si="4">(Y16*12/1659)</f>
        <v>19.182640144665463</v>
      </c>
      <c r="AB16" s="1284">
        <f t="shared" ref="AB16" si="5">(Y16*12*(1+Z16))/1659</f>
        <v>31.075877034358051</v>
      </c>
      <c r="AC16" s="1284">
        <f t="shared" ref="AC16" si="6">AB16-AA16</f>
        <v>11.893236889692588</v>
      </c>
      <c r="AD16" s="1286">
        <f t="shared" ref="AD16" si="7">(N16+O16)</f>
        <v>40</v>
      </c>
      <c r="AE16" s="1286">
        <f t="shared" ref="AE16" si="8">(L16+M16)</f>
        <v>0</v>
      </c>
      <c r="AF16" s="1254">
        <f>IF(H16&gt;8,tab!$D$49,tab!$D$52)</f>
        <v>0.4</v>
      </c>
      <c r="AG16" s="1255">
        <f t="shared" ref="AG16:AG45" si="9">IF(F16&lt;25,0,IF(F16=25,25,IF(F16&lt;40,0,IF(F16=40,40,IF(F16&gt;=40,0)))))</f>
        <v>0</v>
      </c>
      <c r="AH16" s="1251">
        <f t="shared" ref="AH16:AH45" si="10">IF(AG16=25,(Y16*1.08*(J16)/2),IF(AG16=40,(Y16*1.08*(J16)),IF(AG16=0,0)))</f>
        <v>0</v>
      </c>
    </row>
    <row r="17" spans="2:34" ht="12.75" customHeight="1" x14ac:dyDescent="0.2">
      <c r="B17" s="95"/>
      <c r="C17" s="126"/>
      <c r="D17" s="396"/>
      <c r="E17" s="432"/>
      <c r="F17" s="776"/>
      <c r="G17" s="802"/>
      <c r="H17" s="776"/>
      <c r="I17" s="433"/>
      <c r="J17" s="803"/>
      <c r="K17" s="413"/>
      <c r="L17" s="1207"/>
      <c r="M17" s="1207"/>
      <c r="N17" s="1209" t="str">
        <f t="shared" ref="N17:N45" si="11">IF(J17="","",IF((J17*40)&gt;40,40,((J17*40))))</f>
        <v/>
      </c>
      <c r="O17" s="1209"/>
      <c r="P17" s="1283" t="str">
        <f t="shared" ref="P17:P45" si="12">IF(J17="","",(SUM(L17:O17)))</f>
        <v/>
      </c>
      <c r="Q17" s="518"/>
      <c r="R17" s="1076" t="str">
        <f t="shared" ref="R17:R45" si="13">IF(J17="","",(((1659*J17)-P17)*AB17))</f>
        <v/>
      </c>
      <c r="S17" s="1076" t="str">
        <f t="shared" ref="S17:S45" si="14">IF(J17="","",(P17*AC17)+(AA17*AD17)+((AE17*AA17*(1-AF17))))</f>
        <v/>
      </c>
      <c r="T17" s="1078" t="str">
        <f t="shared" ref="T17:T45" si="15">IF(J17="","",(R17+S17))</f>
        <v/>
      </c>
      <c r="U17" s="599"/>
      <c r="V17" s="804"/>
      <c r="W17" s="1110"/>
      <c r="X17" s="1218"/>
      <c r="Y17" s="1253" t="e">
        <f>ROUND(VLOOKUP(H17,tab!$A$61:$V$103,I17+2,FALSE),0)</f>
        <v>#N/A</v>
      </c>
      <c r="Z17" s="1252">
        <f>tab!$D$48</f>
        <v>0.62</v>
      </c>
      <c r="AA17" s="1284" t="e">
        <f t="shared" ref="AA17:AA45" si="16">(Y17*12/1659)</f>
        <v>#N/A</v>
      </c>
      <c r="AB17" s="1284" t="e">
        <f t="shared" ref="AB17:AB45" si="17">(Y17*12*(1+Z17))/1659</f>
        <v>#N/A</v>
      </c>
      <c r="AC17" s="1284" t="e">
        <f t="shared" ref="AC17:AC45" si="18">AB17-AA17</f>
        <v>#N/A</v>
      </c>
      <c r="AD17" s="1286" t="e">
        <f t="shared" ref="AD17:AD45" si="19">(N17+O17)</f>
        <v>#VALUE!</v>
      </c>
      <c r="AE17" s="1286">
        <f t="shared" ref="AE17:AE45" si="20">(L17+M17)</f>
        <v>0</v>
      </c>
      <c r="AF17" s="1254">
        <f>IF(H17&gt;8,tab!$D$49,tab!$D$52)</f>
        <v>0.4</v>
      </c>
      <c r="AG17" s="1255">
        <f t="shared" si="9"/>
        <v>0</v>
      </c>
      <c r="AH17" s="1251">
        <f t="shared" si="10"/>
        <v>0</v>
      </c>
    </row>
    <row r="18" spans="2:34" ht="12.75" customHeight="1" x14ac:dyDescent="0.2">
      <c r="B18" s="95"/>
      <c r="C18" s="126"/>
      <c r="D18" s="396"/>
      <c r="E18" s="432"/>
      <c r="F18" s="776"/>
      <c r="G18" s="802"/>
      <c r="H18" s="776"/>
      <c r="I18" s="433"/>
      <c r="J18" s="803"/>
      <c r="K18" s="413"/>
      <c r="L18" s="1207"/>
      <c r="M18" s="1207"/>
      <c r="N18" s="1209" t="str">
        <f t="shared" si="11"/>
        <v/>
      </c>
      <c r="O18" s="1209"/>
      <c r="P18" s="1283" t="str">
        <f t="shared" si="12"/>
        <v/>
      </c>
      <c r="Q18" s="518"/>
      <c r="R18" s="1076" t="str">
        <f t="shared" si="13"/>
        <v/>
      </c>
      <c r="S18" s="1076" t="str">
        <f t="shared" si="14"/>
        <v/>
      </c>
      <c r="T18" s="1078" t="str">
        <f t="shared" si="15"/>
        <v/>
      </c>
      <c r="U18" s="599"/>
      <c r="V18" s="804"/>
      <c r="W18" s="1110"/>
      <c r="X18" s="1218"/>
      <c r="Y18" s="1253" t="e">
        <f>ROUND(VLOOKUP(H18,tab!$A$61:$V$103,I18+2,FALSE),0)</f>
        <v>#N/A</v>
      </c>
      <c r="Z18" s="1252">
        <f>tab!$D$48</f>
        <v>0.62</v>
      </c>
      <c r="AA18" s="1284" t="e">
        <f t="shared" si="16"/>
        <v>#N/A</v>
      </c>
      <c r="AB18" s="1284" t="e">
        <f t="shared" si="17"/>
        <v>#N/A</v>
      </c>
      <c r="AC18" s="1284" t="e">
        <f t="shared" si="18"/>
        <v>#N/A</v>
      </c>
      <c r="AD18" s="1286" t="e">
        <f t="shared" si="19"/>
        <v>#VALUE!</v>
      </c>
      <c r="AE18" s="1286">
        <f t="shared" si="20"/>
        <v>0</v>
      </c>
      <c r="AF18" s="1254">
        <f>IF(H18&gt;8,tab!$D$49,tab!$D$52)</f>
        <v>0.4</v>
      </c>
      <c r="AG18" s="1255">
        <f t="shared" si="9"/>
        <v>0</v>
      </c>
      <c r="AH18" s="1251">
        <f t="shared" si="10"/>
        <v>0</v>
      </c>
    </row>
    <row r="19" spans="2:34" ht="12.75" customHeight="1" x14ac:dyDescent="0.2">
      <c r="B19" s="95"/>
      <c r="C19" s="126"/>
      <c r="D19" s="396"/>
      <c r="E19" s="432"/>
      <c r="F19" s="776"/>
      <c r="G19" s="802"/>
      <c r="H19" s="776"/>
      <c r="I19" s="433"/>
      <c r="J19" s="803"/>
      <c r="K19" s="413"/>
      <c r="L19" s="1207"/>
      <c r="M19" s="1207"/>
      <c r="N19" s="1209" t="str">
        <f t="shared" si="11"/>
        <v/>
      </c>
      <c r="O19" s="1209"/>
      <c r="P19" s="1283" t="str">
        <f t="shared" si="12"/>
        <v/>
      </c>
      <c r="Q19" s="518"/>
      <c r="R19" s="1076" t="str">
        <f t="shared" si="13"/>
        <v/>
      </c>
      <c r="S19" s="1076" t="str">
        <f t="shared" si="14"/>
        <v/>
      </c>
      <c r="T19" s="1078" t="str">
        <f t="shared" si="15"/>
        <v/>
      </c>
      <c r="U19" s="599"/>
      <c r="V19" s="804"/>
      <c r="W19" s="1110"/>
      <c r="X19" s="1218"/>
      <c r="Y19" s="1253" t="e">
        <f>ROUND(VLOOKUP(H19,tab!$A$61:$V$103,I19+2,FALSE),0)</f>
        <v>#N/A</v>
      </c>
      <c r="Z19" s="1252">
        <f>tab!$D$48</f>
        <v>0.62</v>
      </c>
      <c r="AA19" s="1284" t="e">
        <f t="shared" si="16"/>
        <v>#N/A</v>
      </c>
      <c r="AB19" s="1284" t="e">
        <f t="shared" si="17"/>
        <v>#N/A</v>
      </c>
      <c r="AC19" s="1284" t="e">
        <f t="shared" si="18"/>
        <v>#N/A</v>
      </c>
      <c r="AD19" s="1286" t="e">
        <f t="shared" si="19"/>
        <v>#VALUE!</v>
      </c>
      <c r="AE19" s="1286">
        <f t="shared" si="20"/>
        <v>0</v>
      </c>
      <c r="AF19" s="1254">
        <f>IF(H19&gt;8,tab!$D$49,tab!$D$52)</f>
        <v>0.4</v>
      </c>
      <c r="AG19" s="1255">
        <f t="shared" si="9"/>
        <v>0</v>
      </c>
      <c r="AH19" s="1251">
        <f t="shared" si="10"/>
        <v>0</v>
      </c>
    </row>
    <row r="20" spans="2:34" ht="12.75" customHeight="1" x14ac:dyDescent="0.2">
      <c r="B20" s="95"/>
      <c r="C20" s="126"/>
      <c r="D20" s="396"/>
      <c r="E20" s="432"/>
      <c r="F20" s="776"/>
      <c r="G20" s="802"/>
      <c r="H20" s="776"/>
      <c r="I20" s="433"/>
      <c r="J20" s="803"/>
      <c r="K20" s="413"/>
      <c r="L20" s="1207"/>
      <c r="M20" s="1207"/>
      <c r="N20" s="1209" t="str">
        <f t="shared" si="11"/>
        <v/>
      </c>
      <c r="O20" s="1209"/>
      <c r="P20" s="1283" t="str">
        <f t="shared" si="12"/>
        <v/>
      </c>
      <c r="Q20" s="518"/>
      <c r="R20" s="1076" t="str">
        <f t="shared" si="13"/>
        <v/>
      </c>
      <c r="S20" s="1076" t="str">
        <f t="shared" si="14"/>
        <v/>
      </c>
      <c r="T20" s="1078" t="str">
        <f t="shared" si="15"/>
        <v/>
      </c>
      <c r="U20" s="599"/>
      <c r="V20" s="804"/>
      <c r="W20" s="1110"/>
      <c r="X20" s="1218"/>
      <c r="Y20" s="1253" t="e">
        <f>ROUND(VLOOKUP(H20,tab!$A$61:$V$103,I20+2,FALSE),0)</f>
        <v>#N/A</v>
      </c>
      <c r="Z20" s="1252">
        <f>tab!$D$48</f>
        <v>0.62</v>
      </c>
      <c r="AA20" s="1284" t="e">
        <f t="shared" si="16"/>
        <v>#N/A</v>
      </c>
      <c r="AB20" s="1284" t="e">
        <f t="shared" si="17"/>
        <v>#N/A</v>
      </c>
      <c r="AC20" s="1284" t="e">
        <f t="shared" si="18"/>
        <v>#N/A</v>
      </c>
      <c r="AD20" s="1286" t="e">
        <f t="shared" si="19"/>
        <v>#VALUE!</v>
      </c>
      <c r="AE20" s="1286">
        <f t="shared" si="20"/>
        <v>0</v>
      </c>
      <c r="AF20" s="1254">
        <f>IF(H20&gt;8,tab!$D$49,tab!$D$52)</f>
        <v>0.4</v>
      </c>
      <c r="AG20" s="1255">
        <f t="shared" si="9"/>
        <v>0</v>
      </c>
      <c r="AH20" s="1251">
        <f t="shared" si="10"/>
        <v>0</v>
      </c>
    </row>
    <row r="21" spans="2:34" ht="12.75" customHeight="1" x14ac:dyDescent="0.2">
      <c r="B21" s="95"/>
      <c r="C21" s="126"/>
      <c r="D21" s="396"/>
      <c r="E21" s="432"/>
      <c r="F21" s="776"/>
      <c r="G21" s="802"/>
      <c r="H21" s="776"/>
      <c r="I21" s="433"/>
      <c r="J21" s="803"/>
      <c r="K21" s="413"/>
      <c r="L21" s="1207"/>
      <c r="M21" s="1207"/>
      <c r="N21" s="1209" t="str">
        <f t="shared" si="11"/>
        <v/>
      </c>
      <c r="O21" s="1209"/>
      <c r="P21" s="1283" t="str">
        <f t="shared" si="12"/>
        <v/>
      </c>
      <c r="Q21" s="518"/>
      <c r="R21" s="1076" t="str">
        <f t="shared" si="13"/>
        <v/>
      </c>
      <c r="S21" s="1076" t="str">
        <f t="shared" si="14"/>
        <v/>
      </c>
      <c r="T21" s="1078" t="str">
        <f t="shared" si="15"/>
        <v/>
      </c>
      <c r="U21" s="599"/>
      <c r="V21" s="804"/>
      <c r="W21" s="1110"/>
      <c r="X21" s="1218"/>
      <c r="Y21" s="1253" t="e">
        <f>ROUND(VLOOKUP(H21,tab!$A$61:$V$103,I21+2,FALSE),0)</f>
        <v>#N/A</v>
      </c>
      <c r="Z21" s="1252">
        <f>tab!$D$48</f>
        <v>0.62</v>
      </c>
      <c r="AA21" s="1284" t="e">
        <f t="shared" si="16"/>
        <v>#N/A</v>
      </c>
      <c r="AB21" s="1284" t="e">
        <f t="shared" si="17"/>
        <v>#N/A</v>
      </c>
      <c r="AC21" s="1284" t="e">
        <f t="shared" si="18"/>
        <v>#N/A</v>
      </c>
      <c r="AD21" s="1286" t="e">
        <f t="shared" si="19"/>
        <v>#VALUE!</v>
      </c>
      <c r="AE21" s="1286">
        <f t="shared" si="20"/>
        <v>0</v>
      </c>
      <c r="AF21" s="1254">
        <f>IF(H21&gt;8,tab!$D$49,tab!$D$52)</f>
        <v>0.4</v>
      </c>
      <c r="AG21" s="1255">
        <f t="shared" si="9"/>
        <v>0</v>
      </c>
      <c r="AH21" s="1251">
        <f t="shared" si="10"/>
        <v>0</v>
      </c>
    </row>
    <row r="22" spans="2:34" ht="12.75" customHeight="1" x14ac:dyDescent="0.2">
      <c r="B22" s="95"/>
      <c r="C22" s="126"/>
      <c r="D22" s="396"/>
      <c r="E22" s="432"/>
      <c r="F22" s="776"/>
      <c r="G22" s="802"/>
      <c r="H22" s="776"/>
      <c r="I22" s="433"/>
      <c r="J22" s="803"/>
      <c r="K22" s="413"/>
      <c r="L22" s="1207"/>
      <c r="M22" s="1207"/>
      <c r="N22" s="1209" t="str">
        <f t="shared" si="11"/>
        <v/>
      </c>
      <c r="O22" s="1209"/>
      <c r="P22" s="1283" t="str">
        <f t="shared" si="12"/>
        <v/>
      </c>
      <c r="Q22" s="518"/>
      <c r="R22" s="1076" t="str">
        <f t="shared" si="13"/>
        <v/>
      </c>
      <c r="S22" s="1076" t="str">
        <f t="shared" si="14"/>
        <v/>
      </c>
      <c r="T22" s="1078" t="str">
        <f t="shared" si="15"/>
        <v/>
      </c>
      <c r="U22" s="599"/>
      <c r="V22" s="804"/>
      <c r="W22" s="1110"/>
      <c r="X22" s="1218"/>
      <c r="Y22" s="1253" t="e">
        <f>ROUND(VLOOKUP(H22,tab!$A$61:$V$103,I22+2,FALSE),0)</f>
        <v>#N/A</v>
      </c>
      <c r="Z22" s="1252">
        <f>tab!$D$48</f>
        <v>0.62</v>
      </c>
      <c r="AA22" s="1284" t="e">
        <f t="shared" si="16"/>
        <v>#N/A</v>
      </c>
      <c r="AB22" s="1284" t="e">
        <f t="shared" si="17"/>
        <v>#N/A</v>
      </c>
      <c r="AC22" s="1284" t="e">
        <f t="shared" si="18"/>
        <v>#N/A</v>
      </c>
      <c r="AD22" s="1286" t="e">
        <f t="shared" si="19"/>
        <v>#VALUE!</v>
      </c>
      <c r="AE22" s="1286">
        <f t="shared" si="20"/>
        <v>0</v>
      </c>
      <c r="AF22" s="1254">
        <f>IF(H22&gt;8,tab!$D$49,tab!$D$52)</f>
        <v>0.4</v>
      </c>
      <c r="AG22" s="1255">
        <f t="shared" si="9"/>
        <v>0</v>
      </c>
      <c r="AH22" s="1251">
        <f t="shared" si="10"/>
        <v>0</v>
      </c>
    </row>
    <row r="23" spans="2:34" ht="12.75" customHeight="1" x14ac:dyDescent="0.2">
      <c r="B23" s="95"/>
      <c r="C23" s="126"/>
      <c r="D23" s="396"/>
      <c r="E23" s="432"/>
      <c r="F23" s="776"/>
      <c r="G23" s="802"/>
      <c r="H23" s="776"/>
      <c r="I23" s="433"/>
      <c r="J23" s="803"/>
      <c r="K23" s="413"/>
      <c r="L23" s="1207"/>
      <c r="M23" s="1207"/>
      <c r="N23" s="1209" t="str">
        <f t="shared" si="11"/>
        <v/>
      </c>
      <c r="O23" s="1209"/>
      <c r="P23" s="1283" t="str">
        <f t="shared" si="12"/>
        <v/>
      </c>
      <c r="Q23" s="518"/>
      <c r="R23" s="1076" t="str">
        <f t="shared" si="13"/>
        <v/>
      </c>
      <c r="S23" s="1076" t="str">
        <f t="shared" si="14"/>
        <v/>
      </c>
      <c r="T23" s="1078" t="str">
        <f t="shared" si="15"/>
        <v/>
      </c>
      <c r="U23" s="599"/>
      <c r="V23" s="804"/>
      <c r="W23" s="1110"/>
      <c r="X23" s="1218"/>
      <c r="Y23" s="1253" t="e">
        <f>ROUND(VLOOKUP(H23,tab!$A$61:$V$103,I23+2,FALSE),0)</f>
        <v>#N/A</v>
      </c>
      <c r="Z23" s="1252">
        <f>tab!$D$48</f>
        <v>0.62</v>
      </c>
      <c r="AA23" s="1284" t="e">
        <f t="shared" si="16"/>
        <v>#N/A</v>
      </c>
      <c r="AB23" s="1284" t="e">
        <f t="shared" si="17"/>
        <v>#N/A</v>
      </c>
      <c r="AC23" s="1284" t="e">
        <f t="shared" si="18"/>
        <v>#N/A</v>
      </c>
      <c r="AD23" s="1286" t="e">
        <f t="shared" si="19"/>
        <v>#VALUE!</v>
      </c>
      <c r="AE23" s="1286">
        <f t="shared" si="20"/>
        <v>0</v>
      </c>
      <c r="AF23" s="1254">
        <f>IF(H23&gt;8,tab!$D$49,tab!$D$52)</f>
        <v>0.4</v>
      </c>
      <c r="AG23" s="1255">
        <f t="shared" si="9"/>
        <v>0</v>
      </c>
      <c r="AH23" s="1251">
        <f t="shared" si="10"/>
        <v>0</v>
      </c>
    </row>
    <row r="24" spans="2:34" ht="12.75" customHeight="1" x14ac:dyDescent="0.2">
      <c r="B24" s="95"/>
      <c r="C24" s="126"/>
      <c r="D24" s="396"/>
      <c r="E24" s="432"/>
      <c r="F24" s="776"/>
      <c r="G24" s="802"/>
      <c r="H24" s="776"/>
      <c r="I24" s="433"/>
      <c r="J24" s="803"/>
      <c r="K24" s="413"/>
      <c r="L24" s="1207"/>
      <c r="M24" s="1207"/>
      <c r="N24" s="1209" t="str">
        <f t="shared" si="11"/>
        <v/>
      </c>
      <c r="O24" s="1209"/>
      <c r="P24" s="1283" t="str">
        <f t="shared" si="12"/>
        <v/>
      </c>
      <c r="Q24" s="518"/>
      <c r="R24" s="1076" t="str">
        <f t="shared" si="13"/>
        <v/>
      </c>
      <c r="S24" s="1076" t="str">
        <f t="shared" si="14"/>
        <v/>
      </c>
      <c r="T24" s="1078" t="str">
        <f t="shared" si="15"/>
        <v/>
      </c>
      <c r="U24" s="599"/>
      <c r="V24" s="804"/>
      <c r="W24" s="1110"/>
      <c r="X24" s="1218"/>
      <c r="Y24" s="1253" t="e">
        <f>ROUND(VLOOKUP(H24,tab!$A$61:$V$103,I24+2,FALSE),0)</f>
        <v>#N/A</v>
      </c>
      <c r="Z24" s="1252">
        <f>tab!$D$48</f>
        <v>0.62</v>
      </c>
      <c r="AA24" s="1284" t="e">
        <f t="shared" si="16"/>
        <v>#N/A</v>
      </c>
      <c r="AB24" s="1284" t="e">
        <f t="shared" si="17"/>
        <v>#N/A</v>
      </c>
      <c r="AC24" s="1284" t="e">
        <f t="shared" si="18"/>
        <v>#N/A</v>
      </c>
      <c r="AD24" s="1286" t="e">
        <f t="shared" si="19"/>
        <v>#VALUE!</v>
      </c>
      <c r="AE24" s="1286">
        <f t="shared" si="20"/>
        <v>0</v>
      </c>
      <c r="AF24" s="1254">
        <f>IF(H24&gt;8,tab!$D$49,tab!$D$52)</f>
        <v>0.4</v>
      </c>
      <c r="AG24" s="1255">
        <f t="shared" si="9"/>
        <v>0</v>
      </c>
      <c r="AH24" s="1251">
        <f t="shared" si="10"/>
        <v>0</v>
      </c>
    </row>
    <row r="25" spans="2:34" ht="12.75" customHeight="1" x14ac:dyDescent="0.2">
      <c r="B25" s="95"/>
      <c r="C25" s="126"/>
      <c r="D25" s="396"/>
      <c r="E25" s="432"/>
      <c r="F25" s="776"/>
      <c r="G25" s="802"/>
      <c r="H25" s="776"/>
      <c r="I25" s="433"/>
      <c r="J25" s="803"/>
      <c r="K25" s="413"/>
      <c r="L25" s="1207"/>
      <c r="M25" s="1207"/>
      <c r="N25" s="1209" t="str">
        <f t="shared" si="11"/>
        <v/>
      </c>
      <c r="O25" s="1209"/>
      <c r="P25" s="1283" t="str">
        <f t="shared" si="12"/>
        <v/>
      </c>
      <c r="Q25" s="518"/>
      <c r="R25" s="1076" t="str">
        <f t="shared" si="13"/>
        <v/>
      </c>
      <c r="S25" s="1076" t="str">
        <f t="shared" si="14"/>
        <v/>
      </c>
      <c r="T25" s="1078" t="str">
        <f t="shared" si="15"/>
        <v/>
      </c>
      <c r="U25" s="599"/>
      <c r="V25" s="804"/>
      <c r="W25" s="1110"/>
      <c r="X25" s="1218"/>
      <c r="Y25" s="1253" t="e">
        <f>ROUND(VLOOKUP(H25,tab!$A$61:$V$103,I25+2,FALSE),0)</f>
        <v>#N/A</v>
      </c>
      <c r="Z25" s="1252">
        <f>tab!$D$48</f>
        <v>0.62</v>
      </c>
      <c r="AA25" s="1284" t="e">
        <f t="shared" si="16"/>
        <v>#N/A</v>
      </c>
      <c r="AB25" s="1284" t="e">
        <f t="shared" si="17"/>
        <v>#N/A</v>
      </c>
      <c r="AC25" s="1284" t="e">
        <f t="shared" si="18"/>
        <v>#N/A</v>
      </c>
      <c r="AD25" s="1286" t="e">
        <f t="shared" si="19"/>
        <v>#VALUE!</v>
      </c>
      <c r="AE25" s="1286">
        <f t="shared" si="20"/>
        <v>0</v>
      </c>
      <c r="AF25" s="1254">
        <f>IF(H25&gt;8,tab!$D$49,tab!$D$52)</f>
        <v>0.4</v>
      </c>
      <c r="AG25" s="1255">
        <f t="shared" si="9"/>
        <v>0</v>
      </c>
      <c r="AH25" s="1251">
        <f t="shared" si="10"/>
        <v>0</v>
      </c>
    </row>
    <row r="26" spans="2:34" ht="12.75" customHeight="1" x14ac:dyDescent="0.2">
      <c r="B26" s="95"/>
      <c r="C26" s="126"/>
      <c r="D26" s="396"/>
      <c r="E26" s="432"/>
      <c r="F26" s="776"/>
      <c r="G26" s="802"/>
      <c r="H26" s="776"/>
      <c r="I26" s="433"/>
      <c r="J26" s="803"/>
      <c r="K26" s="413"/>
      <c r="L26" s="1207"/>
      <c r="M26" s="1207"/>
      <c r="N26" s="1209" t="str">
        <f t="shared" si="11"/>
        <v/>
      </c>
      <c r="O26" s="1209"/>
      <c r="P26" s="1283" t="str">
        <f t="shared" si="12"/>
        <v/>
      </c>
      <c r="Q26" s="518"/>
      <c r="R26" s="1076" t="str">
        <f t="shared" si="13"/>
        <v/>
      </c>
      <c r="S26" s="1076" t="str">
        <f t="shared" si="14"/>
        <v/>
      </c>
      <c r="T26" s="1078" t="str">
        <f t="shared" si="15"/>
        <v/>
      </c>
      <c r="U26" s="599"/>
      <c r="V26" s="804"/>
      <c r="W26" s="1110"/>
      <c r="X26" s="1218"/>
      <c r="Y26" s="1253" t="e">
        <f>ROUND(VLOOKUP(H26,tab!$A$61:$V$103,I26+2,FALSE),0)</f>
        <v>#N/A</v>
      </c>
      <c r="Z26" s="1252">
        <f>tab!$D$48</f>
        <v>0.62</v>
      </c>
      <c r="AA26" s="1284" t="e">
        <f t="shared" si="16"/>
        <v>#N/A</v>
      </c>
      <c r="AB26" s="1284" t="e">
        <f t="shared" si="17"/>
        <v>#N/A</v>
      </c>
      <c r="AC26" s="1284" t="e">
        <f t="shared" si="18"/>
        <v>#N/A</v>
      </c>
      <c r="AD26" s="1286" t="e">
        <f t="shared" si="19"/>
        <v>#VALUE!</v>
      </c>
      <c r="AE26" s="1286">
        <f t="shared" si="20"/>
        <v>0</v>
      </c>
      <c r="AF26" s="1254">
        <f>IF(H26&gt;8,tab!$D$49,tab!$D$52)</f>
        <v>0.4</v>
      </c>
      <c r="AG26" s="1255">
        <f t="shared" si="9"/>
        <v>0</v>
      </c>
      <c r="AH26" s="1251">
        <f t="shared" si="10"/>
        <v>0</v>
      </c>
    </row>
    <row r="27" spans="2:34" ht="12.75" customHeight="1" x14ac:dyDescent="0.2">
      <c r="B27" s="95"/>
      <c r="C27" s="126"/>
      <c r="D27" s="396"/>
      <c r="E27" s="432"/>
      <c r="F27" s="776"/>
      <c r="G27" s="802"/>
      <c r="H27" s="776"/>
      <c r="I27" s="433"/>
      <c r="J27" s="803"/>
      <c r="K27" s="413"/>
      <c r="L27" s="1207"/>
      <c r="M27" s="1207"/>
      <c r="N27" s="1209" t="str">
        <f t="shared" si="11"/>
        <v/>
      </c>
      <c r="O27" s="1209"/>
      <c r="P27" s="1283" t="str">
        <f t="shared" si="12"/>
        <v/>
      </c>
      <c r="Q27" s="518"/>
      <c r="R27" s="1076" t="str">
        <f t="shared" si="13"/>
        <v/>
      </c>
      <c r="S27" s="1076" t="str">
        <f t="shared" si="14"/>
        <v/>
      </c>
      <c r="T27" s="1078" t="str">
        <f t="shared" si="15"/>
        <v/>
      </c>
      <c r="U27" s="599"/>
      <c r="V27" s="804"/>
      <c r="W27" s="1110"/>
      <c r="X27" s="1218"/>
      <c r="Y27" s="1253" t="e">
        <f>ROUND(VLOOKUP(H27,tab!$A$61:$V$103,I27+2,FALSE),0)</f>
        <v>#N/A</v>
      </c>
      <c r="Z27" s="1252">
        <f>tab!$D$48</f>
        <v>0.62</v>
      </c>
      <c r="AA27" s="1284" t="e">
        <f t="shared" si="16"/>
        <v>#N/A</v>
      </c>
      <c r="AB27" s="1284" t="e">
        <f t="shared" si="17"/>
        <v>#N/A</v>
      </c>
      <c r="AC27" s="1284" t="e">
        <f t="shared" si="18"/>
        <v>#N/A</v>
      </c>
      <c r="AD27" s="1286" t="e">
        <f t="shared" si="19"/>
        <v>#VALUE!</v>
      </c>
      <c r="AE27" s="1286">
        <f t="shared" si="20"/>
        <v>0</v>
      </c>
      <c r="AF27" s="1254">
        <f>IF(H27&gt;8,tab!$D$49,tab!$D$52)</f>
        <v>0.4</v>
      </c>
      <c r="AG27" s="1255">
        <f t="shared" si="9"/>
        <v>0</v>
      </c>
      <c r="AH27" s="1251">
        <f t="shared" si="10"/>
        <v>0</v>
      </c>
    </row>
    <row r="28" spans="2:34" ht="12.75" customHeight="1" x14ac:dyDescent="0.2">
      <c r="B28" s="95"/>
      <c r="C28" s="126"/>
      <c r="D28" s="396"/>
      <c r="E28" s="432"/>
      <c r="F28" s="776"/>
      <c r="G28" s="802"/>
      <c r="H28" s="776"/>
      <c r="I28" s="433"/>
      <c r="J28" s="803"/>
      <c r="K28" s="413"/>
      <c r="L28" s="1207"/>
      <c r="M28" s="1207"/>
      <c r="N28" s="1209" t="str">
        <f t="shared" si="11"/>
        <v/>
      </c>
      <c r="O28" s="1209"/>
      <c r="P28" s="1283" t="str">
        <f t="shared" si="12"/>
        <v/>
      </c>
      <c r="Q28" s="518"/>
      <c r="R28" s="1076" t="str">
        <f t="shared" si="13"/>
        <v/>
      </c>
      <c r="S28" s="1076" t="str">
        <f t="shared" si="14"/>
        <v/>
      </c>
      <c r="T28" s="1078" t="str">
        <f t="shared" si="15"/>
        <v/>
      </c>
      <c r="U28" s="599"/>
      <c r="V28" s="804"/>
      <c r="W28" s="1110"/>
      <c r="X28" s="1218"/>
      <c r="Y28" s="1253" t="e">
        <f>ROUND(VLOOKUP(H28,tab!$A$61:$V$103,I28+2,FALSE),0)</f>
        <v>#N/A</v>
      </c>
      <c r="Z28" s="1252">
        <f>tab!$D$48</f>
        <v>0.62</v>
      </c>
      <c r="AA28" s="1284" t="e">
        <f t="shared" si="16"/>
        <v>#N/A</v>
      </c>
      <c r="AB28" s="1284" t="e">
        <f t="shared" si="17"/>
        <v>#N/A</v>
      </c>
      <c r="AC28" s="1284" t="e">
        <f t="shared" si="18"/>
        <v>#N/A</v>
      </c>
      <c r="AD28" s="1286" t="e">
        <f t="shared" si="19"/>
        <v>#VALUE!</v>
      </c>
      <c r="AE28" s="1286">
        <f t="shared" si="20"/>
        <v>0</v>
      </c>
      <c r="AF28" s="1254">
        <f>IF(H28&gt;8,tab!$D$49,tab!$D$52)</f>
        <v>0.4</v>
      </c>
      <c r="AG28" s="1255">
        <f t="shared" si="9"/>
        <v>0</v>
      </c>
      <c r="AH28" s="1251">
        <f t="shared" si="10"/>
        <v>0</v>
      </c>
    </row>
    <row r="29" spans="2:34" ht="12.75" customHeight="1" x14ac:dyDescent="0.2">
      <c r="B29" s="95"/>
      <c r="C29" s="126"/>
      <c r="D29" s="396"/>
      <c r="E29" s="432"/>
      <c r="F29" s="776"/>
      <c r="G29" s="802"/>
      <c r="H29" s="776"/>
      <c r="I29" s="433"/>
      <c r="J29" s="803"/>
      <c r="K29" s="413"/>
      <c r="L29" s="1207"/>
      <c r="M29" s="1207"/>
      <c r="N29" s="1209" t="str">
        <f t="shared" si="11"/>
        <v/>
      </c>
      <c r="O29" s="1209"/>
      <c r="P29" s="1283" t="str">
        <f t="shared" si="12"/>
        <v/>
      </c>
      <c r="Q29" s="518"/>
      <c r="R29" s="1076" t="str">
        <f t="shared" si="13"/>
        <v/>
      </c>
      <c r="S29" s="1076" t="str">
        <f t="shared" si="14"/>
        <v/>
      </c>
      <c r="T29" s="1078" t="str">
        <f t="shared" si="15"/>
        <v/>
      </c>
      <c r="U29" s="599"/>
      <c r="V29" s="804"/>
      <c r="W29" s="1110"/>
      <c r="X29" s="1218"/>
      <c r="Y29" s="1253" t="e">
        <f>ROUND(VLOOKUP(H29,tab!$A$61:$V$103,I29+2,FALSE),0)</f>
        <v>#N/A</v>
      </c>
      <c r="Z29" s="1252">
        <f>tab!$D$48</f>
        <v>0.62</v>
      </c>
      <c r="AA29" s="1284" t="e">
        <f t="shared" si="16"/>
        <v>#N/A</v>
      </c>
      <c r="AB29" s="1284" t="e">
        <f t="shared" si="17"/>
        <v>#N/A</v>
      </c>
      <c r="AC29" s="1284" t="e">
        <f t="shared" si="18"/>
        <v>#N/A</v>
      </c>
      <c r="AD29" s="1286" t="e">
        <f t="shared" si="19"/>
        <v>#VALUE!</v>
      </c>
      <c r="AE29" s="1286">
        <f t="shared" si="20"/>
        <v>0</v>
      </c>
      <c r="AF29" s="1254">
        <f>IF(H29&gt;8,tab!$D$49,tab!$D$52)</f>
        <v>0.4</v>
      </c>
      <c r="AG29" s="1255">
        <f t="shared" si="9"/>
        <v>0</v>
      </c>
      <c r="AH29" s="1251">
        <f t="shared" si="10"/>
        <v>0</v>
      </c>
    </row>
    <row r="30" spans="2:34" ht="12.75" customHeight="1" x14ac:dyDescent="0.2">
      <c r="B30" s="95"/>
      <c r="C30" s="126"/>
      <c r="D30" s="396"/>
      <c r="E30" s="432"/>
      <c r="F30" s="776"/>
      <c r="G30" s="802"/>
      <c r="H30" s="776"/>
      <c r="I30" s="433"/>
      <c r="J30" s="803"/>
      <c r="K30" s="413"/>
      <c r="L30" s="1207"/>
      <c r="M30" s="1207"/>
      <c r="N30" s="1209" t="str">
        <f t="shared" si="11"/>
        <v/>
      </c>
      <c r="O30" s="1209"/>
      <c r="P30" s="1283" t="str">
        <f t="shared" si="12"/>
        <v/>
      </c>
      <c r="Q30" s="518"/>
      <c r="R30" s="1076" t="str">
        <f t="shared" si="13"/>
        <v/>
      </c>
      <c r="S30" s="1076" t="str">
        <f t="shared" si="14"/>
        <v/>
      </c>
      <c r="T30" s="1078" t="str">
        <f t="shared" si="15"/>
        <v/>
      </c>
      <c r="U30" s="599"/>
      <c r="V30" s="804"/>
      <c r="W30" s="1110"/>
      <c r="X30" s="1218"/>
      <c r="Y30" s="1253" t="e">
        <f>ROUND(VLOOKUP(H30,tab!$A$61:$V$103,I30+2,FALSE),0)</f>
        <v>#N/A</v>
      </c>
      <c r="Z30" s="1252">
        <f>tab!$D$48</f>
        <v>0.62</v>
      </c>
      <c r="AA30" s="1284" t="e">
        <f t="shared" si="16"/>
        <v>#N/A</v>
      </c>
      <c r="AB30" s="1284" t="e">
        <f t="shared" si="17"/>
        <v>#N/A</v>
      </c>
      <c r="AC30" s="1284" t="e">
        <f t="shared" si="18"/>
        <v>#N/A</v>
      </c>
      <c r="AD30" s="1286" t="e">
        <f t="shared" si="19"/>
        <v>#VALUE!</v>
      </c>
      <c r="AE30" s="1286">
        <f t="shared" si="20"/>
        <v>0</v>
      </c>
      <c r="AF30" s="1254">
        <f>IF(H30&gt;8,tab!$D$49,tab!$D$52)</f>
        <v>0.4</v>
      </c>
      <c r="AG30" s="1255">
        <f t="shared" si="9"/>
        <v>0</v>
      </c>
      <c r="AH30" s="1251">
        <f t="shared" si="10"/>
        <v>0</v>
      </c>
    </row>
    <row r="31" spans="2:34" ht="12.75" customHeight="1" x14ac:dyDescent="0.2">
      <c r="B31" s="95"/>
      <c r="C31" s="126"/>
      <c r="D31" s="396"/>
      <c r="E31" s="432"/>
      <c r="F31" s="776"/>
      <c r="G31" s="802"/>
      <c r="H31" s="776"/>
      <c r="I31" s="433"/>
      <c r="J31" s="803"/>
      <c r="K31" s="413"/>
      <c r="L31" s="1207"/>
      <c r="M31" s="1207"/>
      <c r="N31" s="1209" t="str">
        <f t="shared" si="11"/>
        <v/>
      </c>
      <c r="O31" s="1209"/>
      <c r="P31" s="1283" t="str">
        <f t="shared" si="12"/>
        <v/>
      </c>
      <c r="Q31" s="518"/>
      <c r="R31" s="1076" t="str">
        <f t="shared" si="13"/>
        <v/>
      </c>
      <c r="S31" s="1076" t="str">
        <f t="shared" si="14"/>
        <v/>
      </c>
      <c r="T31" s="1078" t="str">
        <f t="shared" si="15"/>
        <v/>
      </c>
      <c r="U31" s="599"/>
      <c r="V31" s="804"/>
      <c r="W31" s="1110"/>
      <c r="X31" s="1218"/>
      <c r="Y31" s="1253" t="e">
        <f>ROUND(VLOOKUP(H31,tab!$A$61:$V$103,I31+2,FALSE),0)</f>
        <v>#N/A</v>
      </c>
      <c r="Z31" s="1252">
        <f>tab!$D$48</f>
        <v>0.62</v>
      </c>
      <c r="AA31" s="1284" t="e">
        <f t="shared" si="16"/>
        <v>#N/A</v>
      </c>
      <c r="AB31" s="1284" t="e">
        <f t="shared" si="17"/>
        <v>#N/A</v>
      </c>
      <c r="AC31" s="1284" t="e">
        <f t="shared" si="18"/>
        <v>#N/A</v>
      </c>
      <c r="AD31" s="1286" t="e">
        <f t="shared" si="19"/>
        <v>#VALUE!</v>
      </c>
      <c r="AE31" s="1286">
        <f t="shared" si="20"/>
        <v>0</v>
      </c>
      <c r="AF31" s="1254">
        <f>IF(H31&gt;8,tab!$D$49,tab!$D$52)</f>
        <v>0.4</v>
      </c>
      <c r="AG31" s="1255">
        <f t="shared" si="9"/>
        <v>0</v>
      </c>
      <c r="AH31" s="1251">
        <f t="shared" si="10"/>
        <v>0</v>
      </c>
    </row>
    <row r="32" spans="2:34" ht="12.75" customHeight="1" x14ac:dyDescent="0.2">
      <c r="B32" s="95"/>
      <c r="C32" s="126"/>
      <c r="D32" s="396"/>
      <c r="E32" s="432"/>
      <c r="F32" s="776"/>
      <c r="G32" s="802"/>
      <c r="H32" s="776"/>
      <c r="I32" s="433"/>
      <c r="J32" s="803"/>
      <c r="K32" s="413"/>
      <c r="L32" s="1207"/>
      <c r="M32" s="1207"/>
      <c r="N32" s="1209" t="str">
        <f t="shared" si="11"/>
        <v/>
      </c>
      <c r="O32" s="1209"/>
      <c r="P32" s="1283" t="str">
        <f t="shared" si="12"/>
        <v/>
      </c>
      <c r="Q32" s="518"/>
      <c r="R32" s="1076" t="str">
        <f t="shared" si="13"/>
        <v/>
      </c>
      <c r="S32" s="1076" t="str">
        <f t="shared" si="14"/>
        <v/>
      </c>
      <c r="T32" s="1078" t="str">
        <f t="shared" si="15"/>
        <v/>
      </c>
      <c r="U32" s="599"/>
      <c r="V32" s="804"/>
      <c r="W32" s="1110"/>
      <c r="X32" s="1218"/>
      <c r="Y32" s="1253" t="e">
        <f>ROUND(VLOOKUP(H32,tab!$A$61:$V$103,I32+2,FALSE),0)</f>
        <v>#N/A</v>
      </c>
      <c r="Z32" s="1252">
        <f>tab!$D$48</f>
        <v>0.62</v>
      </c>
      <c r="AA32" s="1284" t="e">
        <f t="shared" si="16"/>
        <v>#N/A</v>
      </c>
      <c r="AB32" s="1284" t="e">
        <f t="shared" si="17"/>
        <v>#N/A</v>
      </c>
      <c r="AC32" s="1284" t="e">
        <f t="shared" si="18"/>
        <v>#N/A</v>
      </c>
      <c r="AD32" s="1286" t="e">
        <f t="shared" si="19"/>
        <v>#VALUE!</v>
      </c>
      <c r="AE32" s="1286">
        <f t="shared" si="20"/>
        <v>0</v>
      </c>
      <c r="AF32" s="1254">
        <f>IF(H32&gt;8,tab!$D$49,tab!$D$52)</f>
        <v>0.4</v>
      </c>
      <c r="AG32" s="1255">
        <f t="shared" si="9"/>
        <v>0</v>
      </c>
      <c r="AH32" s="1251">
        <f t="shared" si="10"/>
        <v>0</v>
      </c>
    </row>
    <row r="33" spans="2:34" ht="12.75" customHeight="1" x14ac:dyDescent="0.2">
      <c r="B33" s="95"/>
      <c r="C33" s="126"/>
      <c r="D33" s="396"/>
      <c r="E33" s="432"/>
      <c r="F33" s="776"/>
      <c r="G33" s="802"/>
      <c r="H33" s="776"/>
      <c r="I33" s="433"/>
      <c r="J33" s="803"/>
      <c r="K33" s="413"/>
      <c r="L33" s="1207"/>
      <c r="M33" s="1207"/>
      <c r="N33" s="1209" t="str">
        <f t="shared" si="11"/>
        <v/>
      </c>
      <c r="O33" s="1209"/>
      <c r="P33" s="1283" t="str">
        <f t="shared" si="12"/>
        <v/>
      </c>
      <c r="Q33" s="518"/>
      <c r="R33" s="1076" t="str">
        <f t="shared" si="13"/>
        <v/>
      </c>
      <c r="S33" s="1076" t="str">
        <f t="shared" si="14"/>
        <v/>
      </c>
      <c r="T33" s="1078" t="str">
        <f t="shared" si="15"/>
        <v/>
      </c>
      <c r="U33" s="599"/>
      <c r="V33" s="804"/>
      <c r="W33" s="1110"/>
      <c r="X33" s="1218"/>
      <c r="Y33" s="1253" t="e">
        <f>ROUND(VLOOKUP(H33,tab!$A$61:$V$103,I33+2,FALSE),0)</f>
        <v>#N/A</v>
      </c>
      <c r="Z33" s="1252">
        <f>tab!$D$48</f>
        <v>0.62</v>
      </c>
      <c r="AA33" s="1284" t="e">
        <f t="shared" si="16"/>
        <v>#N/A</v>
      </c>
      <c r="AB33" s="1284" t="e">
        <f t="shared" si="17"/>
        <v>#N/A</v>
      </c>
      <c r="AC33" s="1284" t="e">
        <f t="shared" si="18"/>
        <v>#N/A</v>
      </c>
      <c r="AD33" s="1286" t="e">
        <f t="shared" si="19"/>
        <v>#VALUE!</v>
      </c>
      <c r="AE33" s="1286">
        <f t="shared" si="20"/>
        <v>0</v>
      </c>
      <c r="AF33" s="1254">
        <f>IF(H33&gt;8,tab!$D$49,tab!$D$52)</f>
        <v>0.4</v>
      </c>
      <c r="AG33" s="1255">
        <f t="shared" si="9"/>
        <v>0</v>
      </c>
      <c r="AH33" s="1251">
        <f t="shared" si="10"/>
        <v>0</v>
      </c>
    </row>
    <row r="34" spans="2:34" ht="12.75" customHeight="1" x14ac:dyDescent="0.2">
      <c r="B34" s="95"/>
      <c r="C34" s="126"/>
      <c r="D34" s="396"/>
      <c r="E34" s="432"/>
      <c r="F34" s="117"/>
      <c r="G34" s="397"/>
      <c r="H34" s="776"/>
      <c r="I34" s="398"/>
      <c r="J34" s="399"/>
      <c r="K34" s="413"/>
      <c r="L34" s="1207"/>
      <c r="M34" s="1207"/>
      <c r="N34" s="1209" t="str">
        <f t="shared" si="11"/>
        <v/>
      </c>
      <c r="O34" s="1209"/>
      <c r="P34" s="1283" t="str">
        <f t="shared" si="12"/>
        <v/>
      </c>
      <c r="Q34" s="518"/>
      <c r="R34" s="1076" t="str">
        <f t="shared" si="13"/>
        <v/>
      </c>
      <c r="S34" s="1076" t="str">
        <f t="shared" si="14"/>
        <v/>
      </c>
      <c r="T34" s="1078" t="str">
        <f t="shared" si="15"/>
        <v/>
      </c>
      <c r="U34" s="599"/>
      <c r="V34" s="804"/>
      <c r="W34" s="1110"/>
      <c r="X34" s="1218"/>
      <c r="Y34" s="1253" t="e">
        <f>ROUND(VLOOKUP(H34,tab!$A$61:$V$103,I34+2,FALSE),0)</f>
        <v>#N/A</v>
      </c>
      <c r="Z34" s="1252">
        <f>tab!$D$48</f>
        <v>0.62</v>
      </c>
      <c r="AA34" s="1284" t="e">
        <f t="shared" si="16"/>
        <v>#N/A</v>
      </c>
      <c r="AB34" s="1284" t="e">
        <f t="shared" si="17"/>
        <v>#N/A</v>
      </c>
      <c r="AC34" s="1284" t="e">
        <f t="shared" si="18"/>
        <v>#N/A</v>
      </c>
      <c r="AD34" s="1286" t="e">
        <f t="shared" si="19"/>
        <v>#VALUE!</v>
      </c>
      <c r="AE34" s="1286">
        <f t="shared" si="20"/>
        <v>0</v>
      </c>
      <c r="AF34" s="1254">
        <f>IF(H34&gt;8,tab!$D$49,tab!$D$52)</f>
        <v>0.4</v>
      </c>
      <c r="AG34" s="1255">
        <f t="shared" si="9"/>
        <v>0</v>
      </c>
      <c r="AH34" s="1251">
        <f t="shared" si="10"/>
        <v>0</v>
      </c>
    </row>
    <row r="35" spans="2:34" ht="12.75" customHeight="1" x14ac:dyDescent="0.2">
      <c r="B35" s="95"/>
      <c r="C35" s="126"/>
      <c r="D35" s="396"/>
      <c r="E35" s="432"/>
      <c r="F35" s="117"/>
      <c r="G35" s="397"/>
      <c r="H35" s="776"/>
      <c r="I35" s="398"/>
      <c r="J35" s="399"/>
      <c r="K35" s="413"/>
      <c r="L35" s="1207"/>
      <c r="M35" s="1207"/>
      <c r="N35" s="1209" t="str">
        <f t="shared" si="11"/>
        <v/>
      </c>
      <c r="O35" s="1209"/>
      <c r="P35" s="1283" t="str">
        <f t="shared" si="12"/>
        <v/>
      </c>
      <c r="Q35" s="518"/>
      <c r="R35" s="1076" t="str">
        <f t="shared" si="13"/>
        <v/>
      </c>
      <c r="S35" s="1076" t="str">
        <f t="shared" si="14"/>
        <v/>
      </c>
      <c r="T35" s="1078" t="str">
        <f t="shared" si="15"/>
        <v/>
      </c>
      <c r="U35" s="599"/>
      <c r="V35" s="804"/>
      <c r="W35" s="1110"/>
      <c r="X35" s="1218"/>
      <c r="Y35" s="1253" t="e">
        <f>ROUND(VLOOKUP(H35,tab!$A$61:$V$103,I35+2,FALSE),0)</f>
        <v>#N/A</v>
      </c>
      <c r="Z35" s="1252">
        <f>tab!$D$48</f>
        <v>0.62</v>
      </c>
      <c r="AA35" s="1284" t="e">
        <f t="shared" si="16"/>
        <v>#N/A</v>
      </c>
      <c r="AB35" s="1284" t="e">
        <f t="shared" si="17"/>
        <v>#N/A</v>
      </c>
      <c r="AC35" s="1284" t="e">
        <f t="shared" si="18"/>
        <v>#N/A</v>
      </c>
      <c r="AD35" s="1286" t="e">
        <f t="shared" si="19"/>
        <v>#VALUE!</v>
      </c>
      <c r="AE35" s="1286">
        <f t="shared" si="20"/>
        <v>0</v>
      </c>
      <c r="AF35" s="1254">
        <f>IF(H35&gt;8,tab!$D$49,tab!$D$52)</f>
        <v>0.4</v>
      </c>
      <c r="AG35" s="1255">
        <f t="shared" si="9"/>
        <v>0</v>
      </c>
      <c r="AH35" s="1251">
        <f t="shared" si="10"/>
        <v>0</v>
      </c>
    </row>
    <row r="36" spans="2:34" ht="12.75" customHeight="1" x14ac:dyDescent="0.2">
      <c r="B36" s="95"/>
      <c r="C36" s="126"/>
      <c r="D36" s="396"/>
      <c r="E36" s="432"/>
      <c r="F36" s="117"/>
      <c r="G36" s="397"/>
      <c r="H36" s="776"/>
      <c r="I36" s="398"/>
      <c r="J36" s="399"/>
      <c r="K36" s="413"/>
      <c r="L36" s="1207"/>
      <c r="M36" s="1207"/>
      <c r="N36" s="1209" t="str">
        <f t="shared" si="11"/>
        <v/>
      </c>
      <c r="O36" s="1209"/>
      <c r="P36" s="1283" t="str">
        <f t="shared" si="12"/>
        <v/>
      </c>
      <c r="Q36" s="518"/>
      <c r="R36" s="1076" t="str">
        <f t="shared" si="13"/>
        <v/>
      </c>
      <c r="S36" s="1076" t="str">
        <f t="shared" si="14"/>
        <v/>
      </c>
      <c r="T36" s="1078" t="str">
        <f t="shared" si="15"/>
        <v/>
      </c>
      <c r="U36" s="599"/>
      <c r="V36" s="804"/>
      <c r="W36" s="1110"/>
      <c r="X36" s="1218"/>
      <c r="Y36" s="1253" t="e">
        <f>ROUND(VLOOKUP(H36,tab!$A$61:$V$103,I36+2,FALSE),0)</f>
        <v>#N/A</v>
      </c>
      <c r="Z36" s="1252">
        <f>tab!$D$48</f>
        <v>0.62</v>
      </c>
      <c r="AA36" s="1284" t="e">
        <f t="shared" si="16"/>
        <v>#N/A</v>
      </c>
      <c r="AB36" s="1284" t="e">
        <f t="shared" si="17"/>
        <v>#N/A</v>
      </c>
      <c r="AC36" s="1284" t="e">
        <f t="shared" si="18"/>
        <v>#N/A</v>
      </c>
      <c r="AD36" s="1286" t="e">
        <f t="shared" si="19"/>
        <v>#VALUE!</v>
      </c>
      <c r="AE36" s="1286">
        <f t="shared" si="20"/>
        <v>0</v>
      </c>
      <c r="AF36" s="1254">
        <f>IF(H36&gt;8,tab!$D$49,tab!$D$52)</f>
        <v>0.4</v>
      </c>
      <c r="AG36" s="1255">
        <f t="shared" si="9"/>
        <v>0</v>
      </c>
      <c r="AH36" s="1251">
        <f t="shared" si="10"/>
        <v>0</v>
      </c>
    </row>
    <row r="37" spans="2:34" ht="12.75" customHeight="1" x14ac:dyDescent="0.2">
      <c r="B37" s="95"/>
      <c r="C37" s="126"/>
      <c r="D37" s="396"/>
      <c r="E37" s="432"/>
      <c r="F37" s="117"/>
      <c r="G37" s="397"/>
      <c r="H37" s="776"/>
      <c r="I37" s="398"/>
      <c r="J37" s="399"/>
      <c r="K37" s="413"/>
      <c r="L37" s="1207"/>
      <c r="M37" s="1207"/>
      <c r="N37" s="1209" t="str">
        <f t="shared" si="11"/>
        <v/>
      </c>
      <c r="O37" s="1209"/>
      <c r="P37" s="1283" t="str">
        <f t="shared" si="12"/>
        <v/>
      </c>
      <c r="Q37" s="518"/>
      <c r="R37" s="1076" t="str">
        <f t="shared" si="13"/>
        <v/>
      </c>
      <c r="S37" s="1076" t="str">
        <f t="shared" si="14"/>
        <v/>
      </c>
      <c r="T37" s="1078" t="str">
        <f t="shared" si="15"/>
        <v/>
      </c>
      <c r="U37" s="599"/>
      <c r="V37" s="804"/>
      <c r="W37" s="1110"/>
      <c r="X37" s="1218"/>
      <c r="Y37" s="1253" t="e">
        <f>ROUND(VLOOKUP(H37,tab!$A$61:$V$103,I37+2,FALSE),0)</f>
        <v>#N/A</v>
      </c>
      <c r="Z37" s="1252">
        <f>tab!$D$48</f>
        <v>0.62</v>
      </c>
      <c r="AA37" s="1284" t="e">
        <f t="shared" si="16"/>
        <v>#N/A</v>
      </c>
      <c r="AB37" s="1284" t="e">
        <f t="shared" si="17"/>
        <v>#N/A</v>
      </c>
      <c r="AC37" s="1284" t="e">
        <f t="shared" si="18"/>
        <v>#N/A</v>
      </c>
      <c r="AD37" s="1286" t="e">
        <f t="shared" si="19"/>
        <v>#VALUE!</v>
      </c>
      <c r="AE37" s="1286">
        <f t="shared" si="20"/>
        <v>0</v>
      </c>
      <c r="AF37" s="1254">
        <f>IF(H37&gt;8,tab!$D$49,tab!$D$52)</f>
        <v>0.4</v>
      </c>
      <c r="AG37" s="1255">
        <f t="shared" si="9"/>
        <v>0</v>
      </c>
      <c r="AH37" s="1251">
        <f t="shared" si="10"/>
        <v>0</v>
      </c>
    </row>
    <row r="38" spans="2:34" ht="12.75" customHeight="1" x14ac:dyDescent="0.2">
      <c r="B38" s="95"/>
      <c r="C38" s="126"/>
      <c r="D38" s="396"/>
      <c r="E38" s="432"/>
      <c r="F38" s="117"/>
      <c r="G38" s="397"/>
      <c r="H38" s="776"/>
      <c r="I38" s="398"/>
      <c r="J38" s="399"/>
      <c r="K38" s="413"/>
      <c r="L38" s="1207"/>
      <c r="M38" s="1207"/>
      <c r="N38" s="1209" t="str">
        <f t="shared" si="11"/>
        <v/>
      </c>
      <c r="O38" s="1209"/>
      <c r="P38" s="1283" t="str">
        <f t="shared" si="12"/>
        <v/>
      </c>
      <c r="Q38" s="518"/>
      <c r="R38" s="1076" t="str">
        <f t="shared" si="13"/>
        <v/>
      </c>
      <c r="S38" s="1076" t="str">
        <f t="shared" si="14"/>
        <v/>
      </c>
      <c r="T38" s="1078" t="str">
        <f t="shared" si="15"/>
        <v/>
      </c>
      <c r="U38" s="599"/>
      <c r="V38" s="804"/>
      <c r="W38" s="1110"/>
      <c r="X38" s="1218"/>
      <c r="Y38" s="1253" t="e">
        <f>ROUND(VLOOKUP(H38,tab!$A$61:$V$103,I38+2,FALSE),0)</f>
        <v>#N/A</v>
      </c>
      <c r="Z38" s="1252">
        <f>tab!$D$48</f>
        <v>0.62</v>
      </c>
      <c r="AA38" s="1284" t="e">
        <f t="shared" si="16"/>
        <v>#N/A</v>
      </c>
      <c r="AB38" s="1284" t="e">
        <f t="shared" si="17"/>
        <v>#N/A</v>
      </c>
      <c r="AC38" s="1284" t="e">
        <f t="shared" si="18"/>
        <v>#N/A</v>
      </c>
      <c r="AD38" s="1286" t="e">
        <f t="shared" si="19"/>
        <v>#VALUE!</v>
      </c>
      <c r="AE38" s="1286">
        <f t="shared" si="20"/>
        <v>0</v>
      </c>
      <c r="AF38" s="1254">
        <f>IF(H38&gt;8,tab!$D$49,tab!$D$52)</f>
        <v>0.4</v>
      </c>
      <c r="AG38" s="1255">
        <f t="shared" si="9"/>
        <v>0</v>
      </c>
      <c r="AH38" s="1251">
        <f t="shared" si="10"/>
        <v>0</v>
      </c>
    </row>
    <row r="39" spans="2:34" ht="12.75" customHeight="1" x14ac:dyDescent="0.2">
      <c r="B39" s="95"/>
      <c r="C39" s="126"/>
      <c r="D39" s="396"/>
      <c r="E39" s="432"/>
      <c r="F39" s="117"/>
      <c r="G39" s="397"/>
      <c r="H39" s="776"/>
      <c r="I39" s="398"/>
      <c r="J39" s="399"/>
      <c r="K39" s="413"/>
      <c r="L39" s="1207"/>
      <c r="M39" s="1207"/>
      <c r="N39" s="1209" t="str">
        <f t="shared" si="11"/>
        <v/>
      </c>
      <c r="O39" s="1209"/>
      <c r="P39" s="1283" t="str">
        <f t="shared" si="12"/>
        <v/>
      </c>
      <c r="Q39" s="518"/>
      <c r="R39" s="1076" t="str">
        <f t="shared" si="13"/>
        <v/>
      </c>
      <c r="S39" s="1076" t="str">
        <f t="shared" si="14"/>
        <v/>
      </c>
      <c r="T39" s="1078" t="str">
        <f t="shared" si="15"/>
        <v/>
      </c>
      <c r="U39" s="599"/>
      <c r="V39" s="804"/>
      <c r="W39" s="1110"/>
      <c r="X39" s="1218"/>
      <c r="Y39" s="1253" t="e">
        <f>ROUND(VLOOKUP(H39,tab!$A$61:$V$103,I39+2,FALSE),0)</f>
        <v>#N/A</v>
      </c>
      <c r="Z39" s="1252">
        <f>tab!$D$48</f>
        <v>0.62</v>
      </c>
      <c r="AA39" s="1284" t="e">
        <f t="shared" si="16"/>
        <v>#N/A</v>
      </c>
      <c r="AB39" s="1284" t="e">
        <f t="shared" si="17"/>
        <v>#N/A</v>
      </c>
      <c r="AC39" s="1284" t="e">
        <f t="shared" si="18"/>
        <v>#N/A</v>
      </c>
      <c r="AD39" s="1286" t="e">
        <f t="shared" si="19"/>
        <v>#VALUE!</v>
      </c>
      <c r="AE39" s="1286">
        <f t="shared" si="20"/>
        <v>0</v>
      </c>
      <c r="AF39" s="1254">
        <f>IF(H39&gt;8,tab!$D$49,tab!$D$52)</f>
        <v>0.4</v>
      </c>
      <c r="AG39" s="1255">
        <f t="shared" si="9"/>
        <v>0</v>
      </c>
      <c r="AH39" s="1251">
        <f t="shared" si="10"/>
        <v>0</v>
      </c>
    </row>
    <row r="40" spans="2:34" ht="12.75" customHeight="1" x14ac:dyDescent="0.2">
      <c r="B40" s="95"/>
      <c r="C40" s="126"/>
      <c r="D40" s="396"/>
      <c r="E40" s="432"/>
      <c r="F40" s="117"/>
      <c r="G40" s="397"/>
      <c r="H40" s="776"/>
      <c r="I40" s="398"/>
      <c r="J40" s="399"/>
      <c r="K40" s="413"/>
      <c r="L40" s="1207"/>
      <c r="M40" s="1207"/>
      <c r="N40" s="1209" t="str">
        <f t="shared" si="11"/>
        <v/>
      </c>
      <c r="O40" s="1209"/>
      <c r="P40" s="1283" t="str">
        <f t="shared" si="12"/>
        <v/>
      </c>
      <c r="Q40" s="518"/>
      <c r="R40" s="1076" t="str">
        <f t="shared" si="13"/>
        <v/>
      </c>
      <c r="S40" s="1076" t="str">
        <f t="shared" si="14"/>
        <v/>
      </c>
      <c r="T40" s="1078" t="str">
        <f t="shared" si="15"/>
        <v/>
      </c>
      <c r="U40" s="599"/>
      <c r="V40" s="804"/>
      <c r="W40" s="1110"/>
      <c r="X40" s="1218"/>
      <c r="Y40" s="1253" t="e">
        <f>ROUND(VLOOKUP(H40,tab!$A$61:$V$103,I40+2,FALSE),0)</f>
        <v>#N/A</v>
      </c>
      <c r="Z40" s="1252">
        <f>tab!$D$48</f>
        <v>0.62</v>
      </c>
      <c r="AA40" s="1284" t="e">
        <f t="shared" si="16"/>
        <v>#N/A</v>
      </c>
      <c r="AB40" s="1284" t="e">
        <f t="shared" si="17"/>
        <v>#N/A</v>
      </c>
      <c r="AC40" s="1284" t="e">
        <f t="shared" si="18"/>
        <v>#N/A</v>
      </c>
      <c r="AD40" s="1286" t="e">
        <f t="shared" si="19"/>
        <v>#VALUE!</v>
      </c>
      <c r="AE40" s="1286">
        <f t="shared" si="20"/>
        <v>0</v>
      </c>
      <c r="AF40" s="1254">
        <f>IF(H40&gt;8,tab!$D$49,tab!$D$52)</f>
        <v>0.4</v>
      </c>
      <c r="AG40" s="1255">
        <f t="shared" si="9"/>
        <v>0</v>
      </c>
      <c r="AH40" s="1251">
        <f t="shared" si="10"/>
        <v>0</v>
      </c>
    </row>
    <row r="41" spans="2:34" ht="12.75" customHeight="1" x14ac:dyDescent="0.2">
      <c r="B41" s="95"/>
      <c r="C41" s="126"/>
      <c r="D41" s="396"/>
      <c r="E41" s="432"/>
      <c r="F41" s="117"/>
      <c r="G41" s="397"/>
      <c r="H41" s="776"/>
      <c r="I41" s="398"/>
      <c r="J41" s="399"/>
      <c r="K41" s="413"/>
      <c r="L41" s="1207"/>
      <c r="M41" s="1207"/>
      <c r="N41" s="1209" t="str">
        <f t="shared" si="11"/>
        <v/>
      </c>
      <c r="O41" s="1209"/>
      <c r="P41" s="1283" t="str">
        <f t="shared" si="12"/>
        <v/>
      </c>
      <c r="Q41" s="518"/>
      <c r="R41" s="1076" t="str">
        <f t="shared" si="13"/>
        <v/>
      </c>
      <c r="S41" s="1076" t="str">
        <f t="shared" si="14"/>
        <v/>
      </c>
      <c r="T41" s="1078" t="str">
        <f t="shared" si="15"/>
        <v/>
      </c>
      <c r="U41" s="599"/>
      <c r="V41" s="804"/>
      <c r="W41" s="1110"/>
      <c r="X41" s="1218"/>
      <c r="Y41" s="1253" t="e">
        <f>ROUND(VLOOKUP(H41,tab!$A$61:$V$103,I41+2,FALSE),0)</f>
        <v>#N/A</v>
      </c>
      <c r="Z41" s="1252">
        <f>tab!$D$48</f>
        <v>0.62</v>
      </c>
      <c r="AA41" s="1284" t="e">
        <f t="shared" si="16"/>
        <v>#N/A</v>
      </c>
      <c r="AB41" s="1284" t="e">
        <f t="shared" si="17"/>
        <v>#N/A</v>
      </c>
      <c r="AC41" s="1284" t="e">
        <f t="shared" si="18"/>
        <v>#N/A</v>
      </c>
      <c r="AD41" s="1286" t="e">
        <f t="shared" si="19"/>
        <v>#VALUE!</v>
      </c>
      <c r="AE41" s="1286">
        <f t="shared" si="20"/>
        <v>0</v>
      </c>
      <c r="AF41" s="1254">
        <f>IF(H41&gt;8,tab!$D$49,tab!$D$52)</f>
        <v>0.4</v>
      </c>
      <c r="AG41" s="1255">
        <f t="shared" si="9"/>
        <v>0</v>
      </c>
      <c r="AH41" s="1251">
        <f t="shared" si="10"/>
        <v>0</v>
      </c>
    </row>
    <row r="42" spans="2:34" ht="12.75" customHeight="1" x14ac:dyDescent="0.2">
      <c r="B42" s="95"/>
      <c r="C42" s="126"/>
      <c r="D42" s="396"/>
      <c r="E42" s="432"/>
      <c r="F42" s="117"/>
      <c r="G42" s="397"/>
      <c r="H42" s="776"/>
      <c r="I42" s="398"/>
      <c r="J42" s="399"/>
      <c r="K42" s="413"/>
      <c r="L42" s="1207"/>
      <c r="M42" s="1207"/>
      <c r="N42" s="1209" t="str">
        <f t="shared" si="11"/>
        <v/>
      </c>
      <c r="O42" s="1209"/>
      <c r="P42" s="1283" t="str">
        <f t="shared" si="12"/>
        <v/>
      </c>
      <c r="Q42" s="518"/>
      <c r="R42" s="1076" t="str">
        <f t="shared" si="13"/>
        <v/>
      </c>
      <c r="S42" s="1076" t="str">
        <f t="shared" si="14"/>
        <v/>
      </c>
      <c r="T42" s="1078" t="str">
        <f t="shared" si="15"/>
        <v/>
      </c>
      <c r="U42" s="599"/>
      <c r="V42" s="804"/>
      <c r="W42" s="1110"/>
      <c r="X42" s="1218"/>
      <c r="Y42" s="1253" t="e">
        <f>ROUND(VLOOKUP(H42,tab!$A$61:$V$103,I42+2,FALSE),0)</f>
        <v>#N/A</v>
      </c>
      <c r="Z42" s="1252">
        <f>tab!$D$48</f>
        <v>0.62</v>
      </c>
      <c r="AA42" s="1284" t="e">
        <f t="shared" si="16"/>
        <v>#N/A</v>
      </c>
      <c r="AB42" s="1284" t="e">
        <f t="shared" si="17"/>
        <v>#N/A</v>
      </c>
      <c r="AC42" s="1284" t="e">
        <f t="shared" si="18"/>
        <v>#N/A</v>
      </c>
      <c r="AD42" s="1286" t="e">
        <f t="shared" si="19"/>
        <v>#VALUE!</v>
      </c>
      <c r="AE42" s="1286">
        <f t="shared" si="20"/>
        <v>0</v>
      </c>
      <c r="AF42" s="1254">
        <f>IF(H42&gt;8,tab!$D$49,tab!$D$52)</f>
        <v>0.4</v>
      </c>
      <c r="AG42" s="1255">
        <f t="shared" si="9"/>
        <v>0</v>
      </c>
      <c r="AH42" s="1251">
        <f t="shared" si="10"/>
        <v>0</v>
      </c>
    </row>
    <row r="43" spans="2:34" ht="12.75" customHeight="1" x14ac:dyDescent="0.2">
      <c r="B43" s="95"/>
      <c r="C43" s="126"/>
      <c r="D43" s="396"/>
      <c r="E43" s="432"/>
      <c r="F43" s="117"/>
      <c r="G43" s="397"/>
      <c r="H43" s="776"/>
      <c r="I43" s="398"/>
      <c r="J43" s="399"/>
      <c r="K43" s="413"/>
      <c r="L43" s="1207"/>
      <c r="M43" s="1207"/>
      <c r="N43" s="1209" t="str">
        <f t="shared" si="11"/>
        <v/>
      </c>
      <c r="O43" s="1209"/>
      <c r="P43" s="1283" t="str">
        <f t="shared" si="12"/>
        <v/>
      </c>
      <c r="Q43" s="518"/>
      <c r="R43" s="1076" t="str">
        <f t="shared" si="13"/>
        <v/>
      </c>
      <c r="S43" s="1076" t="str">
        <f t="shared" si="14"/>
        <v/>
      </c>
      <c r="T43" s="1078" t="str">
        <f t="shared" si="15"/>
        <v/>
      </c>
      <c r="U43" s="599"/>
      <c r="V43" s="804"/>
      <c r="W43" s="1110"/>
      <c r="X43" s="1218"/>
      <c r="Y43" s="1253" t="e">
        <f>ROUND(VLOOKUP(H43,tab!$A$61:$V$103,I43+2,FALSE),0)</f>
        <v>#N/A</v>
      </c>
      <c r="Z43" s="1252">
        <f>tab!$D$48</f>
        <v>0.62</v>
      </c>
      <c r="AA43" s="1284" t="e">
        <f t="shared" si="16"/>
        <v>#N/A</v>
      </c>
      <c r="AB43" s="1284" t="e">
        <f t="shared" si="17"/>
        <v>#N/A</v>
      </c>
      <c r="AC43" s="1284" t="e">
        <f t="shared" si="18"/>
        <v>#N/A</v>
      </c>
      <c r="AD43" s="1286" t="e">
        <f t="shared" si="19"/>
        <v>#VALUE!</v>
      </c>
      <c r="AE43" s="1286">
        <f t="shared" si="20"/>
        <v>0</v>
      </c>
      <c r="AF43" s="1254">
        <f>IF(H43&gt;8,tab!$D$49,tab!$D$52)</f>
        <v>0.4</v>
      </c>
      <c r="AG43" s="1255">
        <f t="shared" si="9"/>
        <v>0</v>
      </c>
      <c r="AH43" s="1251">
        <f t="shared" si="10"/>
        <v>0</v>
      </c>
    </row>
    <row r="44" spans="2:34" ht="12.75" customHeight="1" x14ac:dyDescent="0.2">
      <c r="B44" s="95"/>
      <c r="C44" s="126"/>
      <c r="D44" s="396"/>
      <c r="E44" s="432"/>
      <c r="F44" s="117"/>
      <c r="G44" s="397"/>
      <c r="H44" s="776"/>
      <c r="I44" s="398"/>
      <c r="J44" s="399"/>
      <c r="K44" s="413"/>
      <c r="L44" s="1207"/>
      <c r="M44" s="1207"/>
      <c r="N44" s="1209" t="str">
        <f t="shared" si="11"/>
        <v/>
      </c>
      <c r="O44" s="1209"/>
      <c r="P44" s="1283" t="str">
        <f t="shared" si="12"/>
        <v/>
      </c>
      <c r="Q44" s="518"/>
      <c r="R44" s="1076" t="str">
        <f t="shared" si="13"/>
        <v/>
      </c>
      <c r="S44" s="1076" t="str">
        <f t="shared" si="14"/>
        <v/>
      </c>
      <c r="T44" s="1078" t="str">
        <f t="shared" si="15"/>
        <v/>
      </c>
      <c r="U44" s="599"/>
      <c r="V44" s="804"/>
      <c r="W44" s="1110"/>
      <c r="X44" s="1218"/>
      <c r="Y44" s="1253" t="e">
        <f>ROUND(VLOOKUP(H44,tab!$A$61:$V$103,I44+2,FALSE),0)</f>
        <v>#N/A</v>
      </c>
      <c r="Z44" s="1252">
        <f>tab!$D$48</f>
        <v>0.62</v>
      </c>
      <c r="AA44" s="1284" t="e">
        <f t="shared" si="16"/>
        <v>#N/A</v>
      </c>
      <c r="AB44" s="1284" t="e">
        <f t="shared" si="17"/>
        <v>#N/A</v>
      </c>
      <c r="AC44" s="1284" t="e">
        <f t="shared" si="18"/>
        <v>#N/A</v>
      </c>
      <c r="AD44" s="1286" t="e">
        <f t="shared" si="19"/>
        <v>#VALUE!</v>
      </c>
      <c r="AE44" s="1286">
        <f t="shared" si="20"/>
        <v>0</v>
      </c>
      <c r="AF44" s="1254">
        <f>IF(H44&gt;8,tab!$D$49,tab!$D$52)</f>
        <v>0.4</v>
      </c>
      <c r="AG44" s="1255">
        <f t="shared" si="9"/>
        <v>0</v>
      </c>
      <c r="AH44" s="1251">
        <f t="shared" si="10"/>
        <v>0</v>
      </c>
    </row>
    <row r="45" spans="2:34" ht="12.75" customHeight="1" x14ac:dyDescent="0.2">
      <c r="B45" s="95"/>
      <c r="C45" s="126"/>
      <c r="D45" s="396"/>
      <c r="E45" s="432"/>
      <c r="F45" s="117"/>
      <c r="G45" s="397"/>
      <c r="H45" s="776"/>
      <c r="I45" s="398"/>
      <c r="J45" s="399"/>
      <c r="K45" s="413"/>
      <c r="L45" s="1207"/>
      <c r="M45" s="1207"/>
      <c r="N45" s="1209" t="str">
        <f t="shared" si="11"/>
        <v/>
      </c>
      <c r="O45" s="1209"/>
      <c r="P45" s="1283" t="str">
        <f t="shared" si="12"/>
        <v/>
      </c>
      <c r="Q45" s="518"/>
      <c r="R45" s="1076" t="str">
        <f t="shared" si="13"/>
        <v/>
      </c>
      <c r="S45" s="1076" t="str">
        <f t="shared" si="14"/>
        <v/>
      </c>
      <c r="T45" s="1078" t="str">
        <f t="shared" si="15"/>
        <v/>
      </c>
      <c r="U45" s="599"/>
      <c r="V45" s="804"/>
      <c r="W45" s="1110"/>
      <c r="X45" s="1218"/>
      <c r="Y45" s="1253" t="e">
        <f>ROUND(VLOOKUP(H45,tab!$A$61:$V$103,I45+2,FALSE),0)</f>
        <v>#N/A</v>
      </c>
      <c r="Z45" s="1252">
        <f>tab!$D$48</f>
        <v>0.62</v>
      </c>
      <c r="AA45" s="1284" t="e">
        <f t="shared" si="16"/>
        <v>#N/A</v>
      </c>
      <c r="AB45" s="1284" t="e">
        <f t="shared" si="17"/>
        <v>#N/A</v>
      </c>
      <c r="AC45" s="1284" t="e">
        <f t="shared" si="18"/>
        <v>#N/A</v>
      </c>
      <c r="AD45" s="1286" t="e">
        <f t="shared" si="19"/>
        <v>#VALUE!</v>
      </c>
      <c r="AE45" s="1286">
        <f t="shared" si="20"/>
        <v>0</v>
      </c>
      <c r="AF45" s="1254">
        <f>IF(H45&gt;8,tab!$D$49,tab!$D$52)</f>
        <v>0.4</v>
      </c>
      <c r="AG45" s="1255">
        <f t="shared" si="9"/>
        <v>0</v>
      </c>
      <c r="AH45" s="1251">
        <f t="shared" si="10"/>
        <v>0</v>
      </c>
    </row>
    <row r="46" spans="2:34" ht="12.75" customHeight="1" x14ac:dyDescent="0.2">
      <c r="B46" s="95"/>
      <c r="C46" s="126"/>
      <c r="D46" s="822"/>
      <c r="E46" s="823"/>
      <c r="F46" s="131"/>
      <c r="G46" s="775"/>
      <c r="H46" s="824"/>
      <c r="I46" s="412"/>
      <c r="J46" s="1116">
        <f>SUM(J16:J45)</f>
        <v>1</v>
      </c>
      <c r="K46" s="807"/>
      <c r="L46" s="1220">
        <f t="shared" ref="L46:P46" si="21">SUM(L16:L45)</f>
        <v>0</v>
      </c>
      <c r="M46" s="1220">
        <f t="shared" si="21"/>
        <v>0</v>
      </c>
      <c r="N46" s="1197">
        <f>SUM(N16:N45)</f>
        <v>40</v>
      </c>
      <c r="O46" s="1072"/>
      <c r="P46" s="1197">
        <f t="shared" si="21"/>
        <v>40</v>
      </c>
      <c r="Q46" s="807"/>
      <c r="R46" s="1117">
        <f t="shared" ref="R46:T46" si="22">SUM(R16:R45)</f>
        <v>50311.844918625684</v>
      </c>
      <c r="S46" s="1118">
        <f t="shared" si="22"/>
        <v>1243.0350813743221</v>
      </c>
      <c r="T46" s="1115">
        <f t="shared" si="22"/>
        <v>51554.880000000005</v>
      </c>
      <c r="U46" s="129"/>
      <c r="V46" s="211"/>
      <c r="Y46" s="1270" t="e">
        <f>SUM(Y16:Y45)</f>
        <v>#N/A</v>
      </c>
      <c r="Z46" s="1271"/>
      <c r="AA46" s="1271"/>
      <c r="AB46" s="1271"/>
      <c r="AC46" s="1271"/>
      <c r="AG46" s="1248">
        <f>SUM(AG16:AG45)</f>
        <v>0</v>
      </c>
      <c r="AH46" s="1272">
        <f>SUM(AH16:AH45)</f>
        <v>0</v>
      </c>
    </row>
    <row r="47" spans="2:34" ht="12.75" customHeight="1" x14ac:dyDescent="0.2">
      <c r="B47" s="95"/>
      <c r="C47" s="707"/>
      <c r="D47" s="266"/>
      <c r="E47" s="266"/>
      <c r="F47" s="763"/>
      <c r="G47" s="763"/>
      <c r="H47" s="763"/>
      <c r="I47" s="764"/>
      <c r="J47" s="765"/>
      <c r="K47" s="764"/>
      <c r="L47" s="764"/>
      <c r="M47" s="764"/>
      <c r="N47" s="765"/>
      <c r="O47" s="764"/>
      <c r="P47" s="764"/>
      <c r="Q47" s="764"/>
      <c r="R47" s="421"/>
      <c r="S47" s="422"/>
      <c r="T47" s="883"/>
      <c r="U47" s="766"/>
      <c r="V47" s="211"/>
      <c r="Y47" s="1273"/>
      <c r="Z47" s="1256"/>
      <c r="AA47" s="1256"/>
      <c r="AB47" s="1256"/>
      <c r="AC47" s="1256"/>
      <c r="AG47" s="1257"/>
      <c r="AH47" s="1258"/>
    </row>
    <row r="48" spans="2:34" ht="12.75" customHeight="1" x14ac:dyDescent="0.2">
      <c r="B48" s="747"/>
      <c r="C48" s="181"/>
      <c r="D48" s="748"/>
      <c r="E48" s="748"/>
      <c r="F48" s="749"/>
      <c r="G48" s="750"/>
      <c r="H48" s="749"/>
      <c r="I48" s="751"/>
      <c r="J48" s="752"/>
      <c r="K48" s="181"/>
      <c r="L48" s="753"/>
      <c r="M48" s="753"/>
      <c r="N48" s="752"/>
      <c r="O48" s="753"/>
      <c r="P48" s="753"/>
      <c r="Q48" s="181"/>
      <c r="R48" s="754"/>
      <c r="S48" s="755"/>
      <c r="T48" s="884"/>
      <c r="U48" s="181"/>
      <c r="V48" s="756"/>
      <c r="Y48" s="1270"/>
      <c r="Z48" s="1274"/>
      <c r="AA48" s="1274"/>
      <c r="AB48" s="1274"/>
      <c r="AC48" s="1274"/>
      <c r="AG48" s="1248"/>
      <c r="AH48" s="1272"/>
    </row>
    <row r="49" spans="2:42" ht="12.75" customHeight="1" x14ac:dyDescent="0.2">
      <c r="B49" s="62"/>
      <c r="C49" s="63"/>
      <c r="D49" s="91"/>
      <c r="E49" s="91"/>
      <c r="F49" s="92"/>
      <c r="G49" s="757"/>
      <c r="H49" s="92"/>
      <c r="I49" s="340"/>
      <c r="J49" s="758"/>
      <c r="K49" s="63"/>
      <c r="L49" s="341"/>
      <c r="M49" s="341"/>
      <c r="N49" s="758"/>
      <c r="O49" s="341"/>
      <c r="P49" s="341"/>
      <c r="Q49" s="63"/>
      <c r="R49" s="759"/>
      <c r="S49" s="542"/>
      <c r="T49" s="886"/>
      <c r="U49" s="63"/>
      <c r="V49" s="66"/>
      <c r="Y49" s="1253"/>
      <c r="Z49" s="1261"/>
      <c r="AA49" s="1261"/>
      <c r="AB49" s="1261"/>
      <c r="AC49" s="1261"/>
      <c r="AG49" s="1255"/>
      <c r="AH49" s="1251"/>
    </row>
    <row r="50" spans="2:42" ht="12.75" customHeight="1" x14ac:dyDescent="0.2">
      <c r="B50" s="67"/>
      <c r="C50" s="68"/>
      <c r="D50" s="84"/>
      <c r="E50" s="84"/>
      <c r="F50" s="85"/>
      <c r="G50" s="760"/>
      <c r="H50" s="85"/>
      <c r="I50" s="346"/>
      <c r="J50" s="761"/>
      <c r="K50" s="68"/>
      <c r="L50" s="347"/>
      <c r="M50" s="347"/>
      <c r="N50" s="761"/>
      <c r="O50" s="347"/>
      <c r="P50" s="347"/>
      <c r="Q50" s="68"/>
      <c r="R50" s="687"/>
      <c r="S50" s="223"/>
      <c r="T50" s="887"/>
      <c r="U50" s="68"/>
      <c r="V50" s="71"/>
      <c r="Y50" s="1253"/>
      <c r="Z50" s="1261"/>
      <c r="AA50" s="1261"/>
      <c r="AB50" s="1261"/>
      <c r="AC50" s="1261"/>
      <c r="AG50" s="1255"/>
      <c r="AH50" s="1251"/>
    </row>
    <row r="51" spans="2:42" ht="12.75" customHeight="1" x14ac:dyDescent="0.2">
      <c r="B51" s="67"/>
      <c r="C51" s="68" t="s">
        <v>200</v>
      </c>
      <c r="D51" s="84"/>
      <c r="E51" s="381" t="str">
        <f>dir!E30</f>
        <v>2016/17</v>
      </c>
      <c r="F51" s="85"/>
      <c r="G51" s="760"/>
      <c r="H51" s="85"/>
      <c r="I51" s="346"/>
      <c r="J51" s="761"/>
      <c r="K51" s="68"/>
      <c r="L51" s="347"/>
      <c r="M51" s="347"/>
      <c r="N51" s="761"/>
      <c r="O51" s="347"/>
      <c r="P51" s="347"/>
      <c r="Q51" s="68"/>
      <c r="R51" s="687"/>
      <c r="S51" s="223"/>
      <c r="T51" s="887"/>
      <c r="U51" s="68"/>
      <c r="V51" s="71"/>
      <c r="Y51" s="1253"/>
      <c r="Z51" s="1261"/>
      <c r="AA51" s="1261"/>
      <c r="AB51" s="1261"/>
      <c r="AC51" s="1261"/>
      <c r="AG51" s="1255"/>
      <c r="AH51" s="1251"/>
    </row>
    <row r="52" spans="2:42" ht="12.75" customHeight="1" x14ac:dyDescent="0.2">
      <c r="B52" s="67"/>
      <c r="C52" s="68" t="s">
        <v>213</v>
      </c>
      <c r="D52" s="84"/>
      <c r="E52" s="381">
        <f>dir!E31</f>
        <v>42644</v>
      </c>
      <c r="F52" s="85"/>
      <c r="G52" s="760"/>
      <c r="H52" s="85"/>
      <c r="I52" s="346"/>
      <c r="J52" s="761"/>
      <c r="K52" s="68"/>
      <c r="L52" s="347"/>
      <c r="M52" s="347"/>
      <c r="N52" s="761"/>
      <c r="O52" s="347"/>
      <c r="P52" s="347"/>
      <c r="Q52" s="68"/>
      <c r="R52" s="687"/>
      <c r="S52" s="223"/>
      <c r="T52" s="887"/>
      <c r="U52" s="68"/>
      <c r="V52" s="71"/>
      <c r="Y52" s="1253"/>
      <c r="Z52" s="1261"/>
      <c r="AA52" s="1261"/>
      <c r="AB52" s="1261"/>
      <c r="AC52" s="1261"/>
      <c r="AG52" s="1255"/>
      <c r="AH52" s="1251"/>
    </row>
    <row r="53" spans="2:42" ht="12.75" customHeight="1" x14ac:dyDescent="0.2">
      <c r="B53" s="67"/>
      <c r="C53" s="68"/>
      <c r="D53" s="84"/>
      <c r="E53" s="84"/>
      <c r="F53" s="85"/>
      <c r="G53" s="760"/>
      <c r="H53" s="85"/>
      <c r="I53" s="346"/>
      <c r="J53" s="761"/>
      <c r="K53" s="68"/>
      <c r="L53" s="347"/>
      <c r="M53" s="347"/>
      <c r="N53" s="761"/>
      <c r="O53" s="347"/>
      <c r="P53" s="347"/>
      <c r="Q53" s="68"/>
      <c r="R53" s="687"/>
      <c r="S53" s="223"/>
      <c r="T53" s="887"/>
      <c r="U53" s="68"/>
      <c r="V53" s="71"/>
      <c r="Y53" s="1253"/>
      <c r="Z53" s="1261"/>
      <c r="AA53" s="1261"/>
      <c r="AB53" s="1261"/>
      <c r="AC53" s="1261"/>
      <c r="AG53" s="1255"/>
      <c r="AH53" s="1251"/>
    </row>
    <row r="54" spans="2:42" ht="12.75" customHeight="1" x14ac:dyDescent="0.2">
      <c r="B54" s="67"/>
      <c r="C54" s="184"/>
      <c r="D54" s="1114"/>
      <c r="E54" s="1080"/>
      <c r="F54" s="1081"/>
      <c r="G54" s="1082"/>
      <c r="H54" s="1083"/>
      <c r="I54" s="1083"/>
      <c r="J54" s="1084"/>
      <c r="K54" s="1085"/>
      <c r="L54" s="1083"/>
      <c r="M54" s="1083"/>
      <c r="N54" s="1084"/>
      <c r="O54" s="1083"/>
      <c r="P54" s="1083"/>
      <c r="Q54" s="1085"/>
      <c r="R54" s="1085"/>
      <c r="S54" s="1086"/>
      <c r="T54" s="1087"/>
      <c r="U54" s="121"/>
      <c r="V54" s="71"/>
      <c r="AE54" s="1235"/>
      <c r="AF54" s="1236"/>
      <c r="AI54" s="1235"/>
      <c r="AJ54" s="1247"/>
      <c r="AK54" s="311"/>
      <c r="AL54" s="312"/>
      <c r="AM54" s="324"/>
      <c r="AN54" s="24"/>
    </row>
    <row r="55" spans="2:42" s="144" customFormat="1" ht="12.75" customHeight="1" x14ac:dyDescent="0.2">
      <c r="B55" s="150"/>
      <c r="C55" s="425"/>
      <c r="D55" s="1191" t="s">
        <v>307</v>
      </c>
      <c r="E55" s="1191"/>
      <c r="F55" s="1191"/>
      <c r="G55" s="1191"/>
      <c r="H55" s="1191"/>
      <c r="I55" s="1191"/>
      <c r="J55" s="1191"/>
      <c r="K55" s="1192"/>
      <c r="L55" s="1191" t="s">
        <v>553</v>
      </c>
      <c r="M55" s="1193"/>
      <c r="N55" s="1191"/>
      <c r="O55" s="1191"/>
      <c r="P55" s="1291"/>
      <c r="Q55" s="1055"/>
      <c r="R55" s="1191" t="s">
        <v>554</v>
      </c>
      <c r="S55" s="1194"/>
      <c r="T55" s="1292"/>
      <c r="U55" s="1293"/>
      <c r="V55" s="426"/>
      <c r="W55" s="427"/>
      <c r="X55" s="427"/>
      <c r="Y55" s="1221"/>
      <c r="Z55" s="1294"/>
      <c r="AA55" s="1221"/>
      <c r="AB55" s="1221"/>
      <c r="AC55" s="1221"/>
      <c r="AD55" s="1295"/>
      <c r="AE55" s="1295"/>
      <c r="AF55" s="1294"/>
      <c r="AG55" s="1248"/>
      <c r="AH55" s="1249"/>
      <c r="AI55" s="1221"/>
      <c r="AJ55" s="1221"/>
      <c r="AO55" s="427"/>
      <c r="AP55" s="427"/>
    </row>
    <row r="56" spans="2:42" s="144" customFormat="1" ht="12.75" customHeight="1" x14ac:dyDescent="0.2">
      <c r="B56" s="150"/>
      <c r="C56" s="425"/>
      <c r="D56" s="1056" t="s">
        <v>545</v>
      </c>
      <c r="E56" s="1030" t="s">
        <v>201</v>
      </c>
      <c r="F56" s="1057" t="s">
        <v>151</v>
      </c>
      <c r="G56" s="1058" t="s">
        <v>295</v>
      </c>
      <c r="H56" s="1057" t="s">
        <v>226</v>
      </c>
      <c r="I56" s="1057" t="s">
        <v>247</v>
      </c>
      <c r="J56" s="1059" t="s">
        <v>154</v>
      </c>
      <c r="K56" s="1067"/>
      <c r="L56" s="1060" t="s">
        <v>530</v>
      </c>
      <c r="M56" s="1060" t="s">
        <v>531</v>
      </c>
      <c r="N56" s="1060" t="s">
        <v>529</v>
      </c>
      <c r="O56" s="1060" t="s">
        <v>530</v>
      </c>
      <c r="P56" s="1296" t="s">
        <v>555</v>
      </c>
      <c r="Q56" s="1034"/>
      <c r="R56" s="1195" t="s">
        <v>212</v>
      </c>
      <c r="S56" s="1062" t="s">
        <v>556</v>
      </c>
      <c r="T56" s="1063" t="s">
        <v>212</v>
      </c>
      <c r="U56" s="1297"/>
      <c r="V56" s="429"/>
      <c r="W56" s="430"/>
      <c r="X56" s="430"/>
      <c r="Y56" s="1068" t="s">
        <v>325</v>
      </c>
      <c r="Z56" s="1285" t="s">
        <v>548</v>
      </c>
      <c r="AA56" s="1259" t="s">
        <v>549</v>
      </c>
      <c r="AB56" s="1259" t="s">
        <v>549</v>
      </c>
      <c r="AC56" s="1259" t="s">
        <v>546</v>
      </c>
      <c r="AD56" s="1206" t="s">
        <v>539</v>
      </c>
      <c r="AE56" s="1206" t="s">
        <v>540</v>
      </c>
      <c r="AF56" s="1069" t="s">
        <v>541</v>
      </c>
      <c r="AG56" s="1250" t="s">
        <v>319</v>
      </c>
      <c r="AH56" s="1249" t="s">
        <v>459</v>
      </c>
      <c r="AI56" s="1221"/>
      <c r="AJ56" s="1221"/>
      <c r="AO56" s="427"/>
      <c r="AP56" s="430"/>
    </row>
    <row r="57" spans="2:42" s="144" customFormat="1" ht="12.75" customHeight="1" x14ac:dyDescent="0.2">
      <c r="B57" s="150"/>
      <c r="C57" s="425"/>
      <c r="D57" s="1064"/>
      <c r="E57" s="1030"/>
      <c r="F57" s="1057" t="s">
        <v>152</v>
      </c>
      <c r="G57" s="1058" t="s">
        <v>296</v>
      </c>
      <c r="H57" s="1057"/>
      <c r="I57" s="1057"/>
      <c r="J57" s="1059" t="s">
        <v>489</v>
      </c>
      <c r="K57" s="1067"/>
      <c r="L57" s="1060" t="s">
        <v>533</v>
      </c>
      <c r="M57" s="1060" t="s">
        <v>534</v>
      </c>
      <c r="N57" s="1060" t="s">
        <v>532</v>
      </c>
      <c r="O57" s="1060" t="s">
        <v>544</v>
      </c>
      <c r="P57" s="1296" t="s">
        <v>291</v>
      </c>
      <c r="Q57" s="1034"/>
      <c r="R57" s="1061" t="s">
        <v>557</v>
      </c>
      <c r="S57" s="1062" t="s">
        <v>535</v>
      </c>
      <c r="T57" s="1063" t="s">
        <v>291</v>
      </c>
      <c r="U57" s="1040"/>
      <c r="V57" s="151"/>
      <c r="Y57" s="1068" t="s">
        <v>217</v>
      </c>
      <c r="Z57" s="1287">
        <f>tab!$E$48</f>
        <v>0.62</v>
      </c>
      <c r="AA57" s="1259" t="s">
        <v>550</v>
      </c>
      <c r="AB57" s="1259" t="s">
        <v>551</v>
      </c>
      <c r="AC57" s="1259" t="s">
        <v>552</v>
      </c>
      <c r="AD57" s="1206" t="s">
        <v>542</v>
      </c>
      <c r="AE57" s="1206" t="s">
        <v>542</v>
      </c>
      <c r="AF57" s="1069" t="s">
        <v>543</v>
      </c>
      <c r="AG57" s="1250"/>
      <c r="AH57" s="1251" t="s">
        <v>246</v>
      </c>
      <c r="AI57" s="1221"/>
      <c r="AJ57" s="1221"/>
      <c r="AP57" s="767"/>
    </row>
    <row r="58" spans="2:42" ht="12.75" customHeight="1" x14ac:dyDescent="0.2">
      <c r="B58" s="67"/>
      <c r="C58" s="126"/>
      <c r="D58" s="1065"/>
      <c r="E58" s="1065"/>
      <c r="F58" s="1065"/>
      <c r="G58" s="1065"/>
      <c r="H58" s="1065"/>
      <c r="I58" s="1065"/>
      <c r="J58" s="1065"/>
      <c r="K58" s="1066"/>
      <c r="L58" s="1065"/>
      <c r="M58" s="1065"/>
      <c r="N58" s="1065"/>
      <c r="O58" s="1065"/>
      <c r="P58" s="1065"/>
      <c r="Q58" s="1066"/>
      <c r="R58" s="1088"/>
      <c r="S58" s="1070"/>
      <c r="T58" s="1089"/>
      <c r="U58" s="125"/>
      <c r="V58" s="71"/>
      <c r="Y58" s="1068"/>
      <c r="Z58" s="1222"/>
      <c r="AA58" s="1222"/>
      <c r="AB58" s="1222"/>
      <c r="AC58" s="1222"/>
      <c r="AE58" s="1221"/>
      <c r="AF58" s="1221"/>
      <c r="AG58" s="1250"/>
      <c r="AH58" s="1251"/>
      <c r="AM58" s="14"/>
      <c r="AN58" s="14"/>
      <c r="AP58" s="332"/>
    </row>
    <row r="59" spans="2:42" x14ac:dyDescent="0.2">
      <c r="B59" s="67"/>
      <c r="C59" s="126"/>
      <c r="D59" s="396" t="str">
        <f>IF(obp!D16="","",obp!D16)</f>
        <v/>
      </c>
      <c r="E59" s="432" t="str">
        <f>IF(obp!E16="","",obp!E16)</f>
        <v>nn</v>
      </c>
      <c r="F59" s="776" t="str">
        <f>IF(obp!F16="","",obp!F16+1)</f>
        <v/>
      </c>
      <c r="G59" s="802" t="str">
        <f>IF(obp!G16="","",obp!G16)</f>
        <v/>
      </c>
      <c r="H59" s="776">
        <f>IF(obp!H16=0,"",obp!H16)</f>
        <v>8</v>
      </c>
      <c r="I59" s="433">
        <f>IF(J59="","",(IF(obp!I16+1&gt;LOOKUP(H59,schaal2013,regels2013),obp!I16,obp!I16+1)))</f>
        <v>9</v>
      </c>
      <c r="J59" s="803">
        <f>IF(obp!J16="","",obp!J16)</f>
        <v>1</v>
      </c>
      <c r="K59" s="413"/>
      <c r="L59" s="1207">
        <f>IF(obp!L16="",0,obp!L16)</f>
        <v>0</v>
      </c>
      <c r="M59" s="1207">
        <f>IF(obp!M16="",0,obp!M16)</f>
        <v>0</v>
      </c>
      <c r="N59" s="1209">
        <f t="shared" ref="N59" si="23">IF(J59="","",IF((J59*40)&gt;40,40,((J59*40))))</f>
        <v>40</v>
      </c>
      <c r="O59" s="1209"/>
      <c r="P59" s="1283">
        <f t="shared" ref="P59" si="24">IF(J59="","",(SUM(L59:O59)))</f>
        <v>40</v>
      </c>
      <c r="Q59" s="518"/>
      <c r="R59" s="1076">
        <f>IF(J59="","",(((1659*J59)-P59)*AB59))</f>
        <v>51355.265533453887</v>
      </c>
      <c r="S59" s="1076">
        <f t="shared" ref="S59" si="25">IF(J59="","",(P59*AC59)+(AA59*AD59)+((AE59*AA59*(1-AF59))))</f>
        <v>1268.814466546112</v>
      </c>
      <c r="T59" s="1078">
        <f t="shared" ref="T59" si="26">IF(J59="","",(R59+S59))</f>
        <v>52624.08</v>
      </c>
      <c r="U59" s="599"/>
      <c r="V59" s="804"/>
      <c r="W59" s="1110"/>
      <c r="X59" s="1218"/>
      <c r="Y59" s="1253">
        <f>ROUND(VLOOKUP(H59,tab!$A$61:$V$103,I59+2,FALSE),0)</f>
        <v>2707</v>
      </c>
      <c r="Z59" s="1252">
        <f>tab!$E$48</f>
        <v>0.62</v>
      </c>
      <c r="AA59" s="1284">
        <f t="shared" ref="AA59" si="27">(Y59*12/1659)</f>
        <v>19.580470162748643</v>
      </c>
      <c r="AB59" s="1284">
        <f t="shared" ref="AB59" si="28">(Y59*12*(1+Z59))/1659</f>
        <v>31.720361663652803</v>
      </c>
      <c r="AC59" s="1284">
        <f t="shared" ref="AC59" si="29">AB59-AA59</f>
        <v>12.139891500904159</v>
      </c>
      <c r="AD59" s="1286">
        <f t="shared" ref="AD59" si="30">(N59+O59)</f>
        <v>40</v>
      </c>
      <c r="AE59" s="1286">
        <f t="shared" ref="AE59" si="31">(L59+M59)</f>
        <v>0</v>
      </c>
      <c r="AF59" s="1254">
        <f>IF(H59&gt;8,tab!$D$49,tab!$D$52)</f>
        <v>0.4</v>
      </c>
      <c r="AG59" s="1255">
        <f t="shared" ref="AG59:AG88" si="32">IF(F59&lt;25,0,IF(F59=25,25,IF(F59&lt;40,0,IF(F59=40,40,IF(F59&gt;=40,0)))))</f>
        <v>0</v>
      </c>
      <c r="AH59" s="1251">
        <f t="shared" ref="AH59:AH88" si="33">IF(AG59=25,(Y59*1.08*(J59)/2),IF(AG59=40,(Y59*1.08*(J59)),IF(AG59=0,0)))</f>
        <v>0</v>
      </c>
      <c r="AK59" s="198"/>
    </row>
    <row r="60" spans="2:42" x14ac:dyDescent="0.2">
      <c r="B60" s="67"/>
      <c r="C60" s="126"/>
      <c r="D60" s="396" t="str">
        <f>IF(obp!D17="","",obp!D17)</f>
        <v/>
      </c>
      <c r="E60" s="432" t="str">
        <f>IF(obp!E17="","",obp!E17)</f>
        <v/>
      </c>
      <c r="F60" s="776" t="str">
        <f>IF(obp!F17="","",obp!F17+1)</f>
        <v/>
      </c>
      <c r="G60" s="802" t="str">
        <f>IF(obp!G17="","",obp!G17)</f>
        <v/>
      </c>
      <c r="H60" s="776" t="str">
        <f>IF(obp!H17=0,"",obp!H17)</f>
        <v/>
      </c>
      <c r="I60" s="433" t="str">
        <f>IF(J60="","",(IF(obp!I17+1&gt;LOOKUP(H60,schaal2013,regels2013),obp!I17,obp!I17+1)))</f>
        <v/>
      </c>
      <c r="J60" s="803" t="str">
        <f>IF(obp!J17="","",obp!J17)</f>
        <v/>
      </c>
      <c r="K60" s="413"/>
      <c r="L60" s="1207">
        <f>IF(obp!L17="",0,obp!L17)</f>
        <v>0</v>
      </c>
      <c r="M60" s="1207">
        <f>IF(obp!M17="",0,obp!M17)</f>
        <v>0</v>
      </c>
      <c r="N60" s="1209" t="str">
        <f t="shared" ref="N60:N88" si="34">IF(J60="","",IF((J60*40)&gt;40,40,((J60*40))))</f>
        <v/>
      </c>
      <c r="O60" s="1209"/>
      <c r="P60" s="1283" t="str">
        <f t="shared" ref="P60:P88" si="35">IF(J60="","",(SUM(L60:O60)))</f>
        <v/>
      </c>
      <c r="Q60" s="518"/>
      <c r="R60" s="1076" t="str">
        <f t="shared" ref="R60:R88" si="36">IF(J60="","",(((1659*J60)-P60)*AB60))</f>
        <v/>
      </c>
      <c r="S60" s="1076" t="str">
        <f t="shared" ref="S60:S88" si="37">IF(J60="","",(P60*AC60)+(AA60*AD60)+((AE60*AA60*(1-AF60))))</f>
        <v/>
      </c>
      <c r="T60" s="1078" t="str">
        <f t="shared" ref="T60:T88" si="38">IF(J60="","",(R60+S60))</f>
        <v/>
      </c>
      <c r="U60" s="599"/>
      <c r="V60" s="804"/>
      <c r="W60" s="1110"/>
      <c r="X60" s="1218"/>
      <c r="Y60" s="1253" t="e">
        <f>ROUND(VLOOKUP(H60,tab!$A$61:$V$103,I60+2,FALSE),0)</f>
        <v>#VALUE!</v>
      </c>
      <c r="Z60" s="1252">
        <f>tab!$E$48</f>
        <v>0.62</v>
      </c>
      <c r="AA60" s="1284" t="e">
        <f t="shared" ref="AA60:AA88" si="39">(Y60*12/1659)</f>
        <v>#VALUE!</v>
      </c>
      <c r="AB60" s="1284" t="e">
        <f t="shared" ref="AB60:AB88" si="40">(Y60*12*(1+Z60))/1659</f>
        <v>#VALUE!</v>
      </c>
      <c r="AC60" s="1284" t="e">
        <f t="shared" ref="AC60:AC88" si="41">AB60-AA60</f>
        <v>#VALUE!</v>
      </c>
      <c r="AD60" s="1286" t="e">
        <f t="shared" ref="AD60:AD88" si="42">(N60+O60)</f>
        <v>#VALUE!</v>
      </c>
      <c r="AE60" s="1286">
        <f t="shared" ref="AE60:AE88" si="43">(L60+M60)</f>
        <v>0</v>
      </c>
      <c r="AF60" s="1254">
        <f>IF(H60&gt;8,tab!$D$49,tab!$D$52)</f>
        <v>0.5</v>
      </c>
      <c r="AG60" s="1255">
        <f t="shared" si="32"/>
        <v>0</v>
      </c>
      <c r="AH60" s="1251">
        <f t="shared" si="33"/>
        <v>0</v>
      </c>
      <c r="AK60" s="198"/>
    </row>
    <row r="61" spans="2:42" x14ac:dyDescent="0.2">
      <c r="B61" s="67"/>
      <c r="C61" s="126"/>
      <c r="D61" s="396" t="str">
        <f>IF(obp!D18="","",obp!D18)</f>
        <v/>
      </c>
      <c r="E61" s="432" t="str">
        <f>IF(obp!E18="","",obp!E18)</f>
        <v/>
      </c>
      <c r="F61" s="776" t="str">
        <f>IF(obp!F18="","",obp!F18+1)</f>
        <v/>
      </c>
      <c r="G61" s="802" t="str">
        <f>IF(obp!G18="","",obp!G18)</f>
        <v/>
      </c>
      <c r="H61" s="776" t="str">
        <f>IF(obp!H18=0,"",obp!H18)</f>
        <v/>
      </c>
      <c r="I61" s="433" t="str">
        <f>IF(J61="","",(IF(obp!I18+1&gt;LOOKUP(H61,schaal2013,regels2013),obp!I18,obp!I18+1)))</f>
        <v/>
      </c>
      <c r="J61" s="803" t="str">
        <f>IF(obp!J18="","",obp!J18)</f>
        <v/>
      </c>
      <c r="K61" s="413"/>
      <c r="L61" s="1207">
        <f>IF(obp!L18="",0,obp!L18)</f>
        <v>0</v>
      </c>
      <c r="M61" s="1207">
        <f>IF(obp!M18="",0,obp!M18)</f>
        <v>0</v>
      </c>
      <c r="N61" s="1209" t="str">
        <f t="shared" si="34"/>
        <v/>
      </c>
      <c r="O61" s="1209"/>
      <c r="P61" s="1283" t="str">
        <f t="shared" si="35"/>
        <v/>
      </c>
      <c r="Q61" s="518"/>
      <c r="R61" s="1076" t="str">
        <f t="shared" si="36"/>
        <v/>
      </c>
      <c r="S61" s="1076" t="str">
        <f t="shared" si="37"/>
        <v/>
      </c>
      <c r="T61" s="1078" t="str">
        <f t="shared" si="38"/>
        <v/>
      </c>
      <c r="U61" s="599"/>
      <c r="V61" s="804"/>
      <c r="W61" s="1110"/>
      <c r="X61" s="1218"/>
      <c r="Y61" s="1253" t="e">
        <f>ROUND(VLOOKUP(H61,tab!$A$61:$V$103,I61+2,FALSE),0)</f>
        <v>#VALUE!</v>
      </c>
      <c r="Z61" s="1252">
        <f>tab!$E$48</f>
        <v>0.62</v>
      </c>
      <c r="AA61" s="1284" t="e">
        <f t="shared" si="39"/>
        <v>#VALUE!</v>
      </c>
      <c r="AB61" s="1284" t="e">
        <f t="shared" si="40"/>
        <v>#VALUE!</v>
      </c>
      <c r="AC61" s="1284" t="e">
        <f t="shared" si="41"/>
        <v>#VALUE!</v>
      </c>
      <c r="AD61" s="1286" t="e">
        <f t="shared" si="42"/>
        <v>#VALUE!</v>
      </c>
      <c r="AE61" s="1286">
        <f t="shared" si="43"/>
        <v>0</v>
      </c>
      <c r="AF61" s="1254">
        <f>IF(H61&gt;8,tab!$D$49,tab!$D$52)</f>
        <v>0.5</v>
      </c>
      <c r="AG61" s="1255">
        <f t="shared" si="32"/>
        <v>0</v>
      </c>
      <c r="AH61" s="1251">
        <f t="shared" si="33"/>
        <v>0</v>
      </c>
      <c r="AK61" s="198"/>
    </row>
    <row r="62" spans="2:42" x14ac:dyDescent="0.2">
      <c r="B62" s="67"/>
      <c r="C62" s="126"/>
      <c r="D62" s="396" t="str">
        <f>IF(obp!D19="","",obp!D19)</f>
        <v/>
      </c>
      <c r="E62" s="432" t="str">
        <f>IF(obp!E19="","",obp!E19)</f>
        <v/>
      </c>
      <c r="F62" s="776" t="str">
        <f>IF(obp!F19="","",obp!F19+1)</f>
        <v/>
      </c>
      <c r="G62" s="802" t="str">
        <f>IF(obp!G19="","",obp!G19)</f>
        <v/>
      </c>
      <c r="H62" s="776" t="str">
        <f>IF(obp!H19=0,"",obp!H19)</f>
        <v/>
      </c>
      <c r="I62" s="433" t="str">
        <f>IF(J62="","",(IF(obp!I19+1&gt;LOOKUP(H62,schaal2013,regels2013),obp!I19,obp!I19+1)))</f>
        <v/>
      </c>
      <c r="J62" s="803" t="str">
        <f>IF(obp!J19="","",obp!J19)</f>
        <v/>
      </c>
      <c r="K62" s="413"/>
      <c r="L62" s="1207">
        <f>IF(obp!L19="",0,obp!L19)</f>
        <v>0</v>
      </c>
      <c r="M62" s="1207">
        <f>IF(obp!M19="",0,obp!M19)</f>
        <v>0</v>
      </c>
      <c r="N62" s="1209" t="str">
        <f t="shared" si="34"/>
        <v/>
      </c>
      <c r="O62" s="1209"/>
      <c r="P62" s="1283" t="str">
        <f t="shared" si="35"/>
        <v/>
      </c>
      <c r="Q62" s="518"/>
      <c r="R62" s="1076" t="str">
        <f t="shared" si="36"/>
        <v/>
      </c>
      <c r="S62" s="1076" t="str">
        <f t="shared" si="37"/>
        <v/>
      </c>
      <c r="T62" s="1078" t="str">
        <f t="shared" si="38"/>
        <v/>
      </c>
      <c r="U62" s="599"/>
      <c r="V62" s="804"/>
      <c r="W62" s="1110"/>
      <c r="X62" s="1218"/>
      <c r="Y62" s="1253" t="e">
        <f>ROUND(VLOOKUP(H62,tab!$A$61:$V$103,I62+2,FALSE),0)</f>
        <v>#VALUE!</v>
      </c>
      <c r="Z62" s="1252">
        <f>tab!$E$48</f>
        <v>0.62</v>
      </c>
      <c r="AA62" s="1284" t="e">
        <f t="shared" si="39"/>
        <v>#VALUE!</v>
      </c>
      <c r="AB62" s="1284" t="e">
        <f t="shared" si="40"/>
        <v>#VALUE!</v>
      </c>
      <c r="AC62" s="1284" t="e">
        <f t="shared" si="41"/>
        <v>#VALUE!</v>
      </c>
      <c r="AD62" s="1286" t="e">
        <f t="shared" si="42"/>
        <v>#VALUE!</v>
      </c>
      <c r="AE62" s="1286">
        <f t="shared" si="43"/>
        <v>0</v>
      </c>
      <c r="AF62" s="1254">
        <f>IF(H62&gt;8,tab!$D$49,tab!$D$52)</f>
        <v>0.5</v>
      </c>
      <c r="AG62" s="1255">
        <f t="shared" si="32"/>
        <v>0</v>
      </c>
      <c r="AH62" s="1251">
        <f t="shared" si="33"/>
        <v>0</v>
      </c>
      <c r="AK62" s="198"/>
    </row>
    <row r="63" spans="2:42" x14ac:dyDescent="0.2">
      <c r="B63" s="67"/>
      <c r="C63" s="126"/>
      <c r="D63" s="396" t="str">
        <f>IF(obp!D20="","",obp!D20)</f>
        <v/>
      </c>
      <c r="E63" s="432" t="str">
        <f>IF(obp!E20="","",obp!E20)</f>
        <v/>
      </c>
      <c r="F63" s="776" t="str">
        <f>IF(obp!F20="","",obp!F20+1)</f>
        <v/>
      </c>
      <c r="G63" s="802" t="str">
        <f>IF(obp!G20="","",obp!G20)</f>
        <v/>
      </c>
      <c r="H63" s="776" t="str">
        <f>IF(obp!H20=0,"",obp!H20)</f>
        <v/>
      </c>
      <c r="I63" s="433" t="str">
        <f>IF(J63="","",(IF(obp!I20+1&gt;LOOKUP(H63,schaal2013,regels2013),obp!I20,obp!I20+1)))</f>
        <v/>
      </c>
      <c r="J63" s="803" t="str">
        <f>IF(obp!J20="","",obp!J20)</f>
        <v/>
      </c>
      <c r="K63" s="413"/>
      <c r="L63" s="1207">
        <f>IF(obp!L20="",0,obp!L20)</f>
        <v>0</v>
      </c>
      <c r="M63" s="1207">
        <f>IF(obp!M20="",0,obp!M20)</f>
        <v>0</v>
      </c>
      <c r="N63" s="1209" t="str">
        <f t="shared" si="34"/>
        <v/>
      </c>
      <c r="O63" s="1209"/>
      <c r="P63" s="1283" t="str">
        <f t="shared" si="35"/>
        <v/>
      </c>
      <c r="Q63" s="518"/>
      <c r="R63" s="1076" t="str">
        <f t="shared" si="36"/>
        <v/>
      </c>
      <c r="S63" s="1076" t="str">
        <f t="shared" si="37"/>
        <v/>
      </c>
      <c r="T63" s="1078" t="str">
        <f t="shared" si="38"/>
        <v/>
      </c>
      <c r="U63" s="599"/>
      <c r="V63" s="804"/>
      <c r="W63" s="1110"/>
      <c r="X63" s="1218"/>
      <c r="Y63" s="1253" t="e">
        <f>ROUND(VLOOKUP(H63,tab!$A$61:$V$103,I63+2,FALSE),0)</f>
        <v>#VALUE!</v>
      </c>
      <c r="Z63" s="1252">
        <f>tab!$E$48</f>
        <v>0.62</v>
      </c>
      <c r="AA63" s="1284" t="e">
        <f t="shared" si="39"/>
        <v>#VALUE!</v>
      </c>
      <c r="AB63" s="1284" t="e">
        <f t="shared" si="40"/>
        <v>#VALUE!</v>
      </c>
      <c r="AC63" s="1284" t="e">
        <f t="shared" si="41"/>
        <v>#VALUE!</v>
      </c>
      <c r="AD63" s="1286" t="e">
        <f t="shared" si="42"/>
        <v>#VALUE!</v>
      </c>
      <c r="AE63" s="1286">
        <f t="shared" si="43"/>
        <v>0</v>
      </c>
      <c r="AF63" s="1254">
        <f>IF(H63&gt;8,tab!$D$49,tab!$D$52)</f>
        <v>0.5</v>
      </c>
      <c r="AG63" s="1255">
        <f t="shared" si="32"/>
        <v>0</v>
      </c>
      <c r="AH63" s="1251">
        <f t="shared" si="33"/>
        <v>0</v>
      </c>
      <c r="AK63" s="198"/>
    </row>
    <row r="64" spans="2:42" x14ac:dyDescent="0.2">
      <c r="B64" s="67"/>
      <c r="C64" s="126"/>
      <c r="D64" s="396" t="str">
        <f>IF(obp!D21="","",obp!D21)</f>
        <v/>
      </c>
      <c r="E64" s="432" t="str">
        <f>IF(obp!E21="","",obp!E21)</f>
        <v/>
      </c>
      <c r="F64" s="776" t="str">
        <f>IF(obp!F21="","",obp!F21+1)</f>
        <v/>
      </c>
      <c r="G64" s="802" t="str">
        <f>IF(obp!G21="","",obp!G21)</f>
        <v/>
      </c>
      <c r="H64" s="776" t="str">
        <f>IF(obp!H21=0,"",obp!H21)</f>
        <v/>
      </c>
      <c r="I64" s="433" t="str">
        <f>IF(J64="","",(IF(obp!I21+1&gt;LOOKUP(H64,schaal2013,regels2013),obp!I21,obp!I21+1)))</f>
        <v/>
      </c>
      <c r="J64" s="803" t="str">
        <f>IF(obp!J21="","",obp!J21)</f>
        <v/>
      </c>
      <c r="K64" s="413"/>
      <c r="L64" s="1207">
        <f>IF(obp!L21="",0,obp!L21)</f>
        <v>0</v>
      </c>
      <c r="M64" s="1207">
        <f>IF(obp!M21="",0,obp!M21)</f>
        <v>0</v>
      </c>
      <c r="N64" s="1209" t="str">
        <f t="shared" si="34"/>
        <v/>
      </c>
      <c r="O64" s="1209"/>
      <c r="P64" s="1283" t="str">
        <f t="shared" si="35"/>
        <v/>
      </c>
      <c r="Q64" s="518"/>
      <c r="R64" s="1076" t="str">
        <f t="shared" si="36"/>
        <v/>
      </c>
      <c r="S64" s="1076" t="str">
        <f t="shared" si="37"/>
        <v/>
      </c>
      <c r="T64" s="1078" t="str">
        <f t="shared" si="38"/>
        <v/>
      </c>
      <c r="U64" s="599"/>
      <c r="V64" s="804"/>
      <c r="W64" s="1110"/>
      <c r="X64" s="1218"/>
      <c r="Y64" s="1253" t="e">
        <f>ROUND(VLOOKUP(H64,tab!$A$61:$V$103,I64+2,FALSE),0)</f>
        <v>#VALUE!</v>
      </c>
      <c r="Z64" s="1252">
        <f>tab!$E$48</f>
        <v>0.62</v>
      </c>
      <c r="AA64" s="1284" t="e">
        <f t="shared" si="39"/>
        <v>#VALUE!</v>
      </c>
      <c r="AB64" s="1284" t="e">
        <f t="shared" si="40"/>
        <v>#VALUE!</v>
      </c>
      <c r="AC64" s="1284" t="e">
        <f t="shared" si="41"/>
        <v>#VALUE!</v>
      </c>
      <c r="AD64" s="1286" t="e">
        <f t="shared" si="42"/>
        <v>#VALUE!</v>
      </c>
      <c r="AE64" s="1286">
        <f t="shared" si="43"/>
        <v>0</v>
      </c>
      <c r="AF64" s="1254">
        <f>IF(H64&gt;8,tab!$D$49,tab!$D$52)</f>
        <v>0.5</v>
      </c>
      <c r="AG64" s="1255">
        <f t="shared" si="32"/>
        <v>0</v>
      </c>
      <c r="AH64" s="1251">
        <f t="shared" si="33"/>
        <v>0</v>
      </c>
      <c r="AK64" s="198"/>
    </row>
    <row r="65" spans="2:37" x14ac:dyDescent="0.2">
      <c r="B65" s="67"/>
      <c r="C65" s="126"/>
      <c r="D65" s="396" t="str">
        <f>IF(obp!D22="","",obp!D22)</f>
        <v/>
      </c>
      <c r="E65" s="432" t="str">
        <f>IF(obp!E22="","",obp!E22)</f>
        <v/>
      </c>
      <c r="F65" s="776" t="str">
        <f>IF(obp!F22="","",obp!F22+1)</f>
        <v/>
      </c>
      <c r="G65" s="802" t="str">
        <f>IF(obp!G22="","",obp!G22)</f>
        <v/>
      </c>
      <c r="H65" s="776" t="str">
        <f>IF(obp!H22=0,"",obp!H22)</f>
        <v/>
      </c>
      <c r="I65" s="433" t="str">
        <f>IF(J65="","",(IF(obp!I22+1&gt;LOOKUP(H65,schaal2013,regels2013),obp!I22,obp!I22+1)))</f>
        <v/>
      </c>
      <c r="J65" s="803" t="str">
        <f>IF(obp!J22="","",obp!J22)</f>
        <v/>
      </c>
      <c r="K65" s="413"/>
      <c r="L65" s="1207">
        <f>IF(obp!L22="",0,obp!L22)</f>
        <v>0</v>
      </c>
      <c r="M65" s="1207">
        <f>IF(obp!M22="",0,obp!M22)</f>
        <v>0</v>
      </c>
      <c r="N65" s="1209" t="str">
        <f t="shared" si="34"/>
        <v/>
      </c>
      <c r="O65" s="1209"/>
      <c r="P65" s="1283" t="str">
        <f t="shared" si="35"/>
        <v/>
      </c>
      <c r="Q65" s="518"/>
      <c r="R65" s="1076" t="str">
        <f t="shared" si="36"/>
        <v/>
      </c>
      <c r="S65" s="1076" t="str">
        <f t="shared" si="37"/>
        <v/>
      </c>
      <c r="T65" s="1078" t="str">
        <f t="shared" si="38"/>
        <v/>
      </c>
      <c r="U65" s="599"/>
      <c r="V65" s="804"/>
      <c r="W65" s="1110"/>
      <c r="X65" s="1218"/>
      <c r="Y65" s="1253" t="e">
        <f>ROUND(VLOOKUP(H65,tab!$A$61:$V$103,I65+2,FALSE),0)</f>
        <v>#VALUE!</v>
      </c>
      <c r="Z65" s="1252">
        <f>tab!$E$48</f>
        <v>0.62</v>
      </c>
      <c r="AA65" s="1284" t="e">
        <f t="shared" si="39"/>
        <v>#VALUE!</v>
      </c>
      <c r="AB65" s="1284" t="e">
        <f t="shared" si="40"/>
        <v>#VALUE!</v>
      </c>
      <c r="AC65" s="1284" t="e">
        <f t="shared" si="41"/>
        <v>#VALUE!</v>
      </c>
      <c r="AD65" s="1286" t="e">
        <f t="shared" si="42"/>
        <v>#VALUE!</v>
      </c>
      <c r="AE65" s="1286">
        <f t="shared" si="43"/>
        <v>0</v>
      </c>
      <c r="AF65" s="1254">
        <f>IF(H65&gt;8,tab!$D$49,tab!$D$52)</f>
        <v>0.5</v>
      </c>
      <c r="AG65" s="1255">
        <f t="shared" si="32"/>
        <v>0</v>
      </c>
      <c r="AH65" s="1251">
        <f t="shared" si="33"/>
        <v>0</v>
      </c>
      <c r="AK65" s="198"/>
    </row>
    <row r="66" spans="2:37" x14ac:dyDescent="0.2">
      <c r="B66" s="67"/>
      <c r="C66" s="126"/>
      <c r="D66" s="396" t="str">
        <f>IF(obp!D23="","",obp!D23)</f>
        <v/>
      </c>
      <c r="E66" s="432" t="str">
        <f>IF(obp!E23="","",obp!E23)</f>
        <v/>
      </c>
      <c r="F66" s="776" t="str">
        <f>IF(obp!F23="","",obp!F23+1)</f>
        <v/>
      </c>
      <c r="G66" s="802" t="str">
        <f>IF(obp!G23="","",obp!G23)</f>
        <v/>
      </c>
      <c r="H66" s="776" t="str">
        <f>IF(obp!H23=0,"",obp!H23)</f>
        <v/>
      </c>
      <c r="I66" s="433" t="str">
        <f>IF(J66="","",(IF(obp!I23+1&gt;LOOKUP(H66,schaal2013,regels2013),obp!I23,obp!I23+1)))</f>
        <v/>
      </c>
      <c r="J66" s="803" t="str">
        <f>IF(obp!J23="","",obp!J23)</f>
        <v/>
      </c>
      <c r="K66" s="413"/>
      <c r="L66" s="1207">
        <f>IF(obp!L23="",0,obp!L23)</f>
        <v>0</v>
      </c>
      <c r="M66" s="1207">
        <f>IF(obp!M23="",0,obp!M23)</f>
        <v>0</v>
      </c>
      <c r="N66" s="1209" t="str">
        <f t="shared" si="34"/>
        <v/>
      </c>
      <c r="O66" s="1209"/>
      <c r="P66" s="1283" t="str">
        <f t="shared" si="35"/>
        <v/>
      </c>
      <c r="Q66" s="518"/>
      <c r="R66" s="1076" t="str">
        <f t="shared" si="36"/>
        <v/>
      </c>
      <c r="S66" s="1076" t="str">
        <f t="shared" si="37"/>
        <v/>
      </c>
      <c r="T66" s="1078" t="str">
        <f t="shared" si="38"/>
        <v/>
      </c>
      <c r="U66" s="599"/>
      <c r="V66" s="804"/>
      <c r="W66" s="1110"/>
      <c r="X66" s="1218"/>
      <c r="Y66" s="1253" t="e">
        <f>ROUND(VLOOKUP(H66,tab!$A$61:$V$103,I66+2,FALSE),0)</f>
        <v>#VALUE!</v>
      </c>
      <c r="Z66" s="1252">
        <f>tab!$E$48</f>
        <v>0.62</v>
      </c>
      <c r="AA66" s="1284" t="e">
        <f t="shared" si="39"/>
        <v>#VALUE!</v>
      </c>
      <c r="AB66" s="1284" t="e">
        <f t="shared" si="40"/>
        <v>#VALUE!</v>
      </c>
      <c r="AC66" s="1284" t="e">
        <f t="shared" si="41"/>
        <v>#VALUE!</v>
      </c>
      <c r="AD66" s="1286" t="e">
        <f t="shared" si="42"/>
        <v>#VALUE!</v>
      </c>
      <c r="AE66" s="1286">
        <f t="shared" si="43"/>
        <v>0</v>
      </c>
      <c r="AF66" s="1254">
        <f>IF(H66&gt;8,tab!$D$49,tab!$D$52)</f>
        <v>0.5</v>
      </c>
      <c r="AG66" s="1255">
        <f t="shared" si="32"/>
        <v>0</v>
      </c>
      <c r="AH66" s="1251">
        <f t="shared" si="33"/>
        <v>0</v>
      </c>
      <c r="AK66" s="198"/>
    </row>
    <row r="67" spans="2:37" x14ac:dyDescent="0.2">
      <c r="B67" s="67"/>
      <c r="C67" s="126"/>
      <c r="D67" s="396" t="str">
        <f>IF(obp!D24="","",obp!D24)</f>
        <v/>
      </c>
      <c r="E67" s="432" t="str">
        <f>IF(obp!E24="","",obp!E24)</f>
        <v/>
      </c>
      <c r="F67" s="776" t="str">
        <f>IF(obp!F24="","",obp!F24+1)</f>
        <v/>
      </c>
      <c r="G67" s="802" t="str">
        <f>IF(obp!G24="","",obp!G24)</f>
        <v/>
      </c>
      <c r="H67" s="776" t="str">
        <f>IF(obp!H24=0,"",obp!H24)</f>
        <v/>
      </c>
      <c r="I67" s="433" t="str">
        <f>IF(J67="","",(IF(obp!I24+1&gt;LOOKUP(H67,schaal2013,regels2013),obp!I24,obp!I24+1)))</f>
        <v/>
      </c>
      <c r="J67" s="803" t="str">
        <f>IF(obp!J24="","",obp!J24)</f>
        <v/>
      </c>
      <c r="K67" s="413"/>
      <c r="L67" s="1207">
        <f>IF(obp!L24="",0,obp!L24)</f>
        <v>0</v>
      </c>
      <c r="M67" s="1207">
        <f>IF(obp!M24="",0,obp!M24)</f>
        <v>0</v>
      </c>
      <c r="N67" s="1209" t="str">
        <f t="shared" si="34"/>
        <v/>
      </c>
      <c r="O67" s="1209"/>
      <c r="P67" s="1283" t="str">
        <f t="shared" si="35"/>
        <v/>
      </c>
      <c r="Q67" s="518"/>
      <c r="R67" s="1076" t="str">
        <f t="shared" si="36"/>
        <v/>
      </c>
      <c r="S67" s="1076" t="str">
        <f t="shared" si="37"/>
        <v/>
      </c>
      <c r="T67" s="1078" t="str">
        <f t="shared" si="38"/>
        <v/>
      </c>
      <c r="U67" s="599"/>
      <c r="V67" s="804"/>
      <c r="W67" s="1110"/>
      <c r="X67" s="1218"/>
      <c r="Y67" s="1253" t="e">
        <f>ROUND(VLOOKUP(H67,tab!$A$61:$V$103,I67+2,FALSE),0)</f>
        <v>#VALUE!</v>
      </c>
      <c r="Z67" s="1252">
        <f>tab!$E$48</f>
        <v>0.62</v>
      </c>
      <c r="AA67" s="1284" t="e">
        <f t="shared" si="39"/>
        <v>#VALUE!</v>
      </c>
      <c r="AB67" s="1284" t="e">
        <f t="shared" si="40"/>
        <v>#VALUE!</v>
      </c>
      <c r="AC67" s="1284" t="e">
        <f t="shared" si="41"/>
        <v>#VALUE!</v>
      </c>
      <c r="AD67" s="1286" t="e">
        <f t="shared" si="42"/>
        <v>#VALUE!</v>
      </c>
      <c r="AE67" s="1286">
        <f t="shared" si="43"/>
        <v>0</v>
      </c>
      <c r="AF67" s="1254">
        <f>IF(H67&gt;8,tab!$D$49,tab!$D$52)</f>
        <v>0.5</v>
      </c>
      <c r="AG67" s="1255">
        <f t="shared" si="32"/>
        <v>0</v>
      </c>
      <c r="AH67" s="1251">
        <f t="shared" si="33"/>
        <v>0</v>
      </c>
      <c r="AK67" s="198"/>
    </row>
    <row r="68" spans="2:37" x14ac:dyDescent="0.2">
      <c r="B68" s="67"/>
      <c r="C68" s="126"/>
      <c r="D68" s="396" t="str">
        <f>IF(obp!D25="","",obp!D25)</f>
        <v/>
      </c>
      <c r="E68" s="432" t="str">
        <f>IF(obp!E25="","",obp!E25)</f>
        <v/>
      </c>
      <c r="F68" s="776" t="str">
        <f>IF(obp!F25="","",obp!F25+1)</f>
        <v/>
      </c>
      <c r="G68" s="802" t="str">
        <f>IF(obp!G25="","",obp!G25)</f>
        <v/>
      </c>
      <c r="H68" s="776" t="str">
        <f>IF(obp!H25=0,"",obp!H25)</f>
        <v/>
      </c>
      <c r="I68" s="433" t="str">
        <f>IF(J68="","",(IF(obp!I25+1&gt;LOOKUP(H68,schaal2013,regels2013),obp!I25,obp!I25+1)))</f>
        <v/>
      </c>
      <c r="J68" s="803" t="str">
        <f>IF(obp!J25="","",obp!J25)</f>
        <v/>
      </c>
      <c r="K68" s="413"/>
      <c r="L68" s="1207">
        <f>IF(obp!L25="",0,obp!L25)</f>
        <v>0</v>
      </c>
      <c r="M68" s="1207">
        <f>IF(obp!M25="",0,obp!M25)</f>
        <v>0</v>
      </c>
      <c r="N68" s="1209" t="str">
        <f t="shared" si="34"/>
        <v/>
      </c>
      <c r="O68" s="1209"/>
      <c r="P68" s="1283" t="str">
        <f t="shared" si="35"/>
        <v/>
      </c>
      <c r="Q68" s="518"/>
      <c r="R68" s="1076" t="str">
        <f t="shared" si="36"/>
        <v/>
      </c>
      <c r="S68" s="1076" t="str">
        <f t="shared" si="37"/>
        <v/>
      </c>
      <c r="T68" s="1078" t="str">
        <f t="shared" si="38"/>
        <v/>
      </c>
      <c r="U68" s="599"/>
      <c r="V68" s="804"/>
      <c r="W68" s="1110"/>
      <c r="X68" s="1218"/>
      <c r="Y68" s="1253" t="e">
        <f>ROUND(VLOOKUP(H68,tab!$A$61:$V$103,I68+2,FALSE),0)</f>
        <v>#VALUE!</v>
      </c>
      <c r="Z68" s="1252">
        <f>tab!$E$48</f>
        <v>0.62</v>
      </c>
      <c r="AA68" s="1284" t="e">
        <f t="shared" si="39"/>
        <v>#VALUE!</v>
      </c>
      <c r="AB68" s="1284" t="e">
        <f t="shared" si="40"/>
        <v>#VALUE!</v>
      </c>
      <c r="AC68" s="1284" t="e">
        <f t="shared" si="41"/>
        <v>#VALUE!</v>
      </c>
      <c r="AD68" s="1286" t="e">
        <f t="shared" si="42"/>
        <v>#VALUE!</v>
      </c>
      <c r="AE68" s="1286">
        <f t="shared" si="43"/>
        <v>0</v>
      </c>
      <c r="AF68" s="1254">
        <f>IF(H68&gt;8,tab!$D$49,tab!$D$52)</f>
        <v>0.5</v>
      </c>
      <c r="AG68" s="1255">
        <f t="shared" si="32"/>
        <v>0</v>
      </c>
      <c r="AH68" s="1251">
        <f t="shared" si="33"/>
        <v>0</v>
      </c>
      <c r="AK68" s="198"/>
    </row>
    <row r="69" spans="2:37" x14ac:dyDescent="0.2">
      <c r="B69" s="67"/>
      <c r="C69" s="126"/>
      <c r="D69" s="396" t="str">
        <f>IF(obp!D26="","",obp!D26)</f>
        <v/>
      </c>
      <c r="E69" s="432" t="str">
        <f>IF(obp!E26="","",obp!E26)</f>
        <v/>
      </c>
      <c r="F69" s="776" t="str">
        <f>IF(obp!F26="","",obp!F26+1)</f>
        <v/>
      </c>
      <c r="G69" s="802" t="str">
        <f>IF(obp!G26="","",obp!G26)</f>
        <v/>
      </c>
      <c r="H69" s="776" t="str">
        <f>IF(obp!H26=0,"",obp!H26)</f>
        <v/>
      </c>
      <c r="I69" s="433" t="str">
        <f>IF(J69="","",(IF(obp!I26+1&gt;LOOKUP(H69,schaal2013,regels2013),obp!I26,obp!I26+1)))</f>
        <v/>
      </c>
      <c r="J69" s="803" t="str">
        <f>IF(obp!J26="","",obp!J26)</f>
        <v/>
      </c>
      <c r="K69" s="413"/>
      <c r="L69" s="1207">
        <f>IF(obp!L26="",0,obp!L26)</f>
        <v>0</v>
      </c>
      <c r="M69" s="1207">
        <f>IF(obp!M26="",0,obp!M26)</f>
        <v>0</v>
      </c>
      <c r="N69" s="1209" t="str">
        <f t="shared" si="34"/>
        <v/>
      </c>
      <c r="O69" s="1209"/>
      <c r="P69" s="1283" t="str">
        <f t="shared" si="35"/>
        <v/>
      </c>
      <c r="Q69" s="518"/>
      <c r="R69" s="1076" t="str">
        <f t="shared" si="36"/>
        <v/>
      </c>
      <c r="S69" s="1076" t="str">
        <f t="shared" si="37"/>
        <v/>
      </c>
      <c r="T69" s="1078" t="str">
        <f t="shared" si="38"/>
        <v/>
      </c>
      <c r="U69" s="599"/>
      <c r="V69" s="804"/>
      <c r="W69" s="1110"/>
      <c r="X69" s="1218"/>
      <c r="Y69" s="1253" t="e">
        <f>ROUND(VLOOKUP(H69,tab!$A$61:$V$103,I69+2,FALSE),0)</f>
        <v>#VALUE!</v>
      </c>
      <c r="Z69" s="1252">
        <f>tab!$E$48</f>
        <v>0.62</v>
      </c>
      <c r="AA69" s="1284" t="e">
        <f t="shared" si="39"/>
        <v>#VALUE!</v>
      </c>
      <c r="AB69" s="1284" t="e">
        <f t="shared" si="40"/>
        <v>#VALUE!</v>
      </c>
      <c r="AC69" s="1284" t="e">
        <f t="shared" si="41"/>
        <v>#VALUE!</v>
      </c>
      <c r="AD69" s="1286" t="e">
        <f t="shared" si="42"/>
        <v>#VALUE!</v>
      </c>
      <c r="AE69" s="1286">
        <f t="shared" si="43"/>
        <v>0</v>
      </c>
      <c r="AF69" s="1254">
        <f>IF(H69&gt;8,tab!$D$49,tab!$D$52)</f>
        <v>0.5</v>
      </c>
      <c r="AG69" s="1255">
        <f t="shared" si="32"/>
        <v>0</v>
      </c>
      <c r="AH69" s="1251">
        <f t="shared" si="33"/>
        <v>0</v>
      </c>
      <c r="AK69" s="198"/>
    </row>
    <row r="70" spans="2:37" x14ac:dyDescent="0.2">
      <c r="B70" s="67"/>
      <c r="C70" s="126"/>
      <c r="D70" s="396" t="str">
        <f>IF(obp!D27="","",obp!D27)</f>
        <v/>
      </c>
      <c r="E70" s="432" t="str">
        <f>IF(obp!E27="","",obp!E27)</f>
        <v/>
      </c>
      <c r="F70" s="776" t="str">
        <f>IF(obp!F27="","",obp!F27+1)</f>
        <v/>
      </c>
      <c r="G70" s="802" t="str">
        <f>IF(obp!G27="","",obp!G27)</f>
        <v/>
      </c>
      <c r="H70" s="776" t="str">
        <f>IF(obp!H27=0,"",obp!H27)</f>
        <v/>
      </c>
      <c r="I70" s="433" t="str">
        <f>IF(J70="","",(IF(obp!I27+1&gt;LOOKUP(H70,schaal2013,regels2013),obp!I27,obp!I27+1)))</f>
        <v/>
      </c>
      <c r="J70" s="803" t="str">
        <f>IF(obp!J27="","",obp!J27)</f>
        <v/>
      </c>
      <c r="K70" s="413"/>
      <c r="L70" s="1207">
        <f>IF(obp!L27="",0,obp!L27)</f>
        <v>0</v>
      </c>
      <c r="M70" s="1207">
        <f>IF(obp!M27="",0,obp!M27)</f>
        <v>0</v>
      </c>
      <c r="N70" s="1209" t="str">
        <f t="shared" si="34"/>
        <v/>
      </c>
      <c r="O70" s="1209"/>
      <c r="P70" s="1283" t="str">
        <f t="shared" si="35"/>
        <v/>
      </c>
      <c r="Q70" s="518"/>
      <c r="R70" s="1076" t="str">
        <f t="shared" si="36"/>
        <v/>
      </c>
      <c r="S70" s="1076" t="str">
        <f t="shared" si="37"/>
        <v/>
      </c>
      <c r="T70" s="1078" t="str">
        <f t="shared" si="38"/>
        <v/>
      </c>
      <c r="U70" s="599"/>
      <c r="V70" s="804"/>
      <c r="W70" s="1110"/>
      <c r="X70" s="1218"/>
      <c r="Y70" s="1253" t="e">
        <f>ROUND(VLOOKUP(H70,tab!$A$61:$V$103,I70+2,FALSE),0)</f>
        <v>#VALUE!</v>
      </c>
      <c r="Z70" s="1252">
        <f>tab!$E$48</f>
        <v>0.62</v>
      </c>
      <c r="AA70" s="1284" t="e">
        <f t="shared" si="39"/>
        <v>#VALUE!</v>
      </c>
      <c r="AB70" s="1284" t="e">
        <f t="shared" si="40"/>
        <v>#VALUE!</v>
      </c>
      <c r="AC70" s="1284" t="e">
        <f t="shared" si="41"/>
        <v>#VALUE!</v>
      </c>
      <c r="AD70" s="1286" t="e">
        <f t="shared" si="42"/>
        <v>#VALUE!</v>
      </c>
      <c r="AE70" s="1286">
        <f t="shared" si="43"/>
        <v>0</v>
      </c>
      <c r="AF70" s="1254">
        <f>IF(H70&gt;8,tab!$D$49,tab!$D$52)</f>
        <v>0.5</v>
      </c>
      <c r="AG70" s="1255">
        <f t="shared" si="32"/>
        <v>0</v>
      </c>
      <c r="AH70" s="1251">
        <f t="shared" si="33"/>
        <v>0</v>
      </c>
      <c r="AK70" s="198"/>
    </row>
    <row r="71" spans="2:37" x14ac:dyDescent="0.2">
      <c r="B71" s="67"/>
      <c r="C71" s="126"/>
      <c r="D71" s="396" t="str">
        <f>IF(obp!D28="","",obp!D28)</f>
        <v/>
      </c>
      <c r="E71" s="432" t="str">
        <f>IF(obp!E28="","",obp!E28)</f>
        <v/>
      </c>
      <c r="F71" s="776" t="str">
        <f>IF(obp!F28="","",obp!F28+1)</f>
        <v/>
      </c>
      <c r="G71" s="802" t="str">
        <f>IF(obp!G28="","",obp!G28)</f>
        <v/>
      </c>
      <c r="H71" s="776" t="str">
        <f>IF(obp!H28=0,"",obp!H28)</f>
        <v/>
      </c>
      <c r="I71" s="433" t="str">
        <f>IF(J71="","",(IF(obp!I28+1&gt;LOOKUP(H71,schaal2013,regels2013),obp!I28,obp!I28+1)))</f>
        <v/>
      </c>
      <c r="J71" s="803" t="str">
        <f>IF(obp!J28="","",obp!J28)</f>
        <v/>
      </c>
      <c r="K71" s="413"/>
      <c r="L71" s="1207">
        <f>IF(obp!L28="",0,obp!L28)</f>
        <v>0</v>
      </c>
      <c r="M71" s="1207">
        <f>IF(obp!M28="",0,obp!M28)</f>
        <v>0</v>
      </c>
      <c r="N71" s="1209" t="str">
        <f t="shared" si="34"/>
        <v/>
      </c>
      <c r="O71" s="1209"/>
      <c r="P71" s="1283" t="str">
        <f t="shared" si="35"/>
        <v/>
      </c>
      <c r="Q71" s="518"/>
      <c r="R71" s="1076" t="str">
        <f t="shared" si="36"/>
        <v/>
      </c>
      <c r="S71" s="1076" t="str">
        <f t="shared" si="37"/>
        <v/>
      </c>
      <c r="T71" s="1078" t="str">
        <f t="shared" si="38"/>
        <v/>
      </c>
      <c r="U71" s="599"/>
      <c r="V71" s="804"/>
      <c r="W71" s="1110"/>
      <c r="X71" s="1218"/>
      <c r="Y71" s="1253" t="e">
        <f>ROUND(VLOOKUP(H71,tab!$A$61:$V$103,I71+2,FALSE),0)</f>
        <v>#VALUE!</v>
      </c>
      <c r="Z71" s="1252">
        <f>tab!$E$48</f>
        <v>0.62</v>
      </c>
      <c r="AA71" s="1284" t="e">
        <f t="shared" si="39"/>
        <v>#VALUE!</v>
      </c>
      <c r="AB71" s="1284" t="e">
        <f t="shared" si="40"/>
        <v>#VALUE!</v>
      </c>
      <c r="AC71" s="1284" t="e">
        <f t="shared" si="41"/>
        <v>#VALUE!</v>
      </c>
      <c r="AD71" s="1286" t="e">
        <f t="shared" si="42"/>
        <v>#VALUE!</v>
      </c>
      <c r="AE71" s="1286">
        <f t="shared" si="43"/>
        <v>0</v>
      </c>
      <c r="AF71" s="1254">
        <f>IF(H71&gt;8,tab!$D$49,tab!$D$52)</f>
        <v>0.5</v>
      </c>
      <c r="AG71" s="1255">
        <f t="shared" si="32"/>
        <v>0</v>
      </c>
      <c r="AH71" s="1251">
        <f t="shared" si="33"/>
        <v>0</v>
      </c>
      <c r="AK71" s="198"/>
    </row>
    <row r="72" spans="2:37" x14ac:dyDescent="0.2">
      <c r="B72" s="67"/>
      <c r="C72" s="126"/>
      <c r="D72" s="396" t="str">
        <f>IF(obp!D29="","",obp!D29)</f>
        <v/>
      </c>
      <c r="E72" s="432" t="str">
        <f>IF(obp!E29="","",obp!E29)</f>
        <v/>
      </c>
      <c r="F72" s="776" t="str">
        <f>IF(obp!F29="","",obp!F29+1)</f>
        <v/>
      </c>
      <c r="G72" s="802" t="str">
        <f>IF(obp!G29="","",obp!G29)</f>
        <v/>
      </c>
      <c r="H72" s="776" t="str">
        <f>IF(obp!H29=0,"",obp!H29)</f>
        <v/>
      </c>
      <c r="I72" s="433" t="str">
        <f>IF(J72="","",(IF(obp!I29+1&gt;LOOKUP(H72,schaal2013,regels2013),obp!I29,obp!I29+1)))</f>
        <v/>
      </c>
      <c r="J72" s="803" t="str">
        <f>IF(obp!J29="","",obp!J29)</f>
        <v/>
      </c>
      <c r="K72" s="413"/>
      <c r="L72" s="1207">
        <f>IF(obp!L29="",0,obp!L29)</f>
        <v>0</v>
      </c>
      <c r="M72" s="1207">
        <f>IF(obp!M29="",0,obp!M29)</f>
        <v>0</v>
      </c>
      <c r="N72" s="1209" t="str">
        <f t="shared" si="34"/>
        <v/>
      </c>
      <c r="O72" s="1209"/>
      <c r="P72" s="1283" t="str">
        <f t="shared" si="35"/>
        <v/>
      </c>
      <c r="Q72" s="518"/>
      <c r="R72" s="1076" t="str">
        <f t="shared" si="36"/>
        <v/>
      </c>
      <c r="S72" s="1076" t="str">
        <f t="shared" si="37"/>
        <v/>
      </c>
      <c r="T72" s="1078" t="str">
        <f t="shared" si="38"/>
        <v/>
      </c>
      <c r="U72" s="599"/>
      <c r="V72" s="804"/>
      <c r="W72" s="1110"/>
      <c r="X72" s="1218"/>
      <c r="Y72" s="1253" t="e">
        <f>ROUND(VLOOKUP(H72,tab!$A$61:$V$103,I72+2,FALSE),0)</f>
        <v>#VALUE!</v>
      </c>
      <c r="Z72" s="1252">
        <f>tab!$E$48</f>
        <v>0.62</v>
      </c>
      <c r="AA72" s="1284" t="e">
        <f t="shared" si="39"/>
        <v>#VALUE!</v>
      </c>
      <c r="AB72" s="1284" t="e">
        <f t="shared" si="40"/>
        <v>#VALUE!</v>
      </c>
      <c r="AC72" s="1284" t="e">
        <f t="shared" si="41"/>
        <v>#VALUE!</v>
      </c>
      <c r="AD72" s="1286" t="e">
        <f t="shared" si="42"/>
        <v>#VALUE!</v>
      </c>
      <c r="AE72" s="1286">
        <f t="shared" si="43"/>
        <v>0</v>
      </c>
      <c r="AF72" s="1254">
        <f>IF(H72&gt;8,tab!$D$49,tab!$D$52)</f>
        <v>0.5</v>
      </c>
      <c r="AG72" s="1255">
        <f t="shared" si="32"/>
        <v>0</v>
      </c>
      <c r="AH72" s="1251">
        <f t="shared" si="33"/>
        <v>0</v>
      </c>
      <c r="AK72" s="198"/>
    </row>
    <row r="73" spans="2:37" x14ac:dyDescent="0.2">
      <c r="B73" s="67"/>
      <c r="C73" s="126"/>
      <c r="D73" s="396" t="str">
        <f>IF(obp!D30="","",obp!D30)</f>
        <v/>
      </c>
      <c r="E73" s="432" t="str">
        <f>IF(obp!E30="","",obp!E30)</f>
        <v/>
      </c>
      <c r="F73" s="776" t="str">
        <f>IF(obp!F30="","",obp!F30+1)</f>
        <v/>
      </c>
      <c r="G73" s="802" t="str">
        <f>IF(obp!G30="","",obp!G30)</f>
        <v/>
      </c>
      <c r="H73" s="776" t="str">
        <f>IF(obp!H30=0,"",obp!H30)</f>
        <v/>
      </c>
      <c r="I73" s="433" t="str">
        <f>IF(J73="","",(IF(obp!I30+1&gt;LOOKUP(H73,schaal2013,regels2013),obp!I30,obp!I30+1)))</f>
        <v/>
      </c>
      <c r="J73" s="803" t="str">
        <f>IF(obp!J30="","",obp!J30)</f>
        <v/>
      </c>
      <c r="K73" s="413"/>
      <c r="L73" s="1207">
        <f>IF(obp!L30="",0,obp!L30)</f>
        <v>0</v>
      </c>
      <c r="M73" s="1207">
        <f>IF(obp!M30="",0,obp!M30)</f>
        <v>0</v>
      </c>
      <c r="N73" s="1209" t="str">
        <f t="shared" si="34"/>
        <v/>
      </c>
      <c r="O73" s="1209"/>
      <c r="P73" s="1283" t="str">
        <f t="shared" si="35"/>
        <v/>
      </c>
      <c r="Q73" s="518"/>
      <c r="R73" s="1076" t="str">
        <f t="shared" si="36"/>
        <v/>
      </c>
      <c r="S73" s="1076" t="str">
        <f t="shared" si="37"/>
        <v/>
      </c>
      <c r="T73" s="1078" t="str">
        <f t="shared" si="38"/>
        <v/>
      </c>
      <c r="U73" s="599"/>
      <c r="V73" s="804"/>
      <c r="W73" s="1110"/>
      <c r="X73" s="1218"/>
      <c r="Y73" s="1253" t="e">
        <f>ROUND(VLOOKUP(H73,tab!$A$61:$V$103,I73+2,FALSE),0)</f>
        <v>#VALUE!</v>
      </c>
      <c r="Z73" s="1252">
        <f>tab!$E$48</f>
        <v>0.62</v>
      </c>
      <c r="AA73" s="1284" t="e">
        <f t="shared" si="39"/>
        <v>#VALUE!</v>
      </c>
      <c r="AB73" s="1284" t="e">
        <f t="shared" si="40"/>
        <v>#VALUE!</v>
      </c>
      <c r="AC73" s="1284" t="e">
        <f t="shared" si="41"/>
        <v>#VALUE!</v>
      </c>
      <c r="AD73" s="1286" t="e">
        <f t="shared" si="42"/>
        <v>#VALUE!</v>
      </c>
      <c r="AE73" s="1286">
        <f t="shared" si="43"/>
        <v>0</v>
      </c>
      <c r="AF73" s="1254">
        <f>IF(H73&gt;8,tab!$D$49,tab!$D$52)</f>
        <v>0.5</v>
      </c>
      <c r="AG73" s="1255">
        <f t="shared" si="32"/>
        <v>0</v>
      </c>
      <c r="AH73" s="1251">
        <f t="shared" si="33"/>
        <v>0</v>
      </c>
      <c r="AK73" s="198"/>
    </row>
    <row r="74" spans="2:37" x14ac:dyDescent="0.2">
      <c r="B74" s="67"/>
      <c r="C74" s="126"/>
      <c r="D74" s="396" t="str">
        <f>IF(obp!D31="","",obp!D31)</f>
        <v/>
      </c>
      <c r="E74" s="432" t="str">
        <f>IF(obp!E31="","",obp!E31)</f>
        <v/>
      </c>
      <c r="F74" s="776" t="str">
        <f>IF(obp!F31="","",obp!F31+1)</f>
        <v/>
      </c>
      <c r="G74" s="802" t="str">
        <f>IF(obp!G31="","",obp!G31)</f>
        <v/>
      </c>
      <c r="H74" s="776" t="str">
        <f>IF(obp!H31=0,"",obp!H31)</f>
        <v/>
      </c>
      <c r="I74" s="433" t="str">
        <f>IF(J74="","",(IF(obp!I31+1&gt;LOOKUP(H74,schaal2013,regels2013),obp!I31,obp!I31+1)))</f>
        <v/>
      </c>
      <c r="J74" s="803" t="str">
        <f>IF(obp!J31="","",obp!J31)</f>
        <v/>
      </c>
      <c r="K74" s="413"/>
      <c r="L74" s="1207">
        <f>IF(obp!L31="",0,obp!L31)</f>
        <v>0</v>
      </c>
      <c r="M74" s="1207">
        <f>IF(obp!M31="",0,obp!M31)</f>
        <v>0</v>
      </c>
      <c r="N74" s="1209" t="str">
        <f t="shared" si="34"/>
        <v/>
      </c>
      <c r="O74" s="1209"/>
      <c r="P74" s="1283" t="str">
        <f t="shared" si="35"/>
        <v/>
      </c>
      <c r="Q74" s="518"/>
      <c r="R74" s="1076" t="str">
        <f t="shared" si="36"/>
        <v/>
      </c>
      <c r="S74" s="1076" t="str">
        <f t="shared" si="37"/>
        <v/>
      </c>
      <c r="T74" s="1078" t="str">
        <f t="shared" si="38"/>
        <v/>
      </c>
      <c r="U74" s="599"/>
      <c r="V74" s="804"/>
      <c r="W74" s="1110"/>
      <c r="X74" s="1218"/>
      <c r="Y74" s="1253" t="e">
        <f>ROUND(VLOOKUP(H74,tab!$A$61:$V$103,I74+2,FALSE),0)</f>
        <v>#VALUE!</v>
      </c>
      <c r="Z74" s="1252">
        <f>tab!$E$48</f>
        <v>0.62</v>
      </c>
      <c r="AA74" s="1284" t="e">
        <f t="shared" si="39"/>
        <v>#VALUE!</v>
      </c>
      <c r="AB74" s="1284" t="e">
        <f t="shared" si="40"/>
        <v>#VALUE!</v>
      </c>
      <c r="AC74" s="1284" t="e">
        <f t="shared" si="41"/>
        <v>#VALUE!</v>
      </c>
      <c r="AD74" s="1286" t="e">
        <f t="shared" si="42"/>
        <v>#VALUE!</v>
      </c>
      <c r="AE74" s="1286">
        <f t="shared" si="43"/>
        <v>0</v>
      </c>
      <c r="AF74" s="1254">
        <f>IF(H74&gt;8,tab!$D$49,tab!$D$52)</f>
        <v>0.5</v>
      </c>
      <c r="AG74" s="1255">
        <f t="shared" si="32"/>
        <v>0</v>
      </c>
      <c r="AH74" s="1251">
        <f t="shared" si="33"/>
        <v>0</v>
      </c>
      <c r="AK74" s="198"/>
    </row>
    <row r="75" spans="2:37" x14ac:dyDescent="0.2">
      <c r="B75" s="67"/>
      <c r="C75" s="126"/>
      <c r="D75" s="396" t="str">
        <f>IF(obp!D32="","",obp!D32)</f>
        <v/>
      </c>
      <c r="E75" s="432" t="str">
        <f>IF(obp!E32="","",obp!E32)</f>
        <v/>
      </c>
      <c r="F75" s="776" t="str">
        <f>IF(obp!F32="","",obp!F32+1)</f>
        <v/>
      </c>
      <c r="G75" s="802" t="str">
        <f>IF(obp!G32="","",obp!G32)</f>
        <v/>
      </c>
      <c r="H75" s="776" t="str">
        <f>IF(obp!H32=0,"",obp!H32)</f>
        <v/>
      </c>
      <c r="I75" s="433" t="str">
        <f>IF(J75="","",(IF(obp!I32+1&gt;LOOKUP(H75,schaal2013,regels2013),obp!I32,obp!I32+1)))</f>
        <v/>
      </c>
      <c r="J75" s="803" t="str">
        <f>IF(obp!J32="","",obp!J32)</f>
        <v/>
      </c>
      <c r="K75" s="413"/>
      <c r="L75" s="1207">
        <f>IF(obp!L32="",0,obp!L32)</f>
        <v>0</v>
      </c>
      <c r="M75" s="1207">
        <f>IF(obp!M32="",0,obp!M32)</f>
        <v>0</v>
      </c>
      <c r="N75" s="1209" t="str">
        <f t="shared" si="34"/>
        <v/>
      </c>
      <c r="O75" s="1209"/>
      <c r="P75" s="1283" t="str">
        <f t="shared" si="35"/>
        <v/>
      </c>
      <c r="Q75" s="518"/>
      <c r="R75" s="1076" t="str">
        <f t="shared" si="36"/>
        <v/>
      </c>
      <c r="S75" s="1076" t="str">
        <f t="shared" si="37"/>
        <v/>
      </c>
      <c r="T75" s="1078" t="str">
        <f t="shared" si="38"/>
        <v/>
      </c>
      <c r="U75" s="599"/>
      <c r="V75" s="804"/>
      <c r="W75" s="1110"/>
      <c r="X75" s="1218"/>
      <c r="Y75" s="1253" t="e">
        <f>ROUND(VLOOKUP(H75,tab!$A$61:$V$103,I75+2,FALSE),0)</f>
        <v>#VALUE!</v>
      </c>
      <c r="Z75" s="1252">
        <f>tab!$E$48</f>
        <v>0.62</v>
      </c>
      <c r="AA75" s="1284" t="e">
        <f t="shared" si="39"/>
        <v>#VALUE!</v>
      </c>
      <c r="AB75" s="1284" t="e">
        <f t="shared" si="40"/>
        <v>#VALUE!</v>
      </c>
      <c r="AC75" s="1284" t="e">
        <f t="shared" si="41"/>
        <v>#VALUE!</v>
      </c>
      <c r="AD75" s="1286" t="e">
        <f t="shared" si="42"/>
        <v>#VALUE!</v>
      </c>
      <c r="AE75" s="1286">
        <f t="shared" si="43"/>
        <v>0</v>
      </c>
      <c r="AF75" s="1254">
        <f>IF(H75&gt;8,tab!$D$49,tab!$D$52)</f>
        <v>0.5</v>
      </c>
      <c r="AG75" s="1255">
        <f t="shared" si="32"/>
        <v>0</v>
      </c>
      <c r="AH75" s="1251">
        <f t="shared" si="33"/>
        <v>0</v>
      </c>
      <c r="AK75" s="198"/>
    </row>
    <row r="76" spans="2:37" x14ac:dyDescent="0.2">
      <c r="B76" s="67"/>
      <c r="C76" s="126"/>
      <c r="D76" s="396" t="str">
        <f>IF(obp!D33="","",obp!D33)</f>
        <v/>
      </c>
      <c r="E76" s="432" t="str">
        <f>IF(obp!E33="","",obp!E33)</f>
        <v/>
      </c>
      <c r="F76" s="776" t="str">
        <f>IF(obp!F33="","",obp!F33+1)</f>
        <v/>
      </c>
      <c r="G76" s="802" t="str">
        <f>IF(obp!G33="","",obp!G33)</f>
        <v/>
      </c>
      <c r="H76" s="776" t="str">
        <f>IF(obp!H33=0,"",obp!H33)</f>
        <v/>
      </c>
      <c r="I76" s="433" t="str">
        <f>IF(J76="","",(IF(obp!I33+1&gt;LOOKUP(H76,schaal2013,regels2013),obp!I33,obp!I33+1)))</f>
        <v/>
      </c>
      <c r="J76" s="803" t="str">
        <f>IF(obp!J33="","",obp!J33)</f>
        <v/>
      </c>
      <c r="K76" s="413"/>
      <c r="L76" s="1207">
        <f>IF(obp!L33="",0,obp!L33)</f>
        <v>0</v>
      </c>
      <c r="M76" s="1207">
        <f>IF(obp!M33="",0,obp!M33)</f>
        <v>0</v>
      </c>
      <c r="N76" s="1209" t="str">
        <f t="shared" si="34"/>
        <v/>
      </c>
      <c r="O76" s="1209"/>
      <c r="P76" s="1283" t="str">
        <f t="shared" si="35"/>
        <v/>
      </c>
      <c r="Q76" s="518"/>
      <c r="R76" s="1076" t="str">
        <f t="shared" si="36"/>
        <v/>
      </c>
      <c r="S76" s="1076" t="str">
        <f t="shared" si="37"/>
        <v/>
      </c>
      <c r="T76" s="1078" t="str">
        <f t="shared" si="38"/>
        <v/>
      </c>
      <c r="U76" s="599"/>
      <c r="V76" s="804"/>
      <c r="W76" s="1110"/>
      <c r="X76" s="1218"/>
      <c r="Y76" s="1253" t="e">
        <f>ROUND(VLOOKUP(H76,tab!$A$61:$V$103,I76+2,FALSE),0)</f>
        <v>#VALUE!</v>
      </c>
      <c r="Z76" s="1252">
        <f>tab!$E$48</f>
        <v>0.62</v>
      </c>
      <c r="AA76" s="1284" t="e">
        <f t="shared" si="39"/>
        <v>#VALUE!</v>
      </c>
      <c r="AB76" s="1284" t="e">
        <f t="shared" si="40"/>
        <v>#VALUE!</v>
      </c>
      <c r="AC76" s="1284" t="e">
        <f t="shared" si="41"/>
        <v>#VALUE!</v>
      </c>
      <c r="AD76" s="1286" t="e">
        <f t="shared" si="42"/>
        <v>#VALUE!</v>
      </c>
      <c r="AE76" s="1286">
        <f t="shared" si="43"/>
        <v>0</v>
      </c>
      <c r="AF76" s="1254">
        <f>IF(H76&gt;8,tab!$D$49,tab!$D$52)</f>
        <v>0.5</v>
      </c>
      <c r="AG76" s="1255">
        <f t="shared" si="32"/>
        <v>0</v>
      </c>
      <c r="AH76" s="1251">
        <f t="shared" si="33"/>
        <v>0</v>
      </c>
      <c r="AK76" s="198"/>
    </row>
    <row r="77" spans="2:37" x14ac:dyDescent="0.2">
      <c r="B77" s="67"/>
      <c r="C77" s="126"/>
      <c r="D77" s="396" t="str">
        <f>IF(obp!D34="","",obp!D34)</f>
        <v/>
      </c>
      <c r="E77" s="432" t="str">
        <f>IF(obp!E34="","",obp!E34)</f>
        <v/>
      </c>
      <c r="F77" s="117" t="str">
        <f>IF(obp!F34="","",obp!F34+1)</f>
        <v/>
      </c>
      <c r="G77" s="397" t="str">
        <f>IF(obp!G34="","",obp!G34)</f>
        <v/>
      </c>
      <c r="H77" s="776" t="str">
        <f>IF(obp!H34=0,"",obp!H34)</f>
        <v/>
      </c>
      <c r="I77" s="433" t="str">
        <f>IF(J77="","",(IF(obp!I34+1&gt;LOOKUP(H77,schaal2013,regels2013),obp!I34,obp!I34+1)))</f>
        <v/>
      </c>
      <c r="J77" s="399" t="str">
        <f>IF(obp!J34="","",obp!J34)</f>
        <v/>
      </c>
      <c r="K77" s="413"/>
      <c r="L77" s="1207">
        <f>IF(obp!L34="",0,obp!L34)</f>
        <v>0</v>
      </c>
      <c r="M77" s="1207">
        <f>IF(obp!M34="",0,obp!M34)</f>
        <v>0</v>
      </c>
      <c r="N77" s="1209" t="str">
        <f t="shared" si="34"/>
        <v/>
      </c>
      <c r="O77" s="1209"/>
      <c r="P77" s="1283" t="str">
        <f t="shared" si="35"/>
        <v/>
      </c>
      <c r="Q77" s="518"/>
      <c r="R77" s="1076" t="str">
        <f t="shared" si="36"/>
        <v/>
      </c>
      <c r="S77" s="1076" t="str">
        <f t="shared" si="37"/>
        <v/>
      </c>
      <c r="T77" s="1078" t="str">
        <f t="shared" si="38"/>
        <v/>
      </c>
      <c r="U77" s="599"/>
      <c r="V77" s="804"/>
      <c r="W77" s="1110"/>
      <c r="X77" s="1218"/>
      <c r="Y77" s="1253" t="e">
        <f>ROUND(VLOOKUP(H77,tab!$A$61:$V$103,I77+2,FALSE),0)</f>
        <v>#VALUE!</v>
      </c>
      <c r="Z77" s="1252">
        <f>tab!$E$48</f>
        <v>0.62</v>
      </c>
      <c r="AA77" s="1284" t="e">
        <f t="shared" si="39"/>
        <v>#VALUE!</v>
      </c>
      <c r="AB77" s="1284" t="e">
        <f t="shared" si="40"/>
        <v>#VALUE!</v>
      </c>
      <c r="AC77" s="1284" t="e">
        <f t="shared" si="41"/>
        <v>#VALUE!</v>
      </c>
      <c r="AD77" s="1286" t="e">
        <f t="shared" si="42"/>
        <v>#VALUE!</v>
      </c>
      <c r="AE77" s="1286">
        <f t="shared" si="43"/>
        <v>0</v>
      </c>
      <c r="AF77" s="1254">
        <f>IF(H77&gt;8,tab!$D$49,tab!$D$52)</f>
        <v>0.5</v>
      </c>
      <c r="AG77" s="1255">
        <f t="shared" si="32"/>
        <v>0</v>
      </c>
      <c r="AH77" s="1251">
        <f t="shared" si="33"/>
        <v>0</v>
      </c>
      <c r="AK77" s="198"/>
    </row>
    <row r="78" spans="2:37" x14ac:dyDescent="0.2">
      <c r="B78" s="67"/>
      <c r="C78" s="126"/>
      <c r="D78" s="396" t="str">
        <f>IF(obp!D35="","",obp!D35)</f>
        <v/>
      </c>
      <c r="E78" s="432" t="str">
        <f>IF(obp!E35="","",obp!E35)</f>
        <v/>
      </c>
      <c r="F78" s="117" t="str">
        <f>IF(obp!F35="","",obp!F35+1)</f>
        <v/>
      </c>
      <c r="G78" s="397" t="str">
        <f>IF(obp!G35="","",obp!G35)</f>
        <v/>
      </c>
      <c r="H78" s="776" t="str">
        <f>IF(obp!H35=0,"",obp!H35)</f>
        <v/>
      </c>
      <c r="I78" s="433" t="str">
        <f>IF(J78="","",(IF(obp!I35+1&gt;LOOKUP(H78,schaal2013,regels2013),obp!I35,obp!I35+1)))</f>
        <v/>
      </c>
      <c r="J78" s="399" t="str">
        <f>IF(obp!J35="","",obp!J35)</f>
        <v/>
      </c>
      <c r="K78" s="413"/>
      <c r="L78" s="1207">
        <f>IF(obp!L35="",0,obp!L35)</f>
        <v>0</v>
      </c>
      <c r="M78" s="1207">
        <f>IF(obp!M35="",0,obp!M35)</f>
        <v>0</v>
      </c>
      <c r="N78" s="1209" t="str">
        <f t="shared" si="34"/>
        <v/>
      </c>
      <c r="O78" s="1209"/>
      <c r="P78" s="1283" t="str">
        <f t="shared" si="35"/>
        <v/>
      </c>
      <c r="Q78" s="518"/>
      <c r="R78" s="1076" t="str">
        <f t="shared" si="36"/>
        <v/>
      </c>
      <c r="S78" s="1076" t="str">
        <f t="shared" si="37"/>
        <v/>
      </c>
      <c r="T78" s="1078" t="str">
        <f t="shared" si="38"/>
        <v/>
      </c>
      <c r="U78" s="599"/>
      <c r="V78" s="804"/>
      <c r="W78" s="1110"/>
      <c r="X78" s="1218"/>
      <c r="Y78" s="1253" t="e">
        <f>ROUND(VLOOKUP(H78,tab!$A$61:$V$103,I78+2,FALSE),0)</f>
        <v>#VALUE!</v>
      </c>
      <c r="Z78" s="1252">
        <f>tab!$E$48</f>
        <v>0.62</v>
      </c>
      <c r="AA78" s="1284" t="e">
        <f t="shared" si="39"/>
        <v>#VALUE!</v>
      </c>
      <c r="AB78" s="1284" t="e">
        <f t="shared" si="40"/>
        <v>#VALUE!</v>
      </c>
      <c r="AC78" s="1284" t="e">
        <f t="shared" si="41"/>
        <v>#VALUE!</v>
      </c>
      <c r="AD78" s="1286" t="e">
        <f t="shared" si="42"/>
        <v>#VALUE!</v>
      </c>
      <c r="AE78" s="1286">
        <f t="shared" si="43"/>
        <v>0</v>
      </c>
      <c r="AF78" s="1254">
        <f>IF(H78&gt;8,tab!$D$49,tab!$D$52)</f>
        <v>0.5</v>
      </c>
      <c r="AG78" s="1255">
        <f t="shared" si="32"/>
        <v>0</v>
      </c>
      <c r="AH78" s="1251">
        <f t="shared" si="33"/>
        <v>0</v>
      </c>
      <c r="AK78" s="198"/>
    </row>
    <row r="79" spans="2:37" x14ac:dyDescent="0.2">
      <c r="B79" s="67"/>
      <c r="C79" s="126"/>
      <c r="D79" s="396" t="str">
        <f>IF(obp!D36="","",obp!D36)</f>
        <v/>
      </c>
      <c r="E79" s="432" t="str">
        <f>IF(obp!E36="","",obp!E36)</f>
        <v/>
      </c>
      <c r="F79" s="117" t="str">
        <f>IF(obp!F36="","",obp!F36+1)</f>
        <v/>
      </c>
      <c r="G79" s="397" t="str">
        <f>IF(obp!G36="","",obp!G36)</f>
        <v/>
      </c>
      <c r="H79" s="776" t="str">
        <f>IF(obp!H36=0,"",obp!H36)</f>
        <v/>
      </c>
      <c r="I79" s="433" t="str">
        <f>IF(J79="","",(IF(obp!I36+1&gt;LOOKUP(H79,schaal2013,regels2013),obp!I36,obp!I36+1)))</f>
        <v/>
      </c>
      <c r="J79" s="399" t="str">
        <f>IF(obp!J36="","",obp!J36)</f>
        <v/>
      </c>
      <c r="K79" s="413"/>
      <c r="L79" s="1207">
        <f>IF(obp!L36="",0,obp!L36)</f>
        <v>0</v>
      </c>
      <c r="M79" s="1207">
        <f>IF(obp!M36="",0,obp!M36)</f>
        <v>0</v>
      </c>
      <c r="N79" s="1209" t="str">
        <f t="shared" si="34"/>
        <v/>
      </c>
      <c r="O79" s="1209"/>
      <c r="P79" s="1283" t="str">
        <f t="shared" si="35"/>
        <v/>
      </c>
      <c r="Q79" s="518"/>
      <c r="R79" s="1076" t="str">
        <f t="shared" si="36"/>
        <v/>
      </c>
      <c r="S79" s="1076" t="str">
        <f t="shared" si="37"/>
        <v/>
      </c>
      <c r="T79" s="1078" t="str">
        <f t="shared" si="38"/>
        <v/>
      </c>
      <c r="U79" s="599"/>
      <c r="V79" s="804"/>
      <c r="W79" s="1110"/>
      <c r="X79" s="1218"/>
      <c r="Y79" s="1253" t="e">
        <f>ROUND(VLOOKUP(H79,tab!$A$61:$V$103,I79+2,FALSE),0)</f>
        <v>#VALUE!</v>
      </c>
      <c r="Z79" s="1252">
        <f>tab!$E$48</f>
        <v>0.62</v>
      </c>
      <c r="AA79" s="1284" t="e">
        <f t="shared" si="39"/>
        <v>#VALUE!</v>
      </c>
      <c r="AB79" s="1284" t="e">
        <f t="shared" si="40"/>
        <v>#VALUE!</v>
      </c>
      <c r="AC79" s="1284" t="e">
        <f t="shared" si="41"/>
        <v>#VALUE!</v>
      </c>
      <c r="AD79" s="1286" t="e">
        <f t="shared" si="42"/>
        <v>#VALUE!</v>
      </c>
      <c r="AE79" s="1286">
        <f t="shared" si="43"/>
        <v>0</v>
      </c>
      <c r="AF79" s="1254">
        <f>IF(H79&gt;8,tab!$D$49,tab!$D$52)</f>
        <v>0.5</v>
      </c>
      <c r="AG79" s="1255">
        <f t="shared" si="32"/>
        <v>0</v>
      </c>
      <c r="AH79" s="1251">
        <f t="shared" si="33"/>
        <v>0</v>
      </c>
      <c r="AK79" s="198"/>
    </row>
    <row r="80" spans="2:37" x14ac:dyDescent="0.2">
      <c r="B80" s="67"/>
      <c r="C80" s="126"/>
      <c r="D80" s="396" t="str">
        <f>IF(obp!D37="","",obp!D37)</f>
        <v/>
      </c>
      <c r="E80" s="432" t="str">
        <f>IF(obp!E37="","",obp!E37)</f>
        <v/>
      </c>
      <c r="F80" s="117" t="str">
        <f>IF(obp!F37="","",obp!F37+1)</f>
        <v/>
      </c>
      <c r="G80" s="397" t="str">
        <f>IF(obp!G37="","",obp!G37)</f>
        <v/>
      </c>
      <c r="H80" s="776" t="str">
        <f>IF(obp!H37=0,"",obp!H37)</f>
        <v/>
      </c>
      <c r="I80" s="433" t="str">
        <f>IF(J80="","",(IF(obp!I37+1&gt;LOOKUP(H80,schaal2013,regels2013),obp!I37,obp!I37+1)))</f>
        <v/>
      </c>
      <c r="J80" s="399" t="str">
        <f>IF(obp!J37="","",obp!J37)</f>
        <v/>
      </c>
      <c r="K80" s="413"/>
      <c r="L80" s="1207">
        <f>IF(obp!L37="",0,obp!L37)</f>
        <v>0</v>
      </c>
      <c r="M80" s="1207">
        <f>IF(obp!M37="",0,obp!M37)</f>
        <v>0</v>
      </c>
      <c r="N80" s="1209" t="str">
        <f t="shared" si="34"/>
        <v/>
      </c>
      <c r="O80" s="1209"/>
      <c r="P80" s="1283" t="str">
        <f t="shared" si="35"/>
        <v/>
      </c>
      <c r="Q80" s="518"/>
      <c r="R80" s="1076" t="str">
        <f t="shared" si="36"/>
        <v/>
      </c>
      <c r="S80" s="1076" t="str">
        <f t="shared" si="37"/>
        <v/>
      </c>
      <c r="T80" s="1078" t="str">
        <f t="shared" si="38"/>
        <v/>
      </c>
      <c r="U80" s="599"/>
      <c r="V80" s="804"/>
      <c r="W80" s="1110"/>
      <c r="X80" s="1218"/>
      <c r="Y80" s="1253" t="e">
        <f>ROUND(VLOOKUP(H80,tab!$A$61:$V$103,I80+2,FALSE),0)</f>
        <v>#VALUE!</v>
      </c>
      <c r="Z80" s="1252">
        <f>tab!$E$48</f>
        <v>0.62</v>
      </c>
      <c r="AA80" s="1284" t="e">
        <f t="shared" si="39"/>
        <v>#VALUE!</v>
      </c>
      <c r="AB80" s="1284" t="e">
        <f t="shared" si="40"/>
        <v>#VALUE!</v>
      </c>
      <c r="AC80" s="1284" t="e">
        <f t="shared" si="41"/>
        <v>#VALUE!</v>
      </c>
      <c r="AD80" s="1286" t="e">
        <f t="shared" si="42"/>
        <v>#VALUE!</v>
      </c>
      <c r="AE80" s="1286">
        <f t="shared" si="43"/>
        <v>0</v>
      </c>
      <c r="AF80" s="1254">
        <f>IF(H80&gt;8,tab!$D$49,tab!$D$52)</f>
        <v>0.5</v>
      </c>
      <c r="AG80" s="1255">
        <f t="shared" si="32"/>
        <v>0</v>
      </c>
      <c r="AH80" s="1251">
        <f t="shared" si="33"/>
        <v>0</v>
      </c>
      <c r="AK80" s="198"/>
    </row>
    <row r="81" spans="2:37" x14ac:dyDescent="0.2">
      <c r="B81" s="67"/>
      <c r="C81" s="126"/>
      <c r="D81" s="396" t="str">
        <f>IF(obp!D38="","",obp!D38)</f>
        <v/>
      </c>
      <c r="E81" s="432" t="str">
        <f>IF(obp!E38="","",obp!E38)</f>
        <v/>
      </c>
      <c r="F81" s="117" t="str">
        <f>IF(obp!F38="","",obp!F38+1)</f>
        <v/>
      </c>
      <c r="G81" s="397" t="str">
        <f>IF(obp!G38="","",obp!G38)</f>
        <v/>
      </c>
      <c r="H81" s="776" t="str">
        <f>IF(obp!H38=0,"",obp!H38)</f>
        <v/>
      </c>
      <c r="I81" s="433" t="str">
        <f>IF(J81="","",(IF(obp!I38+1&gt;LOOKUP(H81,schaal2013,regels2013),obp!I38,obp!I38+1)))</f>
        <v/>
      </c>
      <c r="J81" s="399" t="str">
        <f>IF(obp!J38="","",obp!J38)</f>
        <v/>
      </c>
      <c r="K81" s="413"/>
      <c r="L81" s="1207">
        <f>IF(obp!L38="",0,obp!L38)</f>
        <v>0</v>
      </c>
      <c r="M81" s="1207">
        <f>IF(obp!M38="",0,obp!M38)</f>
        <v>0</v>
      </c>
      <c r="N81" s="1209" t="str">
        <f t="shared" si="34"/>
        <v/>
      </c>
      <c r="O81" s="1209"/>
      <c r="P81" s="1283" t="str">
        <f t="shared" si="35"/>
        <v/>
      </c>
      <c r="Q81" s="518"/>
      <c r="R81" s="1076" t="str">
        <f t="shared" si="36"/>
        <v/>
      </c>
      <c r="S81" s="1076" t="str">
        <f t="shared" si="37"/>
        <v/>
      </c>
      <c r="T81" s="1078" t="str">
        <f t="shared" si="38"/>
        <v/>
      </c>
      <c r="U81" s="599"/>
      <c r="V81" s="804"/>
      <c r="W81" s="1110"/>
      <c r="X81" s="1218"/>
      <c r="Y81" s="1253" t="e">
        <f>ROUND(VLOOKUP(H81,tab!$A$61:$V$103,I81+2,FALSE),0)</f>
        <v>#VALUE!</v>
      </c>
      <c r="Z81" s="1252">
        <f>tab!$E$48</f>
        <v>0.62</v>
      </c>
      <c r="AA81" s="1284" t="e">
        <f t="shared" si="39"/>
        <v>#VALUE!</v>
      </c>
      <c r="AB81" s="1284" t="e">
        <f t="shared" si="40"/>
        <v>#VALUE!</v>
      </c>
      <c r="AC81" s="1284" t="e">
        <f t="shared" si="41"/>
        <v>#VALUE!</v>
      </c>
      <c r="AD81" s="1286" t="e">
        <f t="shared" si="42"/>
        <v>#VALUE!</v>
      </c>
      <c r="AE81" s="1286">
        <f t="shared" si="43"/>
        <v>0</v>
      </c>
      <c r="AF81" s="1254">
        <f>IF(H81&gt;8,tab!$D$49,tab!$D$52)</f>
        <v>0.5</v>
      </c>
      <c r="AG81" s="1255">
        <f t="shared" si="32"/>
        <v>0</v>
      </c>
      <c r="AH81" s="1251">
        <f t="shared" si="33"/>
        <v>0</v>
      </c>
      <c r="AK81" s="198"/>
    </row>
    <row r="82" spans="2:37" x14ac:dyDescent="0.2">
      <c r="B82" s="67"/>
      <c r="C82" s="126"/>
      <c r="D82" s="396" t="str">
        <f>IF(obp!D39="","",obp!D39)</f>
        <v/>
      </c>
      <c r="E82" s="432" t="str">
        <f>IF(obp!E39="","",obp!E39)</f>
        <v/>
      </c>
      <c r="F82" s="117" t="str">
        <f>IF(obp!F39="","",obp!F39+1)</f>
        <v/>
      </c>
      <c r="G82" s="397" t="str">
        <f>IF(obp!G39="","",obp!G39)</f>
        <v/>
      </c>
      <c r="H82" s="776" t="str">
        <f>IF(obp!H39=0,"",obp!H39)</f>
        <v/>
      </c>
      <c r="I82" s="433" t="str">
        <f>IF(J82="","",(IF(obp!I39+1&gt;LOOKUP(H82,schaal2013,regels2013),obp!I39,obp!I39+1)))</f>
        <v/>
      </c>
      <c r="J82" s="399" t="str">
        <f>IF(obp!J39="","",obp!J39)</f>
        <v/>
      </c>
      <c r="K82" s="413"/>
      <c r="L82" s="1207">
        <f>IF(obp!L39="",0,obp!L39)</f>
        <v>0</v>
      </c>
      <c r="M82" s="1207">
        <f>IF(obp!M39="",0,obp!M39)</f>
        <v>0</v>
      </c>
      <c r="N82" s="1209" t="str">
        <f t="shared" si="34"/>
        <v/>
      </c>
      <c r="O82" s="1209"/>
      <c r="P82" s="1283" t="str">
        <f t="shared" si="35"/>
        <v/>
      </c>
      <c r="Q82" s="518"/>
      <c r="R82" s="1076" t="str">
        <f t="shared" si="36"/>
        <v/>
      </c>
      <c r="S82" s="1076" t="str">
        <f t="shared" si="37"/>
        <v/>
      </c>
      <c r="T82" s="1078" t="str">
        <f t="shared" si="38"/>
        <v/>
      </c>
      <c r="U82" s="599"/>
      <c r="V82" s="804"/>
      <c r="W82" s="1110"/>
      <c r="X82" s="1218"/>
      <c r="Y82" s="1253" t="e">
        <f>ROUND(VLOOKUP(H82,tab!$A$61:$V$103,I82+2,FALSE),0)</f>
        <v>#VALUE!</v>
      </c>
      <c r="Z82" s="1252">
        <f>tab!$E$48</f>
        <v>0.62</v>
      </c>
      <c r="AA82" s="1284" t="e">
        <f t="shared" si="39"/>
        <v>#VALUE!</v>
      </c>
      <c r="AB82" s="1284" t="e">
        <f t="shared" si="40"/>
        <v>#VALUE!</v>
      </c>
      <c r="AC82" s="1284" t="e">
        <f t="shared" si="41"/>
        <v>#VALUE!</v>
      </c>
      <c r="AD82" s="1286" t="e">
        <f t="shared" si="42"/>
        <v>#VALUE!</v>
      </c>
      <c r="AE82" s="1286">
        <f t="shared" si="43"/>
        <v>0</v>
      </c>
      <c r="AF82" s="1254">
        <f>IF(H82&gt;8,tab!$D$49,tab!$D$52)</f>
        <v>0.5</v>
      </c>
      <c r="AG82" s="1255">
        <f t="shared" si="32"/>
        <v>0</v>
      </c>
      <c r="AH82" s="1251">
        <f t="shared" si="33"/>
        <v>0</v>
      </c>
      <c r="AK82" s="198"/>
    </row>
    <row r="83" spans="2:37" x14ac:dyDescent="0.2">
      <c r="B83" s="67"/>
      <c r="C83" s="126"/>
      <c r="D83" s="396" t="str">
        <f>IF(obp!D40="","",obp!D40)</f>
        <v/>
      </c>
      <c r="E83" s="432" t="str">
        <f>IF(obp!E40="","",obp!E40)</f>
        <v/>
      </c>
      <c r="F83" s="117" t="str">
        <f>IF(obp!F40="","",obp!F40+1)</f>
        <v/>
      </c>
      <c r="G83" s="397" t="str">
        <f>IF(obp!G40="","",obp!G40)</f>
        <v/>
      </c>
      <c r="H83" s="776" t="str">
        <f>IF(obp!H40=0,"",obp!H40)</f>
        <v/>
      </c>
      <c r="I83" s="433" t="str">
        <f>IF(J83="","",(IF(obp!I40+1&gt;LOOKUP(H83,schaal2013,regels2013),obp!I40,obp!I40+1)))</f>
        <v/>
      </c>
      <c r="J83" s="399" t="str">
        <f>IF(obp!J40="","",obp!J40)</f>
        <v/>
      </c>
      <c r="K83" s="413"/>
      <c r="L83" s="1207">
        <f>IF(obp!L40="",0,obp!L40)</f>
        <v>0</v>
      </c>
      <c r="M83" s="1207">
        <f>IF(obp!M40="",0,obp!M40)</f>
        <v>0</v>
      </c>
      <c r="N83" s="1209" t="str">
        <f t="shared" si="34"/>
        <v/>
      </c>
      <c r="O83" s="1209"/>
      <c r="P83" s="1283" t="str">
        <f t="shared" si="35"/>
        <v/>
      </c>
      <c r="Q83" s="518"/>
      <c r="R83" s="1076" t="str">
        <f t="shared" si="36"/>
        <v/>
      </c>
      <c r="S83" s="1076" t="str">
        <f t="shared" si="37"/>
        <v/>
      </c>
      <c r="T83" s="1078" t="str">
        <f t="shared" si="38"/>
        <v/>
      </c>
      <c r="U83" s="599"/>
      <c r="V83" s="804"/>
      <c r="W83" s="1110"/>
      <c r="X83" s="1218"/>
      <c r="Y83" s="1253" t="e">
        <f>ROUND(VLOOKUP(H83,tab!$A$61:$V$103,I83+2,FALSE),0)</f>
        <v>#VALUE!</v>
      </c>
      <c r="Z83" s="1252">
        <f>tab!$E$48</f>
        <v>0.62</v>
      </c>
      <c r="AA83" s="1284" t="e">
        <f t="shared" si="39"/>
        <v>#VALUE!</v>
      </c>
      <c r="AB83" s="1284" t="e">
        <f t="shared" si="40"/>
        <v>#VALUE!</v>
      </c>
      <c r="AC83" s="1284" t="e">
        <f t="shared" si="41"/>
        <v>#VALUE!</v>
      </c>
      <c r="AD83" s="1286" t="e">
        <f t="shared" si="42"/>
        <v>#VALUE!</v>
      </c>
      <c r="AE83" s="1286">
        <f t="shared" si="43"/>
        <v>0</v>
      </c>
      <c r="AF83" s="1254">
        <f>IF(H83&gt;8,tab!$D$49,tab!$D$52)</f>
        <v>0.5</v>
      </c>
      <c r="AG83" s="1255">
        <f t="shared" si="32"/>
        <v>0</v>
      </c>
      <c r="AH83" s="1251">
        <f t="shared" si="33"/>
        <v>0</v>
      </c>
      <c r="AK83" s="198"/>
    </row>
    <row r="84" spans="2:37" x14ac:dyDescent="0.2">
      <c r="B84" s="67"/>
      <c r="C84" s="126"/>
      <c r="D84" s="396" t="str">
        <f>IF(obp!D41="","",obp!D41)</f>
        <v/>
      </c>
      <c r="E84" s="432" t="str">
        <f>IF(obp!E41="","",obp!E41)</f>
        <v/>
      </c>
      <c r="F84" s="117" t="str">
        <f>IF(obp!F41="","",obp!F41+1)</f>
        <v/>
      </c>
      <c r="G84" s="397" t="str">
        <f>IF(obp!G41="","",obp!G41)</f>
        <v/>
      </c>
      <c r="H84" s="776" t="str">
        <f>IF(obp!H41=0,"",obp!H41)</f>
        <v/>
      </c>
      <c r="I84" s="433" t="str">
        <f>IF(J84="","",(IF(obp!I41+1&gt;LOOKUP(H84,schaal2013,regels2013),obp!I41,obp!I41+1)))</f>
        <v/>
      </c>
      <c r="J84" s="399" t="str">
        <f>IF(obp!J41="","",obp!J41)</f>
        <v/>
      </c>
      <c r="K84" s="413"/>
      <c r="L84" s="1207">
        <f>IF(obp!L41="",0,obp!L41)</f>
        <v>0</v>
      </c>
      <c r="M84" s="1207">
        <f>IF(obp!M41="",0,obp!M41)</f>
        <v>0</v>
      </c>
      <c r="N84" s="1209" t="str">
        <f t="shared" si="34"/>
        <v/>
      </c>
      <c r="O84" s="1209"/>
      <c r="P84" s="1283" t="str">
        <f t="shared" si="35"/>
        <v/>
      </c>
      <c r="Q84" s="518"/>
      <c r="R84" s="1076" t="str">
        <f t="shared" si="36"/>
        <v/>
      </c>
      <c r="S84" s="1076" t="str">
        <f t="shared" si="37"/>
        <v/>
      </c>
      <c r="T84" s="1078" t="str">
        <f t="shared" si="38"/>
        <v/>
      </c>
      <c r="U84" s="599"/>
      <c r="V84" s="804"/>
      <c r="W84" s="1110"/>
      <c r="X84" s="1218"/>
      <c r="Y84" s="1253" t="e">
        <f>ROUND(VLOOKUP(H84,tab!$A$61:$V$103,I84+2,FALSE),0)</f>
        <v>#VALUE!</v>
      </c>
      <c r="Z84" s="1252">
        <f>tab!$E$48</f>
        <v>0.62</v>
      </c>
      <c r="AA84" s="1284" t="e">
        <f t="shared" si="39"/>
        <v>#VALUE!</v>
      </c>
      <c r="AB84" s="1284" t="e">
        <f t="shared" si="40"/>
        <v>#VALUE!</v>
      </c>
      <c r="AC84" s="1284" t="e">
        <f t="shared" si="41"/>
        <v>#VALUE!</v>
      </c>
      <c r="AD84" s="1286" t="e">
        <f t="shared" si="42"/>
        <v>#VALUE!</v>
      </c>
      <c r="AE84" s="1286">
        <f t="shared" si="43"/>
        <v>0</v>
      </c>
      <c r="AF84" s="1254">
        <f>IF(H84&gt;8,tab!$D$49,tab!$D$52)</f>
        <v>0.5</v>
      </c>
      <c r="AG84" s="1255">
        <f t="shared" si="32"/>
        <v>0</v>
      </c>
      <c r="AH84" s="1251">
        <f t="shared" si="33"/>
        <v>0</v>
      </c>
      <c r="AK84" s="198"/>
    </row>
    <row r="85" spans="2:37" x14ac:dyDescent="0.2">
      <c r="B85" s="67"/>
      <c r="C85" s="126"/>
      <c r="D85" s="396" t="str">
        <f>IF(obp!D42="","",obp!D42)</f>
        <v/>
      </c>
      <c r="E85" s="432" t="str">
        <f>IF(obp!E42="","",obp!E42)</f>
        <v/>
      </c>
      <c r="F85" s="117" t="str">
        <f>IF(obp!F42="","",obp!F42+1)</f>
        <v/>
      </c>
      <c r="G85" s="397" t="str">
        <f>IF(obp!G42="","",obp!G42)</f>
        <v/>
      </c>
      <c r="H85" s="776" t="str">
        <f>IF(obp!H42=0,"",obp!H42)</f>
        <v/>
      </c>
      <c r="I85" s="433" t="str">
        <f>IF(J85="","",(IF(obp!I42+1&gt;LOOKUP(H85,schaal2013,regels2013),obp!I42,obp!I42+1)))</f>
        <v/>
      </c>
      <c r="J85" s="399" t="str">
        <f>IF(obp!J42="","",obp!J42)</f>
        <v/>
      </c>
      <c r="K85" s="413"/>
      <c r="L85" s="1207">
        <f>IF(obp!L42="",0,obp!L42)</f>
        <v>0</v>
      </c>
      <c r="M85" s="1207">
        <f>IF(obp!M42="",0,obp!M42)</f>
        <v>0</v>
      </c>
      <c r="N85" s="1209" t="str">
        <f t="shared" si="34"/>
        <v/>
      </c>
      <c r="O85" s="1209"/>
      <c r="P85" s="1283" t="str">
        <f t="shared" si="35"/>
        <v/>
      </c>
      <c r="Q85" s="518"/>
      <c r="R85" s="1076" t="str">
        <f t="shared" si="36"/>
        <v/>
      </c>
      <c r="S85" s="1076" t="str">
        <f t="shared" si="37"/>
        <v/>
      </c>
      <c r="T85" s="1078" t="str">
        <f t="shared" si="38"/>
        <v/>
      </c>
      <c r="U85" s="599"/>
      <c r="V85" s="804"/>
      <c r="W85" s="1110"/>
      <c r="X85" s="1218"/>
      <c r="Y85" s="1253" t="e">
        <f>ROUND(VLOOKUP(H85,tab!$A$61:$V$103,I85+2,FALSE),0)</f>
        <v>#VALUE!</v>
      </c>
      <c r="Z85" s="1252">
        <f>tab!$E$48</f>
        <v>0.62</v>
      </c>
      <c r="AA85" s="1284" t="e">
        <f t="shared" si="39"/>
        <v>#VALUE!</v>
      </c>
      <c r="AB85" s="1284" t="e">
        <f t="shared" si="40"/>
        <v>#VALUE!</v>
      </c>
      <c r="AC85" s="1284" t="e">
        <f t="shared" si="41"/>
        <v>#VALUE!</v>
      </c>
      <c r="AD85" s="1286" t="e">
        <f t="shared" si="42"/>
        <v>#VALUE!</v>
      </c>
      <c r="AE85" s="1286">
        <f t="shared" si="43"/>
        <v>0</v>
      </c>
      <c r="AF85" s="1254">
        <f>IF(H85&gt;8,tab!$D$49,tab!$D$52)</f>
        <v>0.5</v>
      </c>
      <c r="AG85" s="1255">
        <f t="shared" si="32"/>
        <v>0</v>
      </c>
      <c r="AH85" s="1251">
        <f t="shared" si="33"/>
        <v>0</v>
      </c>
      <c r="AK85" s="198"/>
    </row>
    <row r="86" spans="2:37" x14ac:dyDescent="0.2">
      <c r="B86" s="67"/>
      <c r="C86" s="126"/>
      <c r="D86" s="396" t="str">
        <f>IF(obp!D43="","",obp!D43)</f>
        <v/>
      </c>
      <c r="E86" s="432" t="str">
        <f>IF(obp!E43="","",obp!E43)</f>
        <v/>
      </c>
      <c r="F86" s="117" t="str">
        <f>IF(obp!F43="","",obp!F43+1)</f>
        <v/>
      </c>
      <c r="G86" s="397" t="str">
        <f>IF(obp!G43="","",obp!G43)</f>
        <v/>
      </c>
      <c r="H86" s="776" t="str">
        <f>IF(obp!H43=0,"",obp!H43)</f>
        <v/>
      </c>
      <c r="I86" s="433" t="str">
        <f>IF(J86="","",(IF(obp!I43+1&gt;LOOKUP(H86,schaal2013,regels2013),obp!I43,obp!I43+1)))</f>
        <v/>
      </c>
      <c r="J86" s="399" t="str">
        <f>IF(obp!J43="","",obp!J43)</f>
        <v/>
      </c>
      <c r="K86" s="413"/>
      <c r="L86" s="1207">
        <f>IF(obp!L43="",0,obp!L43)</f>
        <v>0</v>
      </c>
      <c r="M86" s="1207">
        <f>IF(obp!M43="",0,obp!M43)</f>
        <v>0</v>
      </c>
      <c r="N86" s="1209" t="str">
        <f t="shared" si="34"/>
        <v/>
      </c>
      <c r="O86" s="1209"/>
      <c r="P86" s="1283" t="str">
        <f t="shared" si="35"/>
        <v/>
      </c>
      <c r="Q86" s="518"/>
      <c r="R86" s="1076" t="str">
        <f t="shared" si="36"/>
        <v/>
      </c>
      <c r="S86" s="1076" t="str">
        <f t="shared" si="37"/>
        <v/>
      </c>
      <c r="T86" s="1078" t="str">
        <f t="shared" si="38"/>
        <v/>
      </c>
      <c r="U86" s="599"/>
      <c r="V86" s="804"/>
      <c r="W86" s="1110"/>
      <c r="X86" s="1218"/>
      <c r="Y86" s="1253" t="e">
        <f>ROUND(VLOOKUP(H86,tab!$A$61:$V$103,I86+2,FALSE),0)</f>
        <v>#VALUE!</v>
      </c>
      <c r="Z86" s="1252">
        <f>tab!$E$48</f>
        <v>0.62</v>
      </c>
      <c r="AA86" s="1284" t="e">
        <f t="shared" si="39"/>
        <v>#VALUE!</v>
      </c>
      <c r="AB86" s="1284" t="e">
        <f t="shared" si="40"/>
        <v>#VALUE!</v>
      </c>
      <c r="AC86" s="1284" t="e">
        <f t="shared" si="41"/>
        <v>#VALUE!</v>
      </c>
      <c r="AD86" s="1286" t="e">
        <f t="shared" si="42"/>
        <v>#VALUE!</v>
      </c>
      <c r="AE86" s="1286">
        <f t="shared" si="43"/>
        <v>0</v>
      </c>
      <c r="AF86" s="1254">
        <f>IF(H86&gt;8,tab!$D$49,tab!$D$52)</f>
        <v>0.5</v>
      </c>
      <c r="AG86" s="1255">
        <f t="shared" si="32"/>
        <v>0</v>
      </c>
      <c r="AH86" s="1251">
        <f t="shared" si="33"/>
        <v>0</v>
      </c>
      <c r="AK86" s="198"/>
    </row>
    <row r="87" spans="2:37" x14ac:dyDescent="0.2">
      <c r="B87" s="67"/>
      <c r="C87" s="126"/>
      <c r="D87" s="396" t="str">
        <f>IF(obp!D44="","",obp!D44)</f>
        <v/>
      </c>
      <c r="E87" s="432" t="str">
        <f>IF(obp!E44="","",obp!E44)</f>
        <v/>
      </c>
      <c r="F87" s="117" t="str">
        <f>IF(obp!F44="","",obp!F44+1)</f>
        <v/>
      </c>
      <c r="G87" s="397" t="str">
        <f>IF(obp!G44="","",obp!G44)</f>
        <v/>
      </c>
      <c r="H87" s="776" t="str">
        <f>IF(obp!H44=0,"",obp!H44)</f>
        <v/>
      </c>
      <c r="I87" s="433" t="str">
        <f>IF(J87="","",(IF(obp!I44+1&gt;LOOKUP(H87,schaal2013,regels2013),obp!I44,obp!I44+1)))</f>
        <v/>
      </c>
      <c r="J87" s="399" t="str">
        <f>IF(obp!J44="","",obp!J44)</f>
        <v/>
      </c>
      <c r="K87" s="413"/>
      <c r="L87" s="1207">
        <f>IF(obp!L44="",0,obp!L44)</f>
        <v>0</v>
      </c>
      <c r="M87" s="1207">
        <f>IF(obp!M44="",0,obp!M44)</f>
        <v>0</v>
      </c>
      <c r="N87" s="1209" t="str">
        <f t="shared" si="34"/>
        <v/>
      </c>
      <c r="O87" s="1209"/>
      <c r="P87" s="1283" t="str">
        <f t="shared" si="35"/>
        <v/>
      </c>
      <c r="Q87" s="518"/>
      <c r="R87" s="1076" t="str">
        <f t="shared" si="36"/>
        <v/>
      </c>
      <c r="S87" s="1076" t="str">
        <f t="shared" si="37"/>
        <v/>
      </c>
      <c r="T87" s="1078" t="str">
        <f t="shared" si="38"/>
        <v/>
      </c>
      <c r="U87" s="599"/>
      <c r="V87" s="804"/>
      <c r="W87" s="1110"/>
      <c r="X87" s="1218"/>
      <c r="Y87" s="1253" t="e">
        <f>ROUND(VLOOKUP(H87,tab!$A$61:$V$103,I87+2,FALSE),0)</f>
        <v>#VALUE!</v>
      </c>
      <c r="Z87" s="1252">
        <f>tab!$E$48</f>
        <v>0.62</v>
      </c>
      <c r="AA87" s="1284" t="e">
        <f t="shared" si="39"/>
        <v>#VALUE!</v>
      </c>
      <c r="AB87" s="1284" t="e">
        <f t="shared" si="40"/>
        <v>#VALUE!</v>
      </c>
      <c r="AC87" s="1284" t="e">
        <f t="shared" si="41"/>
        <v>#VALUE!</v>
      </c>
      <c r="AD87" s="1286" t="e">
        <f t="shared" si="42"/>
        <v>#VALUE!</v>
      </c>
      <c r="AE87" s="1286">
        <f t="shared" si="43"/>
        <v>0</v>
      </c>
      <c r="AF87" s="1254">
        <f>IF(H87&gt;8,tab!$D$49,tab!$D$52)</f>
        <v>0.5</v>
      </c>
      <c r="AG87" s="1255">
        <f t="shared" si="32"/>
        <v>0</v>
      </c>
      <c r="AH87" s="1251">
        <f t="shared" si="33"/>
        <v>0</v>
      </c>
      <c r="AK87" s="198"/>
    </row>
    <row r="88" spans="2:37" x14ac:dyDescent="0.2">
      <c r="B88" s="67"/>
      <c r="C88" s="126"/>
      <c r="D88" s="396" t="str">
        <f>IF(obp!D45="","",obp!D45)</f>
        <v/>
      </c>
      <c r="E88" s="432" t="str">
        <f>IF(obp!E45="","",obp!E45)</f>
        <v/>
      </c>
      <c r="F88" s="117" t="str">
        <f>IF(obp!F45="","",obp!F45+1)</f>
        <v/>
      </c>
      <c r="G88" s="397" t="str">
        <f>IF(obp!G45="","",obp!G45)</f>
        <v/>
      </c>
      <c r="H88" s="776" t="str">
        <f>IF(obp!H45=0,"",obp!H45)</f>
        <v/>
      </c>
      <c r="I88" s="433" t="str">
        <f>IF(J88="","",(IF(obp!I45+1&gt;LOOKUP(H88,schaal2013,regels2013),obp!I45,obp!I45+1)))</f>
        <v/>
      </c>
      <c r="J88" s="399" t="str">
        <f>IF(obp!J45="","",obp!J45)</f>
        <v/>
      </c>
      <c r="K88" s="413"/>
      <c r="L88" s="1207">
        <f>IF(obp!L45="",0,obp!L45)</f>
        <v>0</v>
      </c>
      <c r="M88" s="1207">
        <f>IF(obp!M45="",0,obp!M45)</f>
        <v>0</v>
      </c>
      <c r="N88" s="1209" t="str">
        <f t="shared" si="34"/>
        <v/>
      </c>
      <c r="O88" s="1209"/>
      <c r="P88" s="1283" t="str">
        <f t="shared" si="35"/>
        <v/>
      </c>
      <c r="Q88" s="518"/>
      <c r="R88" s="1076" t="str">
        <f t="shared" si="36"/>
        <v/>
      </c>
      <c r="S88" s="1076" t="str">
        <f t="shared" si="37"/>
        <v/>
      </c>
      <c r="T88" s="1078" t="str">
        <f t="shared" si="38"/>
        <v/>
      </c>
      <c r="U88" s="599"/>
      <c r="V88" s="804"/>
      <c r="W88" s="1110"/>
      <c r="X88" s="1218"/>
      <c r="Y88" s="1253" t="e">
        <f>ROUND(VLOOKUP(H88,tab!$A$61:$V$103,I88+2,FALSE),0)</f>
        <v>#VALUE!</v>
      </c>
      <c r="Z88" s="1252">
        <f>tab!$E$48</f>
        <v>0.62</v>
      </c>
      <c r="AA88" s="1284" t="e">
        <f t="shared" si="39"/>
        <v>#VALUE!</v>
      </c>
      <c r="AB88" s="1284" t="e">
        <f t="shared" si="40"/>
        <v>#VALUE!</v>
      </c>
      <c r="AC88" s="1284" t="e">
        <f t="shared" si="41"/>
        <v>#VALUE!</v>
      </c>
      <c r="AD88" s="1286" t="e">
        <f t="shared" si="42"/>
        <v>#VALUE!</v>
      </c>
      <c r="AE88" s="1286">
        <f t="shared" si="43"/>
        <v>0</v>
      </c>
      <c r="AF88" s="1254">
        <f>IF(H88&gt;8,tab!$D$49,tab!$D$52)</f>
        <v>0.5</v>
      </c>
      <c r="AG88" s="1255">
        <f t="shared" si="32"/>
        <v>0</v>
      </c>
      <c r="AH88" s="1251">
        <f t="shared" si="33"/>
        <v>0</v>
      </c>
      <c r="AK88" s="198"/>
    </row>
    <row r="89" spans="2:37" x14ac:dyDescent="0.2">
      <c r="B89" s="67"/>
      <c r="C89" s="126"/>
      <c r="D89" s="822"/>
      <c r="E89" s="823"/>
      <c r="F89" s="131"/>
      <c r="G89" s="775"/>
      <c r="H89" s="824"/>
      <c r="I89" s="412"/>
      <c r="J89" s="1116">
        <f>SUM(J59:J88)</f>
        <v>1</v>
      </c>
      <c r="K89" s="807"/>
      <c r="L89" s="1220">
        <f t="shared" ref="L89:P89" si="44">SUM(L59:L88)</f>
        <v>0</v>
      </c>
      <c r="M89" s="1220">
        <f t="shared" si="44"/>
        <v>0</v>
      </c>
      <c r="N89" s="1197">
        <f>SUM(N59:N88)</f>
        <v>40</v>
      </c>
      <c r="O89" s="1072"/>
      <c r="P89" s="1197">
        <f t="shared" si="44"/>
        <v>40</v>
      </c>
      <c r="Q89" s="807"/>
      <c r="R89" s="1117">
        <f t="shared" ref="R89:T89" si="45">SUM(R59:R88)</f>
        <v>51355.265533453887</v>
      </c>
      <c r="S89" s="1118">
        <f t="shared" si="45"/>
        <v>1268.814466546112</v>
      </c>
      <c r="T89" s="1115">
        <f t="shared" si="45"/>
        <v>52624.08</v>
      </c>
      <c r="U89" s="129"/>
      <c r="V89" s="71"/>
      <c r="Y89" s="1270" t="e">
        <f>SUM(Y59:Y88)</f>
        <v>#VALUE!</v>
      </c>
      <c r="Z89" s="1271"/>
      <c r="AA89" s="1271"/>
      <c r="AB89" s="1271"/>
      <c r="AC89" s="1271"/>
      <c r="AG89" s="1248">
        <f>SUM(AG59:AG88)</f>
        <v>0</v>
      </c>
      <c r="AH89" s="1272">
        <f>SUM(AH59:AH88)</f>
        <v>0</v>
      </c>
    </row>
    <row r="90" spans="2:37" x14ac:dyDescent="0.2">
      <c r="B90" s="67"/>
      <c r="C90" s="707"/>
      <c r="D90" s="266"/>
      <c r="E90" s="266"/>
      <c r="F90" s="763"/>
      <c r="G90" s="763"/>
      <c r="H90" s="763"/>
      <c r="I90" s="764"/>
      <c r="J90" s="765"/>
      <c r="K90" s="764"/>
      <c r="L90" s="764"/>
      <c r="M90" s="764"/>
      <c r="N90" s="765"/>
      <c r="O90" s="764"/>
      <c r="P90" s="764"/>
      <c r="Q90" s="764"/>
      <c r="R90" s="421"/>
      <c r="S90" s="422"/>
      <c r="T90" s="883"/>
      <c r="U90" s="766"/>
      <c r="V90" s="71"/>
      <c r="Y90" s="1273"/>
      <c r="Z90" s="1256"/>
      <c r="AA90" s="1256"/>
      <c r="AB90" s="1256"/>
      <c r="AC90" s="1256"/>
      <c r="AG90" s="1257"/>
      <c r="AH90" s="1258"/>
    </row>
    <row r="91" spans="2:37" ht="12.75" customHeight="1" x14ac:dyDescent="0.2">
      <c r="B91" s="86"/>
      <c r="C91" s="87"/>
      <c r="D91" s="88"/>
      <c r="E91" s="88"/>
      <c r="F91" s="182"/>
      <c r="G91" s="762"/>
      <c r="H91" s="182"/>
      <c r="I91" s="391"/>
      <c r="J91" s="392"/>
      <c r="K91" s="87"/>
      <c r="L91" s="393"/>
      <c r="M91" s="393"/>
      <c r="N91" s="392"/>
      <c r="O91" s="393"/>
      <c r="P91" s="393"/>
      <c r="Q91" s="87"/>
      <c r="R91" s="394"/>
      <c r="S91" s="395"/>
      <c r="T91" s="884"/>
      <c r="U91" s="87"/>
      <c r="V91" s="90"/>
      <c r="Y91" s="1253"/>
      <c r="Z91" s="1261"/>
      <c r="AA91" s="1261"/>
      <c r="AB91" s="1261"/>
      <c r="AC91" s="1261"/>
      <c r="AG91" s="1255"/>
      <c r="AH91" s="1251"/>
    </row>
    <row r="92" spans="2:37" ht="12.75" customHeight="1" x14ac:dyDescent="0.2">
      <c r="G92" s="448"/>
      <c r="H92" s="22"/>
      <c r="J92" s="333"/>
      <c r="L92" s="24"/>
      <c r="M92" s="24"/>
      <c r="N92" s="333"/>
      <c r="O92" s="24"/>
      <c r="P92" s="24"/>
      <c r="R92" s="332"/>
      <c r="S92" s="175"/>
      <c r="T92" s="885"/>
      <c r="Y92" s="1253"/>
      <c r="Z92" s="1261"/>
      <c r="AA92" s="1261"/>
      <c r="AB92" s="1261"/>
      <c r="AC92" s="1261"/>
      <c r="AG92" s="1255"/>
      <c r="AH92" s="1251"/>
    </row>
    <row r="93" spans="2:37" ht="12.75" customHeight="1" x14ac:dyDescent="0.2">
      <c r="G93" s="448"/>
      <c r="H93" s="22"/>
      <c r="J93" s="333"/>
      <c r="L93" s="24"/>
      <c r="M93" s="24"/>
      <c r="N93" s="333"/>
      <c r="O93" s="24"/>
      <c r="P93" s="24"/>
      <c r="R93" s="332"/>
      <c r="S93" s="175"/>
      <c r="T93" s="885"/>
      <c r="Y93" s="1253"/>
      <c r="Z93" s="1261"/>
      <c r="AA93" s="1261"/>
      <c r="AB93" s="1261"/>
      <c r="AC93" s="1261"/>
      <c r="AG93" s="1255"/>
      <c r="AH93" s="1251"/>
    </row>
    <row r="94" spans="2:37" ht="12.75" customHeight="1" x14ac:dyDescent="0.2">
      <c r="C94" s="14" t="s">
        <v>200</v>
      </c>
      <c r="E94" s="330" t="str">
        <f>dir!E53</f>
        <v>2017/18</v>
      </c>
      <c r="G94" s="448"/>
      <c r="H94" s="22"/>
      <c r="J94" s="333"/>
      <c r="L94" s="24"/>
      <c r="M94" s="24"/>
      <c r="N94" s="333"/>
      <c r="O94" s="24"/>
      <c r="P94" s="24"/>
      <c r="R94" s="332"/>
      <c r="S94" s="175"/>
      <c r="T94" s="885"/>
      <c r="Y94" s="1253"/>
      <c r="Z94" s="1261"/>
      <c r="AA94" s="1261"/>
      <c r="AB94" s="1261"/>
      <c r="AC94" s="1261"/>
      <c r="AG94" s="1255"/>
      <c r="AH94" s="1251"/>
    </row>
    <row r="95" spans="2:37" ht="12.75" customHeight="1" x14ac:dyDescent="0.2">
      <c r="C95" s="14" t="s">
        <v>213</v>
      </c>
      <c r="E95" s="330">
        <f>dir!E54</f>
        <v>43009</v>
      </c>
      <c r="G95" s="448"/>
      <c r="H95" s="22"/>
      <c r="J95" s="333"/>
      <c r="L95" s="24"/>
      <c r="M95" s="24"/>
      <c r="N95" s="333"/>
      <c r="O95" s="24"/>
      <c r="P95" s="24"/>
      <c r="R95" s="332"/>
      <c r="S95" s="175"/>
      <c r="T95" s="885"/>
      <c r="Y95" s="1253"/>
      <c r="Z95" s="1261"/>
      <c r="AA95" s="1261"/>
      <c r="AB95" s="1261"/>
      <c r="AC95" s="1261"/>
      <c r="AG95" s="1255"/>
      <c r="AH95" s="1251"/>
    </row>
    <row r="96" spans="2:37" ht="12.75" customHeight="1" x14ac:dyDescent="0.2">
      <c r="G96" s="448"/>
      <c r="H96" s="22"/>
      <c r="J96" s="333"/>
      <c r="L96" s="24"/>
      <c r="M96" s="24"/>
      <c r="N96" s="333"/>
      <c r="O96" s="24"/>
      <c r="P96" s="24"/>
      <c r="R96" s="332"/>
      <c r="S96" s="175"/>
      <c r="T96" s="885"/>
      <c r="Y96" s="1253"/>
      <c r="Z96" s="1261"/>
      <c r="AA96" s="1261"/>
      <c r="AB96" s="1261"/>
      <c r="AC96" s="1261"/>
      <c r="AG96" s="1255"/>
      <c r="AH96" s="1251"/>
    </row>
    <row r="97" spans="2:42" ht="12.75" customHeight="1" x14ac:dyDescent="0.2">
      <c r="C97" s="184"/>
      <c r="D97" s="1114"/>
      <c r="E97" s="1080"/>
      <c r="F97" s="1081"/>
      <c r="G97" s="1082"/>
      <c r="H97" s="1083"/>
      <c r="I97" s="1083"/>
      <c r="J97" s="1084"/>
      <c r="K97" s="1085"/>
      <c r="L97" s="1083"/>
      <c r="M97" s="1083"/>
      <c r="N97" s="1084"/>
      <c r="O97" s="1083"/>
      <c r="P97" s="1083"/>
      <c r="Q97" s="1085"/>
      <c r="R97" s="1085"/>
      <c r="S97" s="1086"/>
      <c r="T97" s="1087"/>
      <c r="U97" s="121"/>
      <c r="V97" s="1221"/>
      <c r="W97" s="1221"/>
      <c r="AE97" s="1235"/>
      <c r="AF97" s="1236"/>
      <c r="AI97" s="1235"/>
      <c r="AJ97" s="1247"/>
      <c r="AK97" s="311"/>
      <c r="AL97" s="312"/>
      <c r="AM97" s="324"/>
      <c r="AN97" s="24"/>
    </row>
    <row r="98" spans="2:42" s="144" customFormat="1" ht="12.75" customHeight="1" x14ac:dyDescent="0.2">
      <c r="B98" s="150"/>
      <c r="C98" s="425"/>
      <c r="D98" s="1191" t="s">
        <v>307</v>
      </c>
      <c r="E98" s="1191"/>
      <c r="F98" s="1191"/>
      <c r="G98" s="1191"/>
      <c r="H98" s="1191"/>
      <c r="I98" s="1191"/>
      <c r="J98" s="1191"/>
      <c r="K98" s="1192"/>
      <c r="L98" s="1191" t="s">
        <v>553</v>
      </c>
      <c r="M98" s="1193"/>
      <c r="N98" s="1191"/>
      <c r="O98" s="1191"/>
      <c r="P98" s="1291"/>
      <c r="Q98" s="1055"/>
      <c r="R98" s="1191" t="s">
        <v>554</v>
      </c>
      <c r="S98" s="1194"/>
      <c r="T98" s="1292"/>
      <c r="U98" s="1293"/>
      <c r="V98" s="1222"/>
      <c r="W98" s="1222"/>
      <c r="X98" s="427"/>
      <c r="Y98" s="1221"/>
      <c r="Z98" s="1294"/>
      <c r="AA98" s="1221"/>
      <c r="AB98" s="1221"/>
      <c r="AC98" s="1221"/>
      <c r="AD98" s="1295"/>
      <c r="AE98" s="1295"/>
      <c r="AF98" s="1294"/>
      <c r="AG98" s="1248"/>
      <c r="AH98" s="1249"/>
      <c r="AI98" s="1221"/>
      <c r="AJ98" s="1221"/>
      <c r="AO98" s="427"/>
      <c r="AP98" s="427"/>
    </row>
    <row r="99" spans="2:42" s="144" customFormat="1" ht="12.75" customHeight="1" x14ac:dyDescent="0.2">
      <c r="B99" s="150"/>
      <c r="C99" s="425"/>
      <c r="D99" s="1056" t="s">
        <v>545</v>
      </c>
      <c r="E99" s="1030" t="s">
        <v>201</v>
      </c>
      <c r="F99" s="1057" t="s">
        <v>151</v>
      </c>
      <c r="G99" s="1058" t="s">
        <v>295</v>
      </c>
      <c r="H99" s="1057" t="s">
        <v>226</v>
      </c>
      <c r="I99" s="1057" t="s">
        <v>247</v>
      </c>
      <c r="J99" s="1059" t="s">
        <v>154</v>
      </c>
      <c r="K99" s="1067"/>
      <c r="L99" s="1060" t="s">
        <v>530</v>
      </c>
      <c r="M99" s="1060" t="s">
        <v>531</v>
      </c>
      <c r="N99" s="1060" t="s">
        <v>529</v>
      </c>
      <c r="O99" s="1060" t="s">
        <v>530</v>
      </c>
      <c r="P99" s="1296" t="s">
        <v>555</v>
      </c>
      <c r="Q99" s="1034"/>
      <c r="R99" s="1195" t="s">
        <v>212</v>
      </c>
      <c r="S99" s="1062" t="s">
        <v>556</v>
      </c>
      <c r="T99" s="1063" t="s">
        <v>212</v>
      </c>
      <c r="U99" s="1297"/>
      <c r="V99" s="1259"/>
      <c r="W99" s="1259"/>
      <c r="X99" s="430"/>
      <c r="Y99" s="1068" t="s">
        <v>325</v>
      </c>
      <c r="Z99" s="1285" t="s">
        <v>548</v>
      </c>
      <c r="AA99" s="1259" t="s">
        <v>549</v>
      </c>
      <c r="AB99" s="1259" t="s">
        <v>549</v>
      </c>
      <c r="AC99" s="1259" t="s">
        <v>546</v>
      </c>
      <c r="AD99" s="1206" t="s">
        <v>539</v>
      </c>
      <c r="AE99" s="1206" t="s">
        <v>540</v>
      </c>
      <c r="AF99" s="1069" t="s">
        <v>541</v>
      </c>
      <c r="AG99" s="1250" t="s">
        <v>319</v>
      </c>
      <c r="AH99" s="1249" t="s">
        <v>459</v>
      </c>
      <c r="AI99" s="1221"/>
      <c r="AJ99" s="1221"/>
      <c r="AO99" s="427"/>
      <c r="AP99" s="430"/>
    </row>
    <row r="100" spans="2:42" s="144" customFormat="1" ht="12.75" customHeight="1" x14ac:dyDescent="0.2">
      <c r="B100" s="150"/>
      <c r="C100" s="425"/>
      <c r="D100" s="1064"/>
      <c r="E100" s="1030"/>
      <c r="F100" s="1057" t="s">
        <v>152</v>
      </c>
      <c r="G100" s="1058" t="s">
        <v>296</v>
      </c>
      <c r="H100" s="1057"/>
      <c r="I100" s="1057"/>
      <c r="J100" s="1059" t="s">
        <v>489</v>
      </c>
      <c r="K100" s="1067"/>
      <c r="L100" s="1060" t="s">
        <v>533</v>
      </c>
      <c r="M100" s="1060" t="s">
        <v>534</v>
      </c>
      <c r="N100" s="1060" t="s">
        <v>532</v>
      </c>
      <c r="O100" s="1060" t="s">
        <v>544</v>
      </c>
      <c r="P100" s="1296" t="s">
        <v>291</v>
      </c>
      <c r="Q100" s="1034"/>
      <c r="R100" s="1061" t="s">
        <v>557</v>
      </c>
      <c r="S100" s="1062" t="s">
        <v>535</v>
      </c>
      <c r="T100" s="1063" t="s">
        <v>291</v>
      </c>
      <c r="U100" s="1040"/>
      <c r="V100" s="1221"/>
      <c r="W100" s="1221"/>
      <c r="Y100" s="1068" t="s">
        <v>217</v>
      </c>
      <c r="Z100" s="1287">
        <f>tab!$E$48</f>
        <v>0.62</v>
      </c>
      <c r="AA100" s="1259" t="s">
        <v>550</v>
      </c>
      <c r="AB100" s="1259" t="s">
        <v>551</v>
      </c>
      <c r="AC100" s="1259" t="s">
        <v>552</v>
      </c>
      <c r="AD100" s="1206" t="s">
        <v>542</v>
      </c>
      <c r="AE100" s="1206" t="s">
        <v>542</v>
      </c>
      <c r="AF100" s="1069" t="s">
        <v>543</v>
      </c>
      <c r="AG100" s="1250"/>
      <c r="AH100" s="1251" t="s">
        <v>246</v>
      </c>
      <c r="AI100" s="1221"/>
      <c r="AJ100" s="1221"/>
      <c r="AP100" s="767"/>
    </row>
    <row r="101" spans="2:42" ht="12.75" customHeight="1" x14ac:dyDescent="0.2">
      <c r="C101" s="126"/>
      <c r="D101" s="1065"/>
      <c r="E101" s="1065"/>
      <c r="F101" s="1065"/>
      <c r="G101" s="1065"/>
      <c r="H101" s="1065"/>
      <c r="I101" s="1065"/>
      <c r="J101" s="1065"/>
      <c r="K101" s="1066"/>
      <c r="L101" s="1065"/>
      <c r="M101" s="1065"/>
      <c r="N101" s="1065"/>
      <c r="O101" s="1065"/>
      <c r="P101" s="1065"/>
      <c r="Q101" s="1066"/>
      <c r="R101" s="1088"/>
      <c r="S101" s="1070"/>
      <c r="T101" s="1089"/>
      <c r="U101" s="125"/>
      <c r="V101" s="1221"/>
      <c r="W101" s="1221"/>
      <c r="Y101" s="1068"/>
      <c r="Z101" s="1222"/>
      <c r="AA101" s="1222"/>
      <c r="AB101" s="1222"/>
      <c r="AC101" s="1222"/>
      <c r="AE101" s="1221"/>
      <c r="AF101" s="1221"/>
      <c r="AG101" s="1250"/>
      <c r="AH101" s="1251"/>
      <c r="AM101" s="14"/>
      <c r="AN101" s="14"/>
      <c r="AP101" s="332"/>
    </row>
    <row r="102" spans="2:42" ht="12.75" customHeight="1" x14ac:dyDescent="0.2">
      <c r="C102" s="126"/>
      <c r="D102" s="396" t="str">
        <f>IF(obp!D59="","",obp!D59)</f>
        <v/>
      </c>
      <c r="E102" s="432" t="str">
        <f>IF(obp!E59=0,"",obp!E59)</f>
        <v>nn</v>
      </c>
      <c r="F102" s="776" t="str">
        <f>IF(obp!F59="","",obp!F59+1)</f>
        <v/>
      </c>
      <c r="G102" s="802" t="str">
        <f>IF(obp!G59="","",obp!G59)</f>
        <v/>
      </c>
      <c r="H102" s="776">
        <f>IF(obp!H59=0,"",obp!H59)</f>
        <v>8</v>
      </c>
      <c r="I102" s="433">
        <f>IF(J102="","",(IF(obp!I59+1&gt;LOOKUP(H102,schaal2013,regels2013),obp!I59,obp!I59+1)))</f>
        <v>10</v>
      </c>
      <c r="J102" s="803">
        <f>IF(obp!J59="","",obp!J59)</f>
        <v>1</v>
      </c>
      <c r="K102" s="413"/>
      <c r="L102" s="1207">
        <f>IF(obp!L59="","",obp!L59)</f>
        <v>0</v>
      </c>
      <c r="M102" s="1207">
        <f>IF(obp!M59="","",obp!M59)</f>
        <v>0</v>
      </c>
      <c r="N102" s="1209">
        <f t="shared" ref="N102:N131" si="46">IF(J102="","",IF((J102*40)&gt;40,40,((J102*40))))</f>
        <v>40</v>
      </c>
      <c r="O102" s="1209"/>
      <c r="P102" s="1283">
        <f t="shared" ref="P102:P131" si="47">IF(J102="","",(SUM(L102:O102)))</f>
        <v>40</v>
      </c>
      <c r="Q102" s="518"/>
      <c r="R102" s="1076">
        <f>IF(J102="","",(((1659*J102)-P102)*AB102))</f>
        <v>52474.571283905971</v>
      </c>
      <c r="S102" s="1076">
        <f t="shared" ref="S102:S131" si="48">IF(J102="","",(P102*AC102)+(AA102*AD102)+((AE102*AA102*(1-AF102))))</f>
        <v>1296.4687160940325</v>
      </c>
      <c r="T102" s="1078">
        <f t="shared" ref="T102:T131" si="49">IF(J102="","",(R102+S102))</f>
        <v>53771.040000000001</v>
      </c>
      <c r="U102" s="599"/>
      <c r="V102" s="1261"/>
      <c r="W102" s="1261"/>
      <c r="X102" s="1218"/>
      <c r="Y102" s="1253">
        <f>ROUND(VLOOKUP(H102,tab!$A$61:$V$103,I102+2,FALSE),0)</f>
        <v>2766</v>
      </c>
      <c r="Z102" s="1252">
        <f>tab!$E$48</f>
        <v>0.62</v>
      </c>
      <c r="AA102" s="1284">
        <f t="shared" ref="AA102:AA131" si="50">(Y102*12/1659)</f>
        <v>20.007233273056059</v>
      </c>
      <c r="AB102" s="1284">
        <f t="shared" ref="AB102:AB131" si="51">(Y102*12*(1+Z102))/1659</f>
        <v>32.411717902350816</v>
      </c>
      <c r="AC102" s="1284">
        <f t="shared" ref="AC102:AC131" si="52">AB102-AA102</f>
        <v>12.404484629294757</v>
      </c>
      <c r="AD102" s="1286">
        <f t="shared" ref="AD102:AD131" si="53">(N102+O102)</f>
        <v>40</v>
      </c>
      <c r="AE102" s="1286">
        <f t="shared" ref="AE102:AE131" si="54">(L102+M102)</f>
        <v>0</v>
      </c>
      <c r="AF102" s="1254">
        <f>IF(H102&gt;8,tab!$D$49,tab!$D$52)</f>
        <v>0.4</v>
      </c>
      <c r="AG102" s="1255">
        <f t="shared" ref="AG102:AG131" si="55">IF(F102&lt;25,0,IF(F102=25,25,IF(F102&lt;40,0,IF(F102=40,40,IF(F102&gt;=40,0)))))</f>
        <v>0</v>
      </c>
      <c r="AH102" s="1251">
        <f t="shared" ref="AH102:AH131" si="56">IF(AG102=25,(Y102*1.08*(J102)/2),IF(AG102=40,(Y102*1.08*(J102)),IF(AG102=0,0)))</f>
        <v>0</v>
      </c>
      <c r="AK102" s="198"/>
    </row>
    <row r="103" spans="2:42" ht="12.75" customHeight="1" x14ac:dyDescent="0.2">
      <c r="C103" s="126"/>
      <c r="D103" s="396" t="str">
        <f>IF(obp!D60="","",obp!D60)</f>
        <v/>
      </c>
      <c r="E103" s="432" t="str">
        <f>IF(obp!E60=0,"",obp!E60)</f>
        <v/>
      </c>
      <c r="F103" s="776" t="str">
        <f>IF(obp!F60="","",obp!F60+1)</f>
        <v/>
      </c>
      <c r="G103" s="802" t="str">
        <f>IF(obp!G60="","",obp!G60)</f>
        <v/>
      </c>
      <c r="H103" s="776" t="str">
        <f>IF(obp!H60=0,"",obp!H60)</f>
        <v/>
      </c>
      <c r="I103" s="433" t="str">
        <f>IF(J103="","",(IF(obp!I60+1&gt;LOOKUP(H103,schaal2013,regels2013),obp!I60,obp!I60+1)))</f>
        <v/>
      </c>
      <c r="J103" s="803" t="str">
        <f>IF(obp!J60="","",obp!J60)</f>
        <v/>
      </c>
      <c r="K103" s="413"/>
      <c r="L103" s="1207">
        <f>IF(obp!L60="","",obp!L60)</f>
        <v>0</v>
      </c>
      <c r="M103" s="1207">
        <f>IF(obp!M60="","",obp!M60)</f>
        <v>0</v>
      </c>
      <c r="N103" s="1209" t="str">
        <f t="shared" si="46"/>
        <v/>
      </c>
      <c r="O103" s="1209"/>
      <c r="P103" s="1283" t="str">
        <f t="shared" si="47"/>
        <v/>
      </c>
      <c r="Q103" s="518"/>
      <c r="R103" s="1076" t="str">
        <f t="shared" ref="R103:R131" si="57">IF(J103="","",(((1659*J103)-P103)*AB103))</f>
        <v/>
      </c>
      <c r="S103" s="1076" t="str">
        <f t="shared" si="48"/>
        <v/>
      </c>
      <c r="T103" s="1078" t="str">
        <f t="shared" si="49"/>
        <v/>
      </c>
      <c r="U103" s="599"/>
      <c r="V103" s="1261"/>
      <c r="W103" s="1261"/>
      <c r="X103" s="1218"/>
      <c r="Y103" s="1253" t="e">
        <f>ROUND(VLOOKUP(H103,tab!$A$61:$V$103,I103+2,FALSE),0)</f>
        <v>#VALUE!</v>
      </c>
      <c r="Z103" s="1252">
        <f>tab!$E$48</f>
        <v>0.62</v>
      </c>
      <c r="AA103" s="1284" t="e">
        <f t="shared" si="50"/>
        <v>#VALUE!</v>
      </c>
      <c r="AB103" s="1284" t="e">
        <f t="shared" si="51"/>
        <v>#VALUE!</v>
      </c>
      <c r="AC103" s="1284" t="e">
        <f t="shared" si="52"/>
        <v>#VALUE!</v>
      </c>
      <c r="AD103" s="1286" t="e">
        <f t="shared" si="53"/>
        <v>#VALUE!</v>
      </c>
      <c r="AE103" s="1286">
        <f t="shared" si="54"/>
        <v>0</v>
      </c>
      <c r="AF103" s="1254">
        <f>IF(H103&gt;8,tab!$D$49,tab!$D$52)</f>
        <v>0.5</v>
      </c>
      <c r="AG103" s="1255">
        <f t="shared" si="55"/>
        <v>0</v>
      </c>
      <c r="AH103" s="1251">
        <f t="shared" si="56"/>
        <v>0</v>
      </c>
      <c r="AK103" s="198"/>
    </row>
    <row r="104" spans="2:42" ht="12.75" customHeight="1" x14ac:dyDescent="0.2">
      <c r="C104" s="126"/>
      <c r="D104" s="396" t="str">
        <f>IF(obp!D61="","",obp!D61)</f>
        <v/>
      </c>
      <c r="E104" s="432" t="str">
        <f>IF(obp!E61=0,"",obp!E61)</f>
        <v/>
      </c>
      <c r="F104" s="776" t="str">
        <f>IF(obp!F61="","",obp!F61+1)</f>
        <v/>
      </c>
      <c r="G104" s="802" t="str">
        <f>IF(obp!G61="","",obp!G61)</f>
        <v/>
      </c>
      <c r="H104" s="776" t="str">
        <f>IF(obp!H61=0,"",obp!H61)</f>
        <v/>
      </c>
      <c r="I104" s="433" t="str">
        <f>IF(J104="","",(IF(obp!I61+1&gt;LOOKUP(H104,schaal2013,regels2013),obp!I61,obp!I61+1)))</f>
        <v/>
      </c>
      <c r="J104" s="803" t="str">
        <f>IF(obp!J61="","",obp!J61)</f>
        <v/>
      </c>
      <c r="K104" s="413"/>
      <c r="L104" s="1207">
        <f>IF(obp!L61="","",obp!L61)</f>
        <v>0</v>
      </c>
      <c r="M104" s="1207">
        <f>IF(obp!M61="","",obp!M61)</f>
        <v>0</v>
      </c>
      <c r="N104" s="1209" t="str">
        <f t="shared" si="46"/>
        <v/>
      </c>
      <c r="O104" s="1209"/>
      <c r="P104" s="1283" t="str">
        <f t="shared" si="47"/>
        <v/>
      </c>
      <c r="Q104" s="518"/>
      <c r="R104" s="1076" t="str">
        <f t="shared" si="57"/>
        <v/>
      </c>
      <c r="S104" s="1076" t="str">
        <f t="shared" si="48"/>
        <v/>
      </c>
      <c r="T104" s="1078" t="str">
        <f t="shared" si="49"/>
        <v/>
      </c>
      <c r="U104" s="599"/>
      <c r="V104" s="1261"/>
      <c r="W104" s="1261"/>
      <c r="X104" s="1218"/>
      <c r="Y104" s="1253" t="e">
        <f>ROUND(VLOOKUP(H104,tab!$A$61:$V$103,I104+2,FALSE),0)</f>
        <v>#VALUE!</v>
      </c>
      <c r="Z104" s="1252">
        <f>tab!$E$48</f>
        <v>0.62</v>
      </c>
      <c r="AA104" s="1284" t="e">
        <f t="shared" si="50"/>
        <v>#VALUE!</v>
      </c>
      <c r="AB104" s="1284" t="e">
        <f t="shared" si="51"/>
        <v>#VALUE!</v>
      </c>
      <c r="AC104" s="1284" t="e">
        <f t="shared" si="52"/>
        <v>#VALUE!</v>
      </c>
      <c r="AD104" s="1286" t="e">
        <f t="shared" si="53"/>
        <v>#VALUE!</v>
      </c>
      <c r="AE104" s="1286">
        <f t="shared" si="54"/>
        <v>0</v>
      </c>
      <c r="AF104" s="1254">
        <f>IF(H104&gt;8,tab!$D$49,tab!$D$52)</f>
        <v>0.5</v>
      </c>
      <c r="AG104" s="1255">
        <f t="shared" si="55"/>
        <v>0</v>
      </c>
      <c r="AH104" s="1251">
        <f t="shared" si="56"/>
        <v>0</v>
      </c>
      <c r="AK104" s="198"/>
    </row>
    <row r="105" spans="2:42" ht="12.75" customHeight="1" x14ac:dyDescent="0.2">
      <c r="C105" s="126"/>
      <c r="D105" s="396" t="str">
        <f>IF(obp!D62="","",obp!D62)</f>
        <v/>
      </c>
      <c r="E105" s="432" t="str">
        <f>IF(obp!E62=0,"",obp!E62)</f>
        <v/>
      </c>
      <c r="F105" s="776" t="str">
        <f>IF(obp!F62="","",obp!F62+1)</f>
        <v/>
      </c>
      <c r="G105" s="802" t="str">
        <f>IF(obp!G62="","",obp!G62)</f>
        <v/>
      </c>
      <c r="H105" s="776" t="str">
        <f>IF(obp!H62=0,"",obp!H62)</f>
        <v/>
      </c>
      <c r="I105" s="433" t="str">
        <f>IF(J105="","",(IF(obp!I62+1&gt;LOOKUP(H105,schaal2013,regels2013),obp!I62,obp!I62+1)))</f>
        <v/>
      </c>
      <c r="J105" s="803" t="str">
        <f>IF(obp!J62="","",obp!J62)</f>
        <v/>
      </c>
      <c r="K105" s="413"/>
      <c r="L105" s="1207">
        <f>IF(obp!L62="","",obp!L62)</f>
        <v>0</v>
      </c>
      <c r="M105" s="1207">
        <f>IF(obp!M62="","",obp!M62)</f>
        <v>0</v>
      </c>
      <c r="N105" s="1209" t="str">
        <f t="shared" si="46"/>
        <v/>
      </c>
      <c r="O105" s="1209"/>
      <c r="P105" s="1283" t="str">
        <f t="shared" si="47"/>
        <v/>
      </c>
      <c r="Q105" s="518"/>
      <c r="R105" s="1076" t="str">
        <f t="shared" si="57"/>
        <v/>
      </c>
      <c r="S105" s="1076" t="str">
        <f t="shared" si="48"/>
        <v/>
      </c>
      <c r="T105" s="1078" t="str">
        <f t="shared" si="49"/>
        <v/>
      </c>
      <c r="U105" s="599"/>
      <c r="V105" s="1261"/>
      <c r="W105" s="1261"/>
      <c r="X105" s="1218"/>
      <c r="Y105" s="1253" t="e">
        <f>ROUND(VLOOKUP(H105,tab!$A$61:$V$103,I105+2,FALSE),0)</f>
        <v>#VALUE!</v>
      </c>
      <c r="Z105" s="1252">
        <f>tab!$E$48</f>
        <v>0.62</v>
      </c>
      <c r="AA105" s="1284" t="e">
        <f t="shared" si="50"/>
        <v>#VALUE!</v>
      </c>
      <c r="AB105" s="1284" t="e">
        <f t="shared" si="51"/>
        <v>#VALUE!</v>
      </c>
      <c r="AC105" s="1284" t="e">
        <f t="shared" si="52"/>
        <v>#VALUE!</v>
      </c>
      <c r="AD105" s="1286" t="e">
        <f t="shared" si="53"/>
        <v>#VALUE!</v>
      </c>
      <c r="AE105" s="1286">
        <f t="shared" si="54"/>
        <v>0</v>
      </c>
      <c r="AF105" s="1254">
        <f>IF(H105&gt;8,tab!$D$49,tab!$D$52)</f>
        <v>0.5</v>
      </c>
      <c r="AG105" s="1255">
        <f t="shared" si="55"/>
        <v>0</v>
      </c>
      <c r="AH105" s="1251">
        <f t="shared" si="56"/>
        <v>0</v>
      </c>
      <c r="AK105" s="198"/>
    </row>
    <row r="106" spans="2:42" ht="12.75" customHeight="1" x14ac:dyDescent="0.2">
      <c r="C106" s="126"/>
      <c r="D106" s="396" t="str">
        <f>IF(obp!D63="","",obp!D63)</f>
        <v/>
      </c>
      <c r="E106" s="432" t="str">
        <f>IF(obp!E63=0,"",obp!E63)</f>
        <v/>
      </c>
      <c r="F106" s="776" t="str">
        <f>IF(obp!F63="","",obp!F63+1)</f>
        <v/>
      </c>
      <c r="G106" s="802" t="str">
        <f>IF(obp!G63="","",obp!G63)</f>
        <v/>
      </c>
      <c r="H106" s="776" t="str">
        <f>IF(obp!H63=0,"",obp!H63)</f>
        <v/>
      </c>
      <c r="I106" s="433" t="str">
        <f>IF(J106="","",(IF(obp!I63+1&gt;LOOKUP(H106,schaal2013,regels2013),obp!I63,obp!I63+1)))</f>
        <v/>
      </c>
      <c r="J106" s="803" t="str">
        <f>IF(obp!J63="","",obp!J63)</f>
        <v/>
      </c>
      <c r="K106" s="413"/>
      <c r="L106" s="1207">
        <f>IF(obp!L63="","",obp!L63)</f>
        <v>0</v>
      </c>
      <c r="M106" s="1207">
        <f>IF(obp!M63="","",obp!M63)</f>
        <v>0</v>
      </c>
      <c r="N106" s="1209" t="str">
        <f t="shared" si="46"/>
        <v/>
      </c>
      <c r="O106" s="1209"/>
      <c r="P106" s="1283" t="str">
        <f t="shared" si="47"/>
        <v/>
      </c>
      <c r="Q106" s="518"/>
      <c r="R106" s="1076" t="str">
        <f t="shared" si="57"/>
        <v/>
      </c>
      <c r="S106" s="1076" t="str">
        <f t="shared" si="48"/>
        <v/>
      </c>
      <c r="T106" s="1078" t="str">
        <f t="shared" si="49"/>
        <v/>
      </c>
      <c r="U106" s="599"/>
      <c r="V106" s="1261"/>
      <c r="W106" s="1261"/>
      <c r="X106" s="1218"/>
      <c r="Y106" s="1253" t="e">
        <f>ROUND(VLOOKUP(H106,tab!$A$61:$V$103,I106+2,FALSE),0)</f>
        <v>#VALUE!</v>
      </c>
      <c r="Z106" s="1252">
        <f>tab!$E$48</f>
        <v>0.62</v>
      </c>
      <c r="AA106" s="1284" t="e">
        <f t="shared" si="50"/>
        <v>#VALUE!</v>
      </c>
      <c r="AB106" s="1284" t="e">
        <f t="shared" si="51"/>
        <v>#VALUE!</v>
      </c>
      <c r="AC106" s="1284" t="e">
        <f t="shared" si="52"/>
        <v>#VALUE!</v>
      </c>
      <c r="AD106" s="1286" t="e">
        <f t="shared" si="53"/>
        <v>#VALUE!</v>
      </c>
      <c r="AE106" s="1286">
        <f t="shared" si="54"/>
        <v>0</v>
      </c>
      <c r="AF106" s="1254">
        <f>IF(H106&gt;8,tab!$D$49,tab!$D$52)</f>
        <v>0.5</v>
      </c>
      <c r="AG106" s="1255">
        <f t="shared" si="55"/>
        <v>0</v>
      </c>
      <c r="AH106" s="1251">
        <f t="shared" si="56"/>
        <v>0</v>
      </c>
      <c r="AK106" s="198"/>
    </row>
    <row r="107" spans="2:42" ht="12.75" customHeight="1" x14ac:dyDescent="0.2">
      <c r="C107" s="126"/>
      <c r="D107" s="396" t="str">
        <f>IF(obp!D64="","",obp!D64)</f>
        <v/>
      </c>
      <c r="E107" s="432" t="str">
        <f>IF(obp!E64=0,"",obp!E64)</f>
        <v/>
      </c>
      <c r="F107" s="776" t="str">
        <f>IF(obp!F64="","",obp!F64+1)</f>
        <v/>
      </c>
      <c r="G107" s="802" t="str">
        <f>IF(obp!G64="","",obp!G64)</f>
        <v/>
      </c>
      <c r="H107" s="776" t="str">
        <f>IF(obp!H64=0,"",obp!H64)</f>
        <v/>
      </c>
      <c r="I107" s="433" t="str">
        <f>IF(J107="","",(IF(obp!I64+1&gt;LOOKUP(H107,schaal2013,regels2013),obp!I64,obp!I64+1)))</f>
        <v/>
      </c>
      <c r="J107" s="803" t="str">
        <f>IF(obp!J64="","",obp!J64)</f>
        <v/>
      </c>
      <c r="K107" s="413"/>
      <c r="L107" s="1207">
        <f>IF(obp!L64="","",obp!L64)</f>
        <v>0</v>
      </c>
      <c r="M107" s="1207">
        <f>IF(obp!M64="","",obp!M64)</f>
        <v>0</v>
      </c>
      <c r="N107" s="1209" t="str">
        <f t="shared" si="46"/>
        <v/>
      </c>
      <c r="O107" s="1209"/>
      <c r="P107" s="1283" t="str">
        <f t="shared" si="47"/>
        <v/>
      </c>
      <c r="Q107" s="518"/>
      <c r="R107" s="1076" t="str">
        <f t="shared" si="57"/>
        <v/>
      </c>
      <c r="S107" s="1076" t="str">
        <f t="shared" si="48"/>
        <v/>
      </c>
      <c r="T107" s="1078" t="str">
        <f t="shared" si="49"/>
        <v/>
      </c>
      <c r="U107" s="599"/>
      <c r="V107" s="1261"/>
      <c r="W107" s="1261"/>
      <c r="X107" s="1218"/>
      <c r="Y107" s="1253" t="e">
        <f>ROUND(VLOOKUP(H107,tab!$A$61:$V$103,I107+2,FALSE),0)</f>
        <v>#VALUE!</v>
      </c>
      <c r="Z107" s="1252">
        <f>tab!$E$48</f>
        <v>0.62</v>
      </c>
      <c r="AA107" s="1284" t="e">
        <f t="shared" si="50"/>
        <v>#VALUE!</v>
      </c>
      <c r="AB107" s="1284" t="e">
        <f t="shared" si="51"/>
        <v>#VALUE!</v>
      </c>
      <c r="AC107" s="1284" t="e">
        <f t="shared" si="52"/>
        <v>#VALUE!</v>
      </c>
      <c r="AD107" s="1286" t="e">
        <f t="shared" si="53"/>
        <v>#VALUE!</v>
      </c>
      <c r="AE107" s="1286">
        <f t="shared" si="54"/>
        <v>0</v>
      </c>
      <c r="AF107" s="1254">
        <f>IF(H107&gt;8,tab!$D$49,tab!$D$52)</f>
        <v>0.5</v>
      </c>
      <c r="AG107" s="1255">
        <f t="shared" si="55"/>
        <v>0</v>
      </c>
      <c r="AH107" s="1251">
        <f t="shared" si="56"/>
        <v>0</v>
      </c>
      <c r="AK107" s="198"/>
    </row>
    <row r="108" spans="2:42" ht="12.75" customHeight="1" x14ac:dyDescent="0.2">
      <c r="C108" s="126"/>
      <c r="D108" s="396" t="str">
        <f>IF(obp!D65="","",obp!D65)</f>
        <v/>
      </c>
      <c r="E108" s="432" t="str">
        <f>IF(obp!E65=0,"",obp!E65)</f>
        <v/>
      </c>
      <c r="F108" s="776" t="str">
        <f>IF(obp!F65="","",obp!F65+1)</f>
        <v/>
      </c>
      <c r="G108" s="802" t="str">
        <f>IF(obp!G65="","",obp!G65)</f>
        <v/>
      </c>
      <c r="H108" s="776" t="str">
        <f>IF(obp!H65=0,"",obp!H65)</f>
        <v/>
      </c>
      <c r="I108" s="433" t="str">
        <f>IF(J108="","",(IF(obp!I65+1&gt;LOOKUP(H108,schaal2013,regels2013),obp!I65,obp!I65+1)))</f>
        <v/>
      </c>
      <c r="J108" s="803" t="str">
        <f>IF(obp!J65="","",obp!J65)</f>
        <v/>
      </c>
      <c r="K108" s="413"/>
      <c r="L108" s="1207">
        <f>IF(obp!L65="","",obp!L65)</f>
        <v>0</v>
      </c>
      <c r="M108" s="1207">
        <f>IF(obp!M65="","",obp!M65)</f>
        <v>0</v>
      </c>
      <c r="N108" s="1209" t="str">
        <f t="shared" si="46"/>
        <v/>
      </c>
      <c r="O108" s="1209"/>
      <c r="P108" s="1283" t="str">
        <f t="shared" si="47"/>
        <v/>
      </c>
      <c r="Q108" s="518"/>
      <c r="R108" s="1076" t="str">
        <f t="shared" si="57"/>
        <v/>
      </c>
      <c r="S108" s="1076" t="str">
        <f t="shared" si="48"/>
        <v/>
      </c>
      <c r="T108" s="1078" t="str">
        <f t="shared" si="49"/>
        <v/>
      </c>
      <c r="U108" s="599"/>
      <c r="V108" s="1261"/>
      <c r="W108" s="1261"/>
      <c r="X108" s="1218"/>
      <c r="Y108" s="1253" t="e">
        <f>ROUND(VLOOKUP(H108,tab!$A$61:$V$103,I108+2,FALSE),0)</f>
        <v>#VALUE!</v>
      </c>
      <c r="Z108" s="1252">
        <f>tab!$E$48</f>
        <v>0.62</v>
      </c>
      <c r="AA108" s="1284" t="e">
        <f t="shared" si="50"/>
        <v>#VALUE!</v>
      </c>
      <c r="AB108" s="1284" t="e">
        <f t="shared" si="51"/>
        <v>#VALUE!</v>
      </c>
      <c r="AC108" s="1284" t="e">
        <f t="shared" si="52"/>
        <v>#VALUE!</v>
      </c>
      <c r="AD108" s="1286" t="e">
        <f t="shared" si="53"/>
        <v>#VALUE!</v>
      </c>
      <c r="AE108" s="1286">
        <f t="shared" si="54"/>
        <v>0</v>
      </c>
      <c r="AF108" s="1254">
        <f>IF(H108&gt;8,tab!$D$49,tab!$D$52)</f>
        <v>0.5</v>
      </c>
      <c r="AG108" s="1255">
        <f t="shared" si="55"/>
        <v>0</v>
      </c>
      <c r="AH108" s="1251">
        <f t="shared" si="56"/>
        <v>0</v>
      </c>
      <c r="AK108" s="198"/>
    </row>
    <row r="109" spans="2:42" ht="12.75" customHeight="1" x14ac:dyDescent="0.2">
      <c r="C109" s="126"/>
      <c r="D109" s="396" t="str">
        <f>IF(obp!D66="","",obp!D66)</f>
        <v/>
      </c>
      <c r="E109" s="432" t="str">
        <f>IF(obp!E66=0,"",obp!E66)</f>
        <v/>
      </c>
      <c r="F109" s="776" t="str">
        <f>IF(obp!F66="","",obp!F66+1)</f>
        <v/>
      </c>
      <c r="G109" s="802" t="str">
        <f>IF(obp!G66="","",obp!G66)</f>
        <v/>
      </c>
      <c r="H109" s="776" t="str">
        <f>IF(obp!H66=0,"",obp!H66)</f>
        <v/>
      </c>
      <c r="I109" s="433" t="str">
        <f>IF(J109="","",(IF(obp!I66+1&gt;LOOKUP(H109,schaal2013,regels2013),obp!I66,obp!I66+1)))</f>
        <v/>
      </c>
      <c r="J109" s="803" t="str">
        <f>IF(obp!J66="","",obp!J66)</f>
        <v/>
      </c>
      <c r="K109" s="413"/>
      <c r="L109" s="1207">
        <f>IF(obp!L66="","",obp!L66)</f>
        <v>0</v>
      </c>
      <c r="M109" s="1207">
        <f>IF(obp!M66="","",obp!M66)</f>
        <v>0</v>
      </c>
      <c r="N109" s="1209" t="str">
        <f t="shared" si="46"/>
        <v/>
      </c>
      <c r="O109" s="1209"/>
      <c r="P109" s="1283" t="str">
        <f t="shared" si="47"/>
        <v/>
      </c>
      <c r="Q109" s="518"/>
      <c r="R109" s="1076" t="str">
        <f t="shared" si="57"/>
        <v/>
      </c>
      <c r="S109" s="1076" t="str">
        <f t="shared" si="48"/>
        <v/>
      </c>
      <c r="T109" s="1078" t="str">
        <f t="shared" si="49"/>
        <v/>
      </c>
      <c r="U109" s="599"/>
      <c r="V109" s="1261"/>
      <c r="W109" s="1261"/>
      <c r="X109" s="1218"/>
      <c r="Y109" s="1253" t="e">
        <f>ROUND(VLOOKUP(H109,tab!$A$61:$V$103,I109+2,FALSE),0)</f>
        <v>#VALUE!</v>
      </c>
      <c r="Z109" s="1252">
        <f>tab!$E$48</f>
        <v>0.62</v>
      </c>
      <c r="AA109" s="1284" t="e">
        <f t="shared" si="50"/>
        <v>#VALUE!</v>
      </c>
      <c r="AB109" s="1284" t="e">
        <f t="shared" si="51"/>
        <v>#VALUE!</v>
      </c>
      <c r="AC109" s="1284" t="e">
        <f t="shared" si="52"/>
        <v>#VALUE!</v>
      </c>
      <c r="AD109" s="1286" t="e">
        <f t="shared" si="53"/>
        <v>#VALUE!</v>
      </c>
      <c r="AE109" s="1286">
        <f t="shared" si="54"/>
        <v>0</v>
      </c>
      <c r="AF109" s="1254">
        <f>IF(H109&gt;8,tab!$D$49,tab!$D$52)</f>
        <v>0.5</v>
      </c>
      <c r="AG109" s="1255">
        <f t="shared" si="55"/>
        <v>0</v>
      </c>
      <c r="AH109" s="1251">
        <f t="shared" si="56"/>
        <v>0</v>
      </c>
      <c r="AK109" s="198"/>
    </row>
    <row r="110" spans="2:42" ht="12.75" customHeight="1" x14ac:dyDescent="0.2">
      <c r="C110" s="126"/>
      <c r="D110" s="396" t="str">
        <f>IF(obp!D67="","",obp!D67)</f>
        <v/>
      </c>
      <c r="E110" s="432" t="str">
        <f>IF(obp!E67=0,"",obp!E67)</f>
        <v/>
      </c>
      <c r="F110" s="776" t="str">
        <f>IF(obp!F67="","",obp!F67+1)</f>
        <v/>
      </c>
      <c r="G110" s="802" t="str">
        <f>IF(obp!G67="","",obp!G67)</f>
        <v/>
      </c>
      <c r="H110" s="776" t="str">
        <f>IF(obp!H67=0,"",obp!H67)</f>
        <v/>
      </c>
      <c r="I110" s="433" t="str">
        <f>IF(J110="","",(IF(obp!I67+1&gt;LOOKUP(H110,schaal2013,regels2013),obp!I67,obp!I67+1)))</f>
        <v/>
      </c>
      <c r="J110" s="803" t="str">
        <f>IF(obp!J67="","",obp!J67)</f>
        <v/>
      </c>
      <c r="K110" s="413"/>
      <c r="L110" s="1207">
        <f>IF(obp!L67="","",obp!L67)</f>
        <v>0</v>
      </c>
      <c r="M110" s="1207">
        <f>IF(obp!M67="","",obp!M67)</f>
        <v>0</v>
      </c>
      <c r="N110" s="1209" t="str">
        <f t="shared" si="46"/>
        <v/>
      </c>
      <c r="O110" s="1209"/>
      <c r="P110" s="1283" t="str">
        <f t="shared" si="47"/>
        <v/>
      </c>
      <c r="Q110" s="518"/>
      <c r="R110" s="1076" t="str">
        <f t="shared" si="57"/>
        <v/>
      </c>
      <c r="S110" s="1076" t="str">
        <f t="shared" si="48"/>
        <v/>
      </c>
      <c r="T110" s="1078" t="str">
        <f t="shared" si="49"/>
        <v/>
      </c>
      <c r="U110" s="599"/>
      <c r="V110" s="1261"/>
      <c r="W110" s="1261"/>
      <c r="X110" s="1218"/>
      <c r="Y110" s="1253" t="e">
        <f>ROUND(VLOOKUP(H110,tab!$A$61:$V$103,I110+2,FALSE),0)</f>
        <v>#VALUE!</v>
      </c>
      <c r="Z110" s="1252">
        <f>tab!$E$48</f>
        <v>0.62</v>
      </c>
      <c r="AA110" s="1284" t="e">
        <f t="shared" si="50"/>
        <v>#VALUE!</v>
      </c>
      <c r="AB110" s="1284" t="e">
        <f t="shared" si="51"/>
        <v>#VALUE!</v>
      </c>
      <c r="AC110" s="1284" t="e">
        <f t="shared" si="52"/>
        <v>#VALUE!</v>
      </c>
      <c r="AD110" s="1286" t="e">
        <f t="shared" si="53"/>
        <v>#VALUE!</v>
      </c>
      <c r="AE110" s="1286">
        <f t="shared" si="54"/>
        <v>0</v>
      </c>
      <c r="AF110" s="1254">
        <f>IF(H110&gt;8,tab!$D$49,tab!$D$52)</f>
        <v>0.5</v>
      </c>
      <c r="AG110" s="1255">
        <f t="shared" si="55"/>
        <v>0</v>
      </c>
      <c r="AH110" s="1251">
        <f t="shared" si="56"/>
        <v>0</v>
      </c>
      <c r="AK110" s="198"/>
    </row>
    <row r="111" spans="2:42" ht="12.75" customHeight="1" x14ac:dyDescent="0.2">
      <c r="C111" s="126"/>
      <c r="D111" s="396" t="str">
        <f>IF(obp!D68="","",obp!D68)</f>
        <v/>
      </c>
      <c r="E111" s="432" t="str">
        <f>IF(obp!E68=0,"",obp!E68)</f>
        <v/>
      </c>
      <c r="F111" s="776" t="str">
        <f>IF(obp!F68="","",obp!F68+1)</f>
        <v/>
      </c>
      <c r="G111" s="802" t="str">
        <f>IF(obp!G68="","",obp!G68)</f>
        <v/>
      </c>
      <c r="H111" s="776" t="str">
        <f>IF(obp!H68=0,"",obp!H68)</f>
        <v/>
      </c>
      <c r="I111" s="433" t="str">
        <f>IF(J111="","",(IF(obp!I68+1&gt;LOOKUP(H111,schaal2013,regels2013),obp!I68,obp!I68+1)))</f>
        <v/>
      </c>
      <c r="J111" s="803" t="str">
        <f>IF(obp!J68="","",obp!J68)</f>
        <v/>
      </c>
      <c r="K111" s="413"/>
      <c r="L111" s="1207">
        <f>IF(obp!L68="","",obp!L68)</f>
        <v>0</v>
      </c>
      <c r="M111" s="1207">
        <f>IF(obp!M68="","",obp!M68)</f>
        <v>0</v>
      </c>
      <c r="N111" s="1209" t="str">
        <f t="shared" si="46"/>
        <v/>
      </c>
      <c r="O111" s="1209"/>
      <c r="P111" s="1283" t="str">
        <f t="shared" si="47"/>
        <v/>
      </c>
      <c r="Q111" s="518"/>
      <c r="R111" s="1076" t="str">
        <f t="shared" si="57"/>
        <v/>
      </c>
      <c r="S111" s="1076" t="str">
        <f t="shared" si="48"/>
        <v/>
      </c>
      <c r="T111" s="1078" t="str">
        <f t="shared" si="49"/>
        <v/>
      </c>
      <c r="U111" s="599"/>
      <c r="V111" s="1261"/>
      <c r="W111" s="1261"/>
      <c r="X111" s="1218"/>
      <c r="Y111" s="1253" t="e">
        <f>ROUND(VLOOKUP(H111,tab!$A$61:$V$103,I111+2,FALSE),0)</f>
        <v>#VALUE!</v>
      </c>
      <c r="Z111" s="1252">
        <f>tab!$E$48</f>
        <v>0.62</v>
      </c>
      <c r="AA111" s="1284" t="e">
        <f t="shared" si="50"/>
        <v>#VALUE!</v>
      </c>
      <c r="AB111" s="1284" t="e">
        <f t="shared" si="51"/>
        <v>#VALUE!</v>
      </c>
      <c r="AC111" s="1284" t="e">
        <f t="shared" si="52"/>
        <v>#VALUE!</v>
      </c>
      <c r="AD111" s="1286" t="e">
        <f t="shared" si="53"/>
        <v>#VALUE!</v>
      </c>
      <c r="AE111" s="1286">
        <f t="shared" si="54"/>
        <v>0</v>
      </c>
      <c r="AF111" s="1254">
        <f>IF(H111&gt;8,tab!$D$49,tab!$D$52)</f>
        <v>0.5</v>
      </c>
      <c r="AG111" s="1255">
        <f t="shared" si="55"/>
        <v>0</v>
      </c>
      <c r="AH111" s="1251">
        <f t="shared" si="56"/>
        <v>0</v>
      </c>
      <c r="AK111" s="198"/>
    </row>
    <row r="112" spans="2:42" ht="12.75" customHeight="1" x14ac:dyDescent="0.2">
      <c r="C112" s="126"/>
      <c r="D112" s="396" t="str">
        <f>IF(obp!D69="","",obp!D69)</f>
        <v/>
      </c>
      <c r="E112" s="432" t="str">
        <f>IF(obp!E69=0,"",obp!E69)</f>
        <v/>
      </c>
      <c r="F112" s="776" t="str">
        <f>IF(obp!F69="","",obp!F69+1)</f>
        <v/>
      </c>
      <c r="G112" s="802" t="str">
        <f>IF(obp!G69="","",obp!G69)</f>
        <v/>
      </c>
      <c r="H112" s="776" t="str">
        <f>IF(obp!H69=0,"",obp!H69)</f>
        <v/>
      </c>
      <c r="I112" s="433" t="str">
        <f>IF(J112="","",(IF(obp!I69+1&gt;LOOKUP(H112,schaal2013,regels2013),obp!I69,obp!I69+1)))</f>
        <v/>
      </c>
      <c r="J112" s="803" t="str">
        <f>IF(obp!J69="","",obp!J69)</f>
        <v/>
      </c>
      <c r="K112" s="413"/>
      <c r="L112" s="1207">
        <f>IF(obp!L69="","",obp!L69)</f>
        <v>0</v>
      </c>
      <c r="M112" s="1207">
        <f>IF(obp!M69="","",obp!M69)</f>
        <v>0</v>
      </c>
      <c r="N112" s="1209" t="str">
        <f t="shared" si="46"/>
        <v/>
      </c>
      <c r="O112" s="1209"/>
      <c r="P112" s="1283" t="str">
        <f t="shared" si="47"/>
        <v/>
      </c>
      <c r="Q112" s="518"/>
      <c r="R112" s="1076" t="str">
        <f t="shared" si="57"/>
        <v/>
      </c>
      <c r="S112" s="1076" t="str">
        <f t="shared" si="48"/>
        <v/>
      </c>
      <c r="T112" s="1078" t="str">
        <f t="shared" si="49"/>
        <v/>
      </c>
      <c r="U112" s="599"/>
      <c r="V112" s="1261"/>
      <c r="W112" s="1261"/>
      <c r="X112" s="1218"/>
      <c r="Y112" s="1253" t="e">
        <f>ROUND(VLOOKUP(H112,tab!$A$61:$V$103,I112+2,FALSE),0)</f>
        <v>#VALUE!</v>
      </c>
      <c r="Z112" s="1252">
        <f>tab!$E$48</f>
        <v>0.62</v>
      </c>
      <c r="AA112" s="1284" t="e">
        <f t="shared" si="50"/>
        <v>#VALUE!</v>
      </c>
      <c r="AB112" s="1284" t="e">
        <f t="shared" si="51"/>
        <v>#VALUE!</v>
      </c>
      <c r="AC112" s="1284" t="e">
        <f t="shared" si="52"/>
        <v>#VALUE!</v>
      </c>
      <c r="AD112" s="1286" t="e">
        <f t="shared" si="53"/>
        <v>#VALUE!</v>
      </c>
      <c r="AE112" s="1286">
        <f t="shared" si="54"/>
        <v>0</v>
      </c>
      <c r="AF112" s="1254">
        <f>IF(H112&gt;8,tab!$D$49,tab!$D$52)</f>
        <v>0.5</v>
      </c>
      <c r="AG112" s="1255">
        <f t="shared" si="55"/>
        <v>0</v>
      </c>
      <c r="AH112" s="1251">
        <f t="shared" si="56"/>
        <v>0</v>
      </c>
      <c r="AK112" s="198"/>
    </row>
    <row r="113" spans="3:37" ht="12.75" customHeight="1" x14ac:dyDescent="0.2">
      <c r="C113" s="126"/>
      <c r="D113" s="396" t="str">
        <f>IF(obp!D70="","",obp!D70)</f>
        <v/>
      </c>
      <c r="E113" s="432" t="str">
        <f>IF(obp!E70=0,"",obp!E70)</f>
        <v/>
      </c>
      <c r="F113" s="776" t="str">
        <f>IF(obp!F70="","",obp!F70+1)</f>
        <v/>
      </c>
      <c r="G113" s="802" t="str">
        <f>IF(obp!G70="","",obp!G70)</f>
        <v/>
      </c>
      <c r="H113" s="776" t="str">
        <f>IF(obp!H70=0,"",obp!H70)</f>
        <v/>
      </c>
      <c r="I113" s="433" t="str">
        <f>IF(J113="","",(IF(obp!I70+1&gt;LOOKUP(H113,schaal2013,regels2013),obp!I70,obp!I70+1)))</f>
        <v/>
      </c>
      <c r="J113" s="803" t="str">
        <f>IF(obp!J70="","",obp!J70)</f>
        <v/>
      </c>
      <c r="K113" s="413"/>
      <c r="L113" s="1207">
        <f>IF(obp!L70="","",obp!L70)</f>
        <v>0</v>
      </c>
      <c r="M113" s="1207">
        <f>IF(obp!M70="","",obp!M70)</f>
        <v>0</v>
      </c>
      <c r="N113" s="1209" t="str">
        <f t="shared" si="46"/>
        <v/>
      </c>
      <c r="O113" s="1209"/>
      <c r="P113" s="1283" t="str">
        <f t="shared" si="47"/>
        <v/>
      </c>
      <c r="Q113" s="518"/>
      <c r="R113" s="1076" t="str">
        <f t="shared" si="57"/>
        <v/>
      </c>
      <c r="S113" s="1076" t="str">
        <f t="shared" si="48"/>
        <v/>
      </c>
      <c r="T113" s="1078" t="str">
        <f t="shared" si="49"/>
        <v/>
      </c>
      <c r="U113" s="599"/>
      <c r="V113" s="1261"/>
      <c r="W113" s="1261"/>
      <c r="X113" s="1218"/>
      <c r="Y113" s="1253" t="e">
        <f>ROUND(VLOOKUP(H113,tab!$A$61:$V$103,I113+2,FALSE),0)</f>
        <v>#VALUE!</v>
      </c>
      <c r="Z113" s="1252">
        <f>tab!$E$48</f>
        <v>0.62</v>
      </c>
      <c r="AA113" s="1284" t="e">
        <f t="shared" si="50"/>
        <v>#VALUE!</v>
      </c>
      <c r="AB113" s="1284" t="e">
        <f t="shared" si="51"/>
        <v>#VALUE!</v>
      </c>
      <c r="AC113" s="1284" t="e">
        <f t="shared" si="52"/>
        <v>#VALUE!</v>
      </c>
      <c r="AD113" s="1286" t="e">
        <f t="shared" si="53"/>
        <v>#VALUE!</v>
      </c>
      <c r="AE113" s="1286">
        <f t="shared" si="54"/>
        <v>0</v>
      </c>
      <c r="AF113" s="1254">
        <f>IF(H113&gt;8,tab!$D$49,tab!$D$52)</f>
        <v>0.5</v>
      </c>
      <c r="AG113" s="1255">
        <f t="shared" si="55"/>
        <v>0</v>
      </c>
      <c r="AH113" s="1251">
        <f t="shared" si="56"/>
        <v>0</v>
      </c>
      <c r="AK113" s="198"/>
    </row>
    <row r="114" spans="3:37" ht="12.75" customHeight="1" x14ac:dyDescent="0.2">
      <c r="C114" s="126"/>
      <c r="D114" s="396" t="str">
        <f>IF(obp!D71="","",obp!D71)</f>
        <v/>
      </c>
      <c r="E114" s="432" t="str">
        <f>IF(obp!E71=0,"",obp!E71)</f>
        <v/>
      </c>
      <c r="F114" s="776" t="str">
        <f>IF(obp!F71="","",obp!F71+1)</f>
        <v/>
      </c>
      <c r="G114" s="802" t="str">
        <f>IF(obp!G71="","",obp!G71)</f>
        <v/>
      </c>
      <c r="H114" s="776" t="str">
        <f>IF(obp!H71=0,"",obp!H71)</f>
        <v/>
      </c>
      <c r="I114" s="433" t="str">
        <f>IF(J114="","",(IF(obp!I71+1&gt;LOOKUP(H114,schaal2013,regels2013),obp!I71,obp!I71+1)))</f>
        <v/>
      </c>
      <c r="J114" s="803" t="str">
        <f>IF(obp!J71="","",obp!J71)</f>
        <v/>
      </c>
      <c r="K114" s="413"/>
      <c r="L114" s="1207">
        <f>IF(obp!L71="","",obp!L71)</f>
        <v>0</v>
      </c>
      <c r="M114" s="1207">
        <f>IF(obp!M71="","",obp!M71)</f>
        <v>0</v>
      </c>
      <c r="N114" s="1209" t="str">
        <f t="shared" si="46"/>
        <v/>
      </c>
      <c r="O114" s="1209"/>
      <c r="P114" s="1283" t="str">
        <f t="shared" si="47"/>
        <v/>
      </c>
      <c r="Q114" s="518"/>
      <c r="R114" s="1076" t="str">
        <f t="shared" si="57"/>
        <v/>
      </c>
      <c r="S114" s="1076" t="str">
        <f t="shared" si="48"/>
        <v/>
      </c>
      <c r="T114" s="1078" t="str">
        <f t="shared" si="49"/>
        <v/>
      </c>
      <c r="U114" s="599"/>
      <c r="V114" s="1261"/>
      <c r="W114" s="1261"/>
      <c r="X114" s="1218"/>
      <c r="Y114" s="1253" t="e">
        <f>ROUND(VLOOKUP(H114,tab!$A$61:$V$103,I114+2,FALSE),0)</f>
        <v>#VALUE!</v>
      </c>
      <c r="Z114" s="1252">
        <f>tab!$E$48</f>
        <v>0.62</v>
      </c>
      <c r="AA114" s="1284" t="e">
        <f t="shared" si="50"/>
        <v>#VALUE!</v>
      </c>
      <c r="AB114" s="1284" t="e">
        <f t="shared" si="51"/>
        <v>#VALUE!</v>
      </c>
      <c r="AC114" s="1284" t="e">
        <f t="shared" si="52"/>
        <v>#VALUE!</v>
      </c>
      <c r="AD114" s="1286" t="e">
        <f t="shared" si="53"/>
        <v>#VALUE!</v>
      </c>
      <c r="AE114" s="1286">
        <f t="shared" si="54"/>
        <v>0</v>
      </c>
      <c r="AF114" s="1254">
        <f>IF(H114&gt;8,tab!$D$49,tab!$D$52)</f>
        <v>0.5</v>
      </c>
      <c r="AG114" s="1255">
        <f t="shared" si="55"/>
        <v>0</v>
      </c>
      <c r="AH114" s="1251">
        <f t="shared" si="56"/>
        <v>0</v>
      </c>
      <c r="AK114" s="198"/>
    </row>
    <row r="115" spans="3:37" ht="12.75" customHeight="1" x14ac:dyDescent="0.2">
      <c r="C115" s="126"/>
      <c r="D115" s="396" t="str">
        <f>IF(obp!D72="","",obp!D72)</f>
        <v/>
      </c>
      <c r="E115" s="432" t="str">
        <f>IF(obp!E72=0,"",obp!E72)</f>
        <v/>
      </c>
      <c r="F115" s="776" t="str">
        <f>IF(obp!F72="","",obp!F72+1)</f>
        <v/>
      </c>
      <c r="G115" s="802" t="str">
        <f>IF(obp!G72="","",obp!G72)</f>
        <v/>
      </c>
      <c r="H115" s="776" t="str">
        <f>IF(obp!H72=0,"",obp!H72)</f>
        <v/>
      </c>
      <c r="I115" s="433" t="str">
        <f>IF(J115="","",(IF(obp!I72+1&gt;LOOKUP(H115,schaal2013,regels2013),obp!I72,obp!I72+1)))</f>
        <v/>
      </c>
      <c r="J115" s="803" t="str">
        <f>IF(obp!J72="","",obp!J72)</f>
        <v/>
      </c>
      <c r="K115" s="413"/>
      <c r="L115" s="1207">
        <f>IF(obp!L72="","",obp!L72)</f>
        <v>0</v>
      </c>
      <c r="M115" s="1207">
        <f>IF(obp!M72="","",obp!M72)</f>
        <v>0</v>
      </c>
      <c r="N115" s="1209" t="str">
        <f t="shared" si="46"/>
        <v/>
      </c>
      <c r="O115" s="1209"/>
      <c r="P115" s="1283" t="str">
        <f t="shared" si="47"/>
        <v/>
      </c>
      <c r="Q115" s="518"/>
      <c r="R115" s="1076" t="str">
        <f t="shared" si="57"/>
        <v/>
      </c>
      <c r="S115" s="1076" t="str">
        <f t="shared" si="48"/>
        <v/>
      </c>
      <c r="T115" s="1078" t="str">
        <f t="shared" si="49"/>
        <v/>
      </c>
      <c r="U115" s="599"/>
      <c r="V115" s="1261"/>
      <c r="W115" s="1261"/>
      <c r="X115" s="1218"/>
      <c r="Y115" s="1253" t="e">
        <f>ROUND(VLOOKUP(H115,tab!$A$61:$V$103,I115+2,FALSE),0)</f>
        <v>#VALUE!</v>
      </c>
      <c r="Z115" s="1252">
        <f>tab!$E$48</f>
        <v>0.62</v>
      </c>
      <c r="AA115" s="1284" t="e">
        <f t="shared" si="50"/>
        <v>#VALUE!</v>
      </c>
      <c r="AB115" s="1284" t="e">
        <f t="shared" si="51"/>
        <v>#VALUE!</v>
      </c>
      <c r="AC115" s="1284" t="e">
        <f t="shared" si="52"/>
        <v>#VALUE!</v>
      </c>
      <c r="AD115" s="1286" t="e">
        <f t="shared" si="53"/>
        <v>#VALUE!</v>
      </c>
      <c r="AE115" s="1286">
        <f t="shared" si="54"/>
        <v>0</v>
      </c>
      <c r="AF115" s="1254">
        <f>IF(H115&gt;8,tab!$D$49,tab!$D$52)</f>
        <v>0.5</v>
      </c>
      <c r="AG115" s="1255">
        <f t="shared" si="55"/>
        <v>0</v>
      </c>
      <c r="AH115" s="1251">
        <f t="shared" si="56"/>
        <v>0</v>
      </c>
      <c r="AK115" s="198"/>
    </row>
    <row r="116" spans="3:37" ht="12.75" customHeight="1" x14ac:dyDescent="0.2">
      <c r="C116" s="126"/>
      <c r="D116" s="396" t="str">
        <f>IF(obp!D73="","",obp!D73)</f>
        <v/>
      </c>
      <c r="E116" s="432" t="str">
        <f>IF(obp!E73=0,"",obp!E73)</f>
        <v/>
      </c>
      <c r="F116" s="776" t="str">
        <f>IF(obp!F73="","",obp!F73+1)</f>
        <v/>
      </c>
      <c r="G116" s="802" t="str">
        <f>IF(obp!G73="","",obp!G73)</f>
        <v/>
      </c>
      <c r="H116" s="776" t="str">
        <f>IF(obp!H73=0,"",obp!H73)</f>
        <v/>
      </c>
      <c r="I116" s="433" t="str">
        <f>IF(J116="","",(IF(obp!I73+1&gt;LOOKUP(H116,schaal2013,regels2013),obp!I73,obp!I73+1)))</f>
        <v/>
      </c>
      <c r="J116" s="803" t="str">
        <f>IF(obp!J73="","",obp!J73)</f>
        <v/>
      </c>
      <c r="K116" s="413"/>
      <c r="L116" s="1207">
        <f>IF(obp!L73="","",obp!L73)</f>
        <v>0</v>
      </c>
      <c r="M116" s="1207">
        <f>IF(obp!M73="","",obp!M73)</f>
        <v>0</v>
      </c>
      <c r="N116" s="1209" t="str">
        <f t="shared" si="46"/>
        <v/>
      </c>
      <c r="O116" s="1209"/>
      <c r="P116" s="1283" t="str">
        <f t="shared" si="47"/>
        <v/>
      </c>
      <c r="Q116" s="518"/>
      <c r="R116" s="1076" t="str">
        <f t="shared" si="57"/>
        <v/>
      </c>
      <c r="S116" s="1076" t="str">
        <f t="shared" si="48"/>
        <v/>
      </c>
      <c r="T116" s="1078" t="str">
        <f t="shared" si="49"/>
        <v/>
      </c>
      <c r="U116" s="599"/>
      <c r="V116" s="1261"/>
      <c r="W116" s="1261"/>
      <c r="X116" s="1218"/>
      <c r="Y116" s="1253" t="e">
        <f>ROUND(VLOOKUP(H116,tab!$A$61:$V$103,I116+2,FALSE),0)</f>
        <v>#VALUE!</v>
      </c>
      <c r="Z116" s="1252">
        <f>tab!$E$48</f>
        <v>0.62</v>
      </c>
      <c r="AA116" s="1284" t="e">
        <f t="shared" si="50"/>
        <v>#VALUE!</v>
      </c>
      <c r="AB116" s="1284" t="e">
        <f t="shared" si="51"/>
        <v>#VALUE!</v>
      </c>
      <c r="AC116" s="1284" t="e">
        <f t="shared" si="52"/>
        <v>#VALUE!</v>
      </c>
      <c r="AD116" s="1286" t="e">
        <f t="shared" si="53"/>
        <v>#VALUE!</v>
      </c>
      <c r="AE116" s="1286">
        <f t="shared" si="54"/>
        <v>0</v>
      </c>
      <c r="AF116" s="1254">
        <f>IF(H116&gt;8,tab!$D$49,tab!$D$52)</f>
        <v>0.5</v>
      </c>
      <c r="AG116" s="1255">
        <f t="shared" si="55"/>
        <v>0</v>
      </c>
      <c r="AH116" s="1251">
        <f t="shared" si="56"/>
        <v>0</v>
      </c>
      <c r="AK116" s="198"/>
    </row>
    <row r="117" spans="3:37" ht="12.75" customHeight="1" x14ac:dyDescent="0.2">
      <c r="C117" s="126"/>
      <c r="D117" s="396" t="str">
        <f>IF(obp!D74="","",obp!D74)</f>
        <v/>
      </c>
      <c r="E117" s="432" t="str">
        <f>IF(obp!E74=0,"",obp!E74)</f>
        <v/>
      </c>
      <c r="F117" s="776" t="str">
        <f>IF(obp!F74="","",obp!F74+1)</f>
        <v/>
      </c>
      <c r="G117" s="802" t="str">
        <f>IF(obp!G74="","",obp!G74)</f>
        <v/>
      </c>
      <c r="H117" s="776" t="str">
        <f>IF(obp!H74=0,"",obp!H74)</f>
        <v/>
      </c>
      <c r="I117" s="433" t="str">
        <f>IF(J117="","",(IF(obp!I74+1&gt;LOOKUP(H117,schaal2013,regels2013),obp!I74,obp!I74+1)))</f>
        <v/>
      </c>
      <c r="J117" s="803" t="str">
        <f>IF(obp!J74="","",obp!J74)</f>
        <v/>
      </c>
      <c r="K117" s="413"/>
      <c r="L117" s="1207">
        <f>IF(obp!L74="","",obp!L74)</f>
        <v>0</v>
      </c>
      <c r="M117" s="1207">
        <f>IF(obp!M74="","",obp!M74)</f>
        <v>0</v>
      </c>
      <c r="N117" s="1209" t="str">
        <f t="shared" si="46"/>
        <v/>
      </c>
      <c r="O117" s="1209"/>
      <c r="P117" s="1283" t="str">
        <f t="shared" si="47"/>
        <v/>
      </c>
      <c r="Q117" s="518"/>
      <c r="R117" s="1076" t="str">
        <f t="shared" si="57"/>
        <v/>
      </c>
      <c r="S117" s="1076" t="str">
        <f t="shared" si="48"/>
        <v/>
      </c>
      <c r="T117" s="1078" t="str">
        <f t="shared" si="49"/>
        <v/>
      </c>
      <c r="U117" s="599"/>
      <c r="V117" s="1261"/>
      <c r="W117" s="1261"/>
      <c r="X117" s="1218"/>
      <c r="Y117" s="1253" t="e">
        <f>ROUND(VLOOKUP(H117,tab!$A$61:$V$103,I117+2,FALSE),0)</f>
        <v>#VALUE!</v>
      </c>
      <c r="Z117" s="1252">
        <f>tab!$E$48</f>
        <v>0.62</v>
      </c>
      <c r="AA117" s="1284" t="e">
        <f t="shared" si="50"/>
        <v>#VALUE!</v>
      </c>
      <c r="AB117" s="1284" t="e">
        <f t="shared" si="51"/>
        <v>#VALUE!</v>
      </c>
      <c r="AC117" s="1284" t="e">
        <f t="shared" si="52"/>
        <v>#VALUE!</v>
      </c>
      <c r="AD117" s="1286" t="e">
        <f t="shared" si="53"/>
        <v>#VALUE!</v>
      </c>
      <c r="AE117" s="1286">
        <f t="shared" si="54"/>
        <v>0</v>
      </c>
      <c r="AF117" s="1254">
        <f>IF(H117&gt;8,tab!$D$49,tab!$D$52)</f>
        <v>0.5</v>
      </c>
      <c r="AG117" s="1255">
        <f t="shared" si="55"/>
        <v>0</v>
      </c>
      <c r="AH117" s="1251">
        <f t="shared" si="56"/>
        <v>0</v>
      </c>
      <c r="AK117" s="198"/>
    </row>
    <row r="118" spans="3:37" ht="12.75" customHeight="1" x14ac:dyDescent="0.2">
      <c r="C118" s="126"/>
      <c r="D118" s="396" t="str">
        <f>IF(obp!D75="","",obp!D75)</f>
        <v/>
      </c>
      <c r="E118" s="432" t="str">
        <f>IF(obp!E75=0,"",obp!E75)</f>
        <v/>
      </c>
      <c r="F118" s="776" t="str">
        <f>IF(obp!F75="","",obp!F75+1)</f>
        <v/>
      </c>
      <c r="G118" s="802" t="str">
        <f>IF(obp!G75="","",obp!G75)</f>
        <v/>
      </c>
      <c r="H118" s="776" t="str">
        <f>IF(obp!H75=0,"",obp!H75)</f>
        <v/>
      </c>
      <c r="I118" s="433" t="str">
        <f>IF(J118="","",(IF(obp!I75+1&gt;LOOKUP(H118,schaal2013,regels2013),obp!I75,obp!I75+1)))</f>
        <v/>
      </c>
      <c r="J118" s="803" t="str">
        <f>IF(obp!J75="","",obp!J75)</f>
        <v/>
      </c>
      <c r="K118" s="413"/>
      <c r="L118" s="1207">
        <f>IF(obp!L75="","",obp!L75)</f>
        <v>0</v>
      </c>
      <c r="M118" s="1207">
        <f>IF(obp!M75="","",obp!M75)</f>
        <v>0</v>
      </c>
      <c r="N118" s="1209" t="str">
        <f t="shared" si="46"/>
        <v/>
      </c>
      <c r="O118" s="1209"/>
      <c r="P118" s="1283" t="str">
        <f t="shared" si="47"/>
        <v/>
      </c>
      <c r="Q118" s="518"/>
      <c r="R118" s="1076" t="str">
        <f t="shared" si="57"/>
        <v/>
      </c>
      <c r="S118" s="1076" t="str">
        <f t="shared" si="48"/>
        <v/>
      </c>
      <c r="T118" s="1078" t="str">
        <f t="shared" si="49"/>
        <v/>
      </c>
      <c r="U118" s="599"/>
      <c r="V118" s="1261"/>
      <c r="W118" s="1261"/>
      <c r="X118" s="1218"/>
      <c r="Y118" s="1253" t="e">
        <f>ROUND(VLOOKUP(H118,tab!$A$61:$V$103,I118+2,FALSE),0)</f>
        <v>#VALUE!</v>
      </c>
      <c r="Z118" s="1252">
        <f>tab!$E$48</f>
        <v>0.62</v>
      </c>
      <c r="AA118" s="1284" t="e">
        <f t="shared" si="50"/>
        <v>#VALUE!</v>
      </c>
      <c r="AB118" s="1284" t="e">
        <f t="shared" si="51"/>
        <v>#VALUE!</v>
      </c>
      <c r="AC118" s="1284" t="e">
        <f t="shared" si="52"/>
        <v>#VALUE!</v>
      </c>
      <c r="AD118" s="1286" t="e">
        <f t="shared" si="53"/>
        <v>#VALUE!</v>
      </c>
      <c r="AE118" s="1286">
        <f t="shared" si="54"/>
        <v>0</v>
      </c>
      <c r="AF118" s="1254">
        <f>IF(H118&gt;8,tab!$D$49,tab!$D$52)</f>
        <v>0.5</v>
      </c>
      <c r="AG118" s="1255">
        <f t="shared" si="55"/>
        <v>0</v>
      </c>
      <c r="AH118" s="1251">
        <f t="shared" si="56"/>
        <v>0</v>
      </c>
      <c r="AK118" s="198"/>
    </row>
    <row r="119" spans="3:37" ht="12.75" customHeight="1" x14ac:dyDescent="0.2">
      <c r="C119" s="126"/>
      <c r="D119" s="396" t="str">
        <f>IF(obp!D76="","",obp!D76)</f>
        <v/>
      </c>
      <c r="E119" s="432" t="str">
        <f>IF(obp!E76=0,"",obp!E76)</f>
        <v/>
      </c>
      <c r="F119" s="776" t="str">
        <f>IF(obp!F76="","",obp!F76+1)</f>
        <v/>
      </c>
      <c r="G119" s="802" t="str">
        <f>IF(obp!G76="","",obp!G76)</f>
        <v/>
      </c>
      <c r="H119" s="776" t="str">
        <f>IF(obp!H76=0,"",obp!H76)</f>
        <v/>
      </c>
      <c r="I119" s="433" t="str">
        <f>IF(J119="","",(IF(obp!I76+1&gt;LOOKUP(H119,schaal2013,regels2013),obp!I76,obp!I76+1)))</f>
        <v/>
      </c>
      <c r="J119" s="803" t="str">
        <f>IF(obp!J76="","",obp!J76)</f>
        <v/>
      </c>
      <c r="K119" s="413"/>
      <c r="L119" s="1207">
        <f>IF(obp!L76="","",obp!L76)</f>
        <v>0</v>
      </c>
      <c r="M119" s="1207">
        <f>IF(obp!M76="","",obp!M76)</f>
        <v>0</v>
      </c>
      <c r="N119" s="1209" t="str">
        <f t="shared" si="46"/>
        <v/>
      </c>
      <c r="O119" s="1209"/>
      <c r="P119" s="1283" t="str">
        <f t="shared" si="47"/>
        <v/>
      </c>
      <c r="Q119" s="518"/>
      <c r="R119" s="1076" t="str">
        <f t="shared" si="57"/>
        <v/>
      </c>
      <c r="S119" s="1076" t="str">
        <f t="shared" si="48"/>
        <v/>
      </c>
      <c r="T119" s="1078" t="str">
        <f t="shared" si="49"/>
        <v/>
      </c>
      <c r="U119" s="599"/>
      <c r="V119" s="1261"/>
      <c r="W119" s="1261"/>
      <c r="X119" s="1218"/>
      <c r="Y119" s="1253" t="e">
        <f>ROUND(VLOOKUP(H119,tab!$A$61:$V$103,I119+2,FALSE),0)</f>
        <v>#VALUE!</v>
      </c>
      <c r="Z119" s="1252">
        <f>tab!$E$48</f>
        <v>0.62</v>
      </c>
      <c r="AA119" s="1284" t="e">
        <f t="shared" si="50"/>
        <v>#VALUE!</v>
      </c>
      <c r="AB119" s="1284" t="e">
        <f t="shared" si="51"/>
        <v>#VALUE!</v>
      </c>
      <c r="AC119" s="1284" t="e">
        <f t="shared" si="52"/>
        <v>#VALUE!</v>
      </c>
      <c r="AD119" s="1286" t="e">
        <f t="shared" si="53"/>
        <v>#VALUE!</v>
      </c>
      <c r="AE119" s="1286">
        <f t="shared" si="54"/>
        <v>0</v>
      </c>
      <c r="AF119" s="1254">
        <f>IF(H119&gt;8,tab!$D$49,tab!$D$52)</f>
        <v>0.5</v>
      </c>
      <c r="AG119" s="1255">
        <f t="shared" si="55"/>
        <v>0</v>
      </c>
      <c r="AH119" s="1251">
        <f t="shared" si="56"/>
        <v>0</v>
      </c>
      <c r="AK119" s="198"/>
    </row>
    <row r="120" spans="3:37" ht="12.75" customHeight="1" x14ac:dyDescent="0.2">
      <c r="C120" s="126"/>
      <c r="D120" s="396" t="str">
        <f>IF(obp!D77="","",obp!D77)</f>
        <v/>
      </c>
      <c r="E120" s="432" t="str">
        <f>IF(obp!E77=0,"",obp!E77)</f>
        <v/>
      </c>
      <c r="F120" s="117" t="str">
        <f>IF(obp!F77="","",obp!F77+1)</f>
        <v/>
      </c>
      <c r="G120" s="397" t="str">
        <f>IF(obp!G77="","",obp!G77)</f>
        <v/>
      </c>
      <c r="H120" s="776" t="str">
        <f>IF(obp!H77=0,"",obp!H77)</f>
        <v/>
      </c>
      <c r="I120" s="433" t="str">
        <f>IF(J120="","",(IF(obp!I77+1&gt;LOOKUP(H120,schaal2013,regels2013),obp!I77,obp!I77+1)))</f>
        <v/>
      </c>
      <c r="J120" s="399" t="str">
        <f>IF(obp!J77="","",obp!J77)</f>
        <v/>
      </c>
      <c r="K120" s="413"/>
      <c r="L120" s="1207">
        <f>IF(obp!L77="","",obp!L77)</f>
        <v>0</v>
      </c>
      <c r="M120" s="1207">
        <f>IF(obp!M77="","",obp!M77)</f>
        <v>0</v>
      </c>
      <c r="N120" s="1209" t="str">
        <f t="shared" si="46"/>
        <v/>
      </c>
      <c r="O120" s="1209"/>
      <c r="P120" s="1283" t="str">
        <f t="shared" si="47"/>
        <v/>
      </c>
      <c r="Q120" s="518"/>
      <c r="R120" s="1076" t="str">
        <f t="shared" si="57"/>
        <v/>
      </c>
      <c r="S120" s="1076" t="str">
        <f t="shared" si="48"/>
        <v/>
      </c>
      <c r="T120" s="1078" t="str">
        <f t="shared" si="49"/>
        <v/>
      </c>
      <c r="U120" s="599"/>
      <c r="V120" s="1261"/>
      <c r="W120" s="1261"/>
      <c r="X120" s="1218"/>
      <c r="Y120" s="1253" t="e">
        <f>ROUND(VLOOKUP(H120,tab!$A$61:$V$103,I120+2,FALSE),0)</f>
        <v>#VALUE!</v>
      </c>
      <c r="Z120" s="1252">
        <f>tab!$E$48</f>
        <v>0.62</v>
      </c>
      <c r="AA120" s="1284" t="e">
        <f t="shared" si="50"/>
        <v>#VALUE!</v>
      </c>
      <c r="AB120" s="1284" t="e">
        <f t="shared" si="51"/>
        <v>#VALUE!</v>
      </c>
      <c r="AC120" s="1284" t="e">
        <f t="shared" si="52"/>
        <v>#VALUE!</v>
      </c>
      <c r="AD120" s="1286" t="e">
        <f t="shared" si="53"/>
        <v>#VALUE!</v>
      </c>
      <c r="AE120" s="1286">
        <f t="shared" si="54"/>
        <v>0</v>
      </c>
      <c r="AF120" s="1254">
        <f>IF(H120&gt;8,tab!$D$49,tab!$D$52)</f>
        <v>0.5</v>
      </c>
      <c r="AG120" s="1255">
        <f t="shared" si="55"/>
        <v>0</v>
      </c>
      <c r="AH120" s="1251">
        <f t="shared" si="56"/>
        <v>0</v>
      </c>
      <c r="AK120" s="198"/>
    </row>
    <row r="121" spans="3:37" ht="12.75" customHeight="1" x14ac:dyDescent="0.2">
      <c r="C121" s="126"/>
      <c r="D121" s="396" t="str">
        <f>IF(obp!D78="","",obp!D78)</f>
        <v/>
      </c>
      <c r="E121" s="432" t="str">
        <f>IF(obp!E78=0,"",obp!E78)</f>
        <v/>
      </c>
      <c r="F121" s="117" t="str">
        <f>IF(obp!F78="","",obp!F78+1)</f>
        <v/>
      </c>
      <c r="G121" s="397" t="str">
        <f>IF(obp!G78="","",obp!G78)</f>
        <v/>
      </c>
      <c r="H121" s="776" t="str">
        <f>IF(obp!H78=0,"",obp!H78)</f>
        <v/>
      </c>
      <c r="I121" s="433" t="str">
        <f>IF(J121="","",(IF(obp!I78+1&gt;LOOKUP(H121,schaal2013,regels2013),obp!I78,obp!I78+1)))</f>
        <v/>
      </c>
      <c r="J121" s="399" t="str">
        <f>IF(obp!J78="","",obp!J78)</f>
        <v/>
      </c>
      <c r="K121" s="413"/>
      <c r="L121" s="1207">
        <f>IF(obp!L78="","",obp!L78)</f>
        <v>0</v>
      </c>
      <c r="M121" s="1207">
        <f>IF(obp!M78="","",obp!M78)</f>
        <v>0</v>
      </c>
      <c r="N121" s="1209" t="str">
        <f t="shared" si="46"/>
        <v/>
      </c>
      <c r="O121" s="1209"/>
      <c r="P121" s="1283" t="str">
        <f t="shared" si="47"/>
        <v/>
      </c>
      <c r="Q121" s="518"/>
      <c r="R121" s="1076" t="str">
        <f t="shared" si="57"/>
        <v/>
      </c>
      <c r="S121" s="1076" t="str">
        <f t="shared" si="48"/>
        <v/>
      </c>
      <c r="T121" s="1078" t="str">
        <f t="shared" si="49"/>
        <v/>
      </c>
      <c r="U121" s="599"/>
      <c r="V121" s="1261"/>
      <c r="W121" s="1261"/>
      <c r="X121" s="1218"/>
      <c r="Y121" s="1253" t="e">
        <f>ROUND(VLOOKUP(H121,tab!$A$61:$V$103,I121+2,FALSE),0)</f>
        <v>#VALUE!</v>
      </c>
      <c r="Z121" s="1252">
        <f>tab!$E$48</f>
        <v>0.62</v>
      </c>
      <c r="AA121" s="1284" t="e">
        <f t="shared" si="50"/>
        <v>#VALUE!</v>
      </c>
      <c r="AB121" s="1284" t="e">
        <f t="shared" si="51"/>
        <v>#VALUE!</v>
      </c>
      <c r="AC121" s="1284" t="e">
        <f t="shared" si="52"/>
        <v>#VALUE!</v>
      </c>
      <c r="AD121" s="1286" t="e">
        <f t="shared" si="53"/>
        <v>#VALUE!</v>
      </c>
      <c r="AE121" s="1286">
        <f t="shared" si="54"/>
        <v>0</v>
      </c>
      <c r="AF121" s="1254">
        <f>IF(H121&gt;8,tab!$D$49,tab!$D$52)</f>
        <v>0.5</v>
      </c>
      <c r="AG121" s="1255">
        <f t="shared" si="55"/>
        <v>0</v>
      </c>
      <c r="AH121" s="1251">
        <f t="shared" si="56"/>
        <v>0</v>
      </c>
      <c r="AK121" s="198"/>
    </row>
    <row r="122" spans="3:37" ht="12.75" customHeight="1" x14ac:dyDescent="0.2">
      <c r="C122" s="126"/>
      <c r="D122" s="396" t="str">
        <f>IF(obp!D79="","",obp!D79)</f>
        <v/>
      </c>
      <c r="E122" s="432" t="str">
        <f>IF(obp!E79=0,"",obp!E79)</f>
        <v/>
      </c>
      <c r="F122" s="117" t="str">
        <f>IF(obp!F79="","",obp!F79+1)</f>
        <v/>
      </c>
      <c r="G122" s="397" t="str">
        <f>IF(obp!G79="","",obp!G79)</f>
        <v/>
      </c>
      <c r="H122" s="776" t="str">
        <f>IF(obp!H79=0,"",obp!H79)</f>
        <v/>
      </c>
      <c r="I122" s="433" t="str">
        <f>IF(J122="","",(IF(obp!I79+1&gt;LOOKUP(H122,schaal2013,regels2013),obp!I79,obp!I79+1)))</f>
        <v/>
      </c>
      <c r="J122" s="399" t="str">
        <f>IF(obp!J79="","",obp!J79)</f>
        <v/>
      </c>
      <c r="K122" s="413"/>
      <c r="L122" s="1207">
        <f>IF(obp!L79="","",obp!L79)</f>
        <v>0</v>
      </c>
      <c r="M122" s="1207">
        <f>IF(obp!M79="","",obp!M79)</f>
        <v>0</v>
      </c>
      <c r="N122" s="1209" t="str">
        <f t="shared" si="46"/>
        <v/>
      </c>
      <c r="O122" s="1209"/>
      <c r="P122" s="1283" t="str">
        <f t="shared" si="47"/>
        <v/>
      </c>
      <c r="Q122" s="518"/>
      <c r="R122" s="1076" t="str">
        <f t="shared" si="57"/>
        <v/>
      </c>
      <c r="S122" s="1076" t="str">
        <f t="shared" si="48"/>
        <v/>
      </c>
      <c r="T122" s="1078" t="str">
        <f t="shared" si="49"/>
        <v/>
      </c>
      <c r="U122" s="599"/>
      <c r="V122" s="1261"/>
      <c r="W122" s="1261"/>
      <c r="X122" s="1218"/>
      <c r="Y122" s="1253" t="e">
        <f>ROUND(VLOOKUP(H122,tab!$A$61:$V$103,I122+2,FALSE),0)</f>
        <v>#VALUE!</v>
      </c>
      <c r="Z122" s="1252">
        <f>tab!$E$48</f>
        <v>0.62</v>
      </c>
      <c r="AA122" s="1284" t="e">
        <f t="shared" si="50"/>
        <v>#VALUE!</v>
      </c>
      <c r="AB122" s="1284" t="e">
        <f t="shared" si="51"/>
        <v>#VALUE!</v>
      </c>
      <c r="AC122" s="1284" t="e">
        <f t="shared" si="52"/>
        <v>#VALUE!</v>
      </c>
      <c r="AD122" s="1286" t="e">
        <f t="shared" si="53"/>
        <v>#VALUE!</v>
      </c>
      <c r="AE122" s="1286">
        <f t="shared" si="54"/>
        <v>0</v>
      </c>
      <c r="AF122" s="1254">
        <f>IF(H122&gt;8,tab!$D$49,tab!$D$52)</f>
        <v>0.5</v>
      </c>
      <c r="AG122" s="1255">
        <f t="shared" si="55"/>
        <v>0</v>
      </c>
      <c r="AH122" s="1251">
        <f t="shared" si="56"/>
        <v>0</v>
      </c>
      <c r="AK122" s="198"/>
    </row>
    <row r="123" spans="3:37" ht="12.75" customHeight="1" x14ac:dyDescent="0.2">
      <c r="C123" s="126"/>
      <c r="D123" s="396" t="str">
        <f>IF(obp!D80="","",obp!D80)</f>
        <v/>
      </c>
      <c r="E123" s="432" t="str">
        <f>IF(obp!E80=0,"",obp!E80)</f>
        <v/>
      </c>
      <c r="F123" s="117" t="str">
        <f>IF(obp!F80="","",obp!F80+1)</f>
        <v/>
      </c>
      <c r="G123" s="397" t="str">
        <f>IF(obp!G80="","",obp!G80)</f>
        <v/>
      </c>
      <c r="H123" s="776" t="str">
        <f>IF(obp!H80=0,"",obp!H80)</f>
        <v/>
      </c>
      <c r="I123" s="433" t="str">
        <f>IF(J123="","",(IF(obp!I80+1&gt;LOOKUP(H123,schaal2013,regels2013),obp!I80,obp!I80+1)))</f>
        <v/>
      </c>
      <c r="J123" s="399" t="str">
        <f>IF(obp!J80="","",obp!J80)</f>
        <v/>
      </c>
      <c r="K123" s="413"/>
      <c r="L123" s="1207">
        <f>IF(obp!L80="","",obp!L80)</f>
        <v>0</v>
      </c>
      <c r="M123" s="1207">
        <f>IF(obp!M80="","",obp!M80)</f>
        <v>0</v>
      </c>
      <c r="N123" s="1209" t="str">
        <f t="shared" si="46"/>
        <v/>
      </c>
      <c r="O123" s="1209"/>
      <c r="P123" s="1283" t="str">
        <f t="shared" si="47"/>
        <v/>
      </c>
      <c r="Q123" s="518"/>
      <c r="R123" s="1076" t="str">
        <f t="shared" si="57"/>
        <v/>
      </c>
      <c r="S123" s="1076" t="str">
        <f t="shared" si="48"/>
        <v/>
      </c>
      <c r="T123" s="1078" t="str">
        <f t="shared" si="49"/>
        <v/>
      </c>
      <c r="U123" s="599"/>
      <c r="V123" s="1261"/>
      <c r="W123" s="1261"/>
      <c r="X123" s="1218"/>
      <c r="Y123" s="1253" t="e">
        <f>ROUND(VLOOKUP(H123,tab!$A$61:$V$103,I123+2,FALSE),0)</f>
        <v>#VALUE!</v>
      </c>
      <c r="Z123" s="1252">
        <f>tab!$E$48</f>
        <v>0.62</v>
      </c>
      <c r="AA123" s="1284" t="e">
        <f t="shared" si="50"/>
        <v>#VALUE!</v>
      </c>
      <c r="AB123" s="1284" t="e">
        <f t="shared" si="51"/>
        <v>#VALUE!</v>
      </c>
      <c r="AC123" s="1284" t="e">
        <f t="shared" si="52"/>
        <v>#VALUE!</v>
      </c>
      <c r="AD123" s="1286" t="e">
        <f t="shared" si="53"/>
        <v>#VALUE!</v>
      </c>
      <c r="AE123" s="1286">
        <f t="shared" si="54"/>
        <v>0</v>
      </c>
      <c r="AF123" s="1254">
        <f>IF(H123&gt;8,tab!$D$49,tab!$D$52)</f>
        <v>0.5</v>
      </c>
      <c r="AG123" s="1255">
        <f t="shared" si="55"/>
        <v>0</v>
      </c>
      <c r="AH123" s="1251">
        <f t="shared" si="56"/>
        <v>0</v>
      </c>
      <c r="AK123" s="198"/>
    </row>
    <row r="124" spans="3:37" ht="12.75" customHeight="1" x14ac:dyDescent="0.2">
      <c r="C124" s="126"/>
      <c r="D124" s="396" t="str">
        <f>IF(obp!D81="","",obp!D81)</f>
        <v/>
      </c>
      <c r="E124" s="432" t="str">
        <f>IF(obp!E81=0,"",obp!E81)</f>
        <v/>
      </c>
      <c r="F124" s="117" t="str">
        <f>IF(obp!F81="","",obp!F81+1)</f>
        <v/>
      </c>
      <c r="G124" s="397" t="str">
        <f>IF(obp!G81="","",obp!G81)</f>
        <v/>
      </c>
      <c r="H124" s="776" t="str">
        <f>IF(obp!H81=0,"",obp!H81)</f>
        <v/>
      </c>
      <c r="I124" s="433" t="str">
        <f>IF(J124="","",(IF(obp!I81+1&gt;LOOKUP(H124,schaal2013,regels2013),obp!I81,obp!I81+1)))</f>
        <v/>
      </c>
      <c r="J124" s="399" t="str">
        <f>IF(obp!J81="","",obp!J81)</f>
        <v/>
      </c>
      <c r="K124" s="413"/>
      <c r="L124" s="1207">
        <f>IF(obp!L81="","",obp!L81)</f>
        <v>0</v>
      </c>
      <c r="M124" s="1207">
        <f>IF(obp!M81="","",obp!M81)</f>
        <v>0</v>
      </c>
      <c r="N124" s="1209" t="str">
        <f t="shared" si="46"/>
        <v/>
      </c>
      <c r="O124" s="1209"/>
      <c r="P124" s="1283" t="str">
        <f t="shared" si="47"/>
        <v/>
      </c>
      <c r="Q124" s="518"/>
      <c r="R124" s="1076" t="str">
        <f t="shared" si="57"/>
        <v/>
      </c>
      <c r="S124" s="1076" t="str">
        <f t="shared" si="48"/>
        <v/>
      </c>
      <c r="T124" s="1078" t="str">
        <f t="shared" si="49"/>
        <v/>
      </c>
      <c r="U124" s="599"/>
      <c r="V124" s="1261"/>
      <c r="W124" s="1261"/>
      <c r="X124" s="1218"/>
      <c r="Y124" s="1253" t="e">
        <f>ROUND(VLOOKUP(H124,tab!$A$61:$V$103,I124+2,FALSE),0)</f>
        <v>#VALUE!</v>
      </c>
      <c r="Z124" s="1252">
        <f>tab!$E$48</f>
        <v>0.62</v>
      </c>
      <c r="AA124" s="1284" t="e">
        <f t="shared" si="50"/>
        <v>#VALUE!</v>
      </c>
      <c r="AB124" s="1284" t="e">
        <f t="shared" si="51"/>
        <v>#VALUE!</v>
      </c>
      <c r="AC124" s="1284" t="e">
        <f t="shared" si="52"/>
        <v>#VALUE!</v>
      </c>
      <c r="AD124" s="1286" t="e">
        <f t="shared" si="53"/>
        <v>#VALUE!</v>
      </c>
      <c r="AE124" s="1286">
        <f t="shared" si="54"/>
        <v>0</v>
      </c>
      <c r="AF124" s="1254">
        <f>IF(H124&gt;8,tab!$D$49,tab!$D$52)</f>
        <v>0.5</v>
      </c>
      <c r="AG124" s="1255">
        <f t="shared" si="55"/>
        <v>0</v>
      </c>
      <c r="AH124" s="1251">
        <f t="shared" si="56"/>
        <v>0</v>
      </c>
      <c r="AK124" s="198"/>
    </row>
    <row r="125" spans="3:37" ht="12.75" customHeight="1" x14ac:dyDescent="0.2">
      <c r="C125" s="126"/>
      <c r="D125" s="396" t="str">
        <f>IF(obp!D82="","",obp!D82)</f>
        <v/>
      </c>
      <c r="E125" s="432" t="str">
        <f>IF(obp!E82=0,"",obp!E82)</f>
        <v/>
      </c>
      <c r="F125" s="117" t="str">
        <f>IF(obp!F82="","",obp!F82+1)</f>
        <v/>
      </c>
      <c r="G125" s="397" t="str">
        <f>IF(obp!G82="","",obp!G82)</f>
        <v/>
      </c>
      <c r="H125" s="776" t="str">
        <f>IF(obp!H82=0,"",obp!H82)</f>
        <v/>
      </c>
      <c r="I125" s="433" t="str">
        <f>IF(J125="","",(IF(obp!I82+1&gt;LOOKUP(H125,schaal2013,regels2013),obp!I82,obp!I82+1)))</f>
        <v/>
      </c>
      <c r="J125" s="399" t="str">
        <f>IF(obp!J82="","",obp!J82)</f>
        <v/>
      </c>
      <c r="K125" s="413"/>
      <c r="L125" s="1207">
        <f>IF(obp!L82="","",obp!L82)</f>
        <v>0</v>
      </c>
      <c r="M125" s="1207">
        <f>IF(obp!M82="","",obp!M82)</f>
        <v>0</v>
      </c>
      <c r="N125" s="1209" t="str">
        <f t="shared" si="46"/>
        <v/>
      </c>
      <c r="O125" s="1209"/>
      <c r="P125" s="1283" t="str">
        <f t="shared" si="47"/>
        <v/>
      </c>
      <c r="Q125" s="518"/>
      <c r="R125" s="1076" t="str">
        <f t="shared" si="57"/>
        <v/>
      </c>
      <c r="S125" s="1076" t="str">
        <f t="shared" si="48"/>
        <v/>
      </c>
      <c r="T125" s="1078" t="str">
        <f t="shared" si="49"/>
        <v/>
      </c>
      <c r="U125" s="599"/>
      <c r="V125" s="1261"/>
      <c r="W125" s="1261"/>
      <c r="X125" s="1218"/>
      <c r="Y125" s="1253" t="e">
        <f>ROUND(VLOOKUP(H125,tab!$A$61:$V$103,I125+2,FALSE),0)</f>
        <v>#VALUE!</v>
      </c>
      <c r="Z125" s="1252">
        <f>tab!$E$48</f>
        <v>0.62</v>
      </c>
      <c r="AA125" s="1284" t="e">
        <f t="shared" si="50"/>
        <v>#VALUE!</v>
      </c>
      <c r="AB125" s="1284" t="e">
        <f t="shared" si="51"/>
        <v>#VALUE!</v>
      </c>
      <c r="AC125" s="1284" t="e">
        <f t="shared" si="52"/>
        <v>#VALUE!</v>
      </c>
      <c r="AD125" s="1286" t="e">
        <f t="shared" si="53"/>
        <v>#VALUE!</v>
      </c>
      <c r="AE125" s="1286">
        <f t="shared" si="54"/>
        <v>0</v>
      </c>
      <c r="AF125" s="1254">
        <f>IF(H125&gt;8,tab!$D$49,tab!$D$52)</f>
        <v>0.5</v>
      </c>
      <c r="AG125" s="1255">
        <f t="shared" si="55"/>
        <v>0</v>
      </c>
      <c r="AH125" s="1251">
        <f t="shared" si="56"/>
        <v>0</v>
      </c>
      <c r="AK125" s="198"/>
    </row>
    <row r="126" spans="3:37" ht="12.75" customHeight="1" x14ac:dyDescent="0.2">
      <c r="C126" s="126"/>
      <c r="D126" s="396" t="str">
        <f>IF(obp!D83="","",obp!D83)</f>
        <v/>
      </c>
      <c r="E126" s="432" t="str">
        <f>IF(obp!E83=0,"",obp!E83)</f>
        <v/>
      </c>
      <c r="F126" s="117" t="str">
        <f>IF(obp!F83="","",obp!F83+1)</f>
        <v/>
      </c>
      <c r="G126" s="397" t="str">
        <f>IF(obp!G83="","",obp!G83)</f>
        <v/>
      </c>
      <c r="H126" s="776" t="str">
        <f>IF(obp!H83=0,"",obp!H83)</f>
        <v/>
      </c>
      <c r="I126" s="433" t="str">
        <f>IF(J126="","",(IF(obp!I83+1&gt;LOOKUP(H126,schaal2013,regels2013),obp!I83,obp!I83+1)))</f>
        <v/>
      </c>
      <c r="J126" s="399" t="str">
        <f>IF(obp!J83="","",obp!J83)</f>
        <v/>
      </c>
      <c r="K126" s="413"/>
      <c r="L126" s="1207">
        <f>IF(obp!L83="","",obp!L83)</f>
        <v>0</v>
      </c>
      <c r="M126" s="1207">
        <f>IF(obp!M83="","",obp!M83)</f>
        <v>0</v>
      </c>
      <c r="N126" s="1209" t="str">
        <f t="shared" si="46"/>
        <v/>
      </c>
      <c r="O126" s="1209"/>
      <c r="P126" s="1283" t="str">
        <f t="shared" si="47"/>
        <v/>
      </c>
      <c r="Q126" s="518"/>
      <c r="R126" s="1076" t="str">
        <f t="shared" si="57"/>
        <v/>
      </c>
      <c r="S126" s="1076" t="str">
        <f t="shared" si="48"/>
        <v/>
      </c>
      <c r="T126" s="1078" t="str">
        <f t="shared" si="49"/>
        <v/>
      </c>
      <c r="U126" s="599"/>
      <c r="V126" s="1261"/>
      <c r="W126" s="1261"/>
      <c r="X126" s="1218"/>
      <c r="Y126" s="1253" t="e">
        <f>ROUND(VLOOKUP(H126,tab!$A$61:$V$103,I126+2,FALSE),0)</f>
        <v>#VALUE!</v>
      </c>
      <c r="Z126" s="1252">
        <f>tab!$E$48</f>
        <v>0.62</v>
      </c>
      <c r="AA126" s="1284" t="e">
        <f t="shared" si="50"/>
        <v>#VALUE!</v>
      </c>
      <c r="AB126" s="1284" t="e">
        <f t="shared" si="51"/>
        <v>#VALUE!</v>
      </c>
      <c r="AC126" s="1284" t="e">
        <f t="shared" si="52"/>
        <v>#VALUE!</v>
      </c>
      <c r="AD126" s="1286" t="e">
        <f t="shared" si="53"/>
        <v>#VALUE!</v>
      </c>
      <c r="AE126" s="1286">
        <f t="shared" si="54"/>
        <v>0</v>
      </c>
      <c r="AF126" s="1254">
        <f>IF(H126&gt;8,tab!$D$49,tab!$D$52)</f>
        <v>0.5</v>
      </c>
      <c r="AG126" s="1255">
        <f t="shared" si="55"/>
        <v>0</v>
      </c>
      <c r="AH126" s="1251">
        <f t="shared" si="56"/>
        <v>0</v>
      </c>
      <c r="AK126" s="198"/>
    </row>
    <row r="127" spans="3:37" ht="12.75" customHeight="1" x14ac:dyDescent="0.2">
      <c r="C127" s="126"/>
      <c r="D127" s="396" t="str">
        <f>IF(obp!D84="","",obp!D84)</f>
        <v/>
      </c>
      <c r="E127" s="432" t="str">
        <f>IF(obp!E84=0,"",obp!E84)</f>
        <v/>
      </c>
      <c r="F127" s="117" t="str">
        <f>IF(obp!F84="","",obp!F84+1)</f>
        <v/>
      </c>
      <c r="G127" s="397" t="str">
        <f>IF(obp!G84="","",obp!G84)</f>
        <v/>
      </c>
      <c r="H127" s="776" t="str">
        <f>IF(obp!H84=0,"",obp!H84)</f>
        <v/>
      </c>
      <c r="I127" s="433" t="str">
        <f>IF(J127="","",(IF(obp!I84+1&gt;LOOKUP(H127,schaal2013,regels2013),obp!I84,obp!I84+1)))</f>
        <v/>
      </c>
      <c r="J127" s="399" t="str">
        <f>IF(obp!J84="","",obp!J84)</f>
        <v/>
      </c>
      <c r="K127" s="413"/>
      <c r="L127" s="1207">
        <f>IF(obp!L84="","",obp!L84)</f>
        <v>0</v>
      </c>
      <c r="M127" s="1207">
        <f>IF(obp!M84="","",obp!M84)</f>
        <v>0</v>
      </c>
      <c r="N127" s="1209" t="str">
        <f t="shared" si="46"/>
        <v/>
      </c>
      <c r="O127" s="1209"/>
      <c r="P127" s="1283" t="str">
        <f t="shared" si="47"/>
        <v/>
      </c>
      <c r="Q127" s="518"/>
      <c r="R127" s="1076" t="str">
        <f t="shared" si="57"/>
        <v/>
      </c>
      <c r="S127" s="1076" t="str">
        <f t="shared" si="48"/>
        <v/>
      </c>
      <c r="T127" s="1078" t="str">
        <f t="shared" si="49"/>
        <v/>
      </c>
      <c r="U127" s="599"/>
      <c r="V127" s="1261"/>
      <c r="W127" s="1261"/>
      <c r="X127" s="1218"/>
      <c r="Y127" s="1253" t="e">
        <f>ROUND(VLOOKUP(H127,tab!$A$61:$V$103,I127+2,FALSE),0)</f>
        <v>#VALUE!</v>
      </c>
      <c r="Z127" s="1252">
        <f>tab!$E$48</f>
        <v>0.62</v>
      </c>
      <c r="AA127" s="1284" t="e">
        <f t="shared" si="50"/>
        <v>#VALUE!</v>
      </c>
      <c r="AB127" s="1284" t="e">
        <f t="shared" si="51"/>
        <v>#VALUE!</v>
      </c>
      <c r="AC127" s="1284" t="e">
        <f t="shared" si="52"/>
        <v>#VALUE!</v>
      </c>
      <c r="AD127" s="1286" t="e">
        <f t="shared" si="53"/>
        <v>#VALUE!</v>
      </c>
      <c r="AE127" s="1286">
        <f t="shared" si="54"/>
        <v>0</v>
      </c>
      <c r="AF127" s="1254">
        <f>IF(H127&gt;8,tab!$D$49,tab!$D$52)</f>
        <v>0.5</v>
      </c>
      <c r="AG127" s="1255">
        <f t="shared" si="55"/>
        <v>0</v>
      </c>
      <c r="AH127" s="1251">
        <f t="shared" si="56"/>
        <v>0</v>
      </c>
      <c r="AK127" s="198"/>
    </row>
    <row r="128" spans="3:37" ht="12.75" customHeight="1" x14ac:dyDescent="0.2">
      <c r="C128" s="126"/>
      <c r="D128" s="396" t="str">
        <f>IF(obp!D85="","",obp!D85)</f>
        <v/>
      </c>
      <c r="E128" s="432" t="str">
        <f>IF(obp!E85=0,"",obp!E85)</f>
        <v/>
      </c>
      <c r="F128" s="117" t="str">
        <f>IF(obp!F85="","",obp!F85+1)</f>
        <v/>
      </c>
      <c r="G128" s="397" t="str">
        <f>IF(obp!G85="","",obp!G85)</f>
        <v/>
      </c>
      <c r="H128" s="776" t="str">
        <f>IF(obp!H85=0,"",obp!H85)</f>
        <v/>
      </c>
      <c r="I128" s="433" t="str">
        <f>IF(J128="","",(IF(obp!I85+1&gt;LOOKUP(H128,schaal2013,regels2013),obp!I85,obp!I85+1)))</f>
        <v/>
      </c>
      <c r="J128" s="399" t="str">
        <f>IF(obp!J85="","",obp!J85)</f>
        <v/>
      </c>
      <c r="K128" s="413"/>
      <c r="L128" s="1207">
        <f>IF(obp!L85="","",obp!L85)</f>
        <v>0</v>
      </c>
      <c r="M128" s="1207">
        <f>IF(obp!M85="","",obp!M85)</f>
        <v>0</v>
      </c>
      <c r="N128" s="1209" t="str">
        <f t="shared" si="46"/>
        <v/>
      </c>
      <c r="O128" s="1209"/>
      <c r="P128" s="1283" t="str">
        <f t="shared" si="47"/>
        <v/>
      </c>
      <c r="Q128" s="518"/>
      <c r="R128" s="1076" t="str">
        <f t="shared" si="57"/>
        <v/>
      </c>
      <c r="S128" s="1076" t="str">
        <f t="shared" si="48"/>
        <v/>
      </c>
      <c r="T128" s="1078" t="str">
        <f t="shared" si="49"/>
        <v/>
      </c>
      <c r="U128" s="599"/>
      <c r="V128" s="1261"/>
      <c r="W128" s="1261"/>
      <c r="X128" s="1218"/>
      <c r="Y128" s="1253" t="e">
        <f>ROUND(VLOOKUP(H128,tab!$A$61:$V$103,I128+2,FALSE),0)</f>
        <v>#VALUE!</v>
      </c>
      <c r="Z128" s="1252">
        <f>tab!$E$48</f>
        <v>0.62</v>
      </c>
      <c r="AA128" s="1284" t="e">
        <f t="shared" si="50"/>
        <v>#VALUE!</v>
      </c>
      <c r="AB128" s="1284" t="e">
        <f t="shared" si="51"/>
        <v>#VALUE!</v>
      </c>
      <c r="AC128" s="1284" t="e">
        <f t="shared" si="52"/>
        <v>#VALUE!</v>
      </c>
      <c r="AD128" s="1286" t="e">
        <f t="shared" si="53"/>
        <v>#VALUE!</v>
      </c>
      <c r="AE128" s="1286">
        <f t="shared" si="54"/>
        <v>0</v>
      </c>
      <c r="AF128" s="1254">
        <f>IF(H128&gt;8,tab!$D$49,tab!$D$52)</f>
        <v>0.5</v>
      </c>
      <c r="AG128" s="1255">
        <f t="shared" si="55"/>
        <v>0</v>
      </c>
      <c r="AH128" s="1251">
        <f t="shared" si="56"/>
        <v>0</v>
      </c>
      <c r="AK128" s="198"/>
    </row>
    <row r="129" spans="2:42" ht="12.75" customHeight="1" x14ac:dyDescent="0.2">
      <c r="C129" s="126"/>
      <c r="D129" s="396" t="str">
        <f>IF(obp!D86="","",obp!D86)</f>
        <v/>
      </c>
      <c r="E129" s="432" t="str">
        <f>IF(obp!E86=0,"",obp!E86)</f>
        <v/>
      </c>
      <c r="F129" s="117" t="str">
        <f>IF(obp!F86="","",obp!F86+1)</f>
        <v/>
      </c>
      <c r="G129" s="397" t="str">
        <f>IF(obp!G86="","",obp!G86)</f>
        <v/>
      </c>
      <c r="H129" s="776" t="str">
        <f>IF(obp!H86=0,"",obp!H86)</f>
        <v/>
      </c>
      <c r="I129" s="433" t="str">
        <f>IF(J129="","",(IF(obp!I86+1&gt;LOOKUP(H129,schaal2013,regels2013),obp!I86,obp!I86+1)))</f>
        <v/>
      </c>
      <c r="J129" s="399" t="str">
        <f>IF(obp!J86="","",obp!J86)</f>
        <v/>
      </c>
      <c r="K129" s="413"/>
      <c r="L129" s="1207">
        <f>IF(obp!L86="","",obp!L86)</f>
        <v>0</v>
      </c>
      <c r="M129" s="1207">
        <f>IF(obp!M86="","",obp!M86)</f>
        <v>0</v>
      </c>
      <c r="N129" s="1209" t="str">
        <f t="shared" si="46"/>
        <v/>
      </c>
      <c r="O129" s="1209"/>
      <c r="P129" s="1283" t="str">
        <f t="shared" si="47"/>
        <v/>
      </c>
      <c r="Q129" s="518"/>
      <c r="R129" s="1076" t="str">
        <f t="shared" si="57"/>
        <v/>
      </c>
      <c r="S129" s="1076" t="str">
        <f t="shared" si="48"/>
        <v/>
      </c>
      <c r="T129" s="1078" t="str">
        <f t="shared" si="49"/>
        <v/>
      </c>
      <c r="U129" s="599"/>
      <c r="V129" s="1261"/>
      <c r="W129" s="1261"/>
      <c r="X129" s="1218"/>
      <c r="Y129" s="1253" t="e">
        <f>ROUND(VLOOKUP(H129,tab!$A$61:$V$103,I129+2,FALSE),0)</f>
        <v>#VALUE!</v>
      </c>
      <c r="Z129" s="1252">
        <f>tab!$E$48</f>
        <v>0.62</v>
      </c>
      <c r="AA129" s="1284" t="e">
        <f t="shared" si="50"/>
        <v>#VALUE!</v>
      </c>
      <c r="AB129" s="1284" t="e">
        <f t="shared" si="51"/>
        <v>#VALUE!</v>
      </c>
      <c r="AC129" s="1284" t="e">
        <f t="shared" si="52"/>
        <v>#VALUE!</v>
      </c>
      <c r="AD129" s="1286" t="e">
        <f t="shared" si="53"/>
        <v>#VALUE!</v>
      </c>
      <c r="AE129" s="1286">
        <f t="shared" si="54"/>
        <v>0</v>
      </c>
      <c r="AF129" s="1254">
        <f>IF(H129&gt;8,tab!$D$49,tab!$D$52)</f>
        <v>0.5</v>
      </c>
      <c r="AG129" s="1255">
        <f t="shared" si="55"/>
        <v>0</v>
      </c>
      <c r="AH129" s="1251">
        <f t="shared" si="56"/>
        <v>0</v>
      </c>
      <c r="AK129" s="198"/>
    </row>
    <row r="130" spans="2:42" ht="12.75" customHeight="1" x14ac:dyDescent="0.2">
      <c r="C130" s="126"/>
      <c r="D130" s="396" t="str">
        <f>IF(obp!D87="","",obp!D87)</f>
        <v/>
      </c>
      <c r="E130" s="432" t="str">
        <f>IF(obp!E87=0,"",obp!E87)</f>
        <v/>
      </c>
      <c r="F130" s="117" t="str">
        <f>IF(obp!F87="","",obp!F87+1)</f>
        <v/>
      </c>
      <c r="G130" s="397" t="str">
        <f>IF(obp!G87="","",obp!G87)</f>
        <v/>
      </c>
      <c r="H130" s="776" t="str">
        <f>IF(obp!H87=0,"",obp!H87)</f>
        <v/>
      </c>
      <c r="I130" s="433" t="str">
        <f>IF(J130="","",(IF(obp!I87+1&gt;LOOKUP(H130,schaal2013,regels2013),obp!I87,obp!I87+1)))</f>
        <v/>
      </c>
      <c r="J130" s="399" t="str">
        <f>IF(obp!J87="","",obp!J87)</f>
        <v/>
      </c>
      <c r="K130" s="413"/>
      <c r="L130" s="1207">
        <f>IF(obp!L87="","",obp!L87)</f>
        <v>0</v>
      </c>
      <c r="M130" s="1207">
        <f>IF(obp!M87="","",obp!M87)</f>
        <v>0</v>
      </c>
      <c r="N130" s="1209" t="str">
        <f t="shared" si="46"/>
        <v/>
      </c>
      <c r="O130" s="1209"/>
      <c r="P130" s="1283" t="str">
        <f t="shared" si="47"/>
        <v/>
      </c>
      <c r="Q130" s="518"/>
      <c r="R130" s="1076" t="str">
        <f t="shared" si="57"/>
        <v/>
      </c>
      <c r="S130" s="1076" t="str">
        <f t="shared" si="48"/>
        <v/>
      </c>
      <c r="T130" s="1078" t="str">
        <f t="shared" si="49"/>
        <v/>
      </c>
      <c r="U130" s="599"/>
      <c r="V130" s="1261"/>
      <c r="W130" s="1261"/>
      <c r="X130" s="1218"/>
      <c r="Y130" s="1253" t="e">
        <f>ROUND(VLOOKUP(H130,tab!$A$61:$V$103,I130+2,FALSE),0)</f>
        <v>#VALUE!</v>
      </c>
      <c r="Z130" s="1252">
        <f>tab!$E$48</f>
        <v>0.62</v>
      </c>
      <c r="AA130" s="1284" t="e">
        <f t="shared" si="50"/>
        <v>#VALUE!</v>
      </c>
      <c r="AB130" s="1284" t="e">
        <f t="shared" si="51"/>
        <v>#VALUE!</v>
      </c>
      <c r="AC130" s="1284" t="e">
        <f t="shared" si="52"/>
        <v>#VALUE!</v>
      </c>
      <c r="AD130" s="1286" t="e">
        <f t="shared" si="53"/>
        <v>#VALUE!</v>
      </c>
      <c r="AE130" s="1286">
        <f t="shared" si="54"/>
        <v>0</v>
      </c>
      <c r="AF130" s="1254">
        <f>IF(H130&gt;8,tab!$D$49,tab!$D$52)</f>
        <v>0.5</v>
      </c>
      <c r="AG130" s="1255">
        <f t="shared" si="55"/>
        <v>0</v>
      </c>
      <c r="AH130" s="1251">
        <f t="shared" si="56"/>
        <v>0</v>
      </c>
      <c r="AK130" s="198"/>
    </row>
    <row r="131" spans="2:42" ht="12.75" customHeight="1" x14ac:dyDescent="0.2">
      <c r="C131" s="126"/>
      <c r="D131" s="396" t="str">
        <f>IF(obp!D88="","",obp!D88)</f>
        <v/>
      </c>
      <c r="E131" s="432" t="str">
        <f>IF(obp!E88=0,"",obp!E88)</f>
        <v/>
      </c>
      <c r="F131" s="117" t="str">
        <f>IF(obp!F88="","",obp!F88+1)</f>
        <v/>
      </c>
      <c r="G131" s="397" t="str">
        <f>IF(obp!G88="","",obp!G88)</f>
        <v/>
      </c>
      <c r="H131" s="776" t="str">
        <f>IF(obp!H88=0,"",obp!H88)</f>
        <v/>
      </c>
      <c r="I131" s="433" t="str">
        <f>IF(J131="","",(IF(obp!I88+1&gt;LOOKUP(H131,schaal2013,regels2013),obp!I88,obp!I88+1)))</f>
        <v/>
      </c>
      <c r="J131" s="399" t="str">
        <f>IF(obp!J88="","",obp!J88)</f>
        <v/>
      </c>
      <c r="K131" s="413"/>
      <c r="L131" s="1207">
        <f>IF(obp!L88="","",obp!L88)</f>
        <v>0</v>
      </c>
      <c r="M131" s="1207">
        <f>IF(obp!M88="","",obp!M88)</f>
        <v>0</v>
      </c>
      <c r="N131" s="1209" t="str">
        <f t="shared" si="46"/>
        <v/>
      </c>
      <c r="O131" s="1209"/>
      <c r="P131" s="1283" t="str">
        <f t="shared" si="47"/>
        <v/>
      </c>
      <c r="Q131" s="518"/>
      <c r="R131" s="1076" t="str">
        <f t="shared" si="57"/>
        <v/>
      </c>
      <c r="S131" s="1076" t="str">
        <f t="shared" si="48"/>
        <v/>
      </c>
      <c r="T131" s="1078" t="str">
        <f t="shared" si="49"/>
        <v/>
      </c>
      <c r="U131" s="599"/>
      <c r="V131" s="1261"/>
      <c r="W131" s="1261"/>
      <c r="X131" s="1218"/>
      <c r="Y131" s="1253" t="e">
        <f>ROUND(VLOOKUP(H131,tab!$A$61:$V$103,I131+2,FALSE),0)</f>
        <v>#VALUE!</v>
      </c>
      <c r="Z131" s="1252">
        <f>tab!$E$48</f>
        <v>0.62</v>
      </c>
      <c r="AA131" s="1284" t="e">
        <f t="shared" si="50"/>
        <v>#VALUE!</v>
      </c>
      <c r="AB131" s="1284" t="e">
        <f t="shared" si="51"/>
        <v>#VALUE!</v>
      </c>
      <c r="AC131" s="1284" t="e">
        <f t="shared" si="52"/>
        <v>#VALUE!</v>
      </c>
      <c r="AD131" s="1286" t="e">
        <f t="shared" si="53"/>
        <v>#VALUE!</v>
      </c>
      <c r="AE131" s="1286">
        <f t="shared" si="54"/>
        <v>0</v>
      </c>
      <c r="AF131" s="1254">
        <f>IF(H131&gt;8,tab!$D$49,tab!$D$52)</f>
        <v>0.5</v>
      </c>
      <c r="AG131" s="1255">
        <f t="shared" si="55"/>
        <v>0</v>
      </c>
      <c r="AH131" s="1251">
        <f t="shared" si="56"/>
        <v>0</v>
      </c>
      <c r="AK131" s="198"/>
    </row>
    <row r="132" spans="2:42" x14ac:dyDescent="0.2">
      <c r="C132" s="126"/>
      <c r="D132" s="822"/>
      <c r="E132" s="823"/>
      <c r="F132" s="131"/>
      <c r="G132" s="775"/>
      <c r="H132" s="824"/>
      <c r="I132" s="412"/>
      <c r="J132" s="1116">
        <f>SUM(J102:J131)</f>
        <v>1</v>
      </c>
      <c r="K132" s="807"/>
      <c r="L132" s="1220">
        <f t="shared" ref="L132:P132" si="58">SUM(L102:L131)</f>
        <v>0</v>
      </c>
      <c r="M132" s="1220">
        <f t="shared" si="58"/>
        <v>0</v>
      </c>
      <c r="N132" s="1197">
        <f>SUM(N102:N131)</f>
        <v>40</v>
      </c>
      <c r="O132" s="1072"/>
      <c r="P132" s="1197">
        <f t="shared" si="58"/>
        <v>40</v>
      </c>
      <c r="Q132" s="807"/>
      <c r="R132" s="1117">
        <f t="shared" ref="R132:T132" si="59">SUM(R102:R131)</f>
        <v>52474.571283905971</v>
      </c>
      <c r="S132" s="1118">
        <f t="shared" si="59"/>
        <v>1296.4687160940325</v>
      </c>
      <c r="T132" s="1115">
        <f t="shared" si="59"/>
        <v>53771.040000000001</v>
      </c>
      <c r="U132" s="129"/>
      <c r="V132" s="1221"/>
      <c r="W132" s="1221"/>
      <c r="Y132" s="1270" t="e">
        <f>SUM(Y102:Y131)</f>
        <v>#VALUE!</v>
      </c>
      <c r="Z132" s="1271"/>
      <c r="AA132" s="1271"/>
      <c r="AB132" s="1271"/>
      <c r="AC132" s="1271"/>
      <c r="AG132" s="1248">
        <f>SUM(AG102:AG131)</f>
        <v>0</v>
      </c>
      <c r="AH132" s="1272">
        <f>SUM(AH102:AH131)</f>
        <v>0</v>
      </c>
    </row>
    <row r="133" spans="2:42" x14ac:dyDescent="0.2">
      <c r="C133" s="707"/>
      <c r="D133" s="266"/>
      <c r="E133" s="266"/>
      <c r="F133" s="763"/>
      <c r="G133" s="763"/>
      <c r="H133" s="763"/>
      <c r="I133" s="764"/>
      <c r="J133" s="765"/>
      <c r="K133" s="764"/>
      <c r="L133" s="764"/>
      <c r="M133" s="764"/>
      <c r="N133" s="765"/>
      <c r="O133" s="764"/>
      <c r="P133" s="764"/>
      <c r="Q133" s="764"/>
      <c r="R133" s="421"/>
      <c r="S133" s="422"/>
      <c r="T133" s="883"/>
      <c r="U133" s="766"/>
      <c r="V133" s="1221"/>
      <c r="W133" s="1221"/>
      <c r="Y133" s="1273"/>
      <c r="Z133" s="1256"/>
      <c r="AA133" s="1256"/>
      <c r="AB133" s="1256"/>
      <c r="AC133" s="1256"/>
      <c r="AG133" s="1257"/>
      <c r="AH133" s="1258"/>
    </row>
    <row r="134" spans="2:42" ht="12.75" customHeight="1" x14ac:dyDescent="0.2">
      <c r="G134" s="448"/>
      <c r="H134" s="22"/>
      <c r="J134" s="333"/>
      <c r="N134" s="333"/>
      <c r="R134" s="332"/>
      <c r="S134" s="175"/>
      <c r="T134" s="885"/>
      <c r="V134" s="1221"/>
      <c r="W134" s="1221"/>
      <c r="Y134" s="1253"/>
      <c r="Z134" s="1261"/>
      <c r="AA134" s="1261"/>
      <c r="AB134" s="1261"/>
      <c r="AC134" s="1261"/>
      <c r="AG134" s="1255"/>
      <c r="AH134" s="1251"/>
    </row>
    <row r="135" spans="2:42" ht="12.75" customHeight="1" x14ac:dyDescent="0.2">
      <c r="G135" s="448"/>
      <c r="H135" s="22"/>
      <c r="J135" s="333"/>
      <c r="N135" s="333"/>
      <c r="R135" s="332"/>
      <c r="S135" s="175"/>
      <c r="T135" s="885"/>
      <c r="V135" s="1221"/>
      <c r="W135" s="1221"/>
      <c r="Y135" s="1253"/>
      <c r="Z135" s="1261"/>
      <c r="AA135" s="1261"/>
      <c r="AB135" s="1261"/>
      <c r="AC135" s="1261"/>
      <c r="AG135" s="1255"/>
      <c r="AH135" s="1251"/>
    </row>
    <row r="136" spans="2:42" ht="12.75" customHeight="1" x14ac:dyDescent="0.2">
      <c r="C136" s="14" t="s">
        <v>200</v>
      </c>
      <c r="E136" s="330" t="str">
        <f>dir!E75</f>
        <v>2018/19</v>
      </c>
      <c r="G136" s="448"/>
      <c r="H136" s="22"/>
      <c r="J136" s="333"/>
      <c r="N136" s="333"/>
      <c r="R136" s="332"/>
      <c r="S136" s="175"/>
      <c r="T136" s="885"/>
      <c r="V136" s="1221"/>
      <c r="W136" s="1221"/>
      <c r="Y136" s="1253"/>
      <c r="Z136" s="1261"/>
      <c r="AA136" s="1261"/>
      <c r="AB136" s="1261"/>
      <c r="AC136" s="1261"/>
      <c r="AG136" s="1255"/>
      <c r="AH136" s="1251"/>
    </row>
    <row r="137" spans="2:42" ht="12.75" customHeight="1" x14ac:dyDescent="0.2">
      <c r="C137" s="14" t="s">
        <v>213</v>
      </c>
      <c r="E137" s="330">
        <f>dir!E76</f>
        <v>43374</v>
      </c>
      <c r="G137" s="448"/>
      <c r="H137" s="22"/>
      <c r="J137" s="333"/>
      <c r="N137" s="333"/>
      <c r="R137" s="332"/>
      <c r="S137" s="175"/>
      <c r="T137" s="885"/>
      <c r="V137" s="1221"/>
      <c r="W137" s="1221"/>
      <c r="Y137" s="1253"/>
      <c r="Z137" s="1261"/>
      <c r="AA137" s="1261"/>
      <c r="AB137" s="1261"/>
      <c r="AC137" s="1261"/>
      <c r="AG137" s="1255"/>
      <c r="AH137" s="1251"/>
    </row>
    <row r="138" spans="2:42" ht="12.75" customHeight="1" x14ac:dyDescent="0.2">
      <c r="G138" s="448"/>
      <c r="H138" s="22"/>
      <c r="J138" s="333"/>
      <c r="N138" s="333"/>
      <c r="R138" s="332"/>
      <c r="S138" s="175"/>
      <c r="T138" s="885"/>
      <c r="V138" s="1221"/>
      <c r="W138" s="1221"/>
      <c r="Y138" s="1253"/>
      <c r="Z138" s="1261"/>
      <c r="AA138" s="1261"/>
      <c r="AB138" s="1261"/>
      <c r="AC138" s="1261"/>
      <c r="AG138" s="1255"/>
      <c r="AH138" s="1251"/>
    </row>
    <row r="139" spans="2:42" ht="12.75" customHeight="1" x14ac:dyDescent="0.2">
      <c r="C139" s="184"/>
      <c r="D139" s="1114"/>
      <c r="E139" s="1080"/>
      <c r="F139" s="1081"/>
      <c r="G139" s="1082"/>
      <c r="H139" s="1083"/>
      <c r="I139" s="1083"/>
      <c r="J139" s="1084"/>
      <c r="K139" s="1085"/>
      <c r="L139" s="1083"/>
      <c r="M139" s="1083"/>
      <c r="N139" s="1084"/>
      <c r="O139" s="1083"/>
      <c r="P139" s="1083"/>
      <c r="Q139" s="1085"/>
      <c r="R139" s="1085"/>
      <c r="S139" s="1086"/>
      <c r="T139" s="1087"/>
      <c r="U139" s="121"/>
      <c r="V139" s="1221"/>
      <c r="W139" s="1221"/>
      <c r="AE139" s="1235"/>
      <c r="AF139" s="1236"/>
      <c r="AI139" s="1235"/>
      <c r="AJ139" s="1247"/>
      <c r="AK139" s="311"/>
      <c r="AL139" s="312"/>
      <c r="AM139" s="324"/>
      <c r="AN139" s="24"/>
    </row>
    <row r="140" spans="2:42" s="144" customFormat="1" ht="12.75" customHeight="1" x14ac:dyDescent="0.2">
      <c r="B140" s="150"/>
      <c r="C140" s="425"/>
      <c r="D140" s="1191" t="s">
        <v>307</v>
      </c>
      <c r="E140" s="1191"/>
      <c r="F140" s="1191"/>
      <c r="G140" s="1191"/>
      <c r="H140" s="1191"/>
      <c r="I140" s="1191"/>
      <c r="J140" s="1191"/>
      <c r="K140" s="1192"/>
      <c r="L140" s="1191" t="s">
        <v>553</v>
      </c>
      <c r="M140" s="1193"/>
      <c r="N140" s="1191"/>
      <c r="O140" s="1191"/>
      <c r="P140" s="1291"/>
      <c r="Q140" s="1055"/>
      <c r="R140" s="1191" t="s">
        <v>554</v>
      </c>
      <c r="S140" s="1194"/>
      <c r="T140" s="1292"/>
      <c r="U140" s="1293"/>
      <c r="V140" s="1222"/>
      <c r="W140" s="1222"/>
      <c r="X140" s="427"/>
      <c r="Y140" s="1221"/>
      <c r="Z140" s="1294"/>
      <c r="AA140" s="1221"/>
      <c r="AB140" s="1221"/>
      <c r="AC140" s="1221"/>
      <c r="AD140" s="1295"/>
      <c r="AE140" s="1295"/>
      <c r="AF140" s="1294"/>
      <c r="AG140" s="1248"/>
      <c r="AH140" s="1249"/>
      <c r="AI140" s="1221"/>
      <c r="AJ140" s="1221"/>
      <c r="AO140" s="427"/>
      <c r="AP140" s="427"/>
    </row>
    <row r="141" spans="2:42" s="144" customFormat="1" ht="12.75" customHeight="1" x14ac:dyDescent="0.2">
      <c r="B141" s="150"/>
      <c r="C141" s="425"/>
      <c r="D141" s="1056" t="s">
        <v>545</v>
      </c>
      <c r="E141" s="1030" t="s">
        <v>201</v>
      </c>
      <c r="F141" s="1057" t="s">
        <v>151</v>
      </c>
      <c r="G141" s="1058" t="s">
        <v>295</v>
      </c>
      <c r="H141" s="1057" t="s">
        <v>226</v>
      </c>
      <c r="I141" s="1057" t="s">
        <v>247</v>
      </c>
      <c r="J141" s="1059" t="s">
        <v>154</v>
      </c>
      <c r="K141" s="1067"/>
      <c r="L141" s="1060" t="s">
        <v>530</v>
      </c>
      <c r="M141" s="1060" t="s">
        <v>531</v>
      </c>
      <c r="N141" s="1060" t="s">
        <v>529</v>
      </c>
      <c r="O141" s="1060" t="s">
        <v>530</v>
      </c>
      <c r="P141" s="1296" t="s">
        <v>555</v>
      </c>
      <c r="Q141" s="1034"/>
      <c r="R141" s="1195" t="s">
        <v>212</v>
      </c>
      <c r="S141" s="1062" t="s">
        <v>556</v>
      </c>
      <c r="T141" s="1063" t="s">
        <v>212</v>
      </c>
      <c r="U141" s="1297"/>
      <c r="V141" s="1259"/>
      <c r="W141" s="1259"/>
      <c r="X141" s="430"/>
      <c r="Y141" s="1068" t="s">
        <v>325</v>
      </c>
      <c r="Z141" s="1285" t="s">
        <v>548</v>
      </c>
      <c r="AA141" s="1259" t="s">
        <v>549</v>
      </c>
      <c r="AB141" s="1259" t="s">
        <v>549</v>
      </c>
      <c r="AC141" s="1259" t="s">
        <v>546</v>
      </c>
      <c r="AD141" s="1206" t="s">
        <v>539</v>
      </c>
      <c r="AE141" s="1206" t="s">
        <v>540</v>
      </c>
      <c r="AF141" s="1069" t="s">
        <v>541</v>
      </c>
      <c r="AG141" s="1250" t="s">
        <v>319</v>
      </c>
      <c r="AH141" s="1249" t="s">
        <v>459</v>
      </c>
      <c r="AI141" s="1221"/>
      <c r="AJ141" s="1221"/>
      <c r="AO141" s="427"/>
      <c r="AP141" s="430"/>
    </row>
    <row r="142" spans="2:42" s="144" customFormat="1" ht="12.75" customHeight="1" x14ac:dyDescent="0.2">
      <c r="B142" s="150"/>
      <c r="C142" s="425"/>
      <c r="D142" s="1064"/>
      <c r="E142" s="1030"/>
      <c r="F142" s="1057" t="s">
        <v>152</v>
      </c>
      <c r="G142" s="1058" t="s">
        <v>296</v>
      </c>
      <c r="H142" s="1057"/>
      <c r="I142" s="1057"/>
      <c r="J142" s="1059" t="s">
        <v>489</v>
      </c>
      <c r="K142" s="1067"/>
      <c r="L142" s="1060" t="s">
        <v>533</v>
      </c>
      <c r="M142" s="1060" t="s">
        <v>534</v>
      </c>
      <c r="N142" s="1060" t="s">
        <v>532</v>
      </c>
      <c r="O142" s="1060" t="s">
        <v>544</v>
      </c>
      <c r="P142" s="1296" t="s">
        <v>291</v>
      </c>
      <c r="Q142" s="1034"/>
      <c r="R142" s="1061" t="s">
        <v>557</v>
      </c>
      <c r="S142" s="1062" t="s">
        <v>535</v>
      </c>
      <c r="T142" s="1063" t="s">
        <v>291</v>
      </c>
      <c r="U142" s="1040"/>
      <c r="V142" s="1221"/>
      <c r="W142" s="1221"/>
      <c r="Y142" s="1068" t="s">
        <v>217</v>
      </c>
      <c r="Z142" s="1287">
        <f>tab!$E$48</f>
        <v>0.62</v>
      </c>
      <c r="AA142" s="1259" t="s">
        <v>550</v>
      </c>
      <c r="AB142" s="1259" t="s">
        <v>551</v>
      </c>
      <c r="AC142" s="1259" t="s">
        <v>552</v>
      </c>
      <c r="AD142" s="1206" t="s">
        <v>542</v>
      </c>
      <c r="AE142" s="1206" t="s">
        <v>542</v>
      </c>
      <c r="AF142" s="1069" t="s">
        <v>543</v>
      </c>
      <c r="AG142" s="1250"/>
      <c r="AH142" s="1251" t="s">
        <v>246</v>
      </c>
      <c r="AI142" s="1221"/>
      <c r="AJ142" s="1221"/>
      <c r="AP142" s="767"/>
    </row>
    <row r="143" spans="2:42" ht="12.75" customHeight="1" x14ac:dyDescent="0.2">
      <c r="C143" s="126"/>
      <c r="D143" s="1065"/>
      <c r="E143" s="1065"/>
      <c r="F143" s="1065"/>
      <c r="G143" s="1065"/>
      <c r="H143" s="1065"/>
      <c r="I143" s="1065"/>
      <c r="J143" s="1065"/>
      <c r="K143" s="1066"/>
      <c r="L143" s="1065"/>
      <c r="M143" s="1065"/>
      <c r="N143" s="1065"/>
      <c r="O143" s="1065"/>
      <c r="P143" s="1065"/>
      <c r="Q143" s="1066"/>
      <c r="R143" s="1088"/>
      <c r="S143" s="1070"/>
      <c r="T143" s="1089"/>
      <c r="U143" s="125"/>
      <c r="V143" s="1221"/>
      <c r="W143" s="1221"/>
      <c r="Y143" s="1068"/>
      <c r="Z143" s="1222"/>
      <c r="AA143" s="1222"/>
      <c r="AB143" s="1222"/>
      <c r="AC143" s="1222"/>
      <c r="AE143" s="1221"/>
      <c r="AF143" s="1221"/>
      <c r="AG143" s="1250"/>
      <c r="AH143" s="1251"/>
      <c r="AM143" s="14"/>
      <c r="AN143" s="14"/>
      <c r="AP143" s="332"/>
    </row>
    <row r="144" spans="2:42" ht="12.75" customHeight="1" x14ac:dyDescent="0.2">
      <c r="C144" s="126"/>
      <c r="D144" s="396" t="str">
        <f>IF(obp!D102=0,"",obp!D102)</f>
        <v/>
      </c>
      <c r="E144" s="432" t="str">
        <f>IF(obp!E102=0,"",obp!E102)</f>
        <v>nn</v>
      </c>
      <c r="F144" s="776" t="str">
        <f>IF(obp!F102="","",obp!F102+1)</f>
        <v/>
      </c>
      <c r="G144" s="802" t="str">
        <f>IF(obp!G102="","",obp!G102)</f>
        <v/>
      </c>
      <c r="H144" s="776">
        <f>IF(obp!H102=0,"",obp!H102)</f>
        <v>8</v>
      </c>
      <c r="I144" s="433">
        <f>IF(J144="","",(IF(obp!I102+1&gt;LOOKUP(H144,schaal2013,regels2013),obp!I102,obp!I102+1)))</f>
        <v>11</v>
      </c>
      <c r="J144" s="803">
        <f>IF(obp!J102="","",obp!J102)</f>
        <v>1</v>
      </c>
      <c r="K144" s="413"/>
      <c r="L144" s="1207">
        <f>IF(obp!L102="","",obp!L102)</f>
        <v>0</v>
      </c>
      <c r="M144" s="1207">
        <f>IF(obp!M102="","",obp!M102)</f>
        <v>0</v>
      </c>
      <c r="N144" s="1209">
        <f t="shared" ref="N144:N173" si="60">IF(J144="","",IF((J144*40)&gt;40,40,((J144*40))))</f>
        <v>40</v>
      </c>
      <c r="O144" s="1209"/>
      <c r="P144" s="1283">
        <f t="shared" ref="P144:P173" si="61">IF(J144="","",(SUM(L144:O144)))</f>
        <v>40</v>
      </c>
      <c r="Q144" s="518"/>
      <c r="R144" s="1076">
        <f>IF(J144="","",(((1659*J144)-P144)*AB144))</f>
        <v>53574.905750452082</v>
      </c>
      <c r="S144" s="1076">
        <f t="shared" ref="S144:S173" si="62">IF(J144="","",(P144*AC144)+(AA144*AD144)+((AE144*AA144*(1-AF144))))</f>
        <v>1323.6542495479205</v>
      </c>
      <c r="T144" s="1078">
        <f t="shared" ref="T144:T173" si="63">IF(J144="","",(R144+S144))</f>
        <v>54898.560000000005</v>
      </c>
      <c r="U144" s="599"/>
      <c r="V144" s="1261"/>
      <c r="W144" s="1261"/>
      <c r="X144" s="1218"/>
      <c r="Y144" s="1253">
        <f>ROUND(VLOOKUP(H144,tab!$A$61:$V$103,I144+2,FALSE),0)</f>
        <v>2824</v>
      </c>
      <c r="Z144" s="1252">
        <f>tab!$E$48</f>
        <v>0.62</v>
      </c>
      <c r="AA144" s="1284">
        <f t="shared" ref="AA144:AA173" si="64">(Y144*12/1659)</f>
        <v>20.426763110307416</v>
      </c>
      <c r="AB144" s="1284">
        <f t="shared" ref="AB144:AB173" si="65">(Y144*12*(1+Z144))/1659</f>
        <v>33.091356238698012</v>
      </c>
      <c r="AC144" s="1284">
        <f t="shared" ref="AC144:AC173" si="66">AB144-AA144</f>
        <v>12.664593128390596</v>
      </c>
      <c r="AD144" s="1286">
        <f t="shared" ref="AD144:AD173" si="67">(N144+O144)</f>
        <v>40</v>
      </c>
      <c r="AE144" s="1286">
        <f t="shared" ref="AE144:AE173" si="68">(L144+M144)</f>
        <v>0</v>
      </c>
      <c r="AF144" s="1254">
        <f>IF(H144&gt;8,tab!$D$49,tab!$D$52)</f>
        <v>0.4</v>
      </c>
      <c r="AG144" s="1255">
        <f t="shared" ref="AG144:AG173" si="69">IF(F144&lt;25,0,IF(F144=25,25,IF(F144&lt;40,0,IF(F144=40,40,IF(F144&gt;=40,0)))))</f>
        <v>0</v>
      </c>
      <c r="AH144" s="1251">
        <f t="shared" ref="AH144:AH173" si="70">IF(AG144=25,(Y144*1.08*(J144)/2),IF(AG144=40,(Y144*1.08*(J144)),IF(AG144=0,0)))</f>
        <v>0</v>
      </c>
      <c r="AK144" s="198"/>
    </row>
    <row r="145" spans="3:37" ht="12.75" customHeight="1" x14ac:dyDescent="0.2">
      <c r="C145" s="126"/>
      <c r="D145" s="396" t="str">
        <f>IF(obp!D103=0,"",obp!D103)</f>
        <v/>
      </c>
      <c r="E145" s="432" t="str">
        <f>IF(obp!E103=0,"",obp!E103)</f>
        <v/>
      </c>
      <c r="F145" s="776" t="str">
        <f>IF(obp!F103="","",obp!F103+1)</f>
        <v/>
      </c>
      <c r="G145" s="802" t="str">
        <f>IF(obp!G103="","",obp!G103)</f>
        <v/>
      </c>
      <c r="H145" s="776" t="str">
        <f>IF(obp!H103=0,"",obp!H103)</f>
        <v/>
      </c>
      <c r="I145" s="433" t="str">
        <f>IF(J145="","",(IF(obp!I103+1&gt;LOOKUP(H145,schaal2013,regels2013),obp!I103,obp!I103+1)))</f>
        <v/>
      </c>
      <c r="J145" s="803" t="str">
        <f>IF(obp!J103="","",obp!J103)</f>
        <v/>
      </c>
      <c r="K145" s="413"/>
      <c r="L145" s="1207">
        <f>IF(obp!L103="","",obp!L103)</f>
        <v>0</v>
      </c>
      <c r="M145" s="1207">
        <f>IF(obp!M103="","",obp!M103)</f>
        <v>0</v>
      </c>
      <c r="N145" s="1209" t="str">
        <f t="shared" si="60"/>
        <v/>
      </c>
      <c r="O145" s="1209"/>
      <c r="P145" s="1283" t="str">
        <f t="shared" si="61"/>
        <v/>
      </c>
      <c r="Q145" s="518"/>
      <c r="R145" s="1076" t="str">
        <f t="shared" ref="R145:R173" si="71">IF(J145="","",(((1659*J145)-P145)*AB145))</f>
        <v/>
      </c>
      <c r="S145" s="1076" t="str">
        <f t="shared" si="62"/>
        <v/>
      </c>
      <c r="T145" s="1078" t="str">
        <f t="shared" si="63"/>
        <v/>
      </c>
      <c r="U145" s="599"/>
      <c r="V145" s="1261"/>
      <c r="W145" s="1261"/>
      <c r="X145" s="1218"/>
      <c r="Y145" s="1253" t="e">
        <f>ROUND(VLOOKUP(H145,tab!$A$61:$V$103,I145+2,FALSE),0)</f>
        <v>#VALUE!</v>
      </c>
      <c r="Z145" s="1252">
        <f>tab!$E$48</f>
        <v>0.62</v>
      </c>
      <c r="AA145" s="1284" t="e">
        <f t="shared" si="64"/>
        <v>#VALUE!</v>
      </c>
      <c r="AB145" s="1284" t="e">
        <f t="shared" si="65"/>
        <v>#VALUE!</v>
      </c>
      <c r="AC145" s="1284" t="e">
        <f t="shared" si="66"/>
        <v>#VALUE!</v>
      </c>
      <c r="AD145" s="1286" t="e">
        <f t="shared" si="67"/>
        <v>#VALUE!</v>
      </c>
      <c r="AE145" s="1286">
        <f t="shared" si="68"/>
        <v>0</v>
      </c>
      <c r="AF145" s="1254">
        <f>IF(H145&gt;8,tab!$D$49,tab!$D$52)</f>
        <v>0.5</v>
      </c>
      <c r="AG145" s="1255">
        <f t="shared" si="69"/>
        <v>0</v>
      </c>
      <c r="AH145" s="1251">
        <f t="shared" si="70"/>
        <v>0</v>
      </c>
      <c r="AK145" s="198"/>
    </row>
    <row r="146" spans="3:37" ht="12.75" customHeight="1" x14ac:dyDescent="0.2">
      <c r="C146" s="126"/>
      <c r="D146" s="396" t="str">
        <f>IF(obp!D104=0,"",obp!D104)</f>
        <v/>
      </c>
      <c r="E146" s="432" t="str">
        <f>IF(obp!E104=0,"",obp!E104)</f>
        <v/>
      </c>
      <c r="F146" s="776" t="str">
        <f>IF(obp!F104="","",obp!F104+1)</f>
        <v/>
      </c>
      <c r="G146" s="802" t="str">
        <f>IF(obp!G104="","",obp!G104)</f>
        <v/>
      </c>
      <c r="H146" s="776" t="str">
        <f>IF(obp!H104=0,"",obp!H104)</f>
        <v/>
      </c>
      <c r="I146" s="433" t="str">
        <f>IF(J146="","",(IF(obp!I104+1&gt;LOOKUP(H146,schaal2013,regels2013),obp!I104,obp!I104+1)))</f>
        <v/>
      </c>
      <c r="J146" s="803" t="str">
        <f>IF(obp!J104="","",obp!J104)</f>
        <v/>
      </c>
      <c r="K146" s="413"/>
      <c r="L146" s="1207">
        <f>IF(obp!L104="","",obp!L104)</f>
        <v>0</v>
      </c>
      <c r="M146" s="1207">
        <f>IF(obp!M104="","",obp!M104)</f>
        <v>0</v>
      </c>
      <c r="N146" s="1209" t="str">
        <f t="shared" si="60"/>
        <v/>
      </c>
      <c r="O146" s="1209"/>
      <c r="P146" s="1283" t="str">
        <f t="shared" si="61"/>
        <v/>
      </c>
      <c r="Q146" s="518"/>
      <c r="R146" s="1076" t="str">
        <f t="shared" si="71"/>
        <v/>
      </c>
      <c r="S146" s="1076" t="str">
        <f t="shared" si="62"/>
        <v/>
      </c>
      <c r="T146" s="1078" t="str">
        <f t="shared" si="63"/>
        <v/>
      </c>
      <c r="U146" s="599"/>
      <c r="V146" s="1261"/>
      <c r="W146" s="1261"/>
      <c r="X146" s="1218"/>
      <c r="Y146" s="1253" t="e">
        <f>ROUND(VLOOKUP(H146,tab!$A$61:$V$103,I146+2,FALSE),0)</f>
        <v>#VALUE!</v>
      </c>
      <c r="Z146" s="1252">
        <f>tab!$E$48</f>
        <v>0.62</v>
      </c>
      <c r="AA146" s="1284" t="e">
        <f t="shared" si="64"/>
        <v>#VALUE!</v>
      </c>
      <c r="AB146" s="1284" t="e">
        <f t="shared" si="65"/>
        <v>#VALUE!</v>
      </c>
      <c r="AC146" s="1284" t="e">
        <f t="shared" si="66"/>
        <v>#VALUE!</v>
      </c>
      <c r="AD146" s="1286" t="e">
        <f t="shared" si="67"/>
        <v>#VALUE!</v>
      </c>
      <c r="AE146" s="1286">
        <f t="shared" si="68"/>
        <v>0</v>
      </c>
      <c r="AF146" s="1254">
        <f>IF(H146&gt;8,tab!$D$49,tab!$D$52)</f>
        <v>0.5</v>
      </c>
      <c r="AG146" s="1255">
        <f t="shared" si="69"/>
        <v>0</v>
      </c>
      <c r="AH146" s="1251">
        <f t="shared" si="70"/>
        <v>0</v>
      </c>
      <c r="AK146" s="198"/>
    </row>
    <row r="147" spans="3:37" ht="12.75" customHeight="1" x14ac:dyDescent="0.2">
      <c r="C147" s="126"/>
      <c r="D147" s="396" t="str">
        <f>IF(obp!D105=0,"",obp!D105)</f>
        <v/>
      </c>
      <c r="E147" s="432" t="str">
        <f>IF(obp!E105=0,"",obp!E105)</f>
        <v/>
      </c>
      <c r="F147" s="776" t="str">
        <f>IF(obp!F105="","",obp!F105+1)</f>
        <v/>
      </c>
      <c r="G147" s="802" t="str">
        <f>IF(obp!G105="","",obp!G105)</f>
        <v/>
      </c>
      <c r="H147" s="776" t="str">
        <f>IF(obp!H105=0,"",obp!H105)</f>
        <v/>
      </c>
      <c r="I147" s="433" t="str">
        <f>IF(J147="","",(IF(obp!I105+1&gt;LOOKUP(H147,schaal2013,regels2013),obp!I105,obp!I105+1)))</f>
        <v/>
      </c>
      <c r="J147" s="803" t="str">
        <f>IF(obp!J105="","",obp!J105)</f>
        <v/>
      </c>
      <c r="K147" s="413"/>
      <c r="L147" s="1207">
        <f>IF(obp!L105="","",obp!L105)</f>
        <v>0</v>
      </c>
      <c r="M147" s="1207">
        <f>IF(obp!M105="","",obp!M105)</f>
        <v>0</v>
      </c>
      <c r="N147" s="1209" t="str">
        <f t="shared" si="60"/>
        <v/>
      </c>
      <c r="O147" s="1209"/>
      <c r="P147" s="1283" t="str">
        <f t="shared" si="61"/>
        <v/>
      </c>
      <c r="Q147" s="518"/>
      <c r="R147" s="1076" t="str">
        <f t="shared" si="71"/>
        <v/>
      </c>
      <c r="S147" s="1076" t="str">
        <f t="shared" si="62"/>
        <v/>
      </c>
      <c r="T147" s="1078" t="str">
        <f t="shared" si="63"/>
        <v/>
      </c>
      <c r="U147" s="599"/>
      <c r="V147" s="1261"/>
      <c r="W147" s="1261"/>
      <c r="X147" s="1218"/>
      <c r="Y147" s="1253" t="e">
        <f>ROUND(VLOOKUP(H147,tab!$A$61:$V$103,I147+2,FALSE),0)</f>
        <v>#VALUE!</v>
      </c>
      <c r="Z147" s="1252">
        <f>tab!$E$48</f>
        <v>0.62</v>
      </c>
      <c r="AA147" s="1284" t="e">
        <f t="shared" si="64"/>
        <v>#VALUE!</v>
      </c>
      <c r="AB147" s="1284" t="e">
        <f t="shared" si="65"/>
        <v>#VALUE!</v>
      </c>
      <c r="AC147" s="1284" t="e">
        <f t="shared" si="66"/>
        <v>#VALUE!</v>
      </c>
      <c r="AD147" s="1286" t="e">
        <f t="shared" si="67"/>
        <v>#VALUE!</v>
      </c>
      <c r="AE147" s="1286">
        <f t="shared" si="68"/>
        <v>0</v>
      </c>
      <c r="AF147" s="1254">
        <f>IF(H147&gt;8,tab!$D$49,tab!$D$52)</f>
        <v>0.5</v>
      </c>
      <c r="AG147" s="1255">
        <f t="shared" si="69"/>
        <v>0</v>
      </c>
      <c r="AH147" s="1251">
        <f t="shared" si="70"/>
        <v>0</v>
      </c>
      <c r="AK147" s="198"/>
    </row>
    <row r="148" spans="3:37" ht="12.75" customHeight="1" x14ac:dyDescent="0.2">
      <c r="C148" s="126"/>
      <c r="D148" s="396" t="str">
        <f>IF(obp!D106=0,"",obp!D106)</f>
        <v/>
      </c>
      <c r="E148" s="432" t="str">
        <f>IF(obp!E106=0,"",obp!E106)</f>
        <v/>
      </c>
      <c r="F148" s="776" t="str">
        <f>IF(obp!F106="","",obp!F106+1)</f>
        <v/>
      </c>
      <c r="G148" s="802" t="str">
        <f>IF(obp!G106="","",obp!G106)</f>
        <v/>
      </c>
      <c r="H148" s="776" t="str">
        <f>IF(obp!H106=0,"",obp!H106)</f>
        <v/>
      </c>
      <c r="I148" s="433" t="str">
        <f>IF(J148="","",(IF(obp!I106+1&gt;LOOKUP(H148,schaal2013,regels2013),obp!I106,obp!I106+1)))</f>
        <v/>
      </c>
      <c r="J148" s="803" t="str">
        <f>IF(obp!J106="","",obp!J106)</f>
        <v/>
      </c>
      <c r="K148" s="413"/>
      <c r="L148" s="1207">
        <f>IF(obp!L106="","",obp!L106)</f>
        <v>0</v>
      </c>
      <c r="M148" s="1207">
        <f>IF(obp!M106="","",obp!M106)</f>
        <v>0</v>
      </c>
      <c r="N148" s="1209" t="str">
        <f t="shared" si="60"/>
        <v/>
      </c>
      <c r="O148" s="1209"/>
      <c r="P148" s="1283" t="str">
        <f t="shared" si="61"/>
        <v/>
      </c>
      <c r="Q148" s="518"/>
      <c r="R148" s="1076" t="str">
        <f t="shared" si="71"/>
        <v/>
      </c>
      <c r="S148" s="1076" t="str">
        <f t="shared" si="62"/>
        <v/>
      </c>
      <c r="T148" s="1078" t="str">
        <f t="shared" si="63"/>
        <v/>
      </c>
      <c r="U148" s="599"/>
      <c r="V148" s="1261"/>
      <c r="W148" s="1261"/>
      <c r="X148" s="1218"/>
      <c r="Y148" s="1253" t="e">
        <f>ROUND(VLOOKUP(H148,tab!$A$61:$V$103,I148+2,FALSE),0)</f>
        <v>#VALUE!</v>
      </c>
      <c r="Z148" s="1252">
        <f>tab!$E$48</f>
        <v>0.62</v>
      </c>
      <c r="AA148" s="1284" t="e">
        <f t="shared" si="64"/>
        <v>#VALUE!</v>
      </c>
      <c r="AB148" s="1284" t="e">
        <f t="shared" si="65"/>
        <v>#VALUE!</v>
      </c>
      <c r="AC148" s="1284" t="e">
        <f t="shared" si="66"/>
        <v>#VALUE!</v>
      </c>
      <c r="AD148" s="1286" t="e">
        <f t="shared" si="67"/>
        <v>#VALUE!</v>
      </c>
      <c r="AE148" s="1286">
        <f t="shared" si="68"/>
        <v>0</v>
      </c>
      <c r="AF148" s="1254">
        <f>IF(H148&gt;8,tab!$D$49,tab!$D$52)</f>
        <v>0.5</v>
      </c>
      <c r="AG148" s="1255">
        <f t="shared" si="69"/>
        <v>0</v>
      </c>
      <c r="AH148" s="1251">
        <f t="shared" si="70"/>
        <v>0</v>
      </c>
      <c r="AK148" s="198"/>
    </row>
    <row r="149" spans="3:37" ht="12.75" customHeight="1" x14ac:dyDescent="0.2">
      <c r="C149" s="126"/>
      <c r="D149" s="396" t="str">
        <f>IF(obp!D107=0,"",obp!D107)</f>
        <v/>
      </c>
      <c r="E149" s="432" t="str">
        <f>IF(obp!E107=0,"",obp!E107)</f>
        <v/>
      </c>
      <c r="F149" s="776" t="str">
        <f>IF(obp!F107="","",obp!F107+1)</f>
        <v/>
      </c>
      <c r="G149" s="802" t="str">
        <f>IF(obp!G107="","",obp!G107)</f>
        <v/>
      </c>
      <c r="H149" s="776" t="str">
        <f>IF(obp!H107=0,"",obp!H107)</f>
        <v/>
      </c>
      <c r="I149" s="433" t="str">
        <f>IF(J149="","",(IF(obp!I107+1&gt;LOOKUP(H149,schaal2013,regels2013),obp!I107,obp!I107+1)))</f>
        <v/>
      </c>
      <c r="J149" s="803" t="str">
        <f>IF(obp!J107="","",obp!J107)</f>
        <v/>
      </c>
      <c r="K149" s="413"/>
      <c r="L149" s="1207">
        <f>IF(obp!L107="","",obp!L107)</f>
        <v>0</v>
      </c>
      <c r="M149" s="1207">
        <f>IF(obp!M107="","",obp!M107)</f>
        <v>0</v>
      </c>
      <c r="N149" s="1209" t="str">
        <f t="shared" si="60"/>
        <v/>
      </c>
      <c r="O149" s="1209"/>
      <c r="P149" s="1283" t="str">
        <f t="shared" si="61"/>
        <v/>
      </c>
      <c r="Q149" s="518"/>
      <c r="R149" s="1076" t="str">
        <f t="shared" si="71"/>
        <v/>
      </c>
      <c r="S149" s="1076" t="str">
        <f t="shared" si="62"/>
        <v/>
      </c>
      <c r="T149" s="1078" t="str">
        <f t="shared" si="63"/>
        <v/>
      </c>
      <c r="U149" s="599"/>
      <c r="V149" s="1261"/>
      <c r="W149" s="1261"/>
      <c r="X149" s="1218"/>
      <c r="Y149" s="1253" t="e">
        <f>ROUND(VLOOKUP(H149,tab!$A$61:$V$103,I149+2,FALSE),0)</f>
        <v>#VALUE!</v>
      </c>
      <c r="Z149" s="1252">
        <f>tab!$E$48</f>
        <v>0.62</v>
      </c>
      <c r="AA149" s="1284" t="e">
        <f t="shared" si="64"/>
        <v>#VALUE!</v>
      </c>
      <c r="AB149" s="1284" t="e">
        <f t="shared" si="65"/>
        <v>#VALUE!</v>
      </c>
      <c r="AC149" s="1284" t="e">
        <f t="shared" si="66"/>
        <v>#VALUE!</v>
      </c>
      <c r="AD149" s="1286" t="e">
        <f t="shared" si="67"/>
        <v>#VALUE!</v>
      </c>
      <c r="AE149" s="1286">
        <f t="shared" si="68"/>
        <v>0</v>
      </c>
      <c r="AF149" s="1254">
        <f>IF(H149&gt;8,tab!$D$49,tab!$D$52)</f>
        <v>0.5</v>
      </c>
      <c r="AG149" s="1255">
        <f t="shared" si="69"/>
        <v>0</v>
      </c>
      <c r="AH149" s="1251">
        <f t="shared" si="70"/>
        <v>0</v>
      </c>
      <c r="AK149" s="198"/>
    </row>
    <row r="150" spans="3:37" ht="12.75" customHeight="1" x14ac:dyDescent="0.2">
      <c r="C150" s="126"/>
      <c r="D150" s="396" t="str">
        <f>IF(obp!D108=0,"",obp!D108)</f>
        <v/>
      </c>
      <c r="E150" s="432" t="str">
        <f>IF(obp!E108=0,"",obp!E108)</f>
        <v/>
      </c>
      <c r="F150" s="776" t="str">
        <f>IF(obp!F108="","",obp!F108+1)</f>
        <v/>
      </c>
      <c r="G150" s="802" t="str">
        <f>IF(obp!G108="","",obp!G108)</f>
        <v/>
      </c>
      <c r="H150" s="776" t="str">
        <f>IF(obp!H108=0,"",obp!H108)</f>
        <v/>
      </c>
      <c r="I150" s="433" t="str">
        <f>IF(J150="","",(IF(obp!I108+1&gt;LOOKUP(H150,schaal2013,regels2013),obp!I108,obp!I108+1)))</f>
        <v/>
      </c>
      <c r="J150" s="803" t="str">
        <f>IF(obp!J108="","",obp!J108)</f>
        <v/>
      </c>
      <c r="K150" s="413"/>
      <c r="L150" s="1207">
        <f>IF(obp!L108="","",obp!L108)</f>
        <v>0</v>
      </c>
      <c r="M150" s="1207">
        <f>IF(obp!M108="","",obp!M108)</f>
        <v>0</v>
      </c>
      <c r="N150" s="1209" t="str">
        <f t="shared" si="60"/>
        <v/>
      </c>
      <c r="O150" s="1209"/>
      <c r="P150" s="1283" t="str">
        <f t="shared" si="61"/>
        <v/>
      </c>
      <c r="Q150" s="518"/>
      <c r="R150" s="1076" t="str">
        <f t="shared" si="71"/>
        <v/>
      </c>
      <c r="S150" s="1076" t="str">
        <f t="shared" si="62"/>
        <v/>
      </c>
      <c r="T150" s="1078" t="str">
        <f t="shared" si="63"/>
        <v/>
      </c>
      <c r="U150" s="599"/>
      <c r="V150" s="1261"/>
      <c r="W150" s="1261"/>
      <c r="X150" s="1218"/>
      <c r="Y150" s="1253" t="e">
        <f>ROUND(VLOOKUP(H150,tab!$A$61:$V$103,I150+2,FALSE),0)</f>
        <v>#VALUE!</v>
      </c>
      <c r="Z150" s="1252">
        <f>tab!$E$48</f>
        <v>0.62</v>
      </c>
      <c r="AA150" s="1284" t="e">
        <f t="shared" si="64"/>
        <v>#VALUE!</v>
      </c>
      <c r="AB150" s="1284" t="e">
        <f t="shared" si="65"/>
        <v>#VALUE!</v>
      </c>
      <c r="AC150" s="1284" t="e">
        <f t="shared" si="66"/>
        <v>#VALUE!</v>
      </c>
      <c r="AD150" s="1286" t="e">
        <f t="shared" si="67"/>
        <v>#VALUE!</v>
      </c>
      <c r="AE150" s="1286">
        <f t="shared" si="68"/>
        <v>0</v>
      </c>
      <c r="AF150" s="1254">
        <f>IF(H150&gt;8,tab!$D$49,tab!$D$52)</f>
        <v>0.5</v>
      </c>
      <c r="AG150" s="1255">
        <f t="shared" si="69"/>
        <v>0</v>
      </c>
      <c r="AH150" s="1251">
        <f t="shared" si="70"/>
        <v>0</v>
      </c>
      <c r="AK150" s="198"/>
    </row>
    <row r="151" spans="3:37" ht="12.75" customHeight="1" x14ac:dyDescent="0.2">
      <c r="C151" s="126"/>
      <c r="D151" s="396" t="str">
        <f>IF(obp!D109=0,"",obp!D109)</f>
        <v/>
      </c>
      <c r="E151" s="432" t="str">
        <f>IF(obp!E109=0,"",obp!E109)</f>
        <v/>
      </c>
      <c r="F151" s="776" t="str">
        <f>IF(obp!F109="","",obp!F109+1)</f>
        <v/>
      </c>
      <c r="G151" s="802" t="str">
        <f>IF(obp!G109="","",obp!G109)</f>
        <v/>
      </c>
      <c r="H151" s="776" t="str">
        <f>IF(obp!H109=0,"",obp!H109)</f>
        <v/>
      </c>
      <c r="I151" s="433" t="str">
        <f>IF(J151="","",(IF(obp!I109+1&gt;LOOKUP(H151,schaal2013,regels2013),obp!I109,obp!I109+1)))</f>
        <v/>
      </c>
      <c r="J151" s="803" t="str">
        <f>IF(obp!J109="","",obp!J109)</f>
        <v/>
      </c>
      <c r="K151" s="413"/>
      <c r="L151" s="1207">
        <f>IF(obp!L109="","",obp!L109)</f>
        <v>0</v>
      </c>
      <c r="M151" s="1207">
        <f>IF(obp!M109="","",obp!M109)</f>
        <v>0</v>
      </c>
      <c r="N151" s="1209" t="str">
        <f t="shared" si="60"/>
        <v/>
      </c>
      <c r="O151" s="1209"/>
      <c r="P151" s="1283" t="str">
        <f t="shared" si="61"/>
        <v/>
      </c>
      <c r="Q151" s="518"/>
      <c r="R151" s="1076" t="str">
        <f t="shared" si="71"/>
        <v/>
      </c>
      <c r="S151" s="1076" t="str">
        <f t="shared" si="62"/>
        <v/>
      </c>
      <c r="T151" s="1078" t="str">
        <f t="shared" si="63"/>
        <v/>
      </c>
      <c r="U151" s="599"/>
      <c r="V151" s="1261"/>
      <c r="W151" s="1261"/>
      <c r="X151" s="1218"/>
      <c r="Y151" s="1253" t="e">
        <f>ROUND(VLOOKUP(H151,tab!$A$61:$V$103,I151+2,FALSE),0)</f>
        <v>#VALUE!</v>
      </c>
      <c r="Z151" s="1252">
        <f>tab!$E$48</f>
        <v>0.62</v>
      </c>
      <c r="AA151" s="1284" t="e">
        <f t="shared" si="64"/>
        <v>#VALUE!</v>
      </c>
      <c r="AB151" s="1284" t="e">
        <f t="shared" si="65"/>
        <v>#VALUE!</v>
      </c>
      <c r="AC151" s="1284" t="e">
        <f t="shared" si="66"/>
        <v>#VALUE!</v>
      </c>
      <c r="AD151" s="1286" t="e">
        <f t="shared" si="67"/>
        <v>#VALUE!</v>
      </c>
      <c r="AE151" s="1286">
        <f t="shared" si="68"/>
        <v>0</v>
      </c>
      <c r="AF151" s="1254">
        <f>IF(H151&gt;8,tab!$D$49,tab!$D$52)</f>
        <v>0.5</v>
      </c>
      <c r="AG151" s="1255">
        <f t="shared" si="69"/>
        <v>0</v>
      </c>
      <c r="AH151" s="1251">
        <f t="shared" si="70"/>
        <v>0</v>
      </c>
      <c r="AK151" s="198"/>
    </row>
    <row r="152" spans="3:37" ht="12.75" customHeight="1" x14ac:dyDescent="0.2">
      <c r="C152" s="126"/>
      <c r="D152" s="396" t="str">
        <f>IF(obp!D110=0,"",obp!D110)</f>
        <v/>
      </c>
      <c r="E152" s="432" t="str">
        <f>IF(obp!E110=0,"",obp!E110)</f>
        <v/>
      </c>
      <c r="F152" s="776" t="str">
        <f>IF(obp!F110="","",obp!F110+1)</f>
        <v/>
      </c>
      <c r="G152" s="802" t="str">
        <f>IF(obp!G110="","",obp!G110)</f>
        <v/>
      </c>
      <c r="H152" s="776" t="str">
        <f>IF(obp!H110=0,"",obp!H110)</f>
        <v/>
      </c>
      <c r="I152" s="433" t="str">
        <f>IF(J152="","",(IF(obp!I110+1&gt;LOOKUP(H152,schaal2013,regels2013),obp!I110,obp!I110+1)))</f>
        <v/>
      </c>
      <c r="J152" s="803" t="str">
        <f>IF(obp!J110="","",obp!J110)</f>
        <v/>
      </c>
      <c r="K152" s="413"/>
      <c r="L152" s="1207">
        <f>IF(obp!L110="","",obp!L110)</f>
        <v>0</v>
      </c>
      <c r="M152" s="1207">
        <f>IF(obp!M110="","",obp!M110)</f>
        <v>0</v>
      </c>
      <c r="N152" s="1209" t="str">
        <f t="shared" si="60"/>
        <v/>
      </c>
      <c r="O152" s="1209"/>
      <c r="P152" s="1283" t="str">
        <f t="shared" si="61"/>
        <v/>
      </c>
      <c r="Q152" s="518"/>
      <c r="R152" s="1076" t="str">
        <f t="shared" si="71"/>
        <v/>
      </c>
      <c r="S152" s="1076" t="str">
        <f t="shared" si="62"/>
        <v/>
      </c>
      <c r="T152" s="1078" t="str">
        <f t="shared" si="63"/>
        <v/>
      </c>
      <c r="U152" s="599"/>
      <c r="V152" s="1261"/>
      <c r="W152" s="1261"/>
      <c r="X152" s="1218"/>
      <c r="Y152" s="1253" t="e">
        <f>ROUND(VLOOKUP(H152,tab!$A$61:$V$103,I152+2,FALSE),0)</f>
        <v>#VALUE!</v>
      </c>
      <c r="Z152" s="1252">
        <f>tab!$E$48</f>
        <v>0.62</v>
      </c>
      <c r="AA152" s="1284" t="e">
        <f t="shared" si="64"/>
        <v>#VALUE!</v>
      </c>
      <c r="AB152" s="1284" t="e">
        <f t="shared" si="65"/>
        <v>#VALUE!</v>
      </c>
      <c r="AC152" s="1284" t="e">
        <f t="shared" si="66"/>
        <v>#VALUE!</v>
      </c>
      <c r="AD152" s="1286" t="e">
        <f t="shared" si="67"/>
        <v>#VALUE!</v>
      </c>
      <c r="AE152" s="1286">
        <f t="shared" si="68"/>
        <v>0</v>
      </c>
      <c r="AF152" s="1254">
        <f>IF(H152&gt;8,tab!$D$49,tab!$D$52)</f>
        <v>0.5</v>
      </c>
      <c r="AG152" s="1255">
        <f t="shared" si="69"/>
        <v>0</v>
      </c>
      <c r="AH152" s="1251">
        <f t="shared" si="70"/>
        <v>0</v>
      </c>
      <c r="AK152" s="198"/>
    </row>
    <row r="153" spans="3:37" ht="12.75" customHeight="1" x14ac:dyDescent="0.2">
      <c r="C153" s="126"/>
      <c r="D153" s="396" t="str">
        <f>IF(obp!D111=0,"",obp!D111)</f>
        <v/>
      </c>
      <c r="E153" s="432" t="str">
        <f>IF(obp!E111=0,"",obp!E111)</f>
        <v/>
      </c>
      <c r="F153" s="776" t="str">
        <f>IF(obp!F111="","",obp!F111+1)</f>
        <v/>
      </c>
      <c r="G153" s="802" t="str">
        <f>IF(obp!G111="","",obp!G111)</f>
        <v/>
      </c>
      <c r="H153" s="776" t="str">
        <f>IF(obp!H111=0,"",obp!H111)</f>
        <v/>
      </c>
      <c r="I153" s="433" t="str">
        <f>IF(J153="","",(IF(obp!I111+1&gt;LOOKUP(H153,schaal2013,regels2013),obp!I111,obp!I111+1)))</f>
        <v/>
      </c>
      <c r="J153" s="803" t="str">
        <f>IF(obp!J111="","",obp!J111)</f>
        <v/>
      </c>
      <c r="K153" s="413"/>
      <c r="L153" s="1207">
        <f>IF(obp!L111="","",obp!L111)</f>
        <v>0</v>
      </c>
      <c r="M153" s="1207">
        <f>IF(obp!M111="","",obp!M111)</f>
        <v>0</v>
      </c>
      <c r="N153" s="1209" t="str">
        <f t="shared" si="60"/>
        <v/>
      </c>
      <c r="O153" s="1209"/>
      <c r="P153" s="1283" t="str">
        <f t="shared" si="61"/>
        <v/>
      </c>
      <c r="Q153" s="518"/>
      <c r="R153" s="1076" t="str">
        <f t="shared" si="71"/>
        <v/>
      </c>
      <c r="S153" s="1076" t="str">
        <f t="shared" si="62"/>
        <v/>
      </c>
      <c r="T153" s="1078" t="str">
        <f t="shared" si="63"/>
        <v/>
      </c>
      <c r="U153" s="599"/>
      <c r="V153" s="1261"/>
      <c r="W153" s="1261"/>
      <c r="X153" s="1218"/>
      <c r="Y153" s="1253" t="e">
        <f>ROUND(VLOOKUP(H153,tab!$A$61:$V$103,I153+2,FALSE),0)</f>
        <v>#VALUE!</v>
      </c>
      <c r="Z153" s="1252">
        <f>tab!$E$48</f>
        <v>0.62</v>
      </c>
      <c r="AA153" s="1284" t="e">
        <f t="shared" si="64"/>
        <v>#VALUE!</v>
      </c>
      <c r="AB153" s="1284" t="e">
        <f t="shared" si="65"/>
        <v>#VALUE!</v>
      </c>
      <c r="AC153" s="1284" t="e">
        <f t="shared" si="66"/>
        <v>#VALUE!</v>
      </c>
      <c r="AD153" s="1286" t="e">
        <f t="shared" si="67"/>
        <v>#VALUE!</v>
      </c>
      <c r="AE153" s="1286">
        <f t="shared" si="68"/>
        <v>0</v>
      </c>
      <c r="AF153" s="1254">
        <f>IF(H153&gt;8,tab!$D$49,tab!$D$52)</f>
        <v>0.5</v>
      </c>
      <c r="AG153" s="1255">
        <f t="shared" si="69"/>
        <v>0</v>
      </c>
      <c r="AH153" s="1251">
        <f t="shared" si="70"/>
        <v>0</v>
      </c>
      <c r="AK153" s="198"/>
    </row>
    <row r="154" spans="3:37" ht="12.75" customHeight="1" x14ac:dyDescent="0.2">
      <c r="C154" s="126"/>
      <c r="D154" s="396" t="str">
        <f>IF(obp!D112=0,"",obp!D112)</f>
        <v/>
      </c>
      <c r="E154" s="432" t="str">
        <f>IF(obp!E112=0,"",obp!E112)</f>
        <v/>
      </c>
      <c r="F154" s="776" t="str">
        <f>IF(obp!F112="","",obp!F112+1)</f>
        <v/>
      </c>
      <c r="G154" s="802" t="str">
        <f>IF(obp!G112="","",obp!G112)</f>
        <v/>
      </c>
      <c r="H154" s="776" t="str">
        <f>IF(obp!H112=0,"",obp!H112)</f>
        <v/>
      </c>
      <c r="I154" s="433" t="str">
        <f>IF(J154="","",(IF(obp!I112+1&gt;LOOKUP(H154,schaal2013,regels2013),obp!I112,obp!I112+1)))</f>
        <v/>
      </c>
      <c r="J154" s="803" t="str">
        <f>IF(obp!J112="","",obp!J112)</f>
        <v/>
      </c>
      <c r="K154" s="413"/>
      <c r="L154" s="1207">
        <f>IF(obp!L112="","",obp!L112)</f>
        <v>0</v>
      </c>
      <c r="M154" s="1207">
        <f>IF(obp!M112="","",obp!M112)</f>
        <v>0</v>
      </c>
      <c r="N154" s="1209" t="str">
        <f t="shared" si="60"/>
        <v/>
      </c>
      <c r="O154" s="1209"/>
      <c r="P154" s="1283" t="str">
        <f t="shared" si="61"/>
        <v/>
      </c>
      <c r="Q154" s="518"/>
      <c r="R154" s="1076" t="str">
        <f t="shared" si="71"/>
        <v/>
      </c>
      <c r="S154" s="1076" t="str">
        <f t="shared" si="62"/>
        <v/>
      </c>
      <c r="T154" s="1078" t="str">
        <f t="shared" si="63"/>
        <v/>
      </c>
      <c r="U154" s="599"/>
      <c r="V154" s="1261"/>
      <c r="W154" s="1261"/>
      <c r="X154" s="1218"/>
      <c r="Y154" s="1253" t="e">
        <f>ROUND(VLOOKUP(H154,tab!$A$61:$V$103,I154+2,FALSE),0)</f>
        <v>#VALUE!</v>
      </c>
      <c r="Z154" s="1252">
        <f>tab!$E$48</f>
        <v>0.62</v>
      </c>
      <c r="AA154" s="1284" t="e">
        <f t="shared" si="64"/>
        <v>#VALUE!</v>
      </c>
      <c r="AB154" s="1284" t="e">
        <f t="shared" si="65"/>
        <v>#VALUE!</v>
      </c>
      <c r="AC154" s="1284" t="e">
        <f t="shared" si="66"/>
        <v>#VALUE!</v>
      </c>
      <c r="AD154" s="1286" t="e">
        <f t="shared" si="67"/>
        <v>#VALUE!</v>
      </c>
      <c r="AE154" s="1286">
        <f t="shared" si="68"/>
        <v>0</v>
      </c>
      <c r="AF154" s="1254">
        <f>IF(H154&gt;8,tab!$D$49,tab!$D$52)</f>
        <v>0.5</v>
      </c>
      <c r="AG154" s="1255">
        <f t="shared" si="69"/>
        <v>0</v>
      </c>
      <c r="AH154" s="1251">
        <f t="shared" si="70"/>
        <v>0</v>
      </c>
      <c r="AK154" s="198"/>
    </row>
    <row r="155" spans="3:37" ht="12.75" customHeight="1" x14ac:dyDescent="0.2">
      <c r="C155" s="126"/>
      <c r="D155" s="396" t="str">
        <f>IF(obp!D113=0,"",obp!D113)</f>
        <v/>
      </c>
      <c r="E155" s="432" t="str">
        <f>IF(obp!E113=0,"",obp!E113)</f>
        <v/>
      </c>
      <c r="F155" s="776" t="str">
        <f>IF(obp!F113="","",obp!F113+1)</f>
        <v/>
      </c>
      <c r="G155" s="802" t="str">
        <f>IF(obp!G113="","",obp!G113)</f>
        <v/>
      </c>
      <c r="H155" s="776" t="str">
        <f>IF(obp!H113=0,"",obp!H113)</f>
        <v/>
      </c>
      <c r="I155" s="433" t="str">
        <f>IF(J155="","",(IF(obp!I113+1&gt;LOOKUP(H155,schaal2013,regels2013),obp!I113,obp!I113+1)))</f>
        <v/>
      </c>
      <c r="J155" s="803" t="str">
        <f>IF(obp!J113="","",obp!J113)</f>
        <v/>
      </c>
      <c r="K155" s="413"/>
      <c r="L155" s="1207">
        <f>IF(obp!L113="","",obp!L113)</f>
        <v>0</v>
      </c>
      <c r="M155" s="1207">
        <f>IF(obp!M113="","",obp!M113)</f>
        <v>0</v>
      </c>
      <c r="N155" s="1209" t="str">
        <f t="shared" si="60"/>
        <v/>
      </c>
      <c r="O155" s="1209"/>
      <c r="P155" s="1283" t="str">
        <f t="shared" si="61"/>
        <v/>
      </c>
      <c r="Q155" s="518"/>
      <c r="R155" s="1076" t="str">
        <f t="shared" si="71"/>
        <v/>
      </c>
      <c r="S155" s="1076" t="str">
        <f t="shared" si="62"/>
        <v/>
      </c>
      <c r="T155" s="1078" t="str">
        <f t="shared" si="63"/>
        <v/>
      </c>
      <c r="U155" s="599"/>
      <c r="V155" s="1261"/>
      <c r="W155" s="1261"/>
      <c r="X155" s="1218"/>
      <c r="Y155" s="1253" t="e">
        <f>ROUND(VLOOKUP(H155,tab!$A$61:$V$103,I155+2,FALSE),0)</f>
        <v>#VALUE!</v>
      </c>
      <c r="Z155" s="1252">
        <f>tab!$E$48</f>
        <v>0.62</v>
      </c>
      <c r="AA155" s="1284" t="e">
        <f t="shared" si="64"/>
        <v>#VALUE!</v>
      </c>
      <c r="AB155" s="1284" t="e">
        <f t="shared" si="65"/>
        <v>#VALUE!</v>
      </c>
      <c r="AC155" s="1284" t="e">
        <f t="shared" si="66"/>
        <v>#VALUE!</v>
      </c>
      <c r="AD155" s="1286" t="e">
        <f t="shared" si="67"/>
        <v>#VALUE!</v>
      </c>
      <c r="AE155" s="1286">
        <f t="shared" si="68"/>
        <v>0</v>
      </c>
      <c r="AF155" s="1254">
        <f>IF(H155&gt;8,tab!$D$49,tab!$D$52)</f>
        <v>0.5</v>
      </c>
      <c r="AG155" s="1255">
        <f t="shared" si="69"/>
        <v>0</v>
      </c>
      <c r="AH155" s="1251">
        <f t="shared" si="70"/>
        <v>0</v>
      </c>
      <c r="AK155" s="198"/>
    </row>
    <row r="156" spans="3:37" ht="12.75" customHeight="1" x14ac:dyDescent="0.2">
      <c r="C156" s="126"/>
      <c r="D156" s="396" t="str">
        <f>IF(obp!D114=0,"",obp!D114)</f>
        <v/>
      </c>
      <c r="E156" s="432" t="str">
        <f>IF(obp!E114=0,"",obp!E114)</f>
        <v/>
      </c>
      <c r="F156" s="776" t="str">
        <f>IF(obp!F114="","",obp!F114+1)</f>
        <v/>
      </c>
      <c r="G156" s="802" t="str">
        <f>IF(obp!G114="","",obp!G114)</f>
        <v/>
      </c>
      <c r="H156" s="776" t="str">
        <f>IF(obp!H114=0,"",obp!H114)</f>
        <v/>
      </c>
      <c r="I156" s="433" t="str">
        <f>IF(J156="","",(IF(obp!I114+1&gt;LOOKUP(H156,schaal2013,regels2013),obp!I114,obp!I114+1)))</f>
        <v/>
      </c>
      <c r="J156" s="803" t="str">
        <f>IF(obp!J114="","",obp!J114)</f>
        <v/>
      </c>
      <c r="K156" s="413"/>
      <c r="L156" s="1207">
        <f>IF(obp!L114="","",obp!L114)</f>
        <v>0</v>
      </c>
      <c r="M156" s="1207">
        <f>IF(obp!M114="","",obp!M114)</f>
        <v>0</v>
      </c>
      <c r="N156" s="1209" t="str">
        <f t="shared" si="60"/>
        <v/>
      </c>
      <c r="O156" s="1209"/>
      <c r="P156" s="1283" t="str">
        <f t="shared" si="61"/>
        <v/>
      </c>
      <c r="Q156" s="518"/>
      <c r="R156" s="1076" t="str">
        <f t="shared" si="71"/>
        <v/>
      </c>
      <c r="S156" s="1076" t="str">
        <f t="shared" si="62"/>
        <v/>
      </c>
      <c r="T156" s="1078" t="str">
        <f t="shared" si="63"/>
        <v/>
      </c>
      <c r="U156" s="599"/>
      <c r="V156" s="1261"/>
      <c r="W156" s="1261"/>
      <c r="X156" s="1218"/>
      <c r="Y156" s="1253" t="e">
        <f>ROUND(VLOOKUP(H156,tab!$A$61:$V$103,I156+2,FALSE),0)</f>
        <v>#VALUE!</v>
      </c>
      <c r="Z156" s="1252">
        <f>tab!$E$48</f>
        <v>0.62</v>
      </c>
      <c r="AA156" s="1284" t="e">
        <f t="shared" si="64"/>
        <v>#VALUE!</v>
      </c>
      <c r="AB156" s="1284" t="e">
        <f t="shared" si="65"/>
        <v>#VALUE!</v>
      </c>
      <c r="AC156" s="1284" t="e">
        <f t="shared" si="66"/>
        <v>#VALUE!</v>
      </c>
      <c r="AD156" s="1286" t="e">
        <f t="shared" si="67"/>
        <v>#VALUE!</v>
      </c>
      <c r="AE156" s="1286">
        <f t="shared" si="68"/>
        <v>0</v>
      </c>
      <c r="AF156" s="1254">
        <f>IF(H156&gt;8,tab!$D$49,tab!$D$52)</f>
        <v>0.5</v>
      </c>
      <c r="AG156" s="1255">
        <f t="shared" si="69"/>
        <v>0</v>
      </c>
      <c r="AH156" s="1251">
        <f t="shared" si="70"/>
        <v>0</v>
      </c>
      <c r="AK156" s="198"/>
    </row>
    <row r="157" spans="3:37" ht="12.75" customHeight="1" x14ac:dyDescent="0.2">
      <c r="C157" s="126"/>
      <c r="D157" s="396" t="str">
        <f>IF(obp!D115=0,"",obp!D115)</f>
        <v/>
      </c>
      <c r="E157" s="432" t="str">
        <f>IF(obp!E115=0,"",obp!E115)</f>
        <v/>
      </c>
      <c r="F157" s="776" t="str">
        <f>IF(obp!F115="","",obp!F115+1)</f>
        <v/>
      </c>
      <c r="G157" s="802" t="str">
        <f>IF(obp!G115="","",obp!G115)</f>
        <v/>
      </c>
      <c r="H157" s="776" t="str">
        <f>IF(obp!H115=0,"",obp!H115)</f>
        <v/>
      </c>
      <c r="I157" s="433" t="str">
        <f>IF(J157="","",(IF(obp!I115+1&gt;LOOKUP(H157,schaal2013,regels2013),obp!I115,obp!I115+1)))</f>
        <v/>
      </c>
      <c r="J157" s="803" t="str">
        <f>IF(obp!J115="","",obp!J115)</f>
        <v/>
      </c>
      <c r="K157" s="413"/>
      <c r="L157" s="1207">
        <f>IF(obp!L115="","",obp!L115)</f>
        <v>0</v>
      </c>
      <c r="M157" s="1207">
        <f>IF(obp!M115="","",obp!M115)</f>
        <v>0</v>
      </c>
      <c r="N157" s="1209" t="str">
        <f t="shared" si="60"/>
        <v/>
      </c>
      <c r="O157" s="1209"/>
      <c r="P157" s="1283" t="str">
        <f t="shared" si="61"/>
        <v/>
      </c>
      <c r="Q157" s="518"/>
      <c r="R157" s="1076" t="str">
        <f t="shared" si="71"/>
        <v/>
      </c>
      <c r="S157" s="1076" t="str">
        <f t="shared" si="62"/>
        <v/>
      </c>
      <c r="T157" s="1078" t="str">
        <f t="shared" si="63"/>
        <v/>
      </c>
      <c r="U157" s="599"/>
      <c r="V157" s="1261"/>
      <c r="W157" s="1261"/>
      <c r="X157" s="1218"/>
      <c r="Y157" s="1253" t="e">
        <f>ROUND(VLOOKUP(H157,tab!$A$61:$V$103,I157+2,FALSE),0)</f>
        <v>#VALUE!</v>
      </c>
      <c r="Z157" s="1252">
        <f>tab!$E$48</f>
        <v>0.62</v>
      </c>
      <c r="AA157" s="1284" t="e">
        <f t="shared" si="64"/>
        <v>#VALUE!</v>
      </c>
      <c r="AB157" s="1284" t="e">
        <f t="shared" si="65"/>
        <v>#VALUE!</v>
      </c>
      <c r="AC157" s="1284" t="e">
        <f t="shared" si="66"/>
        <v>#VALUE!</v>
      </c>
      <c r="AD157" s="1286" t="e">
        <f t="shared" si="67"/>
        <v>#VALUE!</v>
      </c>
      <c r="AE157" s="1286">
        <f t="shared" si="68"/>
        <v>0</v>
      </c>
      <c r="AF157" s="1254">
        <f>IF(H157&gt;8,tab!$D$49,tab!$D$52)</f>
        <v>0.5</v>
      </c>
      <c r="AG157" s="1255">
        <f t="shared" si="69"/>
        <v>0</v>
      </c>
      <c r="AH157" s="1251">
        <f t="shared" si="70"/>
        <v>0</v>
      </c>
      <c r="AK157" s="198"/>
    </row>
    <row r="158" spans="3:37" ht="12.75" customHeight="1" x14ac:dyDescent="0.2">
      <c r="C158" s="126"/>
      <c r="D158" s="396" t="str">
        <f>IF(obp!D116=0,"",obp!D116)</f>
        <v/>
      </c>
      <c r="E158" s="432" t="str">
        <f>IF(obp!E116=0,"",obp!E116)</f>
        <v/>
      </c>
      <c r="F158" s="776" t="str">
        <f>IF(obp!F116="","",obp!F116+1)</f>
        <v/>
      </c>
      <c r="G158" s="802" t="str">
        <f>IF(obp!G116="","",obp!G116)</f>
        <v/>
      </c>
      <c r="H158" s="776" t="str">
        <f>IF(obp!H116=0,"",obp!H116)</f>
        <v/>
      </c>
      <c r="I158" s="433" t="str">
        <f>IF(J158="","",(IF(obp!I116+1&gt;LOOKUP(H158,schaal2013,regels2013),obp!I116,obp!I116+1)))</f>
        <v/>
      </c>
      <c r="J158" s="803" t="str">
        <f>IF(obp!J116="","",obp!J116)</f>
        <v/>
      </c>
      <c r="K158" s="413"/>
      <c r="L158" s="1207">
        <f>IF(obp!L116="","",obp!L116)</f>
        <v>0</v>
      </c>
      <c r="M158" s="1207">
        <f>IF(obp!M116="","",obp!M116)</f>
        <v>0</v>
      </c>
      <c r="N158" s="1209" t="str">
        <f t="shared" si="60"/>
        <v/>
      </c>
      <c r="O158" s="1209"/>
      <c r="P158" s="1283" t="str">
        <f t="shared" si="61"/>
        <v/>
      </c>
      <c r="Q158" s="518"/>
      <c r="R158" s="1076" t="str">
        <f t="shared" si="71"/>
        <v/>
      </c>
      <c r="S158" s="1076" t="str">
        <f t="shared" si="62"/>
        <v/>
      </c>
      <c r="T158" s="1078" t="str">
        <f t="shared" si="63"/>
        <v/>
      </c>
      <c r="U158" s="599"/>
      <c r="V158" s="1261"/>
      <c r="W158" s="1261"/>
      <c r="X158" s="1218"/>
      <c r="Y158" s="1253" t="e">
        <f>ROUND(VLOOKUP(H158,tab!$A$61:$V$103,I158+2,FALSE),0)</f>
        <v>#VALUE!</v>
      </c>
      <c r="Z158" s="1252">
        <f>tab!$E$48</f>
        <v>0.62</v>
      </c>
      <c r="AA158" s="1284" t="e">
        <f t="shared" si="64"/>
        <v>#VALUE!</v>
      </c>
      <c r="AB158" s="1284" t="e">
        <f t="shared" si="65"/>
        <v>#VALUE!</v>
      </c>
      <c r="AC158" s="1284" t="e">
        <f t="shared" si="66"/>
        <v>#VALUE!</v>
      </c>
      <c r="AD158" s="1286" t="e">
        <f t="shared" si="67"/>
        <v>#VALUE!</v>
      </c>
      <c r="AE158" s="1286">
        <f t="shared" si="68"/>
        <v>0</v>
      </c>
      <c r="AF158" s="1254">
        <f>IF(H158&gt;8,tab!$D$49,tab!$D$52)</f>
        <v>0.5</v>
      </c>
      <c r="AG158" s="1255">
        <f t="shared" si="69"/>
        <v>0</v>
      </c>
      <c r="AH158" s="1251">
        <f t="shared" si="70"/>
        <v>0</v>
      </c>
      <c r="AK158" s="198"/>
    </row>
    <row r="159" spans="3:37" ht="12.75" customHeight="1" x14ac:dyDescent="0.2">
      <c r="C159" s="126"/>
      <c r="D159" s="396" t="str">
        <f>IF(obp!D117=0,"",obp!D117)</f>
        <v/>
      </c>
      <c r="E159" s="432" t="str">
        <f>IF(obp!E117=0,"",obp!E117)</f>
        <v/>
      </c>
      <c r="F159" s="776" t="str">
        <f>IF(obp!F117="","",obp!F117+1)</f>
        <v/>
      </c>
      <c r="G159" s="802" t="str">
        <f>IF(obp!G117="","",obp!G117)</f>
        <v/>
      </c>
      <c r="H159" s="776" t="str">
        <f>IF(obp!H117=0,"",obp!H117)</f>
        <v/>
      </c>
      <c r="I159" s="433" t="str">
        <f>IF(J159="","",(IF(obp!I117+1&gt;LOOKUP(H159,schaal2013,regels2013),obp!I117,obp!I117+1)))</f>
        <v/>
      </c>
      <c r="J159" s="803" t="str">
        <f>IF(obp!J117="","",obp!J117)</f>
        <v/>
      </c>
      <c r="K159" s="413"/>
      <c r="L159" s="1207">
        <f>IF(obp!L117="","",obp!L117)</f>
        <v>0</v>
      </c>
      <c r="M159" s="1207">
        <f>IF(obp!M117="","",obp!M117)</f>
        <v>0</v>
      </c>
      <c r="N159" s="1209" t="str">
        <f t="shared" si="60"/>
        <v/>
      </c>
      <c r="O159" s="1209"/>
      <c r="P159" s="1283" t="str">
        <f t="shared" si="61"/>
        <v/>
      </c>
      <c r="Q159" s="518"/>
      <c r="R159" s="1076" t="str">
        <f t="shared" si="71"/>
        <v/>
      </c>
      <c r="S159" s="1076" t="str">
        <f t="shared" si="62"/>
        <v/>
      </c>
      <c r="T159" s="1078" t="str">
        <f t="shared" si="63"/>
        <v/>
      </c>
      <c r="U159" s="599"/>
      <c r="V159" s="1261"/>
      <c r="W159" s="1261"/>
      <c r="X159" s="1218"/>
      <c r="Y159" s="1253" t="e">
        <f>ROUND(VLOOKUP(H159,tab!$A$61:$V$103,I159+2,FALSE),0)</f>
        <v>#VALUE!</v>
      </c>
      <c r="Z159" s="1252">
        <f>tab!$E$48</f>
        <v>0.62</v>
      </c>
      <c r="AA159" s="1284" t="e">
        <f t="shared" si="64"/>
        <v>#VALUE!</v>
      </c>
      <c r="AB159" s="1284" t="e">
        <f t="shared" si="65"/>
        <v>#VALUE!</v>
      </c>
      <c r="AC159" s="1284" t="e">
        <f t="shared" si="66"/>
        <v>#VALUE!</v>
      </c>
      <c r="AD159" s="1286" t="e">
        <f t="shared" si="67"/>
        <v>#VALUE!</v>
      </c>
      <c r="AE159" s="1286">
        <f t="shared" si="68"/>
        <v>0</v>
      </c>
      <c r="AF159" s="1254">
        <f>IF(H159&gt;8,tab!$D$49,tab!$D$52)</f>
        <v>0.5</v>
      </c>
      <c r="AG159" s="1255">
        <f t="shared" si="69"/>
        <v>0</v>
      </c>
      <c r="AH159" s="1251">
        <f t="shared" si="70"/>
        <v>0</v>
      </c>
      <c r="AK159" s="198"/>
    </row>
    <row r="160" spans="3:37" ht="12.75" customHeight="1" x14ac:dyDescent="0.2">
      <c r="C160" s="126"/>
      <c r="D160" s="396" t="str">
        <f>IF(obp!D118=0,"",obp!D118)</f>
        <v/>
      </c>
      <c r="E160" s="432" t="str">
        <f>IF(obp!E118=0,"",obp!E118)</f>
        <v/>
      </c>
      <c r="F160" s="776" t="str">
        <f>IF(obp!F118="","",obp!F118+1)</f>
        <v/>
      </c>
      <c r="G160" s="802" t="str">
        <f>IF(obp!G118="","",obp!G118)</f>
        <v/>
      </c>
      <c r="H160" s="776" t="str">
        <f>IF(obp!H118=0,"",obp!H118)</f>
        <v/>
      </c>
      <c r="I160" s="433" t="str">
        <f>IF(J160="","",(IF(obp!I118+1&gt;LOOKUP(H160,schaal2013,regels2013),obp!I118,obp!I118+1)))</f>
        <v/>
      </c>
      <c r="J160" s="803" t="str">
        <f>IF(obp!J118="","",obp!J118)</f>
        <v/>
      </c>
      <c r="K160" s="413"/>
      <c r="L160" s="1207">
        <f>IF(obp!L118="","",obp!L118)</f>
        <v>0</v>
      </c>
      <c r="M160" s="1207">
        <f>IF(obp!M118="","",obp!M118)</f>
        <v>0</v>
      </c>
      <c r="N160" s="1209" t="str">
        <f t="shared" si="60"/>
        <v/>
      </c>
      <c r="O160" s="1209"/>
      <c r="P160" s="1283" t="str">
        <f t="shared" si="61"/>
        <v/>
      </c>
      <c r="Q160" s="518"/>
      <c r="R160" s="1076" t="str">
        <f t="shared" si="71"/>
        <v/>
      </c>
      <c r="S160" s="1076" t="str">
        <f t="shared" si="62"/>
        <v/>
      </c>
      <c r="T160" s="1078" t="str">
        <f t="shared" si="63"/>
        <v/>
      </c>
      <c r="U160" s="599"/>
      <c r="V160" s="1261"/>
      <c r="W160" s="1261"/>
      <c r="X160" s="1218"/>
      <c r="Y160" s="1253" t="e">
        <f>ROUND(VLOOKUP(H160,tab!$A$61:$V$103,I160+2,FALSE),0)</f>
        <v>#VALUE!</v>
      </c>
      <c r="Z160" s="1252">
        <f>tab!$E$48</f>
        <v>0.62</v>
      </c>
      <c r="AA160" s="1284" t="e">
        <f t="shared" si="64"/>
        <v>#VALUE!</v>
      </c>
      <c r="AB160" s="1284" t="e">
        <f t="shared" si="65"/>
        <v>#VALUE!</v>
      </c>
      <c r="AC160" s="1284" t="e">
        <f t="shared" si="66"/>
        <v>#VALUE!</v>
      </c>
      <c r="AD160" s="1286" t="e">
        <f t="shared" si="67"/>
        <v>#VALUE!</v>
      </c>
      <c r="AE160" s="1286">
        <f t="shared" si="68"/>
        <v>0</v>
      </c>
      <c r="AF160" s="1254">
        <f>IF(H160&gt;8,tab!$D$49,tab!$D$52)</f>
        <v>0.5</v>
      </c>
      <c r="AG160" s="1255">
        <f t="shared" si="69"/>
        <v>0</v>
      </c>
      <c r="AH160" s="1251">
        <f t="shared" si="70"/>
        <v>0</v>
      </c>
      <c r="AK160" s="198"/>
    </row>
    <row r="161" spans="3:37" ht="12.75" customHeight="1" x14ac:dyDescent="0.2">
      <c r="C161" s="126"/>
      <c r="D161" s="396" t="str">
        <f>IF(obp!D119=0,"",obp!D119)</f>
        <v/>
      </c>
      <c r="E161" s="432" t="str">
        <f>IF(obp!E119=0,"",obp!E119)</f>
        <v/>
      </c>
      <c r="F161" s="776" t="str">
        <f>IF(obp!F119="","",obp!F119+1)</f>
        <v/>
      </c>
      <c r="G161" s="802" t="str">
        <f>IF(obp!G119="","",obp!G119)</f>
        <v/>
      </c>
      <c r="H161" s="776" t="str">
        <f>IF(obp!H119=0,"",obp!H119)</f>
        <v/>
      </c>
      <c r="I161" s="433" t="str">
        <f>IF(J161="","",(IF(obp!I119+1&gt;LOOKUP(H161,schaal2013,regels2013),obp!I119,obp!I119+1)))</f>
        <v/>
      </c>
      <c r="J161" s="803" t="str">
        <f>IF(obp!J119="","",obp!J119)</f>
        <v/>
      </c>
      <c r="K161" s="413"/>
      <c r="L161" s="1207">
        <f>IF(obp!L119="","",obp!L119)</f>
        <v>0</v>
      </c>
      <c r="M161" s="1207">
        <f>IF(obp!M119="","",obp!M119)</f>
        <v>0</v>
      </c>
      <c r="N161" s="1209" t="str">
        <f t="shared" si="60"/>
        <v/>
      </c>
      <c r="O161" s="1209"/>
      <c r="P161" s="1283" t="str">
        <f t="shared" si="61"/>
        <v/>
      </c>
      <c r="Q161" s="518"/>
      <c r="R161" s="1076" t="str">
        <f t="shared" si="71"/>
        <v/>
      </c>
      <c r="S161" s="1076" t="str">
        <f t="shared" si="62"/>
        <v/>
      </c>
      <c r="T161" s="1078" t="str">
        <f t="shared" si="63"/>
        <v/>
      </c>
      <c r="U161" s="599"/>
      <c r="V161" s="1261"/>
      <c r="W161" s="1261"/>
      <c r="X161" s="1218"/>
      <c r="Y161" s="1253" t="e">
        <f>ROUND(VLOOKUP(H161,tab!$A$61:$V$103,I161+2,FALSE),0)</f>
        <v>#VALUE!</v>
      </c>
      <c r="Z161" s="1252">
        <f>tab!$E$48</f>
        <v>0.62</v>
      </c>
      <c r="AA161" s="1284" t="e">
        <f t="shared" si="64"/>
        <v>#VALUE!</v>
      </c>
      <c r="AB161" s="1284" t="e">
        <f t="shared" si="65"/>
        <v>#VALUE!</v>
      </c>
      <c r="AC161" s="1284" t="e">
        <f t="shared" si="66"/>
        <v>#VALUE!</v>
      </c>
      <c r="AD161" s="1286" t="e">
        <f t="shared" si="67"/>
        <v>#VALUE!</v>
      </c>
      <c r="AE161" s="1286">
        <f t="shared" si="68"/>
        <v>0</v>
      </c>
      <c r="AF161" s="1254">
        <f>IF(H161&gt;8,tab!$D$49,tab!$D$52)</f>
        <v>0.5</v>
      </c>
      <c r="AG161" s="1255">
        <f t="shared" si="69"/>
        <v>0</v>
      </c>
      <c r="AH161" s="1251">
        <f t="shared" si="70"/>
        <v>0</v>
      </c>
      <c r="AK161" s="198"/>
    </row>
    <row r="162" spans="3:37" ht="12.75" customHeight="1" x14ac:dyDescent="0.2">
      <c r="C162" s="126"/>
      <c r="D162" s="396" t="str">
        <f>IF(obp!D120=0,"",obp!D120)</f>
        <v/>
      </c>
      <c r="E162" s="432" t="str">
        <f>IF(obp!E120=0,"",obp!E120)</f>
        <v/>
      </c>
      <c r="F162" s="117" t="str">
        <f>IF(obp!F120="","",obp!F120+1)</f>
        <v/>
      </c>
      <c r="G162" s="397" t="str">
        <f>IF(obp!G120="","",obp!G120)</f>
        <v/>
      </c>
      <c r="H162" s="776" t="str">
        <f>IF(obp!H120=0,"",obp!H120)</f>
        <v/>
      </c>
      <c r="I162" s="433" t="str">
        <f>IF(J162="","",(IF(obp!I120+1&gt;LOOKUP(H162,schaal2013,regels2013),obp!I120,obp!I120+1)))</f>
        <v/>
      </c>
      <c r="J162" s="399" t="str">
        <f>IF(obp!J120="","",obp!J120)</f>
        <v/>
      </c>
      <c r="K162" s="413"/>
      <c r="L162" s="1207">
        <f>IF(obp!L120="","",obp!L120)</f>
        <v>0</v>
      </c>
      <c r="M162" s="1207">
        <f>IF(obp!M120="","",obp!M120)</f>
        <v>0</v>
      </c>
      <c r="N162" s="1209" t="str">
        <f t="shared" si="60"/>
        <v/>
      </c>
      <c r="O162" s="1209"/>
      <c r="P162" s="1283" t="str">
        <f t="shared" si="61"/>
        <v/>
      </c>
      <c r="Q162" s="518"/>
      <c r="R162" s="1076" t="str">
        <f t="shared" si="71"/>
        <v/>
      </c>
      <c r="S162" s="1076" t="str">
        <f t="shared" si="62"/>
        <v/>
      </c>
      <c r="T162" s="1078" t="str">
        <f t="shared" si="63"/>
        <v/>
      </c>
      <c r="U162" s="599"/>
      <c r="V162" s="1261"/>
      <c r="W162" s="1261"/>
      <c r="X162" s="1218"/>
      <c r="Y162" s="1253" t="e">
        <f>ROUND(VLOOKUP(H162,tab!$A$61:$V$103,I162+2,FALSE),0)</f>
        <v>#VALUE!</v>
      </c>
      <c r="Z162" s="1252">
        <f>tab!$E$48</f>
        <v>0.62</v>
      </c>
      <c r="AA162" s="1284" t="e">
        <f t="shared" si="64"/>
        <v>#VALUE!</v>
      </c>
      <c r="AB162" s="1284" t="e">
        <f t="shared" si="65"/>
        <v>#VALUE!</v>
      </c>
      <c r="AC162" s="1284" t="e">
        <f t="shared" si="66"/>
        <v>#VALUE!</v>
      </c>
      <c r="AD162" s="1286" t="e">
        <f t="shared" si="67"/>
        <v>#VALUE!</v>
      </c>
      <c r="AE162" s="1286">
        <f t="shared" si="68"/>
        <v>0</v>
      </c>
      <c r="AF162" s="1254">
        <f>IF(H162&gt;8,tab!$D$49,tab!$D$52)</f>
        <v>0.5</v>
      </c>
      <c r="AG162" s="1255">
        <f t="shared" si="69"/>
        <v>0</v>
      </c>
      <c r="AH162" s="1251">
        <f t="shared" si="70"/>
        <v>0</v>
      </c>
      <c r="AK162" s="198"/>
    </row>
    <row r="163" spans="3:37" ht="12.75" customHeight="1" x14ac:dyDescent="0.2">
      <c r="C163" s="126"/>
      <c r="D163" s="396" t="str">
        <f>IF(obp!D121=0,"",obp!D121)</f>
        <v/>
      </c>
      <c r="E163" s="432" t="str">
        <f>IF(obp!E121=0,"",obp!E121)</f>
        <v/>
      </c>
      <c r="F163" s="117" t="str">
        <f>IF(obp!F121="","",obp!F121+1)</f>
        <v/>
      </c>
      <c r="G163" s="397" t="str">
        <f>IF(obp!G121="","",obp!G121)</f>
        <v/>
      </c>
      <c r="H163" s="776" t="str">
        <f>IF(obp!H121=0,"",obp!H121)</f>
        <v/>
      </c>
      <c r="I163" s="433" t="str">
        <f>IF(J163="","",(IF(obp!I121+1&gt;LOOKUP(H163,schaal2013,regels2013),obp!I121,obp!I121+1)))</f>
        <v/>
      </c>
      <c r="J163" s="399" t="str">
        <f>IF(obp!J121="","",obp!J121)</f>
        <v/>
      </c>
      <c r="K163" s="413"/>
      <c r="L163" s="1207">
        <f>IF(obp!L121="","",obp!L121)</f>
        <v>0</v>
      </c>
      <c r="M163" s="1207">
        <f>IF(obp!M121="","",obp!M121)</f>
        <v>0</v>
      </c>
      <c r="N163" s="1209" t="str">
        <f t="shared" si="60"/>
        <v/>
      </c>
      <c r="O163" s="1209"/>
      <c r="P163" s="1283" t="str">
        <f t="shared" si="61"/>
        <v/>
      </c>
      <c r="Q163" s="518"/>
      <c r="R163" s="1076" t="str">
        <f t="shared" si="71"/>
        <v/>
      </c>
      <c r="S163" s="1076" t="str">
        <f t="shared" si="62"/>
        <v/>
      </c>
      <c r="T163" s="1078" t="str">
        <f t="shared" si="63"/>
        <v/>
      </c>
      <c r="U163" s="599"/>
      <c r="V163" s="1261"/>
      <c r="W163" s="1261"/>
      <c r="X163" s="1218"/>
      <c r="Y163" s="1253" t="e">
        <f>ROUND(VLOOKUP(H163,tab!$A$61:$V$103,I163+2,FALSE),0)</f>
        <v>#VALUE!</v>
      </c>
      <c r="Z163" s="1252">
        <f>tab!$E$48</f>
        <v>0.62</v>
      </c>
      <c r="AA163" s="1284" t="e">
        <f t="shared" si="64"/>
        <v>#VALUE!</v>
      </c>
      <c r="AB163" s="1284" t="e">
        <f t="shared" si="65"/>
        <v>#VALUE!</v>
      </c>
      <c r="AC163" s="1284" t="e">
        <f t="shared" si="66"/>
        <v>#VALUE!</v>
      </c>
      <c r="AD163" s="1286" t="e">
        <f t="shared" si="67"/>
        <v>#VALUE!</v>
      </c>
      <c r="AE163" s="1286">
        <f t="shared" si="68"/>
        <v>0</v>
      </c>
      <c r="AF163" s="1254">
        <f>IF(H163&gt;8,tab!$D$49,tab!$D$52)</f>
        <v>0.5</v>
      </c>
      <c r="AG163" s="1255">
        <f t="shared" si="69"/>
        <v>0</v>
      </c>
      <c r="AH163" s="1251">
        <f t="shared" si="70"/>
        <v>0</v>
      </c>
      <c r="AK163" s="198"/>
    </row>
    <row r="164" spans="3:37" ht="12.75" customHeight="1" x14ac:dyDescent="0.2">
      <c r="C164" s="126"/>
      <c r="D164" s="396" t="str">
        <f>IF(obp!D122=0,"",obp!D122)</f>
        <v/>
      </c>
      <c r="E164" s="432" t="str">
        <f>IF(obp!E122=0,"",obp!E122)</f>
        <v/>
      </c>
      <c r="F164" s="117" t="str">
        <f>IF(obp!F122="","",obp!F122+1)</f>
        <v/>
      </c>
      <c r="G164" s="397" t="str">
        <f>IF(obp!G122="","",obp!G122)</f>
        <v/>
      </c>
      <c r="H164" s="776" t="str">
        <f>IF(obp!H122=0,"",obp!H122)</f>
        <v/>
      </c>
      <c r="I164" s="433" t="str">
        <f>IF(J164="","",(IF(obp!I122+1&gt;LOOKUP(H164,schaal2013,regels2013),obp!I122,obp!I122+1)))</f>
        <v/>
      </c>
      <c r="J164" s="399" t="str">
        <f>IF(obp!J122="","",obp!J122)</f>
        <v/>
      </c>
      <c r="K164" s="413"/>
      <c r="L164" s="1207">
        <f>IF(obp!L122="","",obp!L122)</f>
        <v>0</v>
      </c>
      <c r="M164" s="1207">
        <f>IF(obp!M122="","",obp!M122)</f>
        <v>0</v>
      </c>
      <c r="N164" s="1209" t="str">
        <f t="shared" si="60"/>
        <v/>
      </c>
      <c r="O164" s="1209"/>
      <c r="P164" s="1283" t="str">
        <f t="shared" si="61"/>
        <v/>
      </c>
      <c r="Q164" s="518"/>
      <c r="R164" s="1076" t="str">
        <f t="shared" si="71"/>
        <v/>
      </c>
      <c r="S164" s="1076" t="str">
        <f t="shared" si="62"/>
        <v/>
      </c>
      <c r="T164" s="1078" t="str">
        <f t="shared" si="63"/>
        <v/>
      </c>
      <c r="U164" s="599"/>
      <c r="V164" s="1261"/>
      <c r="W164" s="1261"/>
      <c r="X164" s="1218"/>
      <c r="Y164" s="1253" t="e">
        <f>ROUND(VLOOKUP(H164,tab!$A$61:$V$103,I164+2,FALSE),0)</f>
        <v>#VALUE!</v>
      </c>
      <c r="Z164" s="1252">
        <f>tab!$E$48</f>
        <v>0.62</v>
      </c>
      <c r="AA164" s="1284" t="e">
        <f t="shared" si="64"/>
        <v>#VALUE!</v>
      </c>
      <c r="AB164" s="1284" t="e">
        <f t="shared" si="65"/>
        <v>#VALUE!</v>
      </c>
      <c r="AC164" s="1284" t="e">
        <f t="shared" si="66"/>
        <v>#VALUE!</v>
      </c>
      <c r="AD164" s="1286" t="e">
        <f t="shared" si="67"/>
        <v>#VALUE!</v>
      </c>
      <c r="AE164" s="1286">
        <f t="shared" si="68"/>
        <v>0</v>
      </c>
      <c r="AF164" s="1254">
        <f>IF(H164&gt;8,tab!$D$49,tab!$D$52)</f>
        <v>0.5</v>
      </c>
      <c r="AG164" s="1255">
        <f t="shared" si="69"/>
        <v>0</v>
      </c>
      <c r="AH164" s="1251">
        <f t="shared" si="70"/>
        <v>0</v>
      </c>
      <c r="AK164" s="198"/>
    </row>
    <row r="165" spans="3:37" ht="12.75" customHeight="1" x14ac:dyDescent="0.2">
      <c r="C165" s="126"/>
      <c r="D165" s="396" t="str">
        <f>IF(obp!D123=0,"",obp!D123)</f>
        <v/>
      </c>
      <c r="E165" s="432" t="str">
        <f>IF(obp!E123=0,"",obp!E123)</f>
        <v/>
      </c>
      <c r="F165" s="117" t="str">
        <f>IF(obp!F123="","",obp!F123+1)</f>
        <v/>
      </c>
      <c r="G165" s="397" t="str">
        <f>IF(obp!G123="","",obp!G123)</f>
        <v/>
      </c>
      <c r="H165" s="776" t="str">
        <f>IF(obp!H123=0,"",obp!H123)</f>
        <v/>
      </c>
      <c r="I165" s="433" t="str">
        <f>IF(J165="","",(IF(obp!I123+1&gt;LOOKUP(H165,schaal2013,regels2013),obp!I123,obp!I123+1)))</f>
        <v/>
      </c>
      <c r="J165" s="399" t="str">
        <f>IF(obp!J123="","",obp!J123)</f>
        <v/>
      </c>
      <c r="K165" s="413"/>
      <c r="L165" s="1207">
        <f>IF(obp!L123="","",obp!L123)</f>
        <v>0</v>
      </c>
      <c r="M165" s="1207">
        <f>IF(obp!M123="","",obp!M123)</f>
        <v>0</v>
      </c>
      <c r="N165" s="1209" t="str">
        <f t="shared" si="60"/>
        <v/>
      </c>
      <c r="O165" s="1209"/>
      <c r="P165" s="1283" t="str">
        <f t="shared" si="61"/>
        <v/>
      </c>
      <c r="Q165" s="518"/>
      <c r="R165" s="1076" t="str">
        <f t="shared" si="71"/>
        <v/>
      </c>
      <c r="S165" s="1076" t="str">
        <f t="shared" si="62"/>
        <v/>
      </c>
      <c r="T165" s="1078" t="str">
        <f t="shared" si="63"/>
        <v/>
      </c>
      <c r="U165" s="599"/>
      <c r="V165" s="1261"/>
      <c r="W165" s="1261"/>
      <c r="X165" s="1218"/>
      <c r="Y165" s="1253" t="e">
        <f>ROUND(VLOOKUP(H165,tab!$A$61:$V$103,I165+2,FALSE),0)</f>
        <v>#VALUE!</v>
      </c>
      <c r="Z165" s="1252">
        <f>tab!$E$48</f>
        <v>0.62</v>
      </c>
      <c r="AA165" s="1284" t="e">
        <f t="shared" si="64"/>
        <v>#VALUE!</v>
      </c>
      <c r="AB165" s="1284" t="e">
        <f t="shared" si="65"/>
        <v>#VALUE!</v>
      </c>
      <c r="AC165" s="1284" t="e">
        <f t="shared" si="66"/>
        <v>#VALUE!</v>
      </c>
      <c r="AD165" s="1286" t="e">
        <f t="shared" si="67"/>
        <v>#VALUE!</v>
      </c>
      <c r="AE165" s="1286">
        <f t="shared" si="68"/>
        <v>0</v>
      </c>
      <c r="AF165" s="1254">
        <f>IF(H165&gt;8,tab!$D$49,tab!$D$52)</f>
        <v>0.5</v>
      </c>
      <c r="AG165" s="1255">
        <f t="shared" si="69"/>
        <v>0</v>
      </c>
      <c r="AH165" s="1251">
        <f t="shared" si="70"/>
        <v>0</v>
      </c>
      <c r="AK165" s="198"/>
    </row>
    <row r="166" spans="3:37" ht="12.75" customHeight="1" x14ac:dyDescent="0.2">
      <c r="C166" s="126"/>
      <c r="D166" s="396" t="str">
        <f>IF(obp!D124=0,"",obp!D124)</f>
        <v/>
      </c>
      <c r="E166" s="432" t="str">
        <f>IF(obp!E124=0,"",obp!E124)</f>
        <v/>
      </c>
      <c r="F166" s="117" t="str">
        <f>IF(obp!F124="","",obp!F124+1)</f>
        <v/>
      </c>
      <c r="G166" s="397" t="str">
        <f>IF(obp!G124="","",obp!G124)</f>
        <v/>
      </c>
      <c r="H166" s="776" t="str">
        <f>IF(obp!H124=0,"",obp!H124)</f>
        <v/>
      </c>
      <c r="I166" s="433" t="str">
        <f>IF(J166="","",(IF(obp!I124+1&gt;LOOKUP(H166,schaal2013,regels2013),obp!I124,obp!I124+1)))</f>
        <v/>
      </c>
      <c r="J166" s="399" t="str">
        <f>IF(obp!J124="","",obp!J124)</f>
        <v/>
      </c>
      <c r="K166" s="413"/>
      <c r="L166" s="1207">
        <f>IF(obp!L124="","",obp!L124)</f>
        <v>0</v>
      </c>
      <c r="M166" s="1207">
        <f>IF(obp!M124="","",obp!M124)</f>
        <v>0</v>
      </c>
      <c r="N166" s="1209" t="str">
        <f t="shared" si="60"/>
        <v/>
      </c>
      <c r="O166" s="1209"/>
      <c r="P166" s="1283" t="str">
        <f t="shared" si="61"/>
        <v/>
      </c>
      <c r="Q166" s="518"/>
      <c r="R166" s="1076" t="str">
        <f t="shared" si="71"/>
        <v/>
      </c>
      <c r="S166" s="1076" t="str">
        <f t="shared" si="62"/>
        <v/>
      </c>
      <c r="T166" s="1078" t="str">
        <f t="shared" si="63"/>
        <v/>
      </c>
      <c r="U166" s="599"/>
      <c r="V166" s="1261"/>
      <c r="W166" s="1261"/>
      <c r="X166" s="1218"/>
      <c r="Y166" s="1253" t="e">
        <f>ROUND(VLOOKUP(H166,tab!$A$61:$V$103,I166+2,FALSE),0)</f>
        <v>#VALUE!</v>
      </c>
      <c r="Z166" s="1252">
        <f>tab!$E$48</f>
        <v>0.62</v>
      </c>
      <c r="AA166" s="1284" t="e">
        <f t="shared" si="64"/>
        <v>#VALUE!</v>
      </c>
      <c r="AB166" s="1284" t="e">
        <f t="shared" si="65"/>
        <v>#VALUE!</v>
      </c>
      <c r="AC166" s="1284" t="e">
        <f t="shared" si="66"/>
        <v>#VALUE!</v>
      </c>
      <c r="AD166" s="1286" t="e">
        <f t="shared" si="67"/>
        <v>#VALUE!</v>
      </c>
      <c r="AE166" s="1286">
        <f t="shared" si="68"/>
        <v>0</v>
      </c>
      <c r="AF166" s="1254">
        <f>IF(H166&gt;8,tab!$D$49,tab!$D$52)</f>
        <v>0.5</v>
      </c>
      <c r="AG166" s="1255">
        <f t="shared" si="69"/>
        <v>0</v>
      </c>
      <c r="AH166" s="1251">
        <f t="shared" si="70"/>
        <v>0</v>
      </c>
      <c r="AK166" s="198"/>
    </row>
    <row r="167" spans="3:37" ht="12.75" customHeight="1" x14ac:dyDescent="0.2">
      <c r="C167" s="126"/>
      <c r="D167" s="396" t="str">
        <f>IF(obp!D125=0,"",obp!D125)</f>
        <v/>
      </c>
      <c r="E167" s="432" t="str">
        <f>IF(obp!E125=0,"",obp!E125)</f>
        <v/>
      </c>
      <c r="F167" s="117" t="str">
        <f>IF(obp!F125="","",obp!F125+1)</f>
        <v/>
      </c>
      <c r="G167" s="397" t="str">
        <f>IF(obp!G125="","",obp!G125)</f>
        <v/>
      </c>
      <c r="H167" s="776" t="str">
        <f>IF(obp!H125=0,"",obp!H125)</f>
        <v/>
      </c>
      <c r="I167" s="433" t="str">
        <f>IF(J167="","",(IF(obp!I125+1&gt;LOOKUP(H167,schaal2013,regels2013),obp!I125,obp!I125+1)))</f>
        <v/>
      </c>
      <c r="J167" s="399" t="str">
        <f>IF(obp!J125="","",obp!J125)</f>
        <v/>
      </c>
      <c r="K167" s="413"/>
      <c r="L167" s="1207">
        <f>IF(obp!L125="","",obp!L125)</f>
        <v>0</v>
      </c>
      <c r="M167" s="1207">
        <f>IF(obp!M125="","",obp!M125)</f>
        <v>0</v>
      </c>
      <c r="N167" s="1209" t="str">
        <f t="shared" si="60"/>
        <v/>
      </c>
      <c r="O167" s="1209"/>
      <c r="P167" s="1283" t="str">
        <f t="shared" si="61"/>
        <v/>
      </c>
      <c r="Q167" s="518"/>
      <c r="R167" s="1076" t="str">
        <f t="shared" si="71"/>
        <v/>
      </c>
      <c r="S167" s="1076" t="str">
        <f t="shared" si="62"/>
        <v/>
      </c>
      <c r="T167" s="1078" t="str">
        <f t="shared" si="63"/>
        <v/>
      </c>
      <c r="U167" s="599"/>
      <c r="V167" s="1261"/>
      <c r="W167" s="1261"/>
      <c r="X167" s="1218"/>
      <c r="Y167" s="1253" t="e">
        <f>ROUND(VLOOKUP(H167,tab!$A$61:$V$103,I167+2,FALSE),0)</f>
        <v>#VALUE!</v>
      </c>
      <c r="Z167" s="1252">
        <f>tab!$E$48</f>
        <v>0.62</v>
      </c>
      <c r="AA167" s="1284" t="e">
        <f t="shared" si="64"/>
        <v>#VALUE!</v>
      </c>
      <c r="AB167" s="1284" t="e">
        <f t="shared" si="65"/>
        <v>#VALUE!</v>
      </c>
      <c r="AC167" s="1284" t="e">
        <f t="shared" si="66"/>
        <v>#VALUE!</v>
      </c>
      <c r="AD167" s="1286" t="e">
        <f t="shared" si="67"/>
        <v>#VALUE!</v>
      </c>
      <c r="AE167" s="1286">
        <f t="shared" si="68"/>
        <v>0</v>
      </c>
      <c r="AF167" s="1254">
        <f>IF(H167&gt;8,tab!$D$49,tab!$D$52)</f>
        <v>0.5</v>
      </c>
      <c r="AG167" s="1255">
        <f t="shared" si="69"/>
        <v>0</v>
      </c>
      <c r="AH167" s="1251">
        <f t="shared" si="70"/>
        <v>0</v>
      </c>
      <c r="AK167" s="198"/>
    </row>
    <row r="168" spans="3:37" ht="12.75" customHeight="1" x14ac:dyDescent="0.2">
      <c r="C168" s="126"/>
      <c r="D168" s="396" t="str">
        <f>IF(obp!D126=0,"",obp!D126)</f>
        <v/>
      </c>
      <c r="E168" s="432" t="str">
        <f>IF(obp!E126=0,"",obp!E126)</f>
        <v/>
      </c>
      <c r="F168" s="117" t="str">
        <f>IF(obp!F126="","",obp!F126+1)</f>
        <v/>
      </c>
      <c r="G168" s="397" t="str">
        <f>IF(obp!G126="","",obp!G126)</f>
        <v/>
      </c>
      <c r="H168" s="776" t="str">
        <f>IF(obp!H126=0,"",obp!H126)</f>
        <v/>
      </c>
      <c r="I168" s="433" t="str">
        <f>IF(J168="","",(IF(obp!I126+1&gt;LOOKUP(H168,schaal2013,regels2013),obp!I126,obp!I126+1)))</f>
        <v/>
      </c>
      <c r="J168" s="399" t="str">
        <f>IF(obp!J126="","",obp!J126)</f>
        <v/>
      </c>
      <c r="K168" s="413"/>
      <c r="L168" s="1207">
        <f>IF(obp!L126="","",obp!L126)</f>
        <v>0</v>
      </c>
      <c r="M168" s="1207">
        <f>IF(obp!M126="","",obp!M126)</f>
        <v>0</v>
      </c>
      <c r="N168" s="1209" t="str">
        <f t="shared" si="60"/>
        <v/>
      </c>
      <c r="O168" s="1209"/>
      <c r="P168" s="1283" t="str">
        <f t="shared" si="61"/>
        <v/>
      </c>
      <c r="Q168" s="518"/>
      <c r="R168" s="1076" t="str">
        <f t="shared" si="71"/>
        <v/>
      </c>
      <c r="S168" s="1076" t="str">
        <f t="shared" si="62"/>
        <v/>
      </c>
      <c r="T168" s="1078" t="str">
        <f t="shared" si="63"/>
        <v/>
      </c>
      <c r="U168" s="599"/>
      <c r="V168" s="1261"/>
      <c r="W168" s="1261"/>
      <c r="X168" s="1218"/>
      <c r="Y168" s="1253" t="e">
        <f>ROUND(VLOOKUP(H168,tab!$A$61:$V$103,I168+2,FALSE),0)</f>
        <v>#VALUE!</v>
      </c>
      <c r="Z168" s="1252">
        <f>tab!$E$48</f>
        <v>0.62</v>
      </c>
      <c r="AA168" s="1284" t="e">
        <f t="shared" si="64"/>
        <v>#VALUE!</v>
      </c>
      <c r="AB168" s="1284" t="e">
        <f t="shared" si="65"/>
        <v>#VALUE!</v>
      </c>
      <c r="AC168" s="1284" t="e">
        <f t="shared" si="66"/>
        <v>#VALUE!</v>
      </c>
      <c r="AD168" s="1286" t="e">
        <f t="shared" si="67"/>
        <v>#VALUE!</v>
      </c>
      <c r="AE168" s="1286">
        <f t="shared" si="68"/>
        <v>0</v>
      </c>
      <c r="AF168" s="1254">
        <f>IF(H168&gt;8,tab!$D$49,tab!$D$52)</f>
        <v>0.5</v>
      </c>
      <c r="AG168" s="1255">
        <f t="shared" si="69"/>
        <v>0</v>
      </c>
      <c r="AH168" s="1251">
        <f t="shared" si="70"/>
        <v>0</v>
      </c>
      <c r="AK168" s="198"/>
    </row>
    <row r="169" spans="3:37" ht="12.75" customHeight="1" x14ac:dyDescent="0.2">
      <c r="C169" s="126"/>
      <c r="D169" s="396" t="str">
        <f>IF(obp!D127=0,"",obp!D127)</f>
        <v/>
      </c>
      <c r="E169" s="432" t="str">
        <f>IF(obp!E127=0,"",obp!E127)</f>
        <v/>
      </c>
      <c r="F169" s="117" t="str">
        <f>IF(obp!F127="","",obp!F127+1)</f>
        <v/>
      </c>
      <c r="G169" s="397" t="str">
        <f>IF(obp!G127="","",obp!G127)</f>
        <v/>
      </c>
      <c r="H169" s="776" t="str">
        <f>IF(obp!H127=0,"",obp!H127)</f>
        <v/>
      </c>
      <c r="I169" s="433" t="str">
        <f>IF(J169="","",(IF(obp!I127+1&gt;LOOKUP(H169,schaal2013,regels2013),obp!I127,obp!I127+1)))</f>
        <v/>
      </c>
      <c r="J169" s="399" t="str">
        <f>IF(obp!J127="","",obp!J127)</f>
        <v/>
      </c>
      <c r="K169" s="413"/>
      <c r="L169" s="1207">
        <f>IF(obp!L127="","",obp!L127)</f>
        <v>0</v>
      </c>
      <c r="M169" s="1207">
        <f>IF(obp!M127="","",obp!M127)</f>
        <v>0</v>
      </c>
      <c r="N169" s="1209" t="str">
        <f t="shared" si="60"/>
        <v/>
      </c>
      <c r="O169" s="1209"/>
      <c r="P169" s="1283" t="str">
        <f t="shared" si="61"/>
        <v/>
      </c>
      <c r="Q169" s="518"/>
      <c r="R169" s="1076" t="str">
        <f t="shared" si="71"/>
        <v/>
      </c>
      <c r="S169" s="1076" t="str">
        <f t="shared" si="62"/>
        <v/>
      </c>
      <c r="T169" s="1078" t="str">
        <f t="shared" si="63"/>
        <v/>
      </c>
      <c r="U169" s="599"/>
      <c r="V169" s="1261"/>
      <c r="W169" s="1261"/>
      <c r="X169" s="1218"/>
      <c r="Y169" s="1253" t="e">
        <f>ROUND(VLOOKUP(H169,tab!$A$61:$V$103,I169+2,FALSE),0)</f>
        <v>#VALUE!</v>
      </c>
      <c r="Z169" s="1252">
        <f>tab!$E$48</f>
        <v>0.62</v>
      </c>
      <c r="AA169" s="1284" t="e">
        <f t="shared" si="64"/>
        <v>#VALUE!</v>
      </c>
      <c r="AB169" s="1284" t="e">
        <f t="shared" si="65"/>
        <v>#VALUE!</v>
      </c>
      <c r="AC169" s="1284" t="e">
        <f t="shared" si="66"/>
        <v>#VALUE!</v>
      </c>
      <c r="AD169" s="1286" t="e">
        <f t="shared" si="67"/>
        <v>#VALUE!</v>
      </c>
      <c r="AE169" s="1286">
        <f t="shared" si="68"/>
        <v>0</v>
      </c>
      <c r="AF169" s="1254">
        <f>IF(H169&gt;8,tab!$D$49,tab!$D$52)</f>
        <v>0.5</v>
      </c>
      <c r="AG169" s="1255">
        <f t="shared" si="69"/>
        <v>0</v>
      </c>
      <c r="AH169" s="1251">
        <f t="shared" si="70"/>
        <v>0</v>
      </c>
      <c r="AK169" s="198"/>
    </row>
    <row r="170" spans="3:37" ht="12.75" customHeight="1" x14ac:dyDescent="0.2">
      <c r="C170" s="126"/>
      <c r="D170" s="396" t="str">
        <f>IF(obp!D128=0,"",obp!D128)</f>
        <v/>
      </c>
      <c r="E170" s="432" t="str">
        <f>IF(obp!E128=0,"",obp!E128)</f>
        <v/>
      </c>
      <c r="F170" s="117" t="str">
        <f>IF(obp!F128="","",obp!F128+1)</f>
        <v/>
      </c>
      <c r="G170" s="397" t="str">
        <f>IF(obp!G128="","",obp!G128)</f>
        <v/>
      </c>
      <c r="H170" s="776" t="str">
        <f>IF(obp!H128=0,"",obp!H128)</f>
        <v/>
      </c>
      <c r="I170" s="433" t="str">
        <f>IF(J170="","",(IF(obp!I128+1&gt;LOOKUP(H170,schaal2013,regels2013),obp!I128,obp!I128+1)))</f>
        <v/>
      </c>
      <c r="J170" s="399" t="str">
        <f>IF(obp!J128="","",obp!J128)</f>
        <v/>
      </c>
      <c r="K170" s="413"/>
      <c r="L170" s="1207">
        <f>IF(obp!L128="","",obp!L128)</f>
        <v>0</v>
      </c>
      <c r="M170" s="1207">
        <f>IF(obp!M128="","",obp!M128)</f>
        <v>0</v>
      </c>
      <c r="N170" s="1209" t="str">
        <f t="shared" si="60"/>
        <v/>
      </c>
      <c r="O170" s="1209"/>
      <c r="P170" s="1283" t="str">
        <f t="shared" si="61"/>
        <v/>
      </c>
      <c r="Q170" s="518"/>
      <c r="R170" s="1076" t="str">
        <f t="shared" si="71"/>
        <v/>
      </c>
      <c r="S170" s="1076" t="str">
        <f t="shared" si="62"/>
        <v/>
      </c>
      <c r="T170" s="1078" t="str">
        <f t="shared" si="63"/>
        <v/>
      </c>
      <c r="U170" s="599"/>
      <c r="V170" s="1261"/>
      <c r="W170" s="1261"/>
      <c r="X170" s="1218"/>
      <c r="Y170" s="1253" t="e">
        <f>ROUND(VLOOKUP(H170,tab!$A$61:$V$103,I170+2,FALSE),0)</f>
        <v>#VALUE!</v>
      </c>
      <c r="Z170" s="1252">
        <f>tab!$E$48</f>
        <v>0.62</v>
      </c>
      <c r="AA170" s="1284" t="e">
        <f t="shared" si="64"/>
        <v>#VALUE!</v>
      </c>
      <c r="AB170" s="1284" t="e">
        <f t="shared" si="65"/>
        <v>#VALUE!</v>
      </c>
      <c r="AC170" s="1284" t="e">
        <f t="shared" si="66"/>
        <v>#VALUE!</v>
      </c>
      <c r="AD170" s="1286" t="e">
        <f t="shared" si="67"/>
        <v>#VALUE!</v>
      </c>
      <c r="AE170" s="1286">
        <f t="shared" si="68"/>
        <v>0</v>
      </c>
      <c r="AF170" s="1254">
        <f>IF(H170&gt;8,tab!$D$49,tab!$D$52)</f>
        <v>0.5</v>
      </c>
      <c r="AG170" s="1255">
        <f t="shared" si="69"/>
        <v>0</v>
      </c>
      <c r="AH170" s="1251">
        <f t="shared" si="70"/>
        <v>0</v>
      </c>
      <c r="AK170" s="198"/>
    </row>
    <row r="171" spans="3:37" ht="12.75" customHeight="1" x14ac:dyDescent="0.2">
      <c r="C171" s="126"/>
      <c r="D171" s="396" t="str">
        <f>IF(obp!D129=0,"",obp!D129)</f>
        <v/>
      </c>
      <c r="E171" s="432" t="str">
        <f>IF(obp!E129=0,"",obp!E129)</f>
        <v/>
      </c>
      <c r="F171" s="117" t="str">
        <f>IF(obp!F129="","",obp!F129+1)</f>
        <v/>
      </c>
      <c r="G171" s="397" t="str">
        <f>IF(obp!G129="","",obp!G129)</f>
        <v/>
      </c>
      <c r="H171" s="776" t="str">
        <f>IF(obp!H129=0,"",obp!H129)</f>
        <v/>
      </c>
      <c r="I171" s="433" t="str">
        <f>IF(J171="","",(IF(obp!I129+1&gt;LOOKUP(H171,schaal2013,regels2013),obp!I129,obp!I129+1)))</f>
        <v/>
      </c>
      <c r="J171" s="399" t="str">
        <f>IF(obp!J129="","",obp!J129)</f>
        <v/>
      </c>
      <c r="K171" s="413"/>
      <c r="L171" s="1207">
        <f>IF(obp!L129="","",obp!L129)</f>
        <v>0</v>
      </c>
      <c r="M171" s="1207">
        <f>IF(obp!M129="","",obp!M129)</f>
        <v>0</v>
      </c>
      <c r="N171" s="1209" t="str">
        <f t="shared" si="60"/>
        <v/>
      </c>
      <c r="O171" s="1209"/>
      <c r="P171" s="1283" t="str">
        <f t="shared" si="61"/>
        <v/>
      </c>
      <c r="Q171" s="518"/>
      <c r="R171" s="1076" t="str">
        <f t="shared" si="71"/>
        <v/>
      </c>
      <c r="S171" s="1076" t="str">
        <f t="shared" si="62"/>
        <v/>
      </c>
      <c r="T171" s="1078" t="str">
        <f t="shared" si="63"/>
        <v/>
      </c>
      <c r="U171" s="599"/>
      <c r="V171" s="1261"/>
      <c r="W171" s="1261"/>
      <c r="X171" s="1218"/>
      <c r="Y171" s="1253" t="e">
        <f>ROUND(VLOOKUP(H171,tab!$A$61:$V$103,I171+2,FALSE),0)</f>
        <v>#VALUE!</v>
      </c>
      <c r="Z171" s="1252">
        <f>tab!$E$48</f>
        <v>0.62</v>
      </c>
      <c r="AA171" s="1284" t="e">
        <f t="shared" si="64"/>
        <v>#VALUE!</v>
      </c>
      <c r="AB171" s="1284" t="e">
        <f t="shared" si="65"/>
        <v>#VALUE!</v>
      </c>
      <c r="AC171" s="1284" t="e">
        <f t="shared" si="66"/>
        <v>#VALUE!</v>
      </c>
      <c r="AD171" s="1286" t="e">
        <f t="shared" si="67"/>
        <v>#VALUE!</v>
      </c>
      <c r="AE171" s="1286">
        <f t="shared" si="68"/>
        <v>0</v>
      </c>
      <c r="AF171" s="1254">
        <f>IF(H171&gt;8,tab!$D$49,tab!$D$52)</f>
        <v>0.5</v>
      </c>
      <c r="AG171" s="1255">
        <f t="shared" si="69"/>
        <v>0</v>
      </c>
      <c r="AH171" s="1251">
        <f t="shared" si="70"/>
        <v>0</v>
      </c>
      <c r="AK171" s="198"/>
    </row>
    <row r="172" spans="3:37" ht="12.75" customHeight="1" x14ac:dyDescent="0.2">
      <c r="C172" s="126"/>
      <c r="D172" s="396" t="str">
        <f>IF(obp!D130=0,"",obp!D130)</f>
        <v/>
      </c>
      <c r="E172" s="432" t="str">
        <f>IF(obp!E130=0,"",obp!E130)</f>
        <v/>
      </c>
      <c r="F172" s="117" t="str">
        <f>IF(obp!F130="","",obp!F130+1)</f>
        <v/>
      </c>
      <c r="G172" s="397" t="str">
        <f>IF(obp!G130="","",obp!G130)</f>
        <v/>
      </c>
      <c r="H172" s="776" t="str">
        <f>IF(obp!H130=0,"",obp!H130)</f>
        <v/>
      </c>
      <c r="I172" s="433" t="str">
        <f>IF(J172="","",(IF(obp!I130+1&gt;LOOKUP(H172,schaal2013,regels2013),obp!I130,obp!I130+1)))</f>
        <v/>
      </c>
      <c r="J172" s="399" t="str">
        <f>IF(obp!J130="","",obp!J130)</f>
        <v/>
      </c>
      <c r="K172" s="413"/>
      <c r="L172" s="1207">
        <f>IF(obp!L130="","",obp!L130)</f>
        <v>0</v>
      </c>
      <c r="M172" s="1207">
        <f>IF(obp!M130="","",obp!M130)</f>
        <v>0</v>
      </c>
      <c r="N172" s="1209" t="str">
        <f t="shared" si="60"/>
        <v/>
      </c>
      <c r="O172" s="1209"/>
      <c r="P172" s="1283" t="str">
        <f t="shared" si="61"/>
        <v/>
      </c>
      <c r="Q172" s="518"/>
      <c r="R172" s="1076" t="str">
        <f t="shared" si="71"/>
        <v/>
      </c>
      <c r="S172" s="1076" t="str">
        <f t="shared" si="62"/>
        <v/>
      </c>
      <c r="T172" s="1078" t="str">
        <f t="shared" si="63"/>
        <v/>
      </c>
      <c r="U172" s="599"/>
      <c r="V172" s="1261"/>
      <c r="W172" s="1261"/>
      <c r="X172" s="1218"/>
      <c r="Y172" s="1253" t="e">
        <f>ROUND(VLOOKUP(H172,tab!$A$61:$V$103,I172+2,FALSE),0)</f>
        <v>#VALUE!</v>
      </c>
      <c r="Z172" s="1252">
        <f>tab!$E$48</f>
        <v>0.62</v>
      </c>
      <c r="AA172" s="1284" t="e">
        <f t="shared" si="64"/>
        <v>#VALUE!</v>
      </c>
      <c r="AB172" s="1284" t="e">
        <f t="shared" si="65"/>
        <v>#VALUE!</v>
      </c>
      <c r="AC172" s="1284" t="e">
        <f t="shared" si="66"/>
        <v>#VALUE!</v>
      </c>
      <c r="AD172" s="1286" t="e">
        <f t="shared" si="67"/>
        <v>#VALUE!</v>
      </c>
      <c r="AE172" s="1286">
        <f t="shared" si="68"/>
        <v>0</v>
      </c>
      <c r="AF172" s="1254">
        <f>IF(H172&gt;8,tab!$D$49,tab!$D$52)</f>
        <v>0.5</v>
      </c>
      <c r="AG172" s="1255">
        <f t="shared" si="69"/>
        <v>0</v>
      </c>
      <c r="AH172" s="1251">
        <f t="shared" si="70"/>
        <v>0</v>
      </c>
      <c r="AK172" s="198"/>
    </row>
    <row r="173" spans="3:37" ht="12.75" customHeight="1" x14ac:dyDescent="0.2">
      <c r="C173" s="126"/>
      <c r="D173" s="396" t="str">
        <f>IF(obp!D131=0,"",obp!D131)</f>
        <v/>
      </c>
      <c r="E173" s="432" t="str">
        <f>IF(obp!E131=0,"",obp!E131)</f>
        <v/>
      </c>
      <c r="F173" s="117" t="str">
        <f>IF(obp!F131="","",obp!F131+1)</f>
        <v/>
      </c>
      <c r="G173" s="397" t="str">
        <f>IF(obp!G131="","",obp!G131)</f>
        <v/>
      </c>
      <c r="H173" s="776" t="str">
        <f>IF(obp!H131=0,"",obp!H131)</f>
        <v/>
      </c>
      <c r="I173" s="433" t="str">
        <f>IF(J173="","",(IF(obp!I131+1&gt;LOOKUP(H173,schaal2013,regels2013),obp!I131,obp!I131+1)))</f>
        <v/>
      </c>
      <c r="J173" s="399" t="str">
        <f>IF(obp!J131="","",obp!J131)</f>
        <v/>
      </c>
      <c r="K173" s="413"/>
      <c r="L173" s="1207">
        <f>IF(obp!L131="","",obp!L131)</f>
        <v>0</v>
      </c>
      <c r="M173" s="1207">
        <f>IF(obp!M131="","",obp!M131)</f>
        <v>0</v>
      </c>
      <c r="N173" s="1209" t="str">
        <f t="shared" si="60"/>
        <v/>
      </c>
      <c r="O173" s="1209"/>
      <c r="P173" s="1283" t="str">
        <f t="shared" si="61"/>
        <v/>
      </c>
      <c r="Q173" s="518"/>
      <c r="R173" s="1076" t="str">
        <f t="shared" si="71"/>
        <v/>
      </c>
      <c r="S173" s="1076" t="str">
        <f t="shared" si="62"/>
        <v/>
      </c>
      <c r="T173" s="1078" t="str">
        <f t="shared" si="63"/>
        <v/>
      </c>
      <c r="U173" s="599"/>
      <c r="V173" s="1261"/>
      <c r="W173" s="1261"/>
      <c r="X173" s="1218"/>
      <c r="Y173" s="1253" t="e">
        <f>ROUND(VLOOKUP(H173,tab!$A$61:$V$103,I173+2,FALSE),0)</f>
        <v>#VALUE!</v>
      </c>
      <c r="Z173" s="1252">
        <f>tab!$E$48</f>
        <v>0.62</v>
      </c>
      <c r="AA173" s="1284" t="e">
        <f t="shared" si="64"/>
        <v>#VALUE!</v>
      </c>
      <c r="AB173" s="1284" t="e">
        <f t="shared" si="65"/>
        <v>#VALUE!</v>
      </c>
      <c r="AC173" s="1284" t="e">
        <f t="shared" si="66"/>
        <v>#VALUE!</v>
      </c>
      <c r="AD173" s="1286" t="e">
        <f t="shared" si="67"/>
        <v>#VALUE!</v>
      </c>
      <c r="AE173" s="1286">
        <f t="shared" si="68"/>
        <v>0</v>
      </c>
      <c r="AF173" s="1254">
        <f>IF(H173&gt;8,tab!$D$49,tab!$D$52)</f>
        <v>0.5</v>
      </c>
      <c r="AG173" s="1255">
        <f t="shared" si="69"/>
        <v>0</v>
      </c>
      <c r="AH173" s="1251">
        <f t="shared" si="70"/>
        <v>0</v>
      </c>
      <c r="AK173" s="198"/>
    </row>
    <row r="174" spans="3:37" x14ac:dyDescent="0.2">
      <c r="C174" s="126"/>
      <c r="D174" s="822"/>
      <c r="E174" s="823"/>
      <c r="F174" s="131"/>
      <c r="G174" s="775"/>
      <c r="H174" s="824"/>
      <c r="I174" s="412"/>
      <c r="J174" s="1116">
        <f>SUM(J144:J173)</f>
        <v>1</v>
      </c>
      <c r="K174" s="807"/>
      <c r="L174" s="1220">
        <f t="shared" ref="L174:P174" si="72">SUM(L144:L173)</f>
        <v>0</v>
      </c>
      <c r="M174" s="1220">
        <f t="shared" si="72"/>
        <v>0</v>
      </c>
      <c r="N174" s="1197">
        <f>SUM(N144:N173)</f>
        <v>40</v>
      </c>
      <c r="O174" s="1072"/>
      <c r="P174" s="1197">
        <f t="shared" si="72"/>
        <v>40</v>
      </c>
      <c r="Q174" s="807"/>
      <c r="R174" s="1117">
        <f t="shared" ref="R174:T174" si="73">SUM(R144:R173)</f>
        <v>53574.905750452082</v>
      </c>
      <c r="S174" s="1118">
        <f t="shared" si="73"/>
        <v>1323.6542495479205</v>
      </c>
      <c r="T174" s="1115">
        <f t="shared" si="73"/>
        <v>54898.560000000005</v>
      </c>
      <c r="U174" s="129"/>
      <c r="V174" s="1221"/>
      <c r="W174" s="1221"/>
      <c r="Y174" s="1270" t="e">
        <f>SUM(Y144:Y173)</f>
        <v>#VALUE!</v>
      </c>
      <c r="Z174" s="1271"/>
      <c r="AA174" s="1271"/>
      <c r="AB174" s="1271"/>
      <c r="AC174" s="1271"/>
      <c r="AG174" s="1248">
        <f>SUM(AG144:AG173)</f>
        <v>0</v>
      </c>
      <c r="AH174" s="1272">
        <f>SUM(AH144:AH173)</f>
        <v>0</v>
      </c>
    </row>
    <row r="175" spans="3:37" x14ac:dyDescent="0.2">
      <c r="C175" s="707"/>
      <c r="D175" s="266"/>
      <c r="E175" s="266"/>
      <c r="F175" s="763"/>
      <c r="G175" s="763"/>
      <c r="H175" s="763"/>
      <c r="I175" s="764"/>
      <c r="J175" s="765"/>
      <c r="K175" s="764"/>
      <c r="L175" s="764"/>
      <c r="M175" s="764"/>
      <c r="N175" s="765"/>
      <c r="O175" s="764"/>
      <c r="P175" s="764"/>
      <c r="Q175" s="764"/>
      <c r="R175" s="421"/>
      <c r="S175" s="422"/>
      <c r="T175" s="883"/>
      <c r="U175" s="766"/>
      <c r="V175" s="1221"/>
      <c r="W175" s="1221"/>
      <c r="Y175" s="1273"/>
      <c r="Z175" s="1256"/>
      <c r="AA175" s="1256"/>
      <c r="AB175" s="1256"/>
      <c r="AC175" s="1256"/>
      <c r="AG175" s="1257"/>
      <c r="AH175" s="1258"/>
    </row>
    <row r="176" spans="3:37" x14ac:dyDescent="0.2">
      <c r="V176" s="1221"/>
      <c r="W176" s="1221"/>
    </row>
    <row r="177" spans="2:42" x14ac:dyDescent="0.2">
      <c r="V177" s="1221"/>
      <c r="W177" s="1221"/>
    </row>
    <row r="178" spans="2:42" x14ac:dyDescent="0.2">
      <c r="C178" s="14" t="s">
        <v>200</v>
      </c>
      <c r="E178" s="330" t="str">
        <f>dir!E97</f>
        <v>2019/20</v>
      </c>
      <c r="V178" s="1221"/>
      <c r="W178" s="1221"/>
    </row>
    <row r="179" spans="2:42" x14ac:dyDescent="0.2">
      <c r="C179" s="14" t="s">
        <v>213</v>
      </c>
      <c r="E179" s="330">
        <f>dir!E98</f>
        <v>43739</v>
      </c>
      <c r="V179" s="1221"/>
      <c r="W179" s="1221"/>
    </row>
    <row r="180" spans="2:42" x14ac:dyDescent="0.2">
      <c r="V180" s="1221"/>
      <c r="W180" s="1221"/>
    </row>
    <row r="181" spans="2:42" ht="12.75" customHeight="1" x14ac:dyDescent="0.2">
      <c r="C181" s="184"/>
      <c r="D181" s="1114"/>
      <c r="E181" s="1080"/>
      <c r="F181" s="1081"/>
      <c r="G181" s="1082"/>
      <c r="H181" s="1083"/>
      <c r="I181" s="1083"/>
      <c r="J181" s="1084"/>
      <c r="K181" s="1085"/>
      <c r="L181" s="1083"/>
      <c r="M181" s="1083"/>
      <c r="N181" s="1084"/>
      <c r="O181" s="1083"/>
      <c r="P181" s="1083"/>
      <c r="Q181" s="1085"/>
      <c r="R181" s="1085"/>
      <c r="S181" s="1086"/>
      <c r="T181" s="1087"/>
      <c r="U181" s="121"/>
      <c r="V181" s="1221"/>
      <c r="W181" s="1221"/>
      <c r="AE181" s="1235"/>
      <c r="AF181" s="1236"/>
      <c r="AI181" s="1235"/>
      <c r="AJ181" s="1247"/>
      <c r="AK181" s="311"/>
      <c r="AL181" s="312"/>
      <c r="AM181" s="324"/>
      <c r="AN181" s="24"/>
    </row>
    <row r="182" spans="2:42" s="144" customFormat="1" ht="12.75" customHeight="1" x14ac:dyDescent="0.2">
      <c r="B182" s="150"/>
      <c r="C182" s="425"/>
      <c r="D182" s="1191" t="s">
        <v>307</v>
      </c>
      <c r="E182" s="1191"/>
      <c r="F182" s="1191"/>
      <c r="G182" s="1191"/>
      <c r="H182" s="1191"/>
      <c r="I182" s="1191"/>
      <c r="J182" s="1191"/>
      <c r="K182" s="1192"/>
      <c r="L182" s="1191" t="s">
        <v>553</v>
      </c>
      <c r="M182" s="1193"/>
      <c r="N182" s="1191"/>
      <c r="O182" s="1191"/>
      <c r="P182" s="1291"/>
      <c r="Q182" s="1055"/>
      <c r="R182" s="1191" t="s">
        <v>554</v>
      </c>
      <c r="S182" s="1194"/>
      <c r="T182" s="1292"/>
      <c r="U182" s="1293"/>
      <c r="V182" s="1222"/>
      <c r="W182" s="1222"/>
      <c r="X182" s="427"/>
      <c r="Y182" s="1221"/>
      <c r="Z182" s="1294"/>
      <c r="AA182" s="1221"/>
      <c r="AB182" s="1221"/>
      <c r="AC182" s="1221"/>
      <c r="AD182" s="1295"/>
      <c r="AE182" s="1295"/>
      <c r="AF182" s="1294"/>
      <c r="AG182" s="1248"/>
      <c r="AH182" s="1249"/>
      <c r="AI182" s="1221"/>
      <c r="AJ182" s="1221"/>
      <c r="AO182" s="427"/>
      <c r="AP182" s="427"/>
    </row>
    <row r="183" spans="2:42" s="144" customFormat="1" ht="12.75" customHeight="1" x14ac:dyDescent="0.2">
      <c r="B183" s="150"/>
      <c r="C183" s="425"/>
      <c r="D183" s="1056" t="s">
        <v>545</v>
      </c>
      <c r="E183" s="1030" t="s">
        <v>201</v>
      </c>
      <c r="F183" s="1057" t="s">
        <v>151</v>
      </c>
      <c r="G183" s="1058" t="s">
        <v>295</v>
      </c>
      <c r="H183" s="1057" t="s">
        <v>226</v>
      </c>
      <c r="I183" s="1057" t="s">
        <v>247</v>
      </c>
      <c r="J183" s="1059" t="s">
        <v>154</v>
      </c>
      <c r="K183" s="1067"/>
      <c r="L183" s="1060" t="s">
        <v>530</v>
      </c>
      <c r="M183" s="1060" t="s">
        <v>531</v>
      </c>
      <c r="N183" s="1060" t="s">
        <v>529</v>
      </c>
      <c r="O183" s="1060" t="s">
        <v>530</v>
      </c>
      <c r="P183" s="1296" t="s">
        <v>555</v>
      </c>
      <c r="Q183" s="1034"/>
      <c r="R183" s="1195" t="s">
        <v>212</v>
      </c>
      <c r="S183" s="1062" t="s">
        <v>556</v>
      </c>
      <c r="T183" s="1063" t="s">
        <v>212</v>
      </c>
      <c r="U183" s="1297"/>
      <c r="V183" s="1259"/>
      <c r="W183" s="1259"/>
      <c r="X183" s="430"/>
      <c r="Y183" s="1068" t="s">
        <v>325</v>
      </c>
      <c r="Z183" s="1285" t="s">
        <v>548</v>
      </c>
      <c r="AA183" s="1259" t="s">
        <v>549</v>
      </c>
      <c r="AB183" s="1259" t="s">
        <v>549</v>
      </c>
      <c r="AC183" s="1259" t="s">
        <v>546</v>
      </c>
      <c r="AD183" s="1206" t="s">
        <v>539</v>
      </c>
      <c r="AE183" s="1206" t="s">
        <v>540</v>
      </c>
      <c r="AF183" s="1069" t="s">
        <v>541</v>
      </c>
      <c r="AG183" s="1250" t="s">
        <v>319</v>
      </c>
      <c r="AH183" s="1249" t="s">
        <v>459</v>
      </c>
      <c r="AI183" s="1221"/>
      <c r="AJ183" s="1221"/>
      <c r="AO183" s="427"/>
      <c r="AP183" s="430"/>
    </row>
    <row r="184" spans="2:42" s="144" customFormat="1" ht="12.75" customHeight="1" x14ac:dyDescent="0.2">
      <c r="B184" s="150"/>
      <c r="C184" s="425"/>
      <c r="D184" s="1064"/>
      <c r="E184" s="1030"/>
      <c r="F184" s="1057" t="s">
        <v>152</v>
      </c>
      <c r="G184" s="1058" t="s">
        <v>296</v>
      </c>
      <c r="H184" s="1057"/>
      <c r="I184" s="1057"/>
      <c r="J184" s="1059" t="s">
        <v>489</v>
      </c>
      <c r="K184" s="1067"/>
      <c r="L184" s="1060" t="s">
        <v>533</v>
      </c>
      <c r="M184" s="1060" t="s">
        <v>534</v>
      </c>
      <c r="N184" s="1060" t="s">
        <v>532</v>
      </c>
      <c r="O184" s="1060" t="s">
        <v>544</v>
      </c>
      <c r="P184" s="1296" t="s">
        <v>291</v>
      </c>
      <c r="Q184" s="1034"/>
      <c r="R184" s="1061" t="s">
        <v>557</v>
      </c>
      <c r="S184" s="1062" t="s">
        <v>535</v>
      </c>
      <c r="T184" s="1063" t="s">
        <v>291</v>
      </c>
      <c r="U184" s="1040"/>
      <c r="V184" s="1221"/>
      <c r="W184" s="1221"/>
      <c r="Y184" s="1068" t="s">
        <v>217</v>
      </c>
      <c r="Z184" s="1287">
        <f>tab!$E$48</f>
        <v>0.62</v>
      </c>
      <c r="AA184" s="1259" t="s">
        <v>550</v>
      </c>
      <c r="AB184" s="1259" t="s">
        <v>551</v>
      </c>
      <c r="AC184" s="1259" t="s">
        <v>552</v>
      </c>
      <c r="AD184" s="1206" t="s">
        <v>542</v>
      </c>
      <c r="AE184" s="1206" t="s">
        <v>542</v>
      </c>
      <c r="AF184" s="1069" t="s">
        <v>543</v>
      </c>
      <c r="AG184" s="1250"/>
      <c r="AH184" s="1251" t="s">
        <v>246</v>
      </c>
      <c r="AI184" s="1221"/>
      <c r="AJ184" s="1221"/>
      <c r="AP184" s="767"/>
    </row>
    <row r="185" spans="2:42" ht="12.75" customHeight="1" x14ac:dyDescent="0.2">
      <c r="C185" s="126"/>
      <c r="D185" s="1065"/>
      <c r="E185" s="1065"/>
      <c r="F185" s="1065"/>
      <c r="G185" s="1065"/>
      <c r="H185" s="1065"/>
      <c r="I185" s="1065"/>
      <c r="J185" s="1065"/>
      <c r="K185" s="1066"/>
      <c r="L185" s="1065"/>
      <c r="M185" s="1065"/>
      <c r="N185" s="1065"/>
      <c r="O185" s="1065"/>
      <c r="P185" s="1065"/>
      <c r="Q185" s="1066"/>
      <c r="R185" s="1088"/>
      <c r="S185" s="1070"/>
      <c r="T185" s="1089"/>
      <c r="U185" s="125"/>
      <c r="V185" s="1221"/>
      <c r="W185" s="1221"/>
      <c r="Y185" s="1068"/>
      <c r="Z185" s="1222"/>
      <c r="AA185" s="1222"/>
      <c r="AB185" s="1222"/>
      <c r="AC185" s="1222"/>
      <c r="AE185" s="1221"/>
      <c r="AF185" s="1221"/>
      <c r="AG185" s="1250"/>
      <c r="AH185" s="1251"/>
      <c r="AM185" s="14"/>
      <c r="AN185" s="14"/>
      <c r="AP185" s="332"/>
    </row>
    <row r="186" spans="2:42" ht="12.75" customHeight="1" x14ac:dyDescent="0.2">
      <c r="C186" s="126"/>
      <c r="D186" s="396" t="str">
        <f>IF(obp!D144=0,"",obp!D144)</f>
        <v/>
      </c>
      <c r="E186" s="432" t="str">
        <f>IF(obp!E144=0,"-",obp!E144)</f>
        <v>nn</v>
      </c>
      <c r="F186" s="776" t="str">
        <f>IF(obp!F144="","",obp!F144+1)</f>
        <v/>
      </c>
      <c r="G186" s="802" t="str">
        <f>IF(obp!G144="","",obp!G144)</f>
        <v/>
      </c>
      <c r="H186" s="776">
        <f>IF(obp!H144=0,"",obp!H144)</f>
        <v>8</v>
      </c>
      <c r="I186" s="433">
        <f>IF(J186="","",(IF(obp!I144+1&gt;LOOKUP(H186,schaal2013,regels2013),obp!I144,obp!I144+1)))</f>
        <v>12</v>
      </c>
      <c r="J186" s="803">
        <f>IF(obp!J144="","",obp!J144)</f>
        <v>1</v>
      </c>
      <c r="K186" s="413"/>
      <c r="L186" s="1207">
        <f>IF(obp!L144="","",obp!L144)</f>
        <v>0</v>
      </c>
      <c r="M186" s="1207">
        <f>IF(obp!M144="","",obp!M144)</f>
        <v>0</v>
      </c>
      <c r="N186" s="1209">
        <f t="shared" ref="N186:N215" si="74">IF(J186="","",IF((J186*40)&gt;40,40,((J186*40))))</f>
        <v>40</v>
      </c>
      <c r="O186" s="1209"/>
      <c r="P186" s="1283">
        <f t="shared" ref="P186:P215" si="75">IF(J186="","",(SUM(L186:O186)))</f>
        <v>40</v>
      </c>
      <c r="Q186" s="518"/>
      <c r="R186" s="1076">
        <f>IF(J186="","",(((1659*J186)-P186)*AB186))</f>
        <v>54618.326365280293</v>
      </c>
      <c r="S186" s="1076">
        <f t="shared" ref="S186:S215" si="76">IF(J186="","",(P186*AC186)+(AA186*AD186)+((AE186*AA186*(1-AF186))))</f>
        <v>1349.4336347197109</v>
      </c>
      <c r="T186" s="1078">
        <f t="shared" ref="T186:T215" si="77">IF(J186="","",(R186+S186))</f>
        <v>55967.76</v>
      </c>
      <c r="U186" s="599"/>
      <c r="V186" s="1261"/>
      <c r="W186" s="1261"/>
      <c r="X186" s="1218"/>
      <c r="Y186" s="1253">
        <f>ROUND(VLOOKUP(H186,tab!$A$61:$V$103,I186+2,FALSE),0)</f>
        <v>2879</v>
      </c>
      <c r="Z186" s="1252">
        <f>tab!$E$48</f>
        <v>0.62</v>
      </c>
      <c r="AA186" s="1284">
        <f t="shared" ref="AA186:AA215" si="78">(Y186*12/1659)</f>
        <v>20.824593128390596</v>
      </c>
      <c r="AB186" s="1284">
        <f t="shared" ref="AB186:AB215" si="79">(Y186*12*(1+Z186))/1659</f>
        <v>33.735840867992771</v>
      </c>
      <c r="AC186" s="1284">
        <f t="shared" ref="AC186:AC215" si="80">AB186-AA186</f>
        <v>12.911247739602175</v>
      </c>
      <c r="AD186" s="1286">
        <f t="shared" ref="AD186:AD215" si="81">(N186+O186)</f>
        <v>40</v>
      </c>
      <c r="AE186" s="1286">
        <f t="shared" ref="AE186:AE215" si="82">(L186+M186)</f>
        <v>0</v>
      </c>
      <c r="AF186" s="1254">
        <f>IF(H186&gt;8,tab!$D$49,tab!$D$52)</f>
        <v>0.4</v>
      </c>
      <c r="AG186" s="1255">
        <f t="shared" ref="AG186:AG215" si="83">IF(F186&lt;25,0,IF(F186=25,25,IF(F186&lt;40,0,IF(F186=40,40,IF(F186&gt;=40,0)))))</f>
        <v>0</v>
      </c>
      <c r="AH186" s="1251">
        <f t="shared" ref="AH186:AH215" si="84">IF(AG186=25,(Y186*1.08*(J186)/2),IF(AG186=40,(Y186*1.08*(J186)),IF(AG186=0,0)))</f>
        <v>0</v>
      </c>
      <c r="AK186" s="198"/>
    </row>
    <row r="187" spans="2:42" ht="12.75" customHeight="1" x14ac:dyDescent="0.2">
      <c r="C187" s="126"/>
      <c r="D187" s="396" t="str">
        <f>IF(obp!D145=0,"",obp!D145)</f>
        <v/>
      </c>
      <c r="E187" s="432" t="str">
        <f>IF(obp!E145=0,"-",obp!E145)</f>
        <v/>
      </c>
      <c r="F187" s="776" t="str">
        <f>IF(obp!F145="","",obp!F145+1)</f>
        <v/>
      </c>
      <c r="G187" s="802" t="str">
        <f>IF(obp!G145="","",obp!G145)</f>
        <v/>
      </c>
      <c r="H187" s="776" t="str">
        <f>IF(obp!H145=0,"",obp!H145)</f>
        <v/>
      </c>
      <c r="I187" s="433" t="str">
        <f>IF(J187="","",(IF(obp!I145+1&gt;LOOKUP(H187,schaal2013,regels2013),obp!I145,obp!I145+1)))</f>
        <v/>
      </c>
      <c r="J187" s="803" t="str">
        <f>IF(obp!J145="","",obp!J145)</f>
        <v/>
      </c>
      <c r="K187" s="413"/>
      <c r="L187" s="1207">
        <f>IF(obp!L145="","",obp!L145)</f>
        <v>0</v>
      </c>
      <c r="M187" s="1207">
        <f>IF(obp!M145="","",obp!M145)</f>
        <v>0</v>
      </c>
      <c r="N187" s="1209" t="str">
        <f t="shared" si="74"/>
        <v/>
      </c>
      <c r="O187" s="1209"/>
      <c r="P187" s="1283" t="str">
        <f t="shared" si="75"/>
        <v/>
      </c>
      <c r="Q187" s="518"/>
      <c r="R187" s="1076" t="str">
        <f t="shared" ref="R187:R215" si="85">IF(J187="","",(((1659*J187)-P187)*AB187))</f>
        <v/>
      </c>
      <c r="S187" s="1076" t="str">
        <f t="shared" si="76"/>
        <v/>
      </c>
      <c r="T187" s="1078" t="str">
        <f t="shared" si="77"/>
        <v/>
      </c>
      <c r="U187" s="599"/>
      <c r="V187" s="1261"/>
      <c r="W187" s="1261"/>
      <c r="X187" s="1218"/>
      <c r="Y187" s="1253" t="e">
        <f>ROUND(VLOOKUP(H187,tab!$A$61:$V$103,I187+2,FALSE),0)</f>
        <v>#VALUE!</v>
      </c>
      <c r="Z187" s="1252">
        <f>tab!$E$48</f>
        <v>0.62</v>
      </c>
      <c r="AA187" s="1284" t="e">
        <f t="shared" si="78"/>
        <v>#VALUE!</v>
      </c>
      <c r="AB187" s="1284" t="e">
        <f t="shared" si="79"/>
        <v>#VALUE!</v>
      </c>
      <c r="AC187" s="1284" t="e">
        <f t="shared" si="80"/>
        <v>#VALUE!</v>
      </c>
      <c r="AD187" s="1286" t="e">
        <f t="shared" si="81"/>
        <v>#VALUE!</v>
      </c>
      <c r="AE187" s="1286">
        <f t="shared" si="82"/>
        <v>0</v>
      </c>
      <c r="AF187" s="1254">
        <f>IF(H187&gt;8,tab!$D$49,tab!$D$52)</f>
        <v>0.5</v>
      </c>
      <c r="AG187" s="1255">
        <f t="shared" si="83"/>
        <v>0</v>
      </c>
      <c r="AH187" s="1251">
        <f t="shared" si="84"/>
        <v>0</v>
      </c>
      <c r="AK187" s="198"/>
    </row>
    <row r="188" spans="2:42" ht="12.75" customHeight="1" x14ac:dyDescent="0.2">
      <c r="C188" s="126"/>
      <c r="D188" s="396" t="str">
        <f>IF(obp!D146=0,"",obp!D146)</f>
        <v/>
      </c>
      <c r="E188" s="432" t="str">
        <f>IF(obp!E146=0,"-",obp!E146)</f>
        <v/>
      </c>
      <c r="F188" s="776" t="str">
        <f>IF(obp!F146="","",obp!F146+1)</f>
        <v/>
      </c>
      <c r="G188" s="802" t="str">
        <f>IF(obp!G146="","",obp!G146)</f>
        <v/>
      </c>
      <c r="H188" s="776" t="str">
        <f>IF(obp!H146=0,"",obp!H146)</f>
        <v/>
      </c>
      <c r="I188" s="433" t="str">
        <f>IF(J188="","",(IF(obp!I146+1&gt;LOOKUP(H188,schaal2013,regels2013),obp!I146,obp!I146+1)))</f>
        <v/>
      </c>
      <c r="J188" s="803" t="str">
        <f>IF(obp!J146="","",obp!J146)</f>
        <v/>
      </c>
      <c r="K188" s="413"/>
      <c r="L188" s="1207">
        <f>IF(obp!L146="","",obp!L146)</f>
        <v>0</v>
      </c>
      <c r="M188" s="1207">
        <f>IF(obp!M146="","",obp!M146)</f>
        <v>0</v>
      </c>
      <c r="N188" s="1209" t="str">
        <f t="shared" si="74"/>
        <v/>
      </c>
      <c r="O188" s="1209"/>
      <c r="P188" s="1283" t="str">
        <f t="shared" si="75"/>
        <v/>
      </c>
      <c r="Q188" s="518"/>
      <c r="R188" s="1076" t="str">
        <f t="shared" si="85"/>
        <v/>
      </c>
      <c r="S188" s="1076" t="str">
        <f t="shared" si="76"/>
        <v/>
      </c>
      <c r="T188" s="1078" t="str">
        <f t="shared" si="77"/>
        <v/>
      </c>
      <c r="U188" s="599"/>
      <c r="V188" s="1261"/>
      <c r="W188" s="1261"/>
      <c r="X188" s="1218"/>
      <c r="Y188" s="1253" t="e">
        <f>ROUND(VLOOKUP(H188,tab!$A$61:$V$103,I188+2,FALSE),0)</f>
        <v>#VALUE!</v>
      </c>
      <c r="Z188" s="1252">
        <f>tab!$E$48</f>
        <v>0.62</v>
      </c>
      <c r="AA188" s="1284" t="e">
        <f t="shared" si="78"/>
        <v>#VALUE!</v>
      </c>
      <c r="AB188" s="1284" t="e">
        <f t="shared" si="79"/>
        <v>#VALUE!</v>
      </c>
      <c r="AC188" s="1284" t="e">
        <f t="shared" si="80"/>
        <v>#VALUE!</v>
      </c>
      <c r="AD188" s="1286" t="e">
        <f t="shared" si="81"/>
        <v>#VALUE!</v>
      </c>
      <c r="AE188" s="1286">
        <f t="shared" si="82"/>
        <v>0</v>
      </c>
      <c r="AF188" s="1254">
        <f>IF(H188&gt;8,tab!$D$49,tab!$D$52)</f>
        <v>0.5</v>
      </c>
      <c r="AG188" s="1255">
        <f t="shared" si="83"/>
        <v>0</v>
      </c>
      <c r="AH188" s="1251">
        <f t="shared" si="84"/>
        <v>0</v>
      </c>
      <c r="AK188" s="198"/>
    </row>
    <row r="189" spans="2:42" ht="12.75" customHeight="1" x14ac:dyDescent="0.2">
      <c r="C189" s="126"/>
      <c r="D189" s="396" t="str">
        <f>IF(obp!D147=0,"",obp!D147)</f>
        <v/>
      </c>
      <c r="E189" s="432" t="str">
        <f>IF(obp!E147=0,"-",obp!E147)</f>
        <v/>
      </c>
      <c r="F189" s="776" t="str">
        <f>IF(obp!F147="","",obp!F147+1)</f>
        <v/>
      </c>
      <c r="G189" s="802" t="str">
        <f>IF(obp!G147="","",obp!G147)</f>
        <v/>
      </c>
      <c r="H189" s="776" t="str">
        <f>IF(obp!H147=0,"",obp!H147)</f>
        <v/>
      </c>
      <c r="I189" s="433" t="str">
        <f>IF(J189="","",(IF(obp!I147+1&gt;LOOKUP(H189,schaal2013,regels2013),obp!I147,obp!I147+1)))</f>
        <v/>
      </c>
      <c r="J189" s="803" t="str">
        <f>IF(obp!J147="","",obp!J147)</f>
        <v/>
      </c>
      <c r="K189" s="413"/>
      <c r="L189" s="1207">
        <f>IF(obp!L147="","",obp!L147)</f>
        <v>0</v>
      </c>
      <c r="M189" s="1207">
        <f>IF(obp!M147="","",obp!M147)</f>
        <v>0</v>
      </c>
      <c r="N189" s="1209" t="str">
        <f t="shared" si="74"/>
        <v/>
      </c>
      <c r="O189" s="1209"/>
      <c r="P189" s="1283" t="str">
        <f t="shared" si="75"/>
        <v/>
      </c>
      <c r="Q189" s="518"/>
      <c r="R189" s="1076" t="str">
        <f t="shared" si="85"/>
        <v/>
      </c>
      <c r="S189" s="1076" t="str">
        <f t="shared" si="76"/>
        <v/>
      </c>
      <c r="T189" s="1078" t="str">
        <f t="shared" si="77"/>
        <v/>
      </c>
      <c r="U189" s="599"/>
      <c r="V189" s="1261"/>
      <c r="W189" s="1261"/>
      <c r="X189" s="1218"/>
      <c r="Y189" s="1253" t="e">
        <f>ROUND(VLOOKUP(H189,tab!$A$61:$V$103,I189+2,FALSE),0)</f>
        <v>#VALUE!</v>
      </c>
      <c r="Z189" s="1252">
        <f>tab!$E$48</f>
        <v>0.62</v>
      </c>
      <c r="AA189" s="1284" t="e">
        <f t="shared" si="78"/>
        <v>#VALUE!</v>
      </c>
      <c r="AB189" s="1284" t="e">
        <f t="shared" si="79"/>
        <v>#VALUE!</v>
      </c>
      <c r="AC189" s="1284" t="e">
        <f t="shared" si="80"/>
        <v>#VALUE!</v>
      </c>
      <c r="AD189" s="1286" t="e">
        <f t="shared" si="81"/>
        <v>#VALUE!</v>
      </c>
      <c r="AE189" s="1286">
        <f t="shared" si="82"/>
        <v>0</v>
      </c>
      <c r="AF189" s="1254">
        <f>IF(H189&gt;8,tab!$D$49,tab!$D$52)</f>
        <v>0.5</v>
      </c>
      <c r="AG189" s="1255">
        <f t="shared" si="83"/>
        <v>0</v>
      </c>
      <c r="AH189" s="1251">
        <f t="shared" si="84"/>
        <v>0</v>
      </c>
      <c r="AK189" s="198"/>
    </row>
    <row r="190" spans="2:42" ht="12.75" customHeight="1" x14ac:dyDescent="0.2">
      <c r="C190" s="126"/>
      <c r="D190" s="396" t="str">
        <f>IF(obp!D148=0,"",obp!D148)</f>
        <v/>
      </c>
      <c r="E190" s="432" t="str">
        <f>IF(obp!E148=0,"-",obp!E148)</f>
        <v/>
      </c>
      <c r="F190" s="776" t="str">
        <f>IF(obp!F148="","",obp!F148+1)</f>
        <v/>
      </c>
      <c r="G190" s="802" t="str">
        <f>IF(obp!G148="","",obp!G148)</f>
        <v/>
      </c>
      <c r="H190" s="776" t="str">
        <f>IF(obp!H148=0,"",obp!H148)</f>
        <v/>
      </c>
      <c r="I190" s="433" t="str">
        <f>IF(J190="","",(IF(obp!I148+1&gt;LOOKUP(H190,schaal2013,regels2013),obp!I148,obp!I148+1)))</f>
        <v/>
      </c>
      <c r="J190" s="803" t="str">
        <f>IF(obp!J148="","",obp!J148)</f>
        <v/>
      </c>
      <c r="K190" s="413"/>
      <c r="L190" s="1207">
        <f>IF(obp!L148="","",obp!L148)</f>
        <v>0</v>
      </c>
      <c r="M190" s="1207">
        <f>IF(obp!M148="","",obp!M148)</f>
        <v>0</v>
      </c>
      <c r="N190" s="1209" t="str">
        <f t="shared" si="74"/>
        <v/>
      </c>
      <c r="O190" s="1209"/>
      <c r="P190" s="1283" t="str">
        <f t="shared" si="75"/>
        <v/>
      </c>
      <c r="Q190" s="518"/>
      <c r="R190" s="1076" t="str">
        <f t="shared" si="85"/>
        <v/>
      </c>
      <c r="S190" s="1076" t="str">
        <f t="shared" si="76"/>
        <v/>
      </c>
      <c r="T190" s="1078" t="str">
        <f t="shared" si="77"/>
        <v/>
      </c>
      <c r="U190" s="599"/>
      <c r="V190" s="1261"/>
      <c r="W190" s="1261"/>
      <c r="X190" s="1218"/>
      <c r="Y190" s="1253" t="e">
        <f>ROUND(VLOOKUP(H190,tab!$A$61:$V$103,I190+2,FALSE),0)</f>
        <v>#VALUE!</v>
      </c>
      <c r="Z190" s="1252">
        <f>tab!$E$48</f>
        <v>0.62</v>
      </c>
      <c r="AA190" s="1284" t="e">
        <f t="shared" si="78"/>
        <v>#VALUE!</v>
      </c>
      <c r="AB190" s="1284" t="e">
        <f t="shared" si="79"/>
        <v>#VALUE!</v>
      </c>
      <c r="AC190" s="1284" t="e">
        <f t="shared" si="80"/>
        <v>#VALUE!</v>
      </c>
      <c r="AD190" s="1286" t="e">
        <f t="shared" si="81"/>
        <v>#VALUE!</v>
      </c>
      <c r="AE190" s="1286">
        <f t="shared" si="82"/>
        <v>0</v>
      </c>
      <c r="AF190" s="1254">
        <f>IF(H190&gt;8,tab!$D$49,tab!$D$52)</f>
        <v>0.5</v>
      </c>
      <c r="AG190" s="1255">
        <f t="shared" si="83"/>
        <v>0</v>
      </c>
      <c r="AH190" s="1251">
        <f t="shared" si="84"/>
        <v>0</v>
      </c>
      <c r="AK190" s="198"/>
    </row>
    <row r="191" spans="2:42" ht="12.75" customHeight="1" x14ac:dyDescent="0.2">
      <c r="C191" s="126"/>
      <c r="D191" s="396" t="str">
        <f>IF(obp!D149=0,"",obp!D149)</f>
        <v/>
      </c>
      <c r="E191" s="432" t="str">
        <f>IF(obp!E149=0,"-",obp!E149)</f>
        <v/>
      </c>
      <c r="F191" s="776" t="str">
        <f>IF(obp!F149="","",obp!F149+1)</f>
        <v/>
      </c>
      <c r="G191" s="802" t="str">
        <f>IF(obp!G149="","",obp!G149)</f>
        <v/>
      </c>
      <c r="H191" s="776" t="str">
        <f>IF(obp!H149=0,"",obp!H149)</f>
        <v/>
      </c>
      <c r="I191" s="433" t="str">
        <f>IF(J191="","",(IF(obp!I149+1&gt;LOOKUP(H191,schaal2013,regels2013),obp!I149,obp!I149+1)))</f>
        <v/>
      </c>
      <c r="J191" s="803" t="str">
        <f>IF(obp!J149="","",obp!J149)</f>
        <v/>
      </c>
      <c r="K191" s="413"/>
      <c r="L191" s="1207">
        <f>IF(obp!L149="","",obp!L149)</f>
        <v>0</v>
      </c>
      <c r="M191" s="1207">
        <f>IF(obp!M149="","",obp!M149)</f>
        <v>0</v>
      </c>
      <c r="N191" s="1209" t="str">
        <f t="shared" si="74"/>
        <v/>
      </c>
      <c r="O191" s="1209"/>
      <c r="P191" s="1283" t="str">
        <f t="shared" si="75"/>
        <v/>
      </c>
      <c r="Q191" s="518"/>
      <c r="R191" s="1076" t="str">
        <f t="shared" si="85"/>
        <v/>
      </c>
      <c r="S191" s="1076" t="str">
        <f t="shared" si="76"/>
        <v/>
      </c>
      <c r="T191" s="1078" t="str">
        <f t="shared" si="77"/>
        <v/>
      </c>
      <c r="U191" s="599"/>
      <c r="V191" s="1261"/>
      <c r="W191" s="1261"/>
      <c r="X191" s="1218"/>
      <c r="Y191" s="1253" t="e">
        <f>ROUND(VLOOKUP(H191,tab!$A$61:$V$103,I191+2,FALSE),0)</f>
        <v>#VALUE!</v>
      </c>
      <c r="Z191" s="1252">
        <f>tab!$E$48</f>
        <v>0.62</v>
      </c>
      <c r="AA191" s="1284" t="e">
        <f t="shared" si="78"/>
        <v>#VALUE!</v>
      </c>
      <c r="AB191" s="1284" t="e">
        <f t="shared" si="79"/>
        <v>#VALUE!</v>
      </c>
      <c r="AC191" s="1284" t="e">
        <f t="shared" si="80"/>
        <v>#VALUE!</v>
      </c>
      <c r="AD191" s="1286" t="e">
        <f t="shared" si="81"/>
        <v>#VALUE!</v>
      </c>
      <c r="AE191" s="1286">
        <f t="shared" si="82"/>
        <v>0</v>
      </c>
      <c r="AF191" s="1254">
        <f>IF(H191&gt;8,tab!$D$49,tab!$D$52)</f>
        <v>0.5</v>
      </c>
      <c r="AG191" s="1255">
        <f t="shared" si="83"/>
        <v>0</v>
      </c>
      <c r="AH191" s="1251">
        <f t="shared" si="84"/>
        <v>0</v>
      </c>
      <c r="AK191" s="198"/>
    </row>
    <row r="192" spans="2:42" ht="12.75" customHeight="1" x14ac:dyDescent="0.2">
      <c r="C192" s="126"/>
      <c r="D192" s="396" t="str">
        <f>IF(obp!D150=0,"",obp!D150)</f>
        <v/>
      </c>
      <c r="E192" s="432" t="str">
        <f>IF(obp!E150=0,"-",obp!E150)</f>
        <v/>
      </c>
      <c r="F192" s="776" t="str">
        <f>IF(obp!F150="","",obp!F150+1)</f>
        <v/>
      </c>
      <c r="G192" s="802" t="str">
        <f>IF(obp!G150="","",obp!G150)</f>
        <v/>
      </c>
      <c r="H192" s="776" t="str">
        <f>IF(obp!H150=0,"",obp!H150)</f>
        <v/>
      </c>
      <c r="I192" s="433" t="str">
        <f>IF(J192="","",(IF(obp!I150+1&gt;LOOKUP(H192,schaal2013,regels2013),obp!I150,obp!I150+1)))</f>
        <v/>
      </c>
      <c r="J192" s="803" t="str">
        <f>IF(obp!J150="","",obp!J150)</f>
        <v/>
      </c>
      <c r="K192" s="413"/>
      <c r="L192" s="1207">
        <f>IF(obp!L150="","",obp!L150)</f>
        <v>0</v>
      </c>
      <c r="M192" s="1207">
        <f>IF(obp!M150="","",obp!M150)</f>
        <v>0</v>
      </c>
      <c r="N192" s="1209" t="str">
        <f t="shared" si="74"/>
        <v/>
      </c>
      <c r="O192" s="1209"/>
      <c r="P192" s="1283" t="str">
        <f t="shared" si="75"/>
        <v/>
      </c>
      <c r="Q192" s="518"/>
      <c r="R192" s="1076" t="str">
        <f t="shared" si="85"/>
        <v/>
      </c>
      <c r="S192" s="1076" t="str">
        <f t="shared" si="76"/>
        <v/>
      </c>
      <c r="T192" s="1078" t="str">
        <f t="shared" si="77"/>
        <v/>
      </c>
      <c r="U192" s="599"/>
      <c r="V192" s="1261"/>
      <c r="W192" s="1261"/>
      <c r="X192" s="1218"/>
      <c r="Y192" s="1253" t="e">
        <f>ROUND(VLOOKUP(H192,tab!$A$61:$V$103,I192+2,FALSE),0)</f>
        <v>#VALUE!</v>
      </c>
      <c r="Z192" s="1252">
        <f>tab!$E$48</f>
        <v>0.62</v>
      </c>
      <c r="AA192" s="1284" t="e">
        <f t="shared" si="78"/>
        <v>#VALUE!</v>
      </c>
      <c r="AB192" s="1284" t="e">
        <f t="shared" si="79"/>
        <v>#VALUE!</v>
      </c>
      <c r="AC192" s="1284" t="e">
        <f t="shared" si="80"/>
        <v>#VALUE!</v>
      </c>
      <c r="AD192" s="1286" t="e">
        <f t="shared" si="81"/>
        <v>#VALUE!</v>
      </c>
      <c r="AE192" s="1286">
        <f t="shared" si="82"/>
        <v>0</v>
      </c>
      <c r="AF192" s="1254">
        <f>IF(H192&gt;8,tab!$D$49,tab!$D$52)</f>
        <v>0.5</v>
      </c>
      <c r="AG192" s="1255">
        <f t="shared" si="83"/>
        <v>0</v>
      </c>
      <c r="AH192" s="1251">
        <f t="shared" si="84"/>
        <v>0</v>
      </c>
      <c r="AK192" s="198"/>
    </row>
    <row r="193" spans="3:37" ht="12.75" customHeight="1" x14ac:dyDescent="0.2">
      <c r="C193" s="126"/>
      <c r="D193" s="396" t="str">
        <f>IF(obp!D151=0,"",obp!D151)</f>
        <v/>
      </c>
      <c r="E193" s="432" t="str">
        <f>IF(obp!E151=0,"-",obp!E151)</f>
        <v/>
      </c>
      <c r="F193" s="776" t="str">
        <f>IF(obp!F151="","",obp!F151+1)</f>
        <v/>
      </c>
      <c r="G193" s="802" t="str">
        <f>IF(obp!G151="","",obp!G151)</f>
        <v/>
      </c>
      <c r="H193" s="776" t="str">
        <f>IF(obp!H151=0,"",obp!H151)</f>
        <v/>
      </c>
      <c r="I193" s="433" t="str">
        <f>IF(J193="","",(IF(obp!I151+1&gt;LOOKUP(H193,schaal2013,regels2013),obp!I151,obp!I151+1)))</f>
        <v/>
      </c>
      <c r="J193" s="803" t="str">
        <f>IF(obp!J151="","",obp!J151)</f>
        <v/>
      </c>
      <c r="K193" s="413"/>
      <c r="L193" s="1207">
        <f>IF(obp!L151="","",obp!L151)</f>
        <v>0</v>
      </c>
      <c r="M193" s="1207">
        <f>IF(obp!M151="","",obp!M151)</f>
        <v>0</v>
      </c>
      <c r="N193" s="1209" t="str">
        <f t="shared" si="74"/>
        <v/>
      </c>
      <c r="O193" s="1209"/>
      <c r="P193" s="1283" t="str">
        <f t="shared" si="75"/>
        <v/>
      </c>
      <c r="Q193" s="518"/>
      <c r="R193" s="1076" t="str">
        <f t="shared" si="85"/>
        <v/>
      </c>
      <c r="S193" s="1076" t="str">
        <f t="shared" si="76"/>
        <v/>
      </c>
      <c r="T193" s="1078" t="str">
        <f t="shared" si="77"/>
        <v/>
      </c>
      <c r="U193" s="599"/>
      <c r="V193" s="1261"/>
      <c r="W193" s="1261"/>
      <c r="X193" s="1218"/>
      <c r="Y193" s="1253" t="e">
        <f>ROUND(VLOOKUP(H193,tab!$A$61:$V$103,I193+2,FALSE),0)</f>
        <v>#VALUE!</v>
      </c>
      <c r="Z193" s="1252">
        <f>tab!$E$48</f>
        <v>0.62</v>
      </c>
      <c r="AA193" s="1284" t="e">
        <f t="shared" si="78"/>
        <v>#VALUE!</v>
      </c>
      <c r="AB193" s="1284" t="e">
        <f t="shared" si="79"/>
        <v>#VALUE!</v>
      </c>
      <c r="AC193" s="1284" t="e">
        <f t="shared" si="80"/>
        <v>#VALUE!</v>
      </c>
      <c r="AD193" s="1286" t="e">
        <f t="shared" si="81"/>
        <v>#VALUE!</v>
      </c>
      <c r="AE193" s="1286">
        <f t="shared" si="82"/>
        <v>0</v>
      </c>
      <c r="AF193" s="1254">
        <f>IF(H193&gt;8,tab!$D$49,tab!$D$52)</f>
        <v>0.5</v>
      </c>
      <c r="AG193" s="1255">
        <f t="shared" si="83"/>
        <v>0</v>
      </c>
      <c r="AH193" s="1251">
        <f t="shared" si="84"/>
        <v>0</v>
      </c>
      <c r="AK193" s="198"/>
    </row>
    <row r="194" spans="3:37" ht="12.75" customHeight="1" x14ac:dyDescent="0.2">
      <c r="C194" s="126"/>
      <c r="D194" s="396" t="str">
        <f>IF(obp!D152=0,"",obp!D152)</f>
        <v/>
      </c>
      <c r="E194" s="432" t="str">
        <f>IF(obp!E152=0,"-",obp!E152)</f>
        <v/>
      </c>
      <c r="F194" s="776" t="str">
        <f>IF(obp!F152="","",obp!F152+1)</f>
        <v/>
      </c>
      <c r="G194" s="802" t="str">
        <f>IF(obp!G152="","",obp!G152)</f>
        <v/>
      </c>
      <c r="H194" s="776" t="str">
        <f>IF(obp!H152=0,"",obp!H152)</f>
        <v/>
      </c>
      <c r="I194" s="433" t="str">
        <f>IF(J194="","",(IF(obp!I152+1&gt;LOOKUP(H194,schaal2013,regels2013),obp!I152,obp!I152+1)))</f>
        <v/>
      </c>
      <c r="J194" s="803" t="str">
        <f>IF(obp!J152="","",obp!J152)</f>
        <v/>
      </c>
      <c r="K194" s="413"/>
      <c r="L194" s="1207">
        <f>IF(obp!L152="","",obp!L152)</f>
        <v>0</v>
      </c>
      <c r="M194" s="1207">
        <f>IF(obp!M152="","",obp!M152)</f>
        <v>0</v>
      </c>
      <c r="N194" s="1209" t="str">
        <f t="shared" si="74"/>
        <v/>
      </c>
      <c r="O194" s="1209"/>
      <c r="P194" s="1283" t="str">
        <f t="shared" si="75"/>
        <v/>
      </c>
      <c r="Q194" s="518"/>
      <c r="R194" s="1076" t="str">
        <f t="shared" si="85"/>
        <v/>
      </c>
      <c r="S194" s="1076" t="str">
        <f t="shared" si="76"/>
        <v/>
      </c>
      <c r="T194" s="1078" t="str">
        <f t="shared" si="77"/>
        <v/>
      </c>
      <c r="U194" s="599"/>
      <c r="V194" s="1261"/>
      <c r="W194" s="1261"/>
      <c r="X194" s="1218"/>
      <c r="Y194" s="1253" t="e">
        <f>ROUND(VLOOKUP(H194,tab!$A$61:$V$103,I194+2,FALSE),0)</f>
        <v>#VALUE!</v>
      </c>
      <c r="Z194" s="1252">
        <f>tab!$E$48</f>
        <v>0.62</v>
      </c>
      <c r="AA194" s="1284" t="e">
        <f t="shared" si="78"/>
        <v>#VALUE!</v>
      </c>
      <c r="AB194" s="1284" t="e">
        <f t="shared" si="79"/>
        <v>#VALUE!</v>
      </c>
      <c r="AC194" s="1284" t="e">
        <f t="shared" si="80"/>
        <v>#VALUE!</v>
      </c>
      <c r="AD194" s="1286" t="e">
        <f t="shared" si="81"/>
        <v>#VALUE!</v>
      </c>
      <c r="AE194" s="1286">
        <f t="shared" si="82"/>
        <v>0</v>
      </c>
      <c r="AF194" s="1254">
        <f>IF(H194&gt;8,tab!$D$49,tab!$D$52)</f>
        <v>0.5</v>
      </c>
      <c r="AG194" s="1255">
        <f t="shared" si="83"/>
        <v>0</v>
      </c>
      <c r="AH194" s="1251">
        <f t="shared" si="84"/>
        <v>0</v>
      </c>
      <c r="AK194" s="198"/>
    </row>
    <row r="195" spans="3:37" ht="12.75" customHeight="1" x14ac:dyDescent="0.2">
      <c r="C195" s="126"/>
      <c r="D195" s="396" t="str">
        <f>IF(obp!D153=0,"",obp!D153)</f>
        <v/>
      </c>
      <c r="E195" s="432" t="str">
        <f>IF(obp!E153=0,"-",obp!E153)</f>
        <v/>
      </c>
      <c r="F195" s="776" t="str">
        <f>IF(obp!F153="","",obp!F153+1)</f>
        <v/>
      </c>
      <c r="G195" s="802" t="str">
        <f>IF(obp!G153="","",obp!G153)</f>
        <v/>
      </c>
      <c r="H195" s="776" t="str">
        <f>IF(obp!H153=0,"",obp!H153)</f>
        <v/>
      </c>
      <c r="I195" s="433" t="str">
        <f>IF(J195="","",(IF(obp!I153+1&gt;LOOKUP(H195,schaal2013,regels2013),obp!I153,obp!I153+1)))</f>
        <v/>
      </c>
      <c r="J195" s="803" t="str">
        <f>IF(obp!J153="","",obp!J153)</f>
        <v/>
      </c>
      <c r="K195" s="413"/>
      <c r="L195" s="1207">
        <f>IF(obp!L153="","",obp!L153)</f>
        <v>0</v>
      </c>
      <c r="M195" s="1207">
        <f>IF(obp!M153="","",obp!M153)</f>
        <v>0</v>
      </c>
      <c r="N195" s="1209" t="str">
        <f t="shared" si="74"/>
        <v/>
      </c>
      <c r="O195" s="1209"/>
      <c r="P195" s="1283" t="str">
        <f t="shared" si="75"/>
        <v/>
      </c>
      <c r="Q195" s="518"/>
      <c r="R195" s="1076" t="str">
        <f t="shared" si="85"/>
        <v/>
      </c>
      <c r="S195" s="1076" t="str">
        <f t="shared" si="76"/>
        <v/>
      </c>
      <c r="T195" s="1078" t="str">
        <f t="shared" si="77"/>
        <v/>
      </c>
      <c r="U195" s="599"/>
      <c r="V195" s="1261"/>
      <c r="W195" s="1261"/>
      <c r="X195" s="1218"/>
      <c r="Y195" s="1253" t="e">
        <f>ROUND(VLOOKUP(H195,tab!$A$61:$V$103,I195+2,FALSE),0)</f>
        <v>#VALUE!</v>
      </c>
      <c r="Z195" s="1252">
        <f>tab!$E$48</f>
        <v>0.62</v>
      </c>
      <c r="AA195" s="1284" t="e">
        <f t="shared" si="78"/>
        <v>#VALUE!</v>
      </c>
      <c r="AB195" s="1284" t="e">
        <f t="shared" si="79"/>
        <v>#VALUE!</v>
      </c>
      <c r="AC195" s="1284" t="e">
        <f t="shared" si="80"/>
        <v>#VALUE!</v>
      </c>
      <c r="AD195" s="1286" t="e">
        <f t="shared" si="81"/>
        <v>#VALUE!</v>
      </c>
      <c r="AE195" s="1286">
        <f t="shared" si="82"/>
        <v>0</v>
      </c>
      <c r="AF195" s="1254">
        <f>IF(H195&gt;8,tab!$D$49,tab!$D$52)</f>
        <v>0.5</v>
      </c>
      <c r="AG195" s="1255">
        <f t="shared" si="83"/>
        <v>0</v>
      </c>
      <c r="AH195" s="1251">
        <f t="shared" si="84"/>
        <v>0</v>
      </c>
      <c r="AK195" s="198"/>
    </row>
    <row r="196" spans="3:37" ht="12.75" customHeight="1" x14ac:dyDescent="0.2">
      <c r="C196" s="126"/>
      <c r="D196" s="396" t="str">
        <f>IF(obp!D154=0,"",obp!D154)</f>
        <v/>
      </c>
      <c r="E196" s="432" t="str">
        <f>IF(obp!E154=0,"-",obp!E154)</f>
        <v/>
      </c>
      <c r="F196" s="776" t="str">
        <f>IF(obp!F154="","",obp!F154+1)</f>
        <v/>
      </c>
      <c r="G196" s="802" t="str">
        <f>IF(obp!G154="","",obp!G154)</f>
        <v/>
      </c>
      <c r="H196" s="776" t="str">
        <f>IF(obp!H154=0,"",obp!H154)</f>
        <v/>
      </c>
      <c r="I196" s="433" t="str">
        <f>IF(J196="","",(IF(obp!I154+1&gt;LOOKUP(H196,schaal2013,regels2013),obp!I154,obp!I154+1)))</f>
        <v/>
      </c>
      <c r="J196" s="803" t="str">
        <f>IF(obp!J154="","",obp!J154)</f>
        <v/>
      </c>
      <c r="K196" s="413"/>
      <c r="L196" s="1207">
        <f>IF(obp!L154="","",obp!L154)</f>
        <v>0</v>
      </c>
      <c r="M196" s="1207">
        <f>IF(obp!M154="","",obp!M154)</f>
        <v>0</v>
      </c>
      <c r="N196" s="1209" t="str">
        <f t="shared" si="74"/>
        <v/>
      </c>
      <c r="O196" s="1209"/>
      <c r="P196" s="1283" t="str">
        <f t="shared" si="75"/>
        <v/>
      </c>
      <c r="Q196" s="518"/>
      <c r="R196" s="1076" t="str">
        <f t="shared" si="85"/>
        <v/>
      </c>
      <c r="S196" s="1076" t="str">
        <f t="shared" si="76"/>
        <v/>
      </c>
      <c r="T196" s="1078" t="str">
        <f t="shared" si="77"/>
        <v/>
      </c>
      <c r="U196" s="599"/>
      <c r="V196" s="1261"/>
      <c r="W196" s="1261"/>
      <c r="X196" s="1218"/>
      <c r="Y196" s="1253" t="e">
        <f>ROUND(VLOOKUP(H196,tab!$A$61:$V$103,I196+2,FALSE),0)</f>
        <v>#VALUE!</v>
      </c>
      <c r="Z196" s="1252">
        <f>tab!$E$48</f>
        <v>0.62</v>
      </c>
      <c r="AA196" s="1284" t="e">
        <f t="shared" si="78"/>
        <v>#VALUE!</v>
      </c>
      <c r="AB196" s="1284" t="e">
        <f t="shared" si="79"/>
        <v>#VALUE!</v>
      </c>
      <c r="AC196" s="1284" t="e">
        <f t="shared" si="80"/>
        <v>#VALUE!</v>
      </c>
      <c r="AD196" s="1286" t="e">
        <f t="shared" si="81"/>
        <v>#VALUE!</v>
      </c>
      <c r="AE196" s="1286">
        <f t="shared" si="82"/>
        <v>0</v>
      </c>
      <c r="AF196" s="1254">
        <f>IF(H196&gt;8,tab!$D$49,tab!$D$52)</f>
        <v>0.5</v>
      </c>
      <c r="AG196" s="1255">
        <f t="shared" si="83"/>
        <v>0</v>
      </c>
      <c r="AH196" s="1251">
        <f t="shared" si="84"/>
        <v>0</v>
      </c>
      <c r="AK196" s="198"/>
    </row>
    <row r="197" spans="3:37" ht="12.75" customHeight="1" x14ac:dyDescent="0.2">
      <c r="C197" s="126"/>
      <c r="D197" s="396" t="str">
        <f>IF(obp!D155=0,"",obp!D155)</f>
        <v/>
      </c>
      <c r="E197" s="432" t="str">
        <f>IF(obp!E155=0,"-",obp!E155)</f>
        <v/>
      </c>
      <c r="F197" s="776" t="str">
        <f>IF(obp!F155="","",obp!F155+1)</f>
        <v/>
      </c>
      <c r="G197" s="802" t="str">
        <f>IF(obp!G155="","",obp!G155)</f>
        <v/>
      </c>
      <c r="H197" s="776" t="str">
        <f>IF(obp!H155=0,"",obp!H155)</f>
        <v/>
      </c>
      <c r="I197" s="433" t="str">
        <f>IF(J197="","",(IF(obp!I155+1&gt;LOOKUP(H197,schaal2013,regels2013),obp!I155,obp!I155+1)))</f>
        <v/>
      </c>
      <c r="J197" s="803" t="str">
        <f>IF(obp!J155="","",obp!J155)</f>
        <v/>
      </c>
      <c r="K197" s="413"/>
      <c r="L197" s="1207">
        <f>IF(obp!L155="","",obp!L155)</f>
        <v>0</v>
      </c>
      <c r="M197" s="1207">
        <f>IF(obp!M155="","",obp!M155)</f>
        <v>0</v>
      </c>
      <c r="N197" s="1209" t="str">
        <f t="shared" si="74"/>
        <v/>
      </c>
      <c r="O197" s="1209"/>
      <c r="P197" s="1283" t="str">
        <f t="shared" si="75"/>
        <v/>
      </c>
      <c r="Q197" s="518"/>
      <c r="R197" s="1076" t="str">
        <f t="shared" si="85"/>
        <v/>
      </c>
      <c r="S197" s="1076" t="str">
        <f t="shared" si="76"/>
        <v/>
      </c>
      <c r="T197" s="1078" t="str">
        <f t="shared" si="77"/>
        <v/>
      </c>
      <c r="U197" s="599"/>
      <c r="V197" s="1261"/>
      <c r="W197" s="1261"/>
      <c r="X197" s="1218"/>
      <c r="Y197" s="1253" t="e">
        <f>ROUND(VLOOKUP(H197,tab!$A$61:$V$103,I197+2,FALSE),0)</f>
        <v>#VALUE!</v>
      </c>
      <c r="Z197" s="1252">
        <f>tab!$E$48</f>
        <v>0.62</v>
      </c>
      <c r="AA197" s="1284" t="e">
        <f t="shared" si="78"/>
        <v>#VALUE!</v>
      </c>
      <c r="AB197" s="1284" t="e">
        <f t="shared" si="79"/>
        <v>#VALUE!</v>
      </c>
      <c r="AC197" s="1284" t="e">
        <f t="shared" si="80"/>
        <v>#VALUE!</v>
      </c>
      <c r="AD197" s="1286" t="e">
        <f t="shared" si="81"/>
        <v>#VALUE!</v>
      </c>
      <c r="AE197" s="1286">
        <f t="shared" si="82"/>
        <v>0</v>
      </c>
      <c r="AF197" s="1254">
        <f>IF(H197&gt;8,tab!$D$49,tab!$D$52)</f>
        <v>0.5</v>
      </c>
      <c r="AG197" s="1255">
        <f t="shared" si="83"/>
        <v>0</v>
      </c>
      <c r="AH197" s="1251">
        <f t="shared" si="84"/>
        <v>0</v>
      </c>
      <c r="AK197" s="198"/>
    </row>
    <row r="198" spans="3:37" ht="12.75" customHeight="1" x14ac:dyDescent="0.2">
      <c r="C198" s="126"/>
      <c r="D198" s="396" t="str">
        <f>IF(obp!D156=0,"",obp!D156)</f>
        <v/>
      </c>
      <c r="E198" s="432" t="str">
        <f>IF(obp!E156=0,"-",obp!E156)</f>
        <v/>
      </c>
      <c r="F198" s="776" t="str">
        <f>IF(obp!F156="","",obp!F156+1)</f>
        <v/>
      </c>
      <c r="G198" s="802" t="str">
        <f>IF(obp!G156="","",obp!G156)</f>
        <v/>
      </c>
      <c r="H198" s="776" t="str">
        <f>IF(obp!H156=0,"",obp!H156)</f>
        <v/>
      </c>
      <c r="I198" s="433" t="str">
        <f>IF(J198="","",(IF(obp!I156+1&gt;LOOKUP(H198,schaal2013,regels2013),obp!I156,obp!I156+1)))</f>
        <v/>
      </c>
      <c r="J198" s="803" t="str">
        <f>IF(obp!J156="","",obp!J156)</f>
        <v/>
      </c>
      <c r="K198" s="413"/>
      <c r="L198" s="1207">
        <f>IF(obp!L156="","",obp!L156)</f>
        <v>0</v>
      </c>
      <c r="M198" s="1207">
        <f>IF(obp!M156="","",obp!M156)</f>
        <v>0</v>
      </c>
      <c r="N198" s="1209" t="str">
        <f t="shared" si="74"/>
        <v/>
      </c>
      <c r="O198" s="1209"/>
      <c r="P198" s="1283" t="str">
        <f t="shared" si="75"/>
        <v/>
      </c>
      <c r="Q198" s="518"/>
      <c r="R198" s="1076" t="str">
        <f t="shared" si="85"/>
        <v/>
      </c>
      <c r="S198" s="1076" t="str">
        <f t="shared" si="76"/>
        <v/>
      </c>
      <c r="T198" s="1078" t="str">
        <f t="shared" si="77"/>
        <v/>
      </c>
      <c r="U198" s="599"/>
      <c r="V198" s="1261"/>
      <c r="W198" s="1261"/>
      <c r="X198" s="1218"/>
      <c r="Y198" s="1253" t="e">
        <f>ROUND(VLOOKUP(H198,tab!$A$61:$V$103,I198+2,FALSE),0)</f>
        <v>#VALUE!</v>
      </c>
      <c r="Z198" s="1252">
        <f>tab!$E$48</f>
        <v>0.62</v>
      </c>
      <c r="AA198" s="1284" t="e">
        <f t="shared" si="78"/>
        <v>#VALUE!</v>
      </c>
      <c r="AB198" s="1284" t="e">
        <f t="shared" si="79"/>
        <v>#VALUE!</v>
      </c>
      <c r="AC198" s="1284" t="e">
        <f t="shared" si="80"/>
        <v>#VALUE!</v>
      </c>
      <c r="AD198" s="1286" t="e">
        <f t="shared" si="81"/>
        <v>#VALUE!</v>
      </c>
      <c r="AE198" s="1286">
        <f t="shared" si="82"/>
        <v>0</v>
      </c>
      <c r="AF198" s="1254">
        <f>IF(H198&gt;8,tab!$D$49,tab!$D$52)</f>
        <v>0.5</v>
      </c>
      <c r="AG198" s="1255">
        <f t="shared" si="83"/>
        <v>0</v>
      </c>
      <c r="AH198" s="1251">
        <f t="shared" si="84"/>
        <v>0</v>
      </c>
      <c r="AK198" s="198"/>
    </row>
    <row r="199" spans="3:37" ht="12.75" customHeight="1" x14ac:dyDescent="0.2">
      <c r="C199" s="126"/>
      <c r="D199" s="396" t="str">
        <f>IF(obp!D157=0,"",obp!D157)</f>
        <v/>
      </c>
      <c r="E199" s="432" t="str">
        <f>IF(obp!E157=0,"-",obp!E157)</f>
        <v/>
      </c>
      <c r="F199" s="776" t="str">
        <f>IF(obp!F157="","",obp!F157+1)</f>
        <v/>
      </c>
      <c r="G199" s="802" t="str">
        <f>IF(obp!G157="","",obp!G157)</f>
        <v/>
      </c>
      <c r="H199" s="776" t="str">
        <f>IF(obp!H157=0,"",obp!H157)</f>
        <v/>
      </c>
      <c r="I199" s="433" t="str">
        <f>IF(J199="","",(IF(obp!I157+1&gt;LOOKUP(H199,schaal2013,regels2013),obp!I157,obp!I157+1)))</f>
        <v/>
      </c>
      <c r="J199" s="803" t="str">
        <f>IF(obp!J157="","",obp!J157)</f>
        <v/>
      </c>
      <c r="K199" s="413"/>
      <c r="L199" s="1207">
        <f>IF(obp!L157="","",obp!L157)</f>
        <v>0</v>
      </c>
      <c r="M199" s="1207">
        <f>IF(obp!M157="","",obp!M157)</f>
        <v>0</v>
      </c>
      <c r="N199" s="1209" t="str">
        <f t="shared" si="74"/>
        <v/>
      </c>
      <c r="O199" s="1209"/>
      <c r="P199" s="1283" t="str">
        <f t="shared" si="75"/>
        <v/>
      </c>
      <c r="Q199" s="518"/>
      <c r="R199" s="1076" t="str">
        <f t="shared" si="85"/>
        <v/>
      </c>
      <c r="S199" s="1076" t="str">
        <f t="shared" si="76"/>
        <v/>
      </c>
      <c r="T199" s="1078" t="str">
        <f t="shared" si="77"/>
        <v/>
      </c>
      <c r="U199" s="599"/>
      <c r="V199" s="1261"/>
      <c r="W199" s="1261"/>
      <c r="X199" s="1218"/>
      <c r="Y199" s="1253" t="e">
        <f>ROUND(VLOOKUP(H199,tab!$A$61:$V$103,I199+2,FALSE),0)</f>
        <v>#VALUE!</v>
      </c>
      <c r="Z199" s="1252">
        <f>tab!$E$48</f>
        <v>0.62</v>
      </c>
      <c r="AA199" s="1284" t="e">
        <f t="shared" si="78"/>
        <v>#VALUE!</v>
      </c>
      <c r="AB199" s="1284" t="e">
        <f t="shared" si="79"/>
        <v>#VALUE!</v>
      </c>
      <c r="AC199" s="1284" t="e">
        <f t="shared" si="80"/>
        <v>#VALUE!</v>
      </c>
      <c r="AD199" s="1286" t="e">
        <f t="shared" si="81"/>
        <v>#VALUE!</v>
      </c>
      <c r="AE199" s="1286">
        <f t="shared" si="82"/>
        <v>0</v>
      </c>
      <c r="AF199" s="1254">
        <f>IF(H199&gt;8,tab!$D$49,tab!$D$52)</f>
        <v>0.5</v>
      </c>
      <c r="AG199" s="1255">
        <f t="shared" si="83"/>
        <v>0</v>
      </c>
      <c r="AH199" s="1251">
        <f t="shared" si="84"/>
        <v>0</v>
      </c>
      <c r="AK199" s="198"/>
    </row>
    <row r="200" spans="3:37" ht="12.75" customHeight="1" x14ac:dyDescent="0.2">
      <c r="C200" s="126"/>
      <c r="D200" s="396" t="str">
        <f>IF(obp!D158=0,"",obp!D158)</f>
        <v/>
      </c>
      <c r="E200" s="432" t="str">
        <f>IF(obp!E158=0,"-",obp!E158)</f>
        <v/>
      </c>
      <c r="F200" s="776" t="str">
        <f>IF(obp!F158="","",obp!F158+1)</f>
        <v/>
      </c>
      <c r="G200" s="802" t="str">
        <f>IF(obp!G158="","",obp!G158)</f>
        <v/>
      </c>
      <c r="H200" s="776" t="str">
        <f>IF(obp!H158=0,"",obp!H158)</f>
        <v/>
      </c>
      <c r="I200" s="433" t="str">
        <f>IF(J200="","",(IF(obp!I158+1&gt;LOOKUP(H200,schaal2013,regels2013),obp!I158,obp!I158+1)))</f>
        <v/>
      </c>
      <c r="J200" s="803" t="str">
        <f>IF(obp!J158="","",obp!J158)</f>
        <v/>
      </c>
      <c r="K200" s="413"/>
      <c r="L200" s="1207">
        <f>IF(obp!L158="","",obp!L158)</f>
        <v>0</v>
      </c>
      <c r="M200" s="1207">
        <f>IF(obp!M158="","",obp!M158)</f>
        <v>0</v>
      </c>
      <c r="N200" s="1209" t="str">
        <f t="shared" si="74"/>
        <v/>
      </c>
      <c r="O200" s="1209"/>
      <c r="P200" s="1283" t="str">
        <f t="shared" si="75"/>
        <v/>
      </c>
      <c r="Q200" s="518"/>
      <c r="R200" s="1076" t="str">
        <f t="shared" si="85"/>
        <v/>
      </c>
      <c r="S200" s="1076" t="str">
        <f t="shared" si="76"/>
        <v/>
      </c>
      <c r="T200" s="1078" t="str">
        <f t="shared" si="77"/>
        <v/>
      </c>
      <c r="U200" s="599"/>
      <c r="V200" s="1261"/>
      <c r="W200" s="1261"/>
      <c r="X200" s="1218"/>
      <c r="Y200" s="1253" t="e">
        <f>ROUND(VLOOKUP(H200,tab!$A$61:$V$103,I200+2,FALSE),0)</f>
        <v>#VALUE!</v>
      </c>
      <c r="Z200" s="1252">
        <f>tab!$E$48</f>
        <v>0.62</v>
      </c>
      <c r="AA200" s="1284" t="e">
        <f t="shared" si="78"/>
        <v>#VALUE!</v>
      </c>
      <c r="AB200" s="1284" t="e">
        <f t="shared" si="79"/>
        <v>#VALUE!</v>
      </c>
      <c r="AC200" s="1284" t="e">
        <f t="shared" si="80"/>
        <v>#VALUE!</v>
      </c>
      <c r="AD200" s="1286" t="e">
        <f t="shared" si="81"/>
        <v>#VALUE!</v>
      </c>
      <c r="AE200" s="1286">
        <f t="shared" si="82"/>
        <v>0</v>
      </c>
      <c r="AF200" s="1254">
        <f>IF(H200&gt;8,tab!$D$49,tab!$D$52)</f>
        <v>0.5</v>
      </c>
      <c r="AG200" s="1255">
        <f t="shared" si="83"/>
        <v>0</v>
      </c>
      <c r="AH200" s="1251">
        <f t="shared" si="84"/>
        <v>0</v>
      </c>
      <c r="AK200" s="198"/>
    </row>
    <row r="201" spans="3:37" ht="12.75" customHeight="1" x14ac:dyDescent="0.2">
      <c r="C201" s="126"/>
      <c r="D201" s="396" t="str">
        <f>IF(obp!D159=0,"",obp!D159)</f>
        <v/>
      </c>
      <c r="E201" s="432" t="str">
        <f>IF(obp!E159=0,"-",obp!E159)</f>
        <v/>
      </c>
      <c r="F201" s="776" t="str">
        <f>IF(obp!F159="","",obp!F159+1)</f>
        <v/>
      </c>
      <c r="G201" s="802" t="str">
        <f>IF(obp!G159="","",obp!G159)</f>
        <v/>
      </c>
      <c r="H201" s="776" t="str">
        <f>IF(obp!H159=0,"",obp!H159)</f>
        <v/>
      </c>
      <c r="I201" s="433" t="str">
        <f>IF(J201="","",(IF(obp!I159+1&gt;LOOKUP(H201,schaal2013,regels2013),obp!I159,obp!I159+1)))</f>
        <v/>
      </c>
      <c r="J201" s="803" t="str">
        <f>IF(obp!J159="","",obp!J159)</f>
        <v/>
      </c>
      <c r="K201" s="413"/>
      <c r="L201" s="1207">
        <f>IF(obp!L159="","",obp!L159)</f>
        <v>0</v>
      </c>
      <c r="M201" s="1207">
        <f>IF(obp!M159="","",obp!M159)</f>
        <v>0</v>
      </c>
      <c r="N201" s="1209" t="str">
        <f t="shared" si="74"/>
        <v/>
      </c>
      <c r="O201" s="1209"/>
      <c r="P201" s="1283" t="str">
        <f t="shared" si="75"/>
        <v/>
      </c>
      <c r="Q201" s="518"/>
      <c r="R201" s="1076" t="str">
        <f t="shared" si="85"/>
        <v/>
      </c>
      <c r="S201" s="1076" t="str">
        <f t="shared" si="76"/>
        <v/>
      </c>
      <c r="T201" s="1078" t="str">
        <f t="shared" si="77"/>
        <v/>
      </c>
      <c r="U201" s="599"/>
      <c r="V201" s="1261"/>
      <c r="W201" s="1261"/>
      <c r="X201" s="1218"/>
      <c r="Y201" s="1253" t="e">
        <f>ROUND(VLOOKUP(H201,tab!$A$61:$V$103,I201+2,FALSE),0)</f>
        <v>#VALUE!</v>
      </c>
      <c r="Z201" s="1252">
        <f>tab!$E$48</f>
        <v>0.62</v>
      </c>
      <c r="AA201" s="1284" t="e">
        <f t="shared" si="78"/>
        <v>#VALUE!</v>
      </c>
      <c r="AB201" s="1284" t="e">
        <f t="shared" si="79"/>
        <v>#VALUE!</v>
      </c>
      <c r="AC201" s="1284" t="e">
        <f t="shared" si="80"/>
        <v>#VALUE!</v>
      </c>
      <c r="AD201" s="1286" t="e">
        <f t="shared" si="81"/>
        <v>#VALUE!</v>
      </c>
      <c r="AE201" s="1286">
        <f t="shared" si="82"/>
        <v>0</v>
      </c>
      <c r="AF201" s="1254">
        <f>IF(H201&gt;8,tab!$D$49,tab!$D$52)</f>
        <v>0.5</v>
      </c>
      <c r="AG201" s="1255">
        <f t="shared" si="83"/>
        <v>0</v>
      </c>
      <c r="AH201" s="1251">
        <f t="shared" si="84"/>
        <v>0</v>
      </c>
      <c r="AK201" s="198"/>
    </row>
    <row r="202" spans="3:37" ht="12.75" customHeight="1" x14ac:dyDescent="0.2">
      <c r="C202" s="126"/>
      <c r="D202" s="396" t="str">
        <f>IF(obp!D160=0,"",obp!D160)</f>
        <v/>
      </c>
      <c r="E202" s="432" t="str">
        <f>IF(obp!E160=0,"-",obp!E160)</f>
        <v/>
      </c>
      <c r="F202" s="776" t="str">
        <f>IF(obp!F160="","",obp!F160+1)</f>
        <v/>
      </c>
      <c r="G202" s="802" t="str">
        <f>IF(obp!G160="","",obp!G160)</f>
        <v/>
      </c>
      <c r="H202" s="776" t="str">
        <f>IF(obp!H160=0,"",obp!H160)</f>
        <v/>
      </c>
      <c r="I202" s="433" t="str">
        <f>IF(J202="","",(IF(obp!I160+1&gt;LOOKUP(H202,schaal2013,regels2013),obp!I160,obp!I160+1)))</f>
        <v/>
      </c>
      <c r="J202" s="803" t="str">
        <f>IF(obp!J160="","",obp!J160)</f>
        <v/>
      </c>
      <c r="K202" s="413"/>
      <c r="L202" s="1207">
        <f>IF(obp!L160="","",obp!L160)</f>
        <v>0</v>
      </c>
      <c r="M202" s="1207">
        <f>IF(obp!M160="","",obp!M160)</f>
        <v>0</v>
      </c>
      <c r="N202" s="1209" t="str">
        <f t="shared" si="74"/>
        <v/>
      </c>
      <c r="O202" s="1209"/>
      <c r="P202" s="1283" t="str">
        <f t="shared" si="75"/>
        <v/>
      </c>
      <c r="Q202" s="518"/>
      <c r="R202" s="1076" t="str">
        <f t="shared" si="85"/>
        <v/>
      </c>
      <c r="S202" s="1076" t="str">
        <f t="shared" si="76"/>
        <v/>
      </c>
      <c r="T202" s="1078" t="str">
        <f t="shared" si="77"/>
        <v/>
      </c>
      <c r="U202" s="599"/>
      <c r="V202" s="1261"/>
      <c r="W202" s="1261"/>
      <c r="X202" s="1218"/>
      <c r="Y202" s="1253" t="e">
        <f>ROUND(VLOOKUP(H202,tab!$A$61:$V$103,I202+2,FALSE),0)</f>
        <v>#VALUE!</v>
      </c>
      <c r="Z202" s="1252">
        <f>tab!$E$48</f>
        <v>0.62</v>
      </c>
      <c r="AA202" s="1284" t="e">
        <f t="shared" si="78"/>
        <v>#VALUE!</v>
      </c>
      <c r="AB202" s="1284" t="e">
        <f t="shared" si="79"/>
        <v>#VALUE!</v>
      </c>
      <c r="AC202" s="1284" t="e">
        <f t="shared" si="80"/>
        <v>#VALUE!</v>
      </c>
      <c r="AD202" s="1286" t="e">
        <f t="shared" si="81"/>
        <v>#VALUE!</v>
      </c>
      <c r="AE202" s="1286">
        <f t="shared" si="82"/>
        <v>0</v>
      </c>
      <c r="AF202" s="1254">
        <f>IF(H202&gt;8,tab!$D$49,tab!$D$52)</f>
        <v>0.5</v>
      </c>
      <c r="AG202" s="1255">
        <f t="shared" si="83"/>
        <v>0</v>
      </c>
      <c r="AH202" s="1251">
        <f t="shared" si="84"/>
        <v>0</v>
      </c>
      <c r="AK202" s="198"/>
    </row>
    <row r="203" spans="3:37" ht="12.75" customHeight="1" x14ac:dyDescent="0.2">
      <c r="C203" s="126"/>
      <c r="D203" s="396" t="str">
        <f>IF(obp!D161=0,"",obp!D161)</f>
        <v/>
      </c>
      <c r="E203" s="432" t="str">
        <f>IF(obp!E161=0,"-",obp!E161)</f>
        <v/>
      </c>
      <c r="F203" s="776" t="str">
        <f>IF(obp!F161="","",obp!F161+1)</f>
        <v/>
      </c>
      <c r="G203" s="802" t="str">
        <f>IF(obp!G161="","",obp!G161)</f>
        <v/>
      </c>
      <c r="H203" s="776" t="str">
        <f>IF(obp!H161=0,"",obp!H161)</f>
        <v/>
      </c>
      <c r="I203" s="433" t="str">
        <f>IF(J203="","",(IF(obp!I161+1&gt;LOOKUP(H203,schaal2013,regels2013),obp!I161,obp!I161+1)))</f>
        <v/>
      </c>
      <c r="J203" s="803" t="str">
        <f>IF(obp!J161="","",obp!J161)</f>
        <v/>
      </c>
      <c r="K203" s="413"/>
      <c r="L203" s="1207">
        <f>IF(obp!L161="","",obp!L161)</f>
        <v>0</v>
      </c>
      <c r="M203" s="1207">
        <f>IF(obp!M161="","",obp!M161)</f>
        <v>0</v>
      </c>
      <c r="N203" s="1209" t="str">
        <f t="shared" si="74"/>
        <v/>
      </c>
      <c r="O203" s="1209"/>
      <c r="P203" s="1283" t="str">
        <f t="shared" si="75"/>
        <v/>
      </c>
      <c r="Q203" s="518"/>
      <c r="R203" s="1076" t="str">
        <f t="shared" si="85"/>
        <v/>
      </c>
      <c r="S203" s="1076" t="str">
        <f t="shared" si="76"/>
        <v/>
      </c>
      <c r="T203" s="1078" t="str">
        <f t="shared" si="77"/>
        <v/>
      </c>
      <c r="U203" s="599"/>
      <c r="V203" s="1261"/>
      <c r="W203" s="1261"/>
      <c r="X203" s="1218"/>
      <c r="Y203" s="1253" t="e">
        <f>ROUND(VLOOKUP(H203,tab!$A$61:$V$103,I203+2,FALSE),0)</f>
        <v>#VALUE!</v>
      </c>
      <c r="Z203" s="1252">
        <f>tab!$E$48</f>
        <v>0.62</v>
      </c>
      <c r="AA203" s="1284" t="e">
        <f t="shared" si="78"/>
        <v>#VALUE!</v>
      </c>
      <c r="AB203" s="1284" t="e">
        <f t="shared" si="79"/>
        <v>#VALUE!</v>
      </c>
      <c r="AC203" s="1284" t="e">
        <f t="shared" si="80"/>
        <v>#VALUE!</v>
      </c>
      <c r="AD203" s="1286" t="e">
        <f t="shared" si="81"/>
        <v>#VALUE!</v>
      </c>
      <c r="AE203" s="1286">
        <f t="shared" si="82"/>
        <v>0</v>
      </c>
      <c r="AF203" s="1254">
        <f>IF(H203&gt;8,tab!$D$49,tab!$D$52)</f>
        <v>0.5</v>
      </c>
      <c r="AG203" s="1255">
        <f t="shared" si="83"/>
        <v>0</v>
      </c>
      <c r="AH203" s="1251">
        <f t="shared" si="84"/>
        <v>0</v>
      </c>
      <c r="AK203" s="198"/>
    </row>
    <row r="204" spans="3:37" ht="12.75" customHeight="1" x14ac:dyDescent="0.2">
      <c r="C204" s="126"/>
      <c r="D204" s="396" t="str">
        <f>IF(obp!D162=0,"",obp!D162)</f>
        <v/>
      </c>
      <c r="E204" s="432" t="str">
        <f>IF(obp!E162=0,"-",obp!E162)</f>
        <v/>
      </c>
      <c r="F204" s="117" t="str">
        <f>IF(obp!F162="","",obp!F162+1)</f>
        <v/>
      </c>
      <c r="G204" s="397" t="str">
        <f>IF(obp!G162="","",obp!G162)</f>
        <v/>
      </c>
      <c r="H204" s="776" t="str">
        <f>IF(obp!H162=0,"",obp!H162)</f>
        <v/>
      </c>
      <c r="I204" s="433" t="str">
        <f>IF(J204="","",(IF(obp!I162+1&gt;LOOKUP(H204,schaal2013,regels2013),obp!I162,obp!I162+1)))</f>
        <v/>
      </c>
      <c r="J204" s="399" t="str">
        <f>IF(obp!J162="","",obp!J162)</f>
        <v/>
      </c>
      <c r="K204" s="413"/>
      <c r="L204" s="1207">
        <f>IF(obp!L162="","",obp!L162)</f>
        <v>0</v>
      </c>
      <c r="M204" s="1207">
        <f>IF(obp!M162="","",obp!M162)</f>
        <v>0</v>
      </c>
      <c r="N204" s="1209" t="str">
        <f t="shared" si="74"/>
        <v/>
      </c>
      <c r="O204" s="1209"/>
      <c r="P204" s="1283" t="str">
        <f t="shared" si="75"/>
        <v/>
      </c>
      <c r="Q204" s="518"/>
      <c r="R204" s="1076" t="str">
        <f t="shared" si="85"/>
        <v/>
      </c>
      <c r="S204" s="1076" t="str">
        <f t="shared" si="76"/>
        <v/>
      </c>
      <c r="T204" s="1078" t="str">
        <f t="shared" si="77"/>
        <v/>
      </c>
      <c r="U204" s="599"/>
      <c r="V204" s="1261"/>
      <c r="W204" s="1261"/>
      <c r="X204" s="1218"/>
      <c r="Y204" s="1253" t="e">
        <f>ROUND(VLOOKUP(H204,tab!$A$61:$V$103,I204+2,FALSE),0)</f>
        <v>#VALUE!</v>
      </c>
      <c r="Z204" s="1252">
        <f>tab!$E$48</f>
        <v>0.62</v>
      </c>
      <c r="AA204" s="1284" t="e">
        <f t="shared" si="78"/>
        <v>#VALUE!</v>
      </c>
      <c r="AB204" s="1284" t="e">
        <f t="shared" si="79"/>
        <v>#VALUE!</v>
      </c>
      <c r="AC204" s="1284" t="e">
        <f t="shared" si="80"/>
        <v>#VALUE!</v>
      </c>
      <c r="AD204" s="1286" t="e">
        <f t="shared" si="81"/>
        <v>#VALUE!</v>
      </c>
      <c r="AE204" s="1286">
        <f t="shared" si="82"/>
        <v>0</v>
      </c>
      <c r="AF204" s="1254">
        <f>IF(H204&gt;8,tab!$D$49,tab!$D$52)</f>
        <v>0.5</v>
      </c>
      <c r="AG204" s="1255">
        <f t="shared" si="83"/>
        <v>0</v>
      </c>
      <c r="AH204" s="1251">
        <f t="shared" si="84"/>
        <v>0</v>
      </c>
      <c r="AK204" s="198"/>
    </row>
    <row r="205" spans="3:37" ht="12.75" customHeight="1" x14ac:dyDescent="0.2">
      <c r="C205" s="126"/>
      <c r="D205" s="396" t="str">
        <f>IF(obp!D163=0,"",obp!D163)</f>
        <v/>
      </c>
      <c r="E205" s="432" t="str">
        <f>IF(obp!E163=0,"-",obp!E163)</f>
        <v/>
      </c>
      <c r="F205" s="117" t="str">
        <f>IF(obp!F163="","",obp!F163+1)</f>
        <v/>
      </c>
      <c r="G205" s="397" t="str">
        <f>IF(obp!G163="","",obp!G163)</f>
        <v/>
      </c>
      <c r="H205" s="776" t="str">
        <f>IF(obp!H163=0,"",obp!H163)</f>
        <v/>
      </c>
      <c r="I205" s="433" t="str">
        <f>IF(J205="","",(IF(obp!I163+1&gt;LOOKUP(H205,schaal2013,regels2013),obp!I163,obp!I163+1)))</f>
        <v/>
      </c>
      <c r="J205" s="399" t="str">
        <f>IF(obp!J163="","",obp!J163)</f>
        <v/>
      </c>
      <c r="K205" s="413"/>
      <c r="L205" s="1207">
        <f>IF(obp!L163="","",obp!L163)</f>
        <v>0</v>
      </c>
      <c r="M205" s="1207">
        <f>IF(obp!M163="","",obp!M163)</f>
        <v>0</v>
      </c>
      <c r="N205" s="1209" t="str">
        <f t="shared" si="74"/>
        <v/>
      </c>
      <c r="O205" s="1209"/>
      <c r="P205" s="1283" t="str">
        <f t="shared" si="75"/>
        <v/>
      </c>
      <c r="Q205" s="518"/>
      <c r="R205" s="1076" t="str">
        <f t="shared" si="85"/>
        <v/>
      </c>
      <c r="S205" s="1076" t="str">
        <f t="shared" si="76"/>
        <v/>
      </c>
      <c r="T205" s="1078" t="str">
        <f t="shared" si="77"/>
        <v/>
      </c>
      <c r="U205" s="599"/>
      <c r="V205" s="1261"/>
      <c r="W205" s="1261"/>
      <c r="X205" s="1218"/>
      <c r="Y205" s="1253" t="e">
        <f>ROUND(VLOOKUP(H205,tab!$A$61:$V$103,I205+2,FALSE),0)</f>
        <v>#VALUE!</v>
      </c>
      <c r="Z205" s="1252">
        <f>tab!$E$48</f>
        <v>0.62</v>
      </c>
      <c r="AA205" s="1284" t="e">
        <f t="shared" si="78"/>
        <v>#VALUE!</v>
      </c>
      <c r="AB205" s="1284" t="e">
        <f t="shared" si="79"/>
        <v>#VALUE!</v>
      </c>
      <c r="AC205" s="1284" t="e">
        <f t="shared" si="80"/>
        <v>#VALUE!</v>
      </c>
      <c r="AD205" s="1286" t="e">
        <f t="shared" si="81"/>
        <v>#VALUE!</v>
      </c>
      <c r="AE205" s="1286">
        <f t="shared" si="82"/>
        <v>0</v>
      </c>
      <c r="AF205" s="1254">
        <f>IF(H205&gt;8,tab!$D$49,tab!$D$52)</f>
        <v>0.5</v>
      </c>
      <c r="AG205" s="1255">
        <f t="shared" si="83"/>
        <v>0</v>
      </c>
      <c r="AH205" s="1251">
        <f t="shared" si="84"/>
        <v>0</v>
      </c>
      <c r="AK205" s="198"/>
    </row>
    <row r="206" spans="3:37" ht="12.75" customHeight="1" x14ac:dyDescent="0.2">
      <c r="C206" s="126"/>
      <c r="D206" s="396" t="str">
        <f>IF(obp!D164=0,"",obp!D164)</f>
        <v/>
      </c>
      <c r="E206" s="432" t="str">
        <f>IF(obp!E164=0,"-",obp!E164)</f>
        <v/>
      </c>
      <c r="F206" s="117" t="str">
        <f>IF(obp!F164="","",obp!F164+1)</f>
        <v/>
      </c>
      <c r="G206" s="397" t="str">
        <f>IF(obp!G164="","",obp!G164)</f>
        <v/>
      </c>
      <c r="H206" s="776" t="str">
        <f>IF(obp!H164=0,"",obp!H164)</f>
        <v/>
      </c>
      <c r="I206" s="433" t="str">
        <f>IF(J206="","",(IF(obp!I164+1&gt;LOOKUP(H206,schaal2013,regels2013),obp!I164,obp!I164+1)))</f>
        <v/>
      </c>
      <c r="J206" s="399" t="str">
        <f>IF(obp!J164="","",obp!J164)</f>
        <v/>
      </c>
      <c r="K206" s="413"/>
      <c r="L206" s="1207">
        <f>IF(obp!L164="","",obp!L164)</f>
        <v>0</v>
      </c>
      <c r="M206" s="1207">
        <f>IF(obp!M164="","",obp!M164)</f>
        <v>0</v>
      </c>
      <c r="N206" s="1209" t="str">
        <f t="shared" si="74"/>
        <v/>
      </c>
      <c r="O206" s="1209"/>
      <c r="P206" s="1283" t="str">
        <f t="shared" si="75"/>
        <v/>
      </c>
      <c r="Q206" s="518"/>
      <c r="R206" s="1076" t="str">
        <f t="shared" si="85"/>
        <v/>
      </c>
      <c r="S206" s="1076" t="str">
        <f t="shared" si="76"/>
        <v/>
      </c>
      <c r="T206" s="1078" t="str">
        <f t="shared" si="77"/>
        <v/>
      </c>
      <c r="U206" s="599"/>
      <c r="V206" s="1261"/>
      <c r="W206" s="1261"/>
      <c r="X206" s="1218"/>
      <c r="Y206" s="1253" t="e">
        <f>ROUND(VLOOKUP(H206,tab!$A$61:$V$103,I206+2,FALSE),0)</f>
        <v>#VALUE!</v>
      </c>
      <c r="Z206" s="1252">
        <f>tab!$E$48</f>
        <v>0.62</v>
      </c>
      <c r="AA206" s="1284" t="e">
        <f t="shared" si="78"/>
        <v>#VALUE!</v>
      </c>
      <c r="AB206" s="1284" t="e">
        <f t="shared" si="79"/>
        <v>#VALUE!</v>
      </c>
      <c r="AC206" s="1284" t="e">
        <f t="shared" si="80"/>
        <v>#VALUE!</v>
      </c>
      <c r="AD206" s="1286" t="e">
        <f t="shared" si="81"/>
        <v>#VALUE!</v>
      </c>
      <c r="AE206" s="1286">
        <f t="shared" si="82"/>
        <v>0</v>
      </c>
      <c r="AF206" s="1254">
        <f>IF(H206&gt;8,tab!$D$49,tab!$D$52)</f>
        <v>0.5</v>
      </c>
      <c r="AG206" s="1255">
        <f t="shared" si="83"/>
        <v>0</v>
      </c>
      <c r="AH206" s="1251">
        <f t="shared" si="84"/>
        <v>0</v>
      </c>
      <c r="AK206" s="198"/>
    </row>
    <row r="207" spans="3:37" ht="12.75" customHeight="1" x14ac:dyDescent="0.2">
      <c r="C207" s="126"/>
      <c r="D207" s="396" t="str">
        <f>IF(obp!D165=0,"",obp!D165)</f>
        <v/>
      </c>
      <c r="E207" s="432" t="str">
        <f>IF(obp!E165=0,"-",obp!E165)</f>
        <v/>
      </c>
      <c r="F207" s="117" t="str">
        <f>IF(obp!F165="","",obp!F165+1)</f>
        <v/>
      </c>
      <c r="G207" s="397" t="str">
        <f>IF(obp!G165="","",obp!G165)</f>
        <v/>
      </c>
      <c r="H207" s="776" t="str">
        <f>IF(obp!H165=0,"",obp!H165)</f>
        <v/>
      </c>
      <c r="I207" s="433" t="str">
        <f>IF(J207="","",(IF(obp!I165+1&gt;LOOKUP(H207,schaal2013,regels2013),obp!I165,obp!I165+1)))</f>
        <v/>
      </c>
      <c r="J207" s="399" t="str">
        <f>IF(obp!J165="","",obp!J165)</f>
        <v/>
      </c>
      <c r="K207" s="413"/>
      <c r="L207" s="1207">
        <f>IF(obp!L165="","",obp!L165)</f>
        <v>0</v>
      </c>
      <c r="M207" s="1207">
        <f>IF(obp!M165="","",obp!M165)</f>
        <v>0</v>
      </c>
      <c r="N207" s="1209" t="str">
        <f t="shared" si="74"/>
        <v/>
      </c>
      <c r="O207" s="1209"/>
      <c r="P207" s="1283" t="str">
        <f t="shared" si="75"/>
        <v/>
      </c>
      <c r="Q207" s="518"/>
      <c r="R207" s="1076" t="str">
        <f t="shared" si="85"/>
        <v/>
      </c>
      <c r="S207" s="1076" t="str">
        <f t="shared" si="76"/>
        <v/>
      </c>
      <c r="T207" s="1078" t="str">
        <f t="shared" si="77"/>
        <v/>
      </c>
      <c r="U207" s="599"/>
      <c r="V207" s="1261"/>
      <c r="W207" s="1261"/>
      <c r="X207" s="1218"/>
      <c r="Y207" s="1253" t="e">
        <f>ROUND(VLOOKUP(H207,tab!$A$61:$V$103,I207+2,FALSE),0)</f>
        <v>#VALUE!</v>
      </c>
      <c r="Z207" s="1252">
        <f>tab!$E$48</f>
        <v>0.62</v>
      </c>
      <c r="AA207" s="1284" t="e">
        <f t="shared" si="78"/>
        <v>#VALUE!</v>
      </c>
      <c r="AB207" s="1284" t="e">
        <f t="shared" si="79"/>
        <v>#VALUE!</v>
      </c>
      <c r="AC207" s="1284" t="e">
        <f t="shared" si="80"/>
        <v>#VALUE!</v>
      </c>
      <c r="AD207" s="1286" t="e">
        <f t="shared" si="81"/>
        <v>#VALUE!</v>
      </c>
      <c r="AE207" s="1286">
        <f t="shared" si="82"/>
        <v>0</v>
      </c>
      <c r="AF207" s="1254">
        <f>IF(H207&gt;8,tab!$D$49,tab!$D$52)</f>
        <v>0.5</v>
      </c>
      <c r="AG207" s="1255">
        <f t="shared" si="83"/>
        <v>0</v>
      </c>
      <c r="AH207" s="1251">
        <f t="shared" si="84"/>
        <v>0</v>
      </c>
      <c r="AK207" s="198"/>
    </row>
    <row r="208" spans="3:37" ht="12.75" customHeight="1" x14ac:dyDescent="0.2">
      <c r="C208" s="126"/>
      <c r="D208" s="396" t="str">
        <f>IF(obp!D166=0,"",obp!D166)</f>
        <v/>
      </c>
      <c r="E208" s="432" t="str">
        <f>IF(obp!E166=0,"-",obp!E166)</f>
        <v/>
      </c>
      <c r="F208" s="117" t="str">
        <f>IF(obp!F166="","",obp!F166+1)</f>
        <v/>
      </c>
      <c r="G208" s="397" t="str">
        <f>IF(obp!G166="","",obp!G166)</f>
        <v/>
      </c>
      <c r="H208" s="776" t="str">
        <f>IF(obp!H166=0,"",obp!H166)</f>
        <v/>
      </c>
      <c r="I208" s="433" t="str">
        <f>IF(J208="","",(IF(obp!I166+1&gt;LOOKUP(H208,schaal2013,regels2013),obp!I166,obp!I166+1)))</f>
        <v/>
      </c>
      <c r="J208" s="399" t="str">
        <f>IF(obp!J166="","",obp!J166)</f>
        <v/>
      </c>
      <c r="K208" s="413"/>
      <c r="L208" s="1207">
        <f>IF(obp!L166="","",obp!L166)</f>
        <v>0</v>
      </c>
      <c r="M208" s="1207">
        <f>IF(obp!M166="","",obp!M166)</f>
        <v>0</v>
      </c>
      <c r="N208" s="1209" t="str">
        <f t="shared" si="74"/>
        <v/>
      </c>
      <c r="O208" s="1209"/>
      <c r="P208" s="1283" t="str">
        <f t="shared" si="75"/>
        <v/>
      </c>
      <c r="Q208" s="518"/>
      <c r="R208" s="1076" t="str">
        <f t="shared" si="85"/>
        <v/>
      </c>
      <c r="S208" s="1076" t="str">
        <f t="shared" si="76"/>
        <v/>
      </c>
      <c r="T208" s="1078" t="str">
        <f t="shared" si="77"/>
        <v/>
      </c>
      <c r="U208" s="599"/>
      <c r="V208" s="1261"/>
      <c r="W208" s="1261"/>
      <c r="X208" s="1218"/>
      <c r="Y208" s="1253" t="e">
        <f>ROUND(VLOOKUP(H208,tab!$A$61:$V$103,I208+2,FALSE),0)</f>
        <v>#VALUE!</v>
      </c>
      <c r="Z208" s="1252">
        <f>tab!$E$48</f>
        <v>0.62</v>
      </c>
      <c r="AA208" s="1284" t="e">
        <f t="shared" si="78"/>
        <v>#VALUE!</v>
      </c>
      <c r="AB208" s="1284" t="e">
        <f t="shared" si="79"/>
        <v>#VALUE!</v>
      </c>
      <c r="AC208" s="1284" t="e">
        <f t="shared" si="80"/>
        <v>#VALUE!</v>
      </c>
      <c r="AD208" s="1286" t="e">
        <f t="shared" si="81"/>
        <v>#VALUE!</v>
      </c>
      <c r="AE208" s="1286">
        <f t="shared" si="82"/>
        <v>0</v>
      </c>
      <c r="AF208" s="1254">
        <f>IF(H208&gt;8,tab!$D$49,tab!$D$52)</f>
        <v>0.5</v>
      </c>
      <c r="AG208" s="1255">
        <f t="shared" si="83"/>
        <v>0</v>
      </c>
      <c r="AH208" s="1251">
        <f t="shared" si="84"/>
        <v>0</v>
      </c>
      <c r="AK208" s="198"/>
    </row>
    <row r="209" spans="3:37" ht="12.75" customHeight="1" x14ac:dyDescent="0.2">
      <c r="C209" s="126"/>
      <c r="D209" s="396" t="str">
        <f>IF(obp!D167=0,"",obp!D167)</f>
        <v/>
      </c>
      <c r="E209" s="432" t="str">
        <f>IF(obp!E167=0,"-",obp!E167)</f>
        <v/>
      </c>
      <c r="F209" s="117" t="str">
        <f>IF(obp!F167="","",obp!F167+1)</f>
        <v/>
      </c>
      <c r="G209" s="397" t="str">
        <f>IF(obp!G167="","",obp!G167)</f>
        <v/>
      </c>
      <c r="H209" s="776" t="str">
        <f>IF(obp!H167=0,"",obp!H167)</f>
        <v/>
      </c>
      <c r="I209" s="433" t="str">
        <f>IF(J209="","",(IF(obp!I167+1&gt;LOOKUP(H209,schaal2013,regels2013),obp!I167,obp!I167+1)))</f>
        <v/>
      </c>
      <c r="J209" s="399" t="str">
        <f>IF(obp!J167="","",obp!J167)</f>
        <v/>
      </c>
      <c r="K209" s="413"/>
      <c r="L209" s="1207">
        <f>IF(obp!L167="","",obp!L167)</f>
        <v>0</v>
      </c>
      <c r="M209" s="1207">
        <f>IF(obp!M167="","",obp!M167)</f>
        <v>0</v>
      </c>
      <c r="N209" s="1209" t="str">
        <f t="shared" si="74"/>
        <v/>
      </c>
      <c r="O209" s="1209"/>
      <c r="P209" s="1283" t="str">
        <f t="shared" si="75"/>
        <v/>
      </c>
      <c r="Q209" s="518"/>
      <c r="R209" s="1076" t="str">
        <f t="shared" si="85"/>
        <v/>
      </c>
      <c r="S209" s="1076" t="str">
        <f t="shared" si="76"/>
        <v/>
      </c>
      <c r="T209" s="1078" t="str">
        <f t="shared" si="77"/>
        <v/>
      </c>
      <c r="U209" s="599"/>
      <c r="V209" s="1261"/>
      <c r="W209" s="1261"/>
      <c r="X209" s="1218"/>
      <c r="Y209" s="1253" t="e">
        <f>ROUND(VLOOKUP(H209,tab!$A$61:$V$103,I209+2,FALSE),0)</f>
        <v>#VALUE!</v>
      </c>
      <c r="Z209" s="1252">
        <f>tab!$E$48</f>
        <v>0.62</v>
      </c>
      <c r="AA209" s="1284" t="e">
        <f t="shared" si="78"/>
        <v>#VALUE!</v>
      </c>
      <c r="AB209" s="1284" t="e">
        <f t="shared" si="79"/>
        <v>#VALUE!</v>
      </c>
      <c r="AC209" s="1284" t="e">
        <f t="shared" si="80"/>
        <v>#VALUE!</v>
      </c>
      <c r="AD209" s="1286" t="e">
        <f t="shared" si="81"/>
        <v>#VALUE!</v>
      </c>
      <c r="AE209" s="1286">
        <f t="shared" si="82"/>
        <v>0</v>
      </c>
      <c r="AF209" s="1254">
        <f>IF(H209&gt;8,tab!$D$49,tab!$D$52)</f>
        <v>0.5</v>
      </c>
      <c r="AG209" s="1255">
        <f t="shared" si="83"/>
        <v>0</v>
      </c>
      <c r="AH209" s="1251">
        <f t="shared" si="84"/>
        <v>0</v>
      </c>
      <c r="AK209" s="198"/>
    </row>
    <row r="210" spans="3:37" ht="12.75" customHeight="1" x14ac:dyDescent="0.2">
      <c r="C210" s="126"/>
      <c r="D210" s="396" t="str">
        <f>IF(obp!D168=0,"",obp!D168)</f>
        <v/>
      </c>
      <c r="E210" s="432" t="str">
        <f>IF(obp!E168=0,"-",obp!E168)</f>
        <v/>
      </c>
      <c r="F210" s="117" t="str">
        <f>IF(obp!F168="","",obp!F168+1)</f>
        <v/>
      </c>
      <c r="G210" s="397" t="str">
        <f>IF(obp!G168="","",obp!G168)</f>
        <v/>
      </c>
      <c r="H210" s="776" t="str">
        <f>IF(obp!H168=0,"",obp!H168)</f>
        <v/>
      </c>
      <c r="I210" s="433" t="str">
        <f>IF(J210="","",(IF(obp!I168+1&gt;LOOKUP(H210,schaal2013,regels2013),obp!I168,obp!I168+1)))</f>
        <v/>
      </c>
      <c r="J210" s="399" t="str">
        <f>IF(obp!J168="","",obp!J168)</f>
        <v/>
      </c>
      <c r="K210" s="413"/>
      <c r="L210" s="1207">
        <f>IF(obp!L168="","",obp!L168)</f>
        <v>0</v>
      </c>
      <c r="M210" s="1207">
        <f>IF(obp!M168="","",obp!M168)</f>
        <v>0</v>
      </c>
      <c r="N210" s="1209" t="str">
        <f t="shared" si="74"/>
        <v/>
      </c>
      <c r="O210" s="1209"/>
      <c r="P210" s="1283" t="str">
        <f t="shared" si="75"/>
        <v/>
      </c>
      <c r="Q210" s="518"/>
      <c r="R210" s="1076" t="str">
        <f t="shared" si="85"/>
        <v/>
      </c>
      <c r="S210" s="1076" t="str">
        <f t="shared" si="76"/>
        <v/>
      </c>
      <c r="T210" s="1078" t="str">
        <f t="shared" si="77"/>
        <v/>
      </c>
      <c r="U210" s="599"/>
      <c r="V210" s="1261"/>
      <c r="W210" s="1261"/>
      <c r="X210" s="1218"/>
      <c r="Y210" s="1253" t="e">
        <f>ROUND(VLOOKUP(H210,tab!$A$61:$V$103,I210+2,FALSE),0)</f>
        <v>#VALUE!</v>
      </c>
      <c r="Z210" s="1252">
        <f>tab!$E$48</f>
        <v>0.62</v>
      </c>
      <c r="AA210" s="1284" t="e">
        <f t="shared" si="78"/>
        <v>#VALUE!</v>
      </c>
      <c r="AB210" s="1284" t="e">
        <f t="shared" si="79"/>
        <v>#VALUE!</v>
      </c>
      <c r="AC210" s="1284" t="e">
        <f t="shared" si="80"/>
        <v>#VALUE!</v>
      </c>
      <c r="AD210" s="1286" t="e">
        <f t="shared" si="81"/>
        <v>#VALUE!</v>
      </c>
      <c r="AE210" s="1286">
        <f t="shared" si="82"/>
        <v>0</v>
      </c>
      <c r="AF210" s="1254">
        <f>IF(H210&gt;8,tab!$D$49,tab!$D$52)</f>
        <v>0.5</v>
      </c>
      <c r="AG210" s="1255">
        <f t="shared" si="83"/>
        <v>0</v>
      </c>
      <c r="AH210" s="1251">
        <f t="shared" si="84"/>
        <v>0</v>
      </c>
      <c r="AK210" s="198"/>
    </row>
    <row r="211" spans="3:37" ht="12.75" customHeight="1" x14ac:dyDescent="0.2">
      <c r="C211" s="126"/>
      <c r="D211" s="396" t="str">
        <f>IF(obp!D169=0,"",obp!D169)</f>
        <v/>
      </c>
      <c r="E211" s="432" t="str">
        <f>IF(obp!E169=0,"-",obp!E169)</f>
        <v/>
      </c>
      <c r="F211" s="117" t="str">
        <f>IF(obp!F169="","",obp!F169+1)</f>
        <v/>
      </c>
      <c r="G211" s="397" t="str">
        <f>IF(obp!G169="","",obp!G169)</f>
        <v/>
      </c>
      <c r="H211" s="776" t="str">
        <f>IF(obp!H169=0,"",obp!H169)</f>
        <v/>
      </c>
      <c r="I211" s="433" t="str">
        <f>IF(J211="","",(IF(obp!I169+1&gt;LOOKUP(H211,schaal2013,regels2013),obp!I169,obp!I169+1)))</f>
        <v/>
      </c>
      <c r="J211" s="399" t="str">
        <f>IF(obp!J169="","",obp!J169)</f>
        <v/>
      </c>
      <c r="K211" s="413"/>
      <c r="L211" s="1207">
        <f>IF(obp!L169="","",obp!L169)</f>
        <v>0</v>
      </c>
      <c r="M211" s="1207">
        <f>IF(obp!M169="","",obp!M169)</f>
        <v>0</v>
      </c>
      <c r="N211" s="1209" t="str">
        <f t="shared" si="74"/>
        <v/>
      </c>
      <c r="O211" s="1209"/>
      <c r="P211" s="1283" t="str">
        <f t="shared" si="75"/>
        <v/>
      </c>
      <c r="Q211" s="518"/>
      <c r="R211" s="1076" t="str">
        <f t="shared" si="85"/>
        <v/>
      </c>
      <c r="S211" s="1076" t="str">
        <f t="shared" si="76"/>
        <v/>
      </c>
      <c r="T211" s="1078" t="str">
        <f t="shared" si="77"/>
        <v/>
      </c>
      <c r="U211" s="599"/>
      <c r="V211" s="1261"/>
      <c r="W211" s="1261"/>
      <c r="X211" s="1218"/>
      <c r="Y211" s="1253" t="e">
        <f>ROUND(VLOOKUP(H211,tab!$A$61:$V$103,I211+2,FALSE),0)</f>
        <v>#VALUE!</v>
      </c>
      <c r="Z211" s="1252">
        <f>tab!$E$48</f>
        <v>0.62</v>
      </c>
      <c r="AA211" s="1284" t="e">
        <f t="shared" si="78"/>
        <v>#VALUE!</v>
      </c>
      <c r="AB211" s="1284" t="e">
        <f t="shared" si="79"/>
        <v>#VALUE!</v>
      </c>
      <c r="AC211" s="1284" t="e">
        <f t="shared" si="80"/>
        <v>#VALUE!</v>
      </c>
      <c r="AD211" s="1286" t="e">
        <f t="shared" si="81"/>
        <v>#VALUE!</v>
      </c>
      <c r="AE211" s="1286">
        <f t="shared" si="82"/>
        <v>0</v>
      </c>
      <c r="AF211" s="1254">
        <f>IF(H211&gt;8,tab!$D$49,tab!$D$52)</f>
        <v>0.5</v>
      </c>
      <c r="AG211" s="1255">
        <f t="shared" si="83"/>
        <v>0</v>
      </c>
      <c r="AH211" s="1251">
        <f t="shared" si="84"/>
        <v>0</v>
      </c>
      <c r="AK211" s="198"/>
    </row>
    <row r="212" spans="3:37" ht="12.75" customHeight="1" x14ac:dyDescent="0.2">
      <c r="C212" s="126"/>
      <c r="D212" s="396" t="str">
        <f>IF(obp!D170=0,"",obp!D170)</f>
        <v/>
      </c>
      <c r="E212" s="432" t="str">
        <f>IF(obp!E170=0,"-",obp!E170)</f>
        <v/>
      </c>
      <c r="F212" s="117" t="str">
        <f>IF(obp!F170="","",obp!F170+1)</f>
        <v/>
      </c>
      <c r="G212" s="397" t="str">
        <f>IF(obp!G170="","",obp!G170)</f>
        <v/>
      </c>
      <c r="H212" s="776" t="str">
        <f>IF(obp!H170=0,"",obp!H170)</f>
        <v/>
      </c>
      <c r="I212" s="433" t="str">
        <f>IF(J212="","",(IF(obp!I170+1&gt;LOOKUP(H212,schaal2013,regels2013),obp!I170,obp!I170+1)))</f>
        <v/>
      </c>
      <c r="J212" s="399" t="str">
        <f>IF(obp!J170="","",obp!J170)</f>
        <v/>
      </c>
      <c r="K212" s="413"/>
      <c r="L212" s="1207">
        <f>IF(obp!L170="","",obp!L170)</f>
        <v>0</v>
      </c>
      <c r="M212" s="1207">
        <f>IF(obp!M170="","",obp!M170)</f>
        <v>0</v>
      </c>
      <c r="N212" s="1209" t="str">
        <f t="shared" si="74"/>
        <v/>
      </c>
      <c r="O212" s="1209"/>
      <c r="P212" s="1283" t="str">
        <f t="shared" si="75"/>
        <v/>
      </c>
      <c r="Q212" s="518"/>
      <c r="R212" s="1076" t="str">
        <f t="shared" si="85"/>
        <v/>
      </c>
      <c r="S212" s="1076" t="str">
        <f t="shared" si="76"/>
        <v/>
      </c>
      <c r="T212" s="1078" t="str">
        <f t="shared" si="77"/>
        <v/>
      </c>
      <c r="U212" s="599"/>
      <c r="V212" s="1261"/>
      <c r="W212" s="1261"/>
      <c r="X212" s="1218"/>
      <c r="Y212" s="1253" t="e">
        <f>ROUND(VLOOKUP(H212,tab!$A$61:$V$103,I212+2,FALSE),0)</f>
        <v>#VALUE!</v>
      </c>
      <c r="Z212" s="1252">
        <f>tab!$E$48</f>
        <v>0.62</v>
      </c>
      <c r="AA212" s="1284" t="e">
        <f t="shared" si="78"/>
        <v>#VALUE!</v>
      </c>
      <c r="AB212" s="1284" t="e">
        <f t="shared" si="79"/>
        <v>#VALUE!</v>
      </c>
      <c r="AC212" s="1284" t="e">
        <f t="shared" si="80"/>
        <v>#VALUE!</v>
      </c>
      <c r="AD212" s="1286" t="e">
        <f t="shared" si="81"/>
        <v>#VALUE!</v>
      </c>
      <c r="AE212" s="1286">
        <f t="shared" si="82"/>
        <v>0</v>
      </c>
      <c r="AF212" s="1254">
        <f>IF(H212&gt;8,tab!$D$49,tab!$D$52)</f>
        <v>0.5</v>
      </c>
      <c r="AG212" s="1255">
        <f t="shared" si="83"/>
        <v>0</v>
      </c>
      <c r="AH212" s="1251">
        <f t="shared" si="84"/>
        <v>0</v>
      </c>
      <c r="AK212" s="198"/>
    </row>
    <row r="213" spans="3:37" ht="12.75" customHeight="1" x14ac:dyDescent="0.2">
      <c r="C213" s="126"/>
      <c r="D213" s="396" t="str">
        <f>IF(obp!D171=0,"",obp!D171)</f>
        <v/>
      </c>
      <c r="E213" s="432" t="str">
        <f>IF(obp!E171=0,"-",obp!E171)</f>
        <v/>
      </c>
      <c r="F213" s="117" t="str">
        <f>IF(obp!F171="","",obp!F171+1)</f>
        <v/>
      </c>
      <c r="G213" s="397" t="str">
        <f>IF(obp!G171="","",obp!G171)</f>
        <v/>
      </c>
      <c r="H213" s="776" t="str">
        <f>IF(obp!H171=0,"",obp!H171)</f>
        <v/>
      </c>
      <c r="I213" s="433" t="str">
        <f>IF(J213="","",(IF(obp!I171+1&gt;LOOKUP(H213,schaal2013,regels2013),obp!I171,obp!I171+1)))</f>
        <v/>
      </c>
      <c r="J213" s="399" t="str">
        <f>IF(obp!J171="","",obp!J171)</f>
        <v/>
      </c>
      <c r="K213" s="413"/>
      <c r="L213" s="1207">
        <f>IF(obp!L171="","",obp!L171)</f>
        <v>0</v>
      </c>
      <c r="M213" s="1207">
        <f>IF(obp!M171="","",obp!M171)</f>
        <v>0</v>
      </c>
      <c r="N213" s="1209" t="str">
        <f t="shared" si="74"/>
        <v/>
      </c>
      <c r="O213" s="1209"/>
      <c r="P213" s="1283" t="str">
        <f t="shared" si="75"/>
        <v/>
      </c>
      <c r="Q213" s="518"/>
      <c r="R213" s="1076" t="str">
        <f t="shared" si="85"/>
        <v/>
      </c>
      <c r="S213" s="1076" t="str">
        <f t="shared" si="76"/>
        <v/>
      </c>
      <c r="T213" s="1078" t="str">
        <f t="shared" si="77"/>
        <v/>
      </c>
      <c r="U213" s="599"/>
      <c r="V213" s="1261"/>
      <c r="W213" s="1261"/>
      <c r="X213" s="1218"/>
      <c r="Y213" s="1253" t="e">
        <f>ROUND(VLOOKUP(H213,tab!$A$61:$V$103,I213+2,FALSE),0)</f>
        <v>#VALUE!</v>
      </c>
      <c r="Z213" s="1252">
        <f>tab!$E$48</f>
        <v>0.62</v>
      </c>
      <c r="AA213" s="1284" t="e">
        <f t="shared" si="78"/>
        <v>#VALUE!</v>
      </c>
      <c r="AB213" s="1284" t="e">
        <f t="shared" si="79"/>
        <v>#VALUE!</v>
      </c>
      <c r="AC213" s="1284" t="e">
        <f t="shared" si="80"/>
        <v>#VALUE!</v>
      </c>
      <c r="AD213" s="1286" t="e">
        <f t="shared" si="81"/>
        <v>#VALUE!</v>
      </c>
      <c r="AE213" s="1286">
        <f t="shared" si="82"/>
        <v>0</v>
      </c>
      <c r="AF213" s="1254">
        <f>IF(H213&gt;8,tab!$D$49,tab!$D$52)</f>
        <v>0.5</v>
      </c>
      <c r="AG213" s="1255">
        <f t="shared" si="83"/>
        <v>0</v>
      </c>
      <c r="AH213" s="1251">
        <f t="shared" si="84"/>
        <v>0</v>
      </c>
      <c r="AK213" s="198"/>
    </row>
    <row r="214" spans="3:37" ht="12.75" customHeight="1" x14ac:dyDescent="0.2">
      <c r="C214" s="126"/>
      <c r="D214" s="396" t="str">
        <f>IF(obp!D172=0,"",obp!D172)</f>
        <v/>
      </c>
      <c r="E214" s="432" t="str">
        <f>IF(obp!E172=0,"-",obp!E172)</f>
        <v/>
      </c>
      <c r="F214" s="117" t="str">
        <f>IF(obp!F172="","",obp!F172+1)</f>
        <v/>
      </c>
      <c r="G214" s="397" t="str">
        <f>IF(obp!G172="","",obp!G172)</f>
        <v/>
      </c>
      <c r="H214" s="776" t="str">
        <f>IF(obp!H172=0,"",obp!H172)</f>
        <v/>
      </c>
      <c r="I214" s="433" t="str">
        <f>IF(J214="","",(IF(obp!I172+1&gt;LOOKUP(H214,schaal2013,regels2013),obp!I172,obp!I172+1)))</f>
        <v/>
      </c>
      <c r="J214" s="399" t="str">
        <f>IF(obp!J172="","",obp!J172)</f>
        <v/>
      </c>
      <c r="K214" s="413"/>
      <c r="L214" s="1207">
        <f>IF(obp!L172="","",obp!L172)</f>
        <v>0</v>
      </c>
      <c r="M214" s="1207">
        <f>IF(obp!M172="","",obp!M172)</f>
        <v>0</v>
      </c>
      <c r="N214" s="1209" t="str">
        <f t="shared" si="74"/>
        <v/>
      </c>
      <c r="O214" s="1209"/>
      <c r="P214" s="1283" t="str">
        <f t="shared" si="75"/>
        <v/>
      </c>
      <c r="Q214" s="518"/>
      <c r="R214" s="1076" t="str">
        <f t="shared" si="85"/>
        <v/>
      </c>
      <c r="S214" s="1076" t="str">
        <f t="shared" si="76"/>
        <v/>
      </c>
      <c r="T214" s="1078" t="str">
        <f t="shared" si="77"/>
        <v/>
      </c>
      <c r="U214" s="599"/>
      <c r="V214" s="1261"/>
      <c r="W214" s="1261"/>
      <c r="X214" s="1218"/>
      <c r="Y214" s="1253" t="e">
        <f>ROUND(VLOOKUP(H214,tab!$A$61:$V$103,I214+2,FALSE),0)</f>
        <v>#VALUE!</v>
      </c>
      <c r="Z214" s="1252">
        <f>tab!$E$48</f>
        <v>0.62</v>
      </c>
      <c r="AA214" s="1284" t="e">
        <f t="shared" si="78"/>
        <v>#VALUE!</v>
      </c>
      <c r="AB214" s="1284" t="e">
        <f t="shared" si="79"/>
        <v>#VALUE!</v>
      </c>
      <c r="AC214" s="1284" t="e">
        <f t="shared" si="80"/>
        <v>#VALUE!</v>
      </c>
      <c r="AD214" s="1286" t="e">
        <f t="shared" si="81"/>
        <v>#VALUE!</v>
      </c>
      <c r="AE214" s="1286">
        <f t="shared" si="82"/>
        <v>0</v>
      </c>
      <c r="AF214" s="1254">
        <f>IF(H214&gt;8,tab!$D$49,tab!$D$52)</f>
        <v>0.5</v>
      </c>
      <c r="AG214" s="1255">
        <f t="shared" si="83"/>
        <v>0</v>
      </c>
      <c r="AH214" s="1251">
        <f t="shared" si="84"/>
        <v>0</v>
      </c>
      <c r="AK214" s="198"/>
    </row>
    <row r="215" spans="3:37" ht="12.75" customHeight="1" x14ac:dyDescent="0.2">
      <c r="C215" s="126"/>
      <c r="D215" s="396" t="str">
        <f>IF(obp!D173=0,"",obp!D173)</f>
        <v/>
      </c>
      <c r="E215" s="432" t="str">
        <f>IF(obp!E173=0,"-",obp!E173)</f>
        <v/>
      </c>
      <c r="F215" s="117" t="str">
        <f>IF(obp!F173="","",obp!F173+1)</f>
        <v/>
      </c>
      <c r="G215" s="397" t="str">
        <f>IF(obp!G173="","",obp!G173)</f>
        <v/>
      </c>
      <c r="H215" s="776" t="str">
        <f>IF(obp!H173=0,"",obp!H173)</f>
        <v/>
      </c>
      <c r="I215" s="433" t="str">
        <f>IF(J215="","",(IF(obp!I173+1&gt;LOOKUP(H215,schaal2013,regels2013),obp!I173,obp!I173+1)))</f>
        <v/>
      </c>
      <c r="J215" s="399" t="str">
        <f>IF(obp!J173="","",obp!J173)</f>
        <v/>
      </c>
      <c r="K215" s="413"/>
      <c r="L215" s="1207">
        <f>IF(obp!L173="","",obp!L173)</f>
        <v>0</v>
      </c>
      <c r="M215" s="1207">
        <f>IF(obp!M173="","",obp!M173)</f>
        <v>0</v>
      </c>
      <c r="N215" s="1209" t="str">
        <f t="shared" si="74"/>
        <v/>
      </c>
      <c r="O215" s="1209"/>
      <c r="P215" s="1283" t="str">
        <f t="shared" si="75"/>
        <v/>
      </c>
      <c r="Q215" s="518"/>
      <c r="R215" s="1076" t="str">
        <f t="shared" si="85"/>
        <v/>
      </c>
      <c r="S215" s="1076" t="str">
        <f t="shared" si="76"/>
        <v/>
      </c>
      <c r="T215" s="1078" t="str">
        <f t="shared" si="77"/>
        <v/>
      </c>
      <c r="U215" s="599"/>
      <c r="V215" s="1261"/>
      <c r="W215" s="1261"/>
      <c r="X215" s="1218"/>
      <c r="Y215" s="1253" t="e">
        <f>ROUND(VLOOKUP(H215,tab!$A$61:$V$103,I215+2,FALSE),0)</f>
        <v>#VALUE!</v>
      </c>
      <c r="Z215" s="1252">
        <f>tab!$E$48</f>
        <v>0.62</v>
      </c>
      <c r="AA215" s="1284" t="e">
        <f t="shared" si="78"/>
        <v>#VALUE!</v>
      </c>
      <c r="AB215" s="1284" t="e">
        <f t="shared" si="79"/>
        <v>#VALUE!</v>
      </c>
      <c r="AC215" s="1284" t="e">
        <f t="shared" si="80"/>
        <v>#VALUE!</v>
      </c>
      <c r="AD215" s="1286" t="e">
        <f t="shared" si="81"/>
        <v>#VALUE!</v>
      </c>
      <c r="AE215" s="1286">
        <f t="shared" si="82"/>
        <v>0</v>
      </c>
      <c r="AF215" s="1254">
        <f>IF(H215&gt;8,tab!$D$49,tab!$D$52)</f>
        <v>0.5</v>
      </c>
      <c r="AG215" s="1255">
        <f t="shared" si="83"/>
        <v>0</v>
      </c>
      <c r="AH215" s="1251">
        <f t="shared" si="84"/>
        <v>0</v>
      </c>
      <c r="AK215" s="198"/>
    </row>
    <row r="216" spans="3:37" x14ac:dyDescent="0.2">
      <c r="C216" s="126"/>
      <c r="D216" s="822"/>
      <c r="E216" s="823"/>
      <c r="F216" s="131"/>
      <c r="G216" s="775"/>
      <c r="H216" s="824"/>
      <c r="I216" s="412"/>
      <c r="J216" s="1116">
        <f>SUM(J186:J215)</f>
        <v>1</v>
      </c>
      <c r="K216" s="807"/>
      <c r="L216" s="1220">
        <f t="shared" ref="L216:P216" si="86">SUM(L186:L215)</f>
        <v>0</v>
      </c>
      <c r="M216" s="1220">
        <f t="shared" si="86"/>
        <v>0</v>
      </c>
      <c r="N216" s="1197">
        <f>SUM(N186:N215)</f>
        <v>40</v>
      </c>
      <c r="O216" s="1072"/>
      <c r="P216" s="1197">
        <f t="shared" si="86"/>
        <v>40</v>
      </c>
      <c r="Q216" s="807"/>
      <c r="R216" s="1117">
        <f t="shared" ref="R216:T216" si="87">SUM(R186:R215)</f>
        <v>54618.326365280293</v>
      </c>
      <c r="S216" s="1118">
        <f t="shared" si="87"/>
        <v>1349.4336347197109</v>
      </c>
      <c r="T216" s="1115">
        <f t="shared" si="87"/>
        <v>55967.76</v>
      </c>
      <c r="U216" s="129"/>
      <c r="V216" s="1221"/>
      <c r="W216" s="1221"/>
      <c r="Y216" s="1270" t="e">
        <f>SUM(Y186:Y215)</f>
        <v>#VALUE!</v>
      </c>
      <c r="Z216" s="1271"/>
      <c r="AA216" s="1271"/>
      <c r="AB216" s="1271"/>
      <c r="AC216" s="1271"/>
      <c r="AG216" s="1248">
        <f>SUM(AG186:AG215)</f>
        <v>0</v>
      </c>
      <c r="AH216" s="1272">
        <f>SUM(AH186:AH215)</f>
        <v>0</v>
      </c>
    </row>
    <row r="217" spans="3:37" x14ac:dyDescent="0.2">
      <c r="C217" s="707"/>
      <c r="D217" s="266"/>
      <c r="E217" s="266"/>
      <c r="F217" s="763"/>
      <c r="G217" s="763"/>
      <c r="H217" s="763"/>
      <c r="I217" s="764"/>
      <c r="J217" s="765"/>
      <c r="K217" s="764"/>
      <c r="L217" s="764"/>
      <c r="M217" s="764"/>
      <c r="N217" s="765"/>
      <c r="O217" s="764"/>
      <c r="P217" s="764"/>
      <c r="Q217" s="764"/>
      <c r="R217" s="421"/>
      <c r="S217" s="422"/>
      <c r="T217" s="883"/>
      <c r="U217" s="766"/>
      <c r="V217" s="1221"/>
      <c r="W217" s="1221"/>
      <c r="Y217" s="1273"/>
      <c r="Z217" s="1256"/>
      <c r="AA217" s="1256"/>
      <c r="AB217" s="1256"/>
      <c r="AC217" s="1256"/>
      <c r="AG217" s="1257"/>
      <c r="AH217" s="1258"/>
    </row>
    <row r="218" spans="3:37" x14ac:dyDescent="0.2">
      <c r="V218" s="1221"/>
      <c r="W218" s="1221"/>
    </row>
    <row r="219" spans="3:37" x14ac:dyDescent="0.2">
      <c r="V219" s="1221"/>
      <c r="W219" s="1221"/>
    </row>
    <row r="220" spans="3:37" x14ac:dyDescent="0.2">
      <c r="V220" s="1221"/>
      <c r="W220" s="1221"/>
    </row>
    <row r="221" spans="3:37" x14ac:dyDescent="0.2">
      <c r="V221" s="1221"/>
      <c r="W221" s="1221"/>
    </row>
    <row r="222" spans="3:37" x14ac:dyDescent="0.2">
      <c r="V222" s="1221"/>
      <c r="W222" s="1221"/>
    </row>
    <row r="223" spans="3:37" x14ac:dyDescent="0.2">
      <c r="V223" s="1221"/>
      <c r="W223" s="1221"/>
    </row>
    <row r="224" spans="3:37" x14ac:dyDescent="0.2">
      <c r="V224" s="1221"/>
      <c r="W224" s="1221"/>
    </row>
    <row r="225" spans="22:23" x14ac:dyDescent="0.2">
      <c r="V225" s="1221"/>
      <c r="W225" s="1221"/>
    </row>
    <row r="226" spans="22:23" x14ac:dyDescent="0.2">
      <c r="V226" s="1221"/>
      <c r="W226" s="1221"/>
    </row>
    <row r="227" spans="22:23" x14ac:dyDescent="0.2">
      <c r="V227" s="1221"/>
      <c r="W227" s="1221"/>
    </row>
    <row r="228" spans="22:23" x14ac:dyDescent="0.2">
      <c r="V228" s="1221"/>
      <c r="W228" s="1221"/>
    </row>
    <row r="229" spans="22:23" x14ac:dyDescent="0.2">
      <c r="V229" s="1221"/>
      <c r="W229" s="1221"/>
    </row>
    <row r="230" spans="22:23" x14ac:dyDescent="0.2">
      <c r="V230" s="1221"/>
      <c r="W230" s="1221"/>
    </row>
    <row r="231" spans="22:23" x14ac:dyDescent="0.2">
      <c r="V231" s="1221"/>
      <c r="W231" s="1221"/>
    </row>
    <row r="232" spans="22:23" x14ac:dyDescent="0.2">
      <c r="V232" s="1221"/>
      <c r="W232" s="1221"/>
    </row>
    <row r="233" spans="22:23" x14ac:dyDescent="0.2">
      <c r="V233" s="1221"/>
      <c r="W233" s="1221"/>
    </row>
    <row r="234" spans="22:23" x14ac:dyDescent="0.2">
      <c r="V234" s="1221"/>
      <c r="W234" s="1221"/>
    </row>
    <row r="235" spans="22:23" x14ac:dyDescent="0.2">
      <c r="V235" s="1221"/>
      <c r="W235" s="1221"/>
    </row>
    <row r="236" spans="22:23" x14ac:dyDescent="0.2">
      <c r="V236" s="1221"/>
      <c r="W236" s="1221"/>
    </row>
    <row r="237" spans="22:23" x14ac:dyDescent="0.2">
      <c r="V237" s="1221"/>
      <c r="W237" s="1221"/>
    </row>
    <row r="238" spans="22:23" x14ac:dyDescent="0.2">
      <c r="V238" s="1221"/>
      <c r="W238" s="1221"/>
    </row>
    <row r="239" spans="22:23" x14ac:dyDescent="0.2">
      <c r="V239" s="1221"/>
      <c r="W239" s="1221"/>
    </row>
    <row r="240" spans="22:23" x14ac:dyDescent="0.2">
      <c r="V240" s="1221"/>
      <c r="W240" s="1221"/>
    </row>
    <row r="241" spans="4:23" x14ac:dyDescent="0.2">
      <c r="V241" s="1221"/>
      <c r="W241" s="1221"/>
    </row>
    <row r="242" spans="4:23" x14ac:dyDescent="0.2">
      <c r="V242" s="1221"/>
      <c r="W242" s="1221"/>
    </row>
    <row r="243" spans="4:23" x14ac:dyDescent="0.2">
      <c r="V243" s="1221"/>
      <c r="W243" s="1221"/>
    </row>
    <row r="244" spans="4:23" x14ac:dyDescent="0.2">
      <c r="V244" s="1221"/>
      <c r="W244" s="1221"/>
    </row>
    <row r="245" spans="4:23" x14ac:dyDescent="0.2">
      <c r="V245" s="1221"/>
      <c r="W245" s="1221"/>
    </row>
    <row r="246" spans="4:23" x14ac:dyDescent="0.2">
      <c r="V246" s="1221"/>
      <c r="W246" s="1221"/>
    </row>
    <row r="247" spans="4:23" x14ac:dyDescent="0.2">
      <c r="V247" s="1221"/>
      <c r="W247" s="1221"/>
    </row>
    <row r="248" spans="4:23" x14ac:dyDescent="0.2">
      <c r="D248" s="21">
        <v>1</v>
      </c>
      <c r="V248" s="1221"/>
      <c r="W248" s="1221"/>
    </row>
    <row r="249" spans="4:23" x14ac:dyDescent="0.2">
      <c r="D249" s="21">
        <v>2</v>
      </c>
      <c r="V249" s="1221"/>
      <c r="W249" s="1221"/>
    </row>
    <row r="250" spans="4:23" x14ac:dyDescent="0.2">
      <c r="D250" s="21">
        <v>3</v>
      </c>
      <c r="V250" s="1221"/>
      <c r="W250" s="1221"/>
    </row>
    <row r="251" spans="4:23" x14ac:dyDescent="0.2">
      <c r="D251" s="21">
        <v>4</v>
      </c>
      <c r="V251" s="1221"/>
      <c r="W251" s="1221"/>
    </row>
    <row r="252" spans="4:23" x14ac:dyDescent="0.2">
      <c r="D252" s="21">
        <v>5</v>
      </c>
      <c r="V252" s="1221"/>
      <c r="W252" s="1221"/>
    </row>
    <row r="253" spans="4:23" x14ac:dyDescent="0.2">
      <c r="D253" s="21">
        <v>6</v>
      </c>
      <c r="V253" s="1221"/>
      <c r="W253" s="1221"/>
    </row>
    <row r="254" spans="4:23" x14ac:dyDescent="0.2">
      <c r="D254" s="21">
        <v>7</v>
      </c>
      <c r="V254" s="1221"/>
      <c r="W254" s="1221"/>
    </row>
    <row r="255" spans="4:23" x14ac:dyDescent="0.2">
      <c r="D255" s="21">
        <v>8</v>
      </c>
      <c r="V255" s="1221"/>
      <c r="W255" s="1221"/>
    </row>
    <row r="256" spans="4:23" x14ac:dyDescent="0.2">
      <c r="D256" s="21">
        <v>9</v>
      </c>
      <c r="V256" s="1221"/>
      <c r="W256" s="1221"/>
    </row>
    <row r="257" spans="4:4" x14ac:dyDescent="0.2">
      <c r="D257" s="21">
        <v>10</v>
      </c>
    </row>
    <row r="258" spans="4:4" x14ac:dyDescent="0.2">
      <c r="D258" s="21">
        <v>11</v>
      </c>
    </row>
    <row r="259" spans="4:4" x14ac:dyDescent="0.2">
      <c r="D259" s="21">
        <v>12</v>
      </c>
    </row>
    <row r="260" spans="4:4" x14ac:dyDescent="0.2">
      <c r="D260" s="21">
        <v>13</v>
      </c>
    </row>
    <row r="261" spans="4:4" x14ac:dyDescent="0.2">
      <c r="D261" s="21">
        <v>14</v>
      </c>
    </row>
    <row r="262" spans="4:4" x14ac:dyDescent="0.2">
      <c r="D262" s="21">
        <v>15</v>
      </c>
    </row>
    <row r="263" spans="4:4" x14ac:dyDescent="0.2">
      <c r="D263" s="21">
        <v>16</v>
      </c>
    </row>
    <row r="264" spans="4:4" x14ac:dyDescent="0.2">
      <c r="D264" s="21" t="s">
        <v>188</v>
      </c>
    </row>
    <row r="265" spans="4:4" x14ac:dyDescent="0.2">
      <c r="D265" s="21" t="s">
        <v>198</v>
      </c>
    </row>
    <row r="266" spans="4:4" x14ac:dyDescent="0.2">
      <c r="D266" s="21" t="s">
        <v>189</v>
      </c>
    </row>
    <row r="267" spans="4:4" x14ac:dyDescent="0.2">
      <c r="D267" s="21" t="s">
        <v>186</v>
      </c>
    </row>
    <row r="268" spans="4:4" x14ac:dyDescent="0.2">
      <c r="D268" s="21" t="s">
        <v>187</v>
      </c>
    </row>
  </sheetData>
  <sheetProtection algorithmName="SHA-512" hashValue="HO/NawLTsUYcIWkhfEMPQlDvtBGD3HW1Km7zKlvS7MMNTRCuSc5Fj9ep0IIli4JX9uTVM8T3vBX2WNKE2lcj+w==" saltValue="RsON2c14PhqcPwHOFGWkpg==" spinCount="100000" sheet="1" objects="1" scenarios="1"/>
  <phoneticPr fontId="0" type="noConversion"/>
  <dataValidations count="3">
    <dataValidation type="list" allowBlank="1" showInputMessage="1" showErrorMessage="1" sqref="H186:H215 H144:H173 H102:H131 H59:H88 H16:H45">
      <formula1>$D$248:$D$268</formula1>
    </dataValidation>
    <dataValidation type="list" allowBlank="1" showInputMessage="1" showErrorMessage="1" sqref="H134:H138">
      <formula1>"LIOa,LIOb,J1,J2,J3,J4,J5,J6,1,2,3,4,5,6,7,8,9,10,11,12,13,14,15,LA,LB,LC,LD,LE,ID1,ID2,ID3"</formula1>
    </dataValidation>
    <dataValidation type="list" allowBlank="1" showInputMessage="1" showErrorMessage="1" sqref="H91:H96 H48:H53">
      <formula1>"LA,LB,LC,LD,LE"</formula1>
    </dataValidation>
  </dataValidations>
  <pageMargins left="0.78740157480314965" right="0.78740157480314965" top="0.98425196850393704" bottom="0.98425196850393704" header="0.51181102362204722" footer="0.51181102362204722"/>
  <pageSetup paperSize="9" scale="50" orientation="portrait" r:id="rId1"/>
  <headerFooter alignWithMargins="0">
    <oddHeader>&amp;L&amp;"Arial,Vet"&amp;F&amp;R&amp;"Arial,Vet"&amp;A</oddHeader>
    <oddFooter>&amp;L&amp;"Arial,Vet"PO-Raad&amp;C&amp;"Arial,Vet"&amp;D&amp;R&amp;"Arial,Vet"pagina &amp;P</oddFooter>
  </headerFooter>
  <rowBreaks count="2" manualBreakCount="2">
    <brk id="48" min="1" max="51" man="1"/>
    <brk id="104" min="1" max="37"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B1:AB1325"/>
  <sheetViews>
    <sheetView showGridLines="0" zoomScale="85" zoomScaleNormal="85" zoomScaleSheetLayoutView="70" workbookViewId="0">
      <pane ySplit="11" topLeftCell="A12" activePane="bottomLeft" state="frozen"/>
      <selection activeCell="A4" sqref="A4:XFD4"/>
      <selection pane="bottomLeft" activeCell="B2" sqref="B2"/>
    </sheetView>
  </sheetViews>
  <sheetFormatPr defaultColWidth="9.140625" defaultRowHeight="12.75" x14ac:dyDescent="0.2"/>
  <cols>
    <col min="1" max="1" width="3.7109375" style="14" customWidth="1"/>
    <col min="2" max="3" width="2.7109375" style="14" customWidth="1"/>
    <col min="4" max="4" width="45.7109375" style="14" customWidth="1"/>
    <col min="5" max="5" width="1.7109375" style="14" customWidth="1"/>
    <col min="6" max="6" width="8.7109375" style="14" customWidth="1"/>
    <col min="7" max="7" width="2.7109375" style="14" customWidth="1"/>
    <col min="8" max="8" width="13" style="14" customWidth="1"/>
    <col min="9" max="12" width="13" style="271" customWidth="1"/>
    <col min="13" max="14" width="2.7109375" style="14" customWidth="1"/>
    <col min="15" max="15" width="2.5703125" style="14" customWidth="1"/>
    <col min="16" max="16" width="5.85546875" style="14" customWidth="1"/>
    <col min="17" max="17" width="8.5703125" style="454" customWidth="1"/>
    <col min="18" max="18" width="0.85546875" style="14" customWidth="1"/>
    <col min="19" max="19" width="40.7109375" style="14" customWidth="1"/>
    <col min="20" max="20" width="2.42578125" style="14" customWidth="1"/>
    <col min="21" max="25" width="14.7109375" style="271" customWidth="1"/>
    <col min="26" max="26" width="1.7109375" style="14" customWidth="1"/>
    <col min="27" max="27" width="2.5703125" style="14" customWidth="1"/>
    <col min="28" max="16384" width="9.140625" style="14"/>
  </cols>
  <sheetData>
    <row r="1" spans="2:25" ht="12.75" customHeight="1" x14ac:dyDescent="0.2"/>
    <row r="2" spans="2:25" x14ac:dyDescent="0.2">
      <c r="B2" s="62"/>
      <c r="C2" s="63"/>
      <c r="D2" s="63"/>
      <c r="E2" s="63"/>
      <c r="F2" s="63"/>
      <c r="G2" s="63"/>
      <c r="H2" s="63"/>
      <c r="I2" s="343"/>
      <c r="J2" s="343"/>
      <c r="K2" s="343"/>
      <c r="L2" s="343"/>
      <c r="M2" s="63"/>
      <c r="N2" s="66"/>
    </row>
    <row r="3" spans="2:25" x14ac:dyDescent="0.2">
      <c r="B3" s="67"/>
      <c r="C3" s="68"/>
      <c r="D3" s="68"/>
      <c r="E3" s="68"/>
      <c r="F3" s="68"/>
      <c r="G3" s="68"/>
      <c r="H3" s="68"/>
      <c r="I3" s="349"/>
      <c r="J3" s="349"/>
      <c r="K3" s="349"/>
      <c r="L3" s="349"/>
      <c r="M3" s="68"/>
      <c r="N3" s="71"/>
    </row>
    <row r="4" spans="2:25" s="18" customFormat="1" ht="18.75" x14ac:dyDescent="0.3">
      <c r="B4" s="998"/>
      <c r="C4" s="971" t="s">
        <v>36</v>
      </c>
      <c r="D4" s="79"/>
      <c r="E4" s="79"/>
      <c r="F4" s="79"/>
      <c r="G4" s="79"/>
      <c r="H4" s="79"/>
      <c r="I4" s="656"/>
      <c r="J4" s="656"/>
      <c r="K4" s="656"/>
      <c r="L4" s="656"/>
      <c r="M4" s="79"/>
      <c r="N4" s="82"/>
      <c r="U4" s="449"/>
      <c r="V4" s="449"/>
      <c r="W4" s="449"/>
      <c r="X4" s="449"/>
      <c r="Y4" s="449"/>
    </row>
    <row r="5" spans="2:25" ht="18.75" x14ac:dyDescent="0.3">
      <c r="B5" s="206"/>
      <c r="C5" s="74" t="str">
        <f>geg!F11</f>
        <v>Voorbeeld SBO</v>
      </c>
      <c r="D5" s="68"/>
      <c r="E5" s="68"/>
      <c r="F5" s="68"/>
      <c r="G5" s="68"/>
      <c r="H5" s="68"/>
      <c r="I5" s="349"/>
      <c r="J5" s="349"/>
      <c r="K5" s="349"/>
      <c r="L5" s="349"/>
      <c r="M5" s="68"/>
      <c r="N5" s="71"/>
    </row>
    <row r="6" spans="2:25" ht="12.75" customHeight="1" x14ac:dyDescent="0.2">
      <c r="B6" s="67"/>
      <c r="C6" s="68"/>
      <c r="D6" s="68"/>
      <c r="E6" s="68"/>
      <c r="F6" s="68"/>
      <c r="G6" s="68"/>
      <c r="H6" s="68"/>
      <c r="I6" s="349"/>
      <c r="J6" s="349"/>
      <c r="K6" s="349"/>
      <c r="L6" s="349"/>
      <c r="M6" s="68"/>
      <c r="N6" s="71"/>
    </row>
    <row r="7" spans="2:25" ht="12.75" customHeight="1" x14ac:dyDescent="0.2">
      <c r="B7" s="67"/>
      <c r="C7" s="68"/>
      <c r="D7" s="68"/>
      <c r="E7" s="68"/>
      <c r="F7" s="68"/>
      <c r="G7" s="68"/>
      <c r="H7" s="68"/>
      <c r="I7" s="349"/>
      <c r="J7" s="349"/>
      <c r="K7" s="349"/>
      <c r="L7" s="349"/>
      <c r="M7" s="68"/>
      <c r="N7" s="71"/>
    </row>
    <row r="8" spans="2:25" s="336" customFormat="1" ht="12.75" customHeight="1" x14ac:dyDescent="0.2">
      <c r="B8" s="387"/>
      <c r="C8" s="657"/>
      <c r="D8" s="1023" t="s">
        <v>200</v>
      </c>
      <c r="E8" s="1119"/>
      <c r="F8" s="1119"/>
      <c r="G8" s="1119"/>
      <c r="H8" s="1120">
        <f>tab!D4</f>
        <v>2015</v>
      </c>
      <c r="I8" s="1120">
        <f>tab!E4</f>
        <v>2016</v>
      </c>
      <c r="J8" s="1120">
        <f t="shared" ref="J8:L9" si="0">I8+1</f>
        <v>2017</v>
      </c>
      <c r="K8" s="1120">
        <f t="shared" si="0"/>
        <v>2018</v>
      </c>
      <c r="L8" s="1120">
        <f t="shared" si="0"/>
        <v>2019</v>
      </c>
      <c r="M8" s="657"/>
      <c r="N8" s="388"/>
      <c r="Q8" s="203"/>
      <c r="U8" s="450"/>
      <c r="V8" s="450"/>
      <c r="W8" s="450"/>
      <c r="X8" s="450"/>
      <c r="Y8" s="450"/>
    </row>
    <row r="9" spans="2:25" s="336" customFormat="1" ht="12.75" customHeight="1" x14ac:dyDescent="0.2">
      <c r="B9" s="387"/>
      <c r="C9" s="657"/>
      <c r="D9" s="1023" t="s">
        <v>111</v>
      </c>
      <c r="E9" s="1029"/>
      <c r="F9" s="1029"/>
      <c r="G9" s="1029"/>
      <c r="H9" s="1024">
        <f>tab!C4</f>
        <v>2014</v>
      </c>
      <c r="I9" s="1024">
        <f>tab!D4</f>
        <v>2015</v>
      </c>
      <c r="J9" s="1024">
        <f t="shared" si="0"/>
        <v>2016</v>
      </c>
      <c r="K9" s="1024">
        <f t="shared" si="0"/>
        <v>2017</v>
      </c>
      <c r="L9" s="1024">
        <f t="shared" si="0"/>
        <v>2018</v>
      </c>
      <c r="M9" s="660"/>
      <c r="N9" s="661"/>
      <c r="Q9" s="203"/>
      <c r="U9" s="450"/>
      <c r="V9" s="450"/>
      <c r="W9" s="450"/>
      <c r="X9" s="450"/>
      <c r="Y9" s="450"/>
    </row>
    <row r="10" spans="2:25" s="336" customFormat="1" ht="12.75" customHeight="1" x14ac:dyDescent="0.2">
      <c r="B10" s="387"/>
      <c r="C10" s="657"/>
      <c r="D10" s="1023" t="s">
        <v>520</v>
      </c>
      <c r="E10" s="1029"/>
      <c r="F10" s="1029"/>
      <c r="G10" s="1029"/>
      <c r="H10" s="1024">
        <f>H8</f>
        <v>2015</v>
      </c>
      <c r="I10" s="1024">
        <f>I8</f>
        <v>2016</v>
      </c>
      <c r="J10" s="1024">
        <f>J8</f>
        <v>2017</v>
      </c>
      <c r="K10" s="1024">
        <f>K8</f>
        <v>2018</v>
      </c>
      <c r="L10" s="1024">
        <f>L8</f>
        <v>2019</v>
      </c>
      <c r="M10" s="660"/>
      <c r="N10" s="661"/>
      <c r="Q10" s="203"/>
      <c r="U10" s="450"/>
      <c r="V10" s="450"/>
      <c r="W10" s="450"/>
      <c r="X10" s="450"/>
      <c r="Y10" s="450"/>
    </row>
    <row r="11" spans="2:25" ht="12.75" customHeight="1" x14ac:dyDescent="0.2">
      <c r="B11" s="67"/>
      <c r="C11" s="68"/>
      <c r="D11" s="644"/>
      <c r="E11" s="84"/>
      <c r="F11" s="84"/>
      <c r="G11" s="84"/>
      <c r="H11" s="84"/>
      <c r="I11" s="349"/>
      <c r="J11" s="662"/>
      <c r="K11" s="662"/>
      <c r="L11" s="662"/>
      <c r="M11" s="68"/>
      <c r="N11" s="71"/>
    </row>
    <row r="12" spans="2:25" ht="12.75" customHeight="1" x14ac:dyDescent="0.2">
      <c r="B12" s="95"/>
      <c r="C12" s="118"/>
      <c r="D12" s="691"/>
      <c r="E12" s="402"/>
      <c r="F12" s="402"/>
      <c r="G12" s="402"/>
      <c r="H12" s="402"/>
      <c r="I12" s="407"/>
      <c r="J12" s="692"/>
      <c r="K12" s="692"/>
      <c r="L12" s="692"/>
      <c r="M12" s="121"/>
      <c r="N12" s="71"/>
    </row>
    <row r="13" spans="2:25" ht="12.75" customHeight="1" x14ac:dyDescent="0.2">
      <c r="B13" s="95"/>
      <c r="C13" s="122"/>
      <c r="D13" s="1025" t="s">
        <v>138</v>
      </c>
      <c r="E13" s="127"/>
      <c r="F13" s="127"/>
      <c r="G13" s="127"/>
      <c r="H13" s="127"/>
      <c r="I13" s="693"/>
      <c r="J13" s="694"/>
      <c r="K13" s="694"/>
      <c r="L13" s="694"/>
      <c r="M13" s="125"/>
      <c r="N13" s="71"/>
    </row>
    <row r="14" spans="2:25" ht="12.75" customHeight="1" x14ac:dyDescent="0.2">
      <c r="B14" s="95"/>
      <c r="C14" s="122"/>
      <c r="D14" s="1121"/>
      <c r="E14" s="127"/>
      <c r="F14" s="190"/>
      <c r="G14" s="127"/>
      <c r="H14" s="127"/>
      <c r="I14" s="693"/>
      <c r="J14" s="694"/>
      <c r="K14" s="694"/>
      <c r="L14" s="694"/>
      <c r="M14" s="125"/>
      <c r="N14" s="71"/>
    </row>
    <row r="15" spans="2:25" ht="12.75" customHeight="1" x14ac:dyDescent="0.2">
      <c r="B15" s="95"/>
      <c r="C15" s="122"/>
      <c r="D15" s="576" t="s">
        <v>405</v>
      </c>
      <c r="E15" s="127"/>
      <c r="F15" s="190"/>
      <c r="G15" s="127"/>
      <c r="H15" s="127"/>
      <c r="I15" s="693"/>
      <c r="J15" s="694"/>
      <c r="K15" s="694"/>
      <c r="L15" s="694"/>
      <c r="M15" s="125"/>
      <c r="N15" s="71"/>
    </row>
    <row r="16" spans="2:25" s="196" customFormat="1" ht="12.75" customHeight="1" x14ac:dyDescent="0.2">
      <c r="B16" s="207"/>
      <c r="C16" s="232"/>
      <c r="D16" s="136" t="s">
        <v>170</v>
      </c>
      <c r="E16" s="165"/>
      <c r="F16" s="165"/>
      <c r="G16" s="165"/>
      <c r="H16" s="1141">
        <f>IF(geg!F43=0,(VLOOKUP(geg!F61,tab!$D$117:$E$166,2,FALSE)),(VLOOKUP(geg!F62,tab!$D$117:$E$166,2,FALSE))+(VLOOKUP(geg!F63,tab!$D$117:$E$166,2,FALSE)))</f>
        <v>105477</v>
      </c>
      <c r="I16" s="1141">
        <f>IF(geg!G43=0,(VLOOKUP(geg!G61,tab!$I$117:$J$166,2,FALSE)),(VLOOKUP(geg!G62,tab!$I$117:$J$166,2,FALSE))+(VLOOKUP(geg!G63,tab!$I$117:$J$166,2,FALSE)))</f>
        <v>109578</v>
      </c>
      <c r="J16" s="1141">
        <f>IF(geg!H43=0,(VLOOKUP(geg!H61,tab!$I$117:$J$166,2,FALSE)),(VLOOKUP(geg!H62,tab!$I$117:$J$166,2,FALSE))+(VLOOKUP(geg!H63,tab!$I$117:$J$166,2,FALSE)))</f>
        <v>109578</v>
      </c>
      <c r="K16" s="1141">
        <f>IF(geg!I43=0,(VLOOKUP(geg!I61,tab!$I$117:$J$166,2,FALSE)),(VLOOKUP(geg!I62,tab!$I$117:$J$166,2,FALSE))+(VLOOKUP(geg!I63,tab!$I$117:$J$166,2,FALSE)))</f>
        <v>109578</v>
      </c>
      <c r="L16" s="1141">
        <f>IF(geg!J43=0,(VLOOKUP(geg!J61,tab!$I$117:$J$166,2,FALSE)),(VLOOKUP(geg!J62,tab!$I$117:$J$166,2,FALSE))+(VLOOKUP(geg!J63,tab!$I$117:$J$166,2,FALSE)))</f>
        <v>109578</v>
      </c>
      <c r="M16" s="696"/>
      <c r="N16" s="663"/>
      <c r="Q16" s="453"/>
    </row>
    <row r="17" spans="2:17" ht="12.75" customHeight="1" x14ac:dyDescent="0.2">
      <c r="B17" s="67"/>
      <c r="C17" s="126"/>
      <c r="D17" s="136" t="s">
        <v>172</v>
      </c>
      <c r="E17" s="124"/>
      <c r="F17" s="124"/>
      <c r="G17" s="124"/>
      <c r="H17" s="1141">
        <f>IF(geg!F$25=0,0,(+tab!$D110+(tab!$E110*geg!F$25)))</f>
        <v>60368.580000000009</v>
      </c>
      <c r="I17" s="1141">
        <f>IF(geg!G$25=0,0,(+tab!$I110+(tab!$J110*geg!G$25)))</f>
        <v>62847.770000000004</v>
      </c>
      <c r="J17" s="1141">
        <f>IF(geg!H$25=0,0,(+tab!$I110+(tab!$J110*geg!H$25)))</f>
        <v>62847.770000000004</v>
      </c>
      <c r="K17" s="1141">
        <f>IF(geg!I$25=0,0,(+tab!$I110+(tab!$J110*geg!I$25)))</f>
        <v>62847.770000000004</v>
      </c>
      <c r="L17" s="1141">
        <f>IF(geg!J$25=0,0,(+tab!$I110+(tab!$J110*geg!J$25)))</f>
        <v>62847.770000000004</v>
      </c>
      <c r="M17" s="697"/>
      <c r="N17" s="664"/>
    </row>
    <row r="18" spans="2:17" s="17" customFormat="1" ht="12.75" customHeight="1" x14ac:dyDescent="0.2">
      <c r="B18" s="95"/>
      <c r="C18" s="122"/>
      <c r="D18" s="962" t="s">
        <v>496</v>
      </c>
      <c r="E18" s="165"/>
      <c r="F18" s="165"/>
      <c r="G18" s="165"/>
      <c r="H18" s="1141">
        <f>IF(geg!F$27=0,0,(+tab!$D112+(tab!$E112*geg!F$27)))</f>
        <v>26798.399999999998</v>
      </c>
      <c r="I18" s="1141">
        <f>IF(geg!G$27=0,0,(+tab!$I112+(tab!$J112*geg!G$27)))</f>
        <v>27076.170000000002</v>
      </c>
      <c r="J18" s="1141">
        <f>IF(geg!H$27=0,0,(+tab!$I112+(tab!$J112*geg!H$27)))</f>
        <v>27076.170000000002</v>
      </c>
      <c r="K18" s="1141">
        <f>IF(geg!I$27=0,0,(+tab!$I112+(tab!$J112*geg!I$27)))</f>
        <v>27076.170000000002</v>
      </c>
      <c r="L18" s="1141">
        <f>IF(geg!J$27=0,0,(+tab!$I112+(tab!$J112*geg!J$27)))</f>
        <v>27076.170000000002</v>
      </c>
      <c r="M18" s="698"/>
      <c r="N18" s="665"/>
      <c r="Q18" s="453"/>
    </row>
    <row r="19" spans="2:17" s="17" customFormat="1" ht="12.75" customHeight="1" x14ac:dyDescent="0.2">
      <c r="B19" s="95"/>
      <c r="C19" s="122"/>
      <c r="D19" s="235"/>
      <c r="E19" s="130"/>
      <c r="F19" s="225">
        <v>0</v>
      </c>
      <c r="G19" s="130"/>
      <c r="H19" s="1140">
        <f>SUM(H16:H18)</f>
        <v>192643.98</v>
      </c>
      <c r="I19" s="1140">
        <f>SUM(I16:I18)</f>
        <v>199501.94000000003</v>
      </c>
      <c r="J19" s="1140">
        <f>SUM(J16:J18)</f>
        <v>199501.94000000003</v>
      </c>
      <c r="K19" s="1140">
        <f>SUM(K16:K18)</f>
        <v>199501.94000000003</v>
      </c>
      <c r="L19" s="1140">
        <f>SUM(L16:L18)</f>
        <v>199501.94000000003</v>
      </c>
      <c r="M19" s="698"/>
      <c r="N19" s="665"/>
      <c r="Q19" s="453"/>
    </row>
    <row r="20" spans="2:17" ht="12.75" customHeight="1" x14ac:dyDescent="0.2">
      <c r="B20" s="67"/>
      <c r="C20" s="122"/>
      <c r="D20" s="1343" t="s">
        <v>603</v>
      </c>
      <c r="E20" s="130"/>
      <c r="F20" s="130"/>
      <c r="G20" s="189"/>
      <c r="H20" s="189"/>
      <c r="I20" s="699"/>
      <c r="J20" s="699"/>
      <c r="K20" s="699"/>
      <c r="L20" s="699"/>
      <c r="M20" s="698"/>
      <c r="N20" s="665"/>
    </row>
    <row r="21" spans="2:17" ht="12.75" customHeight="1" x14ac:dyDescent="0.2">
      <c r="B21" s="67"/>
      <c r="C21" s="122"/>
      <c r="D21" s="432"/>
      <c r="E21" s="124"/>
      <c r="F21" s="225">
        <v>0</v>
      </c>
      <c r="G21" s="130"/>
      <c r="H21" s="307">
        <v>0</v>
      </c>
      <c r="I21" s="307">
        <v>0</v>
      </c>
      <c r="J21" s="307">
        <f t="shared" ref="J21:L21" si="1">I21</f>
        <v>0</v>
      </c>
      <c r="K21" s="307">
        <f t="shared" si="1"/>
        <v>0</v>
      </c>
      <c r="L21" s="307">
        <f t="shared" si="1"/>
        <v>0</v>
      </c>
      <c r="M21" s="698"/>
      <c r="N21" s="665"/>
    </row>
    <row r="22" spans="2:17" ht="12.75" customHeight="1" x14ac:dyDescent="0.2">
      <c r="B22" s="67"/>
      <c r="C22" s="122"/>
      <c r="D22" s="432"/>
      <c r="E22" s="130"/>
      <c r="F22" s="225">
        <v>0</v>
      </c>
      <c r="G22" s="130"/>
      <c r="H22" s="307">
        <v>0</v>
      </c>
      <c r="I22" s="307">
        <v>0</v>
      </c>
      <c r="J22" s="307">
        <f t="shared" ref="J22:L23" si="2">I22</f>
        <v>0</v>
      </c>
      <c r="K22" s="307">
        <f t="shared" si="2"/>
        <v>0</v>
      </c>
      <c r="L22" s="307">
        <f t="shared" si="2"/>
        <v>0</v>
      </c>
      <c r="M22" s="698"/>
      <c r="N22" s="665"/>
    </row>
    <row r="23" spans="2:17" ht="12.75" customHeight="1" x14ac:dyDescent="0.2">
      <c r="B23" s="67"/>
      <c r="C23" s="122"/>
      <c r="D23" s="432"/>
      <c r="E23" s="130"/>
      <c r="F23" s="225">
        <v>0</v>
      </c>
      <c r="G23" s="130"/>
      <c r="H23" s="307">
        <v>0</v>
      </c>
      <c r="I23" s="307">
        <v>0</v>
      </c>
      <c r="J23" s="307">
        <f t="shared" si="2"/>
        <v>0</v>
      </c>
      <c r="K23" s="307">
        <f t="shared" si="2"/>
        <v>0</v>
      </c>
      <c r="L23" s="307">
        <f t="shared" si="2"/>
        <v>0</v>
      </c>
      <c r="M23" s="698"/>
      <c r="N23" s="665"/>
    </row>
    <row r="24" spans="2:17" ht="12.75" customHeight="1" x14ac:dyDescent="0.2">
      <c r="B24" s="67"/>
      <c r="C24" s="122"/>
      <c r="D24" s="235"/>
      <c r="E24" s="130"/>
      <c r="F24" s="130"/>
      <c r="G24" s="130"/>
      <c r="H24" s="1138">
        <f>SUM(H21:H23)</f>
        <v>0</v>
      </c>
      <c r="I24" s="1138">
        <f>SUM(I21:I23)</f>
        <v>0</v>
      </c>
      <c r="J24" s="1138">
        <f>SUM(J21:J23)</f>
        <v>0</v>
      </c>
      <c r="K24" s="1138">
        <f>SUM(K21:K23)</f>
        <v>0</v>
      </c>
      <c r="L24" s="1138">
        <f>SUM(L21:L23)</f>
        <v>0</v>
      </c>
      <c r="M24" s="698"/>
      <c r="N24" s="665"/>
    </row>
    <row r="25" spans="2:17" ht="12.75" customHeight="1" x14ac:dyDescent="0.2">
      <c r="B25" s="67"/>
      <c r="C25" s="122"/>
      <c r="D25" s="576" t="s">
        <v>497</v>
      </c>
      <c r="E25" s="130"/>
      <c r="F25" s="130"/>
      <c r="G25" s="130"/>
      <c r="H25" s="961"/>
      <c r="I25" s="961"/>
      <c r="J25" s="961"/>
      <c r="K25" s="961"/>
      <c r="L25" s="961"/>
      <c r="M25" s="698"/>
      <c r="N25" s="665"/>
    </row>
    <row r="26" spans="2:17" ht="12.75" hidden="1" customHeight="1" x14ac:dyDescent="0.2">
      <c r="B26" s="67"/>
      <c r="C26" s="122"/>
      <c r="D26" s="165" t="s">
        <v>105</v>
      </c>
      <c r="E26" s="1030"/>
      <c r="F26" s="1030"/>
      <c r="G26" s="1030"/>
      <c r="H26" s="1030"/>
      <c r="I26" s="1144"/>
      <c r="J26" s="1145"/>
      <c r="K26" s="1145"/>
      <c r="L26" s="1145"/>
      <c r="M26" s="698"/>
      <c r="N26" s="665"/>
    </row>
    <row r="27" spans="2:17" ht="12.75" hidden="1" customHeight="1" x14ac:dyDescent="0.2">
      <c r="B27" s="67"/>
      <c r="C27" s="122"/>
      <c r="D27" s="528" t="s">
        <v>170</v>
      </c>
      <c r="E27" s="1027"/>
      <c r="F27" s="1027"/>
      <c r="G27" s="1027"/>
      <c r="H27" s="1146">
        <f>IF(geg!F44=0,(VLOOKUP(geg!F71,tab!$D$117:$E$166,2,FALSE)),(VLOOKUP(geg!F72,tab!$D$117:$E$166,2,FALSE))+(VLOOKUP(geg!F73,tab!$D$117:$E$166,2,FALSE)))</f>
        <v>105477</v>
      </c>
      <c r="I27" s="1146">
        <f>IF(geg!G44=0,(VLOOKUP(geg!G71,tab!$I$117:$J$166,2,FALSE)),(VLOOKUP(geg!G72,tab!$I$117:$J$166,2,FALSE))+(VLOOKUP(geg!G73,tab!$I$117:$J$166,2,FALSE)))</f>
        <v>109578</v>
      </c>
      <c r="J27" s="1146">
        <f>IF(geg!H44=0,(VLOOKUP(geg!H71,tab!$I$117:$J$166,2,FALSE)),(VLOOKUP(geg!H72,tab!$I$117:$J$166,2,FALSE))+(VLOOKUP(geg!H73,tab!$I$117:$J$166,2,FALSE)))</f>
        <v>109578</v>
      </c>
      <c r="K27" s="1146">
        <f>IF(geg!I44=0,(VLOOKUP(geg!I71,tab!$I$117:$J$166,2,FALSE)),(VLOOKUP(geg!I72,tab!$I$117:$J$166,2,FALSE))+(VLOOKUP(geg!I73,tab!$I$117:$J$166,2,FALSE)))</f>
        <v>109578</v>
      </c>
      <c r="L27" s="1146">
        <f>IF(geg!J44=0,(VLOOKUP(geg!J71,tab!$I$117:$J$166,2,FALSE)),(VLOOKUP(geg!J72,tab!$I$117:$J$166,2,FALSE))+(VLOOKUP(geg!J73,tab!$I$117:$J$166,2,FALSE)))</f>
        <v>109578</v>
      </c>
      <c r="M27" s="698"/>
      <c r="N27" s="665"/>
    </row>
    <row r="28" spans="2:17" ht="12.75" hidden="1" customHeight="1" x14ac:dyDescent="0.2">
      <c r="B28" s="67"/>
      <c r="C28" s="122"/>
      <c r="D28" s="528" t="s">
        <v>172</v>
      </c>
      <c r="E28" s="1027"/>
      <c r="F28" s="1027"/>
      <c r="G28" s="1027"/>
      <c r="H28" s="1146">
        <f>IF(geg!F$30=0,0,(tab!$D110+(tab!$E110*geg!F$30)))</f>
        <v>61934.380000000005</v>
      </c>
      <c r="I28" s="1146">
        <f>IF(geg!G$30=0,0,(tab!$I110+(tab!$J110*geg!G$30)))</f>
        <v>63804.41</v>
      </c>
      <c r="J28" s="1146">
        <f>IF(geg!H$30=0,0,(tab!$I110+(tab!$J110*geg!H$30)))</f>
        <v>63804.41</v>
      </c>
      <c r="K28" s="1146">
        <f>IF(geg!I$30=0,0,(tab!$I110+(tab!$J110*geg!I$30)))</f>
        <v>63804.41</v>
      </c>
      <c r="L28" s="1146">
        <f>IF(geg!J$30=0,0,(tab!$I110+(tab!$J110*geg!J$30)))</f>
        <v>63804.41</v>
      </c>
      <c r="M28" s="698"/>
      <c r="N28" s="665"/>
    </row>
    <row r="29" spans="2:17" ht="12.75" hidden="1" customHeight="1" x14ac:dyDescent="0.2">
      <c r="B29" s="67"/>
      <c r="C29" s="122"/>
      <c r="D29" s="528" t="s">
        <v>353</v>
      </c>
      <c r="E29" s="1027"/>
      <c r="F29" s="1027"/>
      <c r="G29" s="1027"/>
      <c r="H29" s="1146">
        <f>IF(geg!F30=0,0,(tab!$D112+(tab!$E112*geg!F30)))</f>
        <v>34614.6</v>
      </c>
      <c r="I29" s="1146">
        <f>IF(geg!G30=0,0,(tab!$I112+(tab!$J112*geg!G30)))</f>
        <v>35355.660000000003</v>
      </c>
      <c r="J29" s="1146">
        <f>IF(geg!H30=0,0,(tab!$I112+(tab!$J112*geg!H30)))</f>
        <v>35355.660000000003</v>
      </c>
      <c r="K29" s="1146">
        <f>IF(geg!I30=0,0,(tab!$I112+(tab!$J112*geg!I30)))</f>
        <v>35355.660000000003</v>
      </c>
      <c r="L29" s="1146">
        <f>IF(geg!J30=0,0,(tab!$I112+(tab!$J112*geg!J30)))</f>
        <v>35355.660000000003</v>
      </c>
      <c r="M29" s="698"/>
      <c r="N29" s="665"/>
    </row>
    <row r="30" spans="2:17" ht="12.75" hidden="1" customHeight="1" x14ac:dyDescent="0.2">
      <c r="B30" s="67"/>
      <c r="C30" s="122"/>
      <c r="D30" s="165" t="s">
        <v>291</v>
      </c>
      <c r="E30" s="1030"/>
      <c r="F30" s="1030"/>
      <c r="G30" s="1030"/>
      <c r="H30" s="1147">
        <f>SUM(H27:H29)</f>
        <v>202025.98</v>
      </c>
      <c r="I30" s="1147">
        <f>SUM(I27:I29)</f>
        <v>208738.07</v>
      </c>
      <c r="J30" s="1147">
        <f>SUM(J27:J29)</f>
        <v>208738.07</v>
      </c>
      <c r="K30" s="1147">
        <f>SUM(K27:K29)</f>
        <v>208738.07</v>
      </c>
      <c r="L30" s="1147">
        <f>SUM(L27:L29)</f>
        <v>208738.07</v>
      </c>
      <c r="M30" s="698"/>
      <c r="N30" s="665"/>
    </row>
    <row r="31" spans="2:17" ht="12.75" customHeight="1" x14ac:dyDescent="0.2">
      <c r="B31" s="67"/>
      <c r="C31" s="122"/>
      <c r="D31" s="136" t="s">
        <v>174</v>
      </c>
      <c r="E31" s="130"/>
      <c r="F31" s="127"/>
      <c r="G31" s="127"/>
      <c r="H31" s="1141">
        <f>IF(geg!F25=0,0,(geg!F25-geg!F27)*tab!$E112)</f>
        <v>6699.5999999999995</v>
      </c>
      <c r="I31" s="1141">
        <f>IF(geg!G25=0,0,(geg!G25-geg!G27)*tab!$J112)</f>
        <v>7608.18</v>
      </c>
      <c r="J31" s="1141">
        <f>IF(geg!H25=0,0,(geg!H25-geg!H27)*tab!$J112)</f>
        <v>7608.18</v>
      </c>
      <c r="K31" s="1141">
        <f>IF(geg!I25=0,0,(geg!I25-geg!I27)*tab!$J112)</f>
        <v>7608.18</v>
      </c>
      <c r="L31" s="1141">
        <f>IF(geg!J25=0,0,(geg!J25-geg!J27)*tab!$J112)</f>
        <v>7608.18</v>
      </c>
      <c r="M31" s="698"/>
      <c r="N31" s="665"/>
    </row>
    <row r="32" spans="2:17" ht="12.75" customHeight="1" x14ac:dyDescent="0.2">
      <c r="B32" s="67"/>
      <c r="C32" s="122"/>
      <c r="D32" s="136" t="s">
        <v>175</v>
      </c>
      <c r="E32" s="130"/>
      <c r="F32" s="124"/>
      <c r="G32" s="124"/>
      <c r="H32" s="1142">
        <f>IF(geg!$F$56="ja",IF((H30-H31-H19)&lt;0,0,H30-H31-H19),0)</f>
        <v>2682.3999999999942</v>
      </c>
      <c r="I32" s="1142">
        <f>IF(geg!$F$56="ja",IF((I30-I31-I19)&lt;0,0,I30-I31-I19),0)</f>
        <v>1627.9499999999825</v>
      </c>
      <c r="J32" s="1142">
        <f>IF(geg!$F$56="ja",IF((J30-J31-J19)&lt;0,0,J30-J31-J19),0)</f>
        <v>1627.9499999999825</v>
      </c>
      <c r="K32" s="1142">
        <f>IF(geg!$F$56="ja",IF((K30-K31-K19)&lt;0,0,K30-K31-K19),0)</f>
        <v>1627.9499999999825</v>
      </c>
      <c r="L32" s="1142">
        <f>IF(geg!$F$56="ja",IF((L30-L31-L19)&lt;0,0,L30-L31-L19),0)</f>
        <v>1627.9499999999825</v>
      </c>
      <c r="M32" s="698"/>
      <c r="N32" s="665"/>
    </row>
    <row r="33" spans="2:28" ht="12.75" customHeight="1" x14ac:dyDescent="0.2">
      <c r="B33" s="67"/>
      <c r="C33" s="122"/>
      <c r="D33" s="1187"/>
      <c r="E33" s="124"/>
      <c r="F33" s="130"/>
      <c r="G33" s="124"/>
      <c r="H33" s="228">
        <v>0</v>
      </c>
      <c r="I33" s="228">
        <v>0</v>
      </c>
      <c r="J33" s="228">
        <v>0</v>
      </c>
      <c r="K33" s="228">
        <v>0</v>
      </c>
      <c r="L33" s="228">
        <v>0</v>
      </c>
      <c r="M33" s="698"/>
      <c r="N33" s="665"/>
    </row>
    <row r="34" spans="2:28" ht="12.75" customHeight="1" x14ac:dyDescent="0.2">
      <c r="B34" s="67"/>
      <c r="C34" s="122"/>
      <c r="D34" s="1187"/>
      <c r="E34" s="124"/>
      <c r="F34" s="130"/>
      <c r="G34" s="124"/>
      <c r="H34" s="228">
        <v>0</v>
      </c>
      <c r="I34" s="228">
        <v>0</v>
      </c>
      <c r="J34" s="228">
        <v>0</v>
      </c>
      <c r="K34" s="228">
        <v>0</v>
      </c>
      <c r="L34" s="228">
        <v>0</v>
      </c>
      <c r="M34" s="698"/>
      <c r="N34" s="665"/>
    </row>
    <row r="35" spans="2:28" ht="12.75" customHeight="1" x14ac:dyDescent="0.2">
      <c r="B35" s="67"/>
      <c r="C35" s="122"/>
      <c r="D35" s="1187"/>
      <c r="E35" s="124"/>
      <c r="F35" s="130"/>
      <c r="G35" s="124"/>
      <c r="H35" s="228">
        <v>0</v>
      </c>
      <c r="I35" s="228">
        <v>0</v>
      </c>
      <c r="J35" s="228">
        <v>0</v>
      </c>
      <c r="K35" s="228">
        <v>0</v>
      </c>
      <c r="L35" s="228">
        <v>0</v>
      </c>
      <c r="M35" s="698"/>
      <c r="N35" s="665"/>
    </row>
    <row r="36" spans="2:28" ht="12.75" customHeight="1" x14ac:dyDescent="0.2">
      <c r="B36" s="67"/>
      <c r="C36" s="122"/>
      <c r="D36" s="1187"/>
      <c r="E36" s="124"/>
      <c r="F36" s="130"/>
      <c r="G36" s="124"/>
      <c r="H36" s="228">
        <v>0</v>
      </c>
      <c r="I36" s="228">
        <v>0</v>
      </c>
      <c r="J36" s="228">
        <v>0</v>
      </c>
      <c r="K36" s="228">
        <v>0</v>
      </c>
      <c r="L36" s="228">
        <v>0</v>
      </c>
      <c r="M36" s="698"/>
      <c r="N36" s="665"/>
    </row>
    <row r="37" spans="2:28" ht="12.75" customHeight="1" x14ac:dyDescent="0.2">
      <c r="B37" s="67"/>
      <c r="C37" s="122"/>
      <c r="D37" s="1187"/>
      <c r="E37" s="124"/>
      <c r="F37" s="130"/>
      <c r="G37" s="124"/>
      <c r="H37" s="228">
        <v>0</v>
      </c>
      <c r="I37" s="228">
        <v>0</v>
      </c>
      <c r="J37" s="228">
        <v>0</v>
      </c>
      <c r="K37" s="228">
        <v>0</v>
      </c>
      <c r="L37" s="228">
        <v>0</v>
      </c>
      <c r="M37" s="698"/>
      <c r="N37" s="665"/>
    </row>
    <row r="38" spans="2:28" ht="12.75" customHeight="1" x14ac:dyDescent="0.2">
      <c r="B38" s="67"/>
      <c r="C38" s="122"/>
      <c r="D38" s="235"/>
      <c r="E38" s="130"/>
      <c r="F38" s="130"/>
      <c r="G38" s="130"/>
      <c r="H38" s="1148">
        <f>SUM(H31:H37)</f>
        <v>9381.9999999999927</v>
      </c>
      <c r="I38" s="1148">
        <f>SUM(I31:I37)</f>
        <v>9236.1299999999828</v>
      </c>
      <c r="J38" s="1148">
        <f>SUM(J31:J37)</f>
        <v>9236.1299999999828</v>
      </c>
      <c r="K38" s="1148">
        <f>SUM(K31:K37)</f>
        <v>9236.1299999999828</v>
      </c>
      <c r="L38" s="1148">
        <f>SUM(L31:L37)</f>
        <v>9236.1299999999828</v>
      </c>
      <c r="M38" s="698"/>
      <c r="N38" s="665"/>
    </row>
    <row r="39" spans="2:28" ht="12.75" customHeight="1" x14ac:dyDescent="0.2">
      <c r="B39" s="67"/>
      <c r="C39" s="122"/>
      <c r="D39" s="534" t="s">
        <v>88</v>
      </c>
      <c r="E39" s="130"/>
      <c r="F39" s="130"/>
      <c r="G39" s="124"/>
      <c r="H39" s="124"/>
      <c r="I39" s="130"/>
      <c r="J39" s="130"/>
      <c r="K39" s="130"/>
      <c r="L39" s="693"/>
      <c r="M39" s="698"/>
      <c r="N39" s="665"/>
    </row>
    <row r="40" spans="2:28" ht="12.75" customHeight="1" x14ac:dyDescent="0.2">
      <c r="B40" s="67"/>
      <c r="C40" s="122"/>
      <c r="D40" s="576" t="s">
        <v>89</v>
      </c>
      <c r="E40" s="130"/>
      <c r="F40" s="130"/>
      <c r="G40" s="124"/>
      <c r="H40" s="124"/>
      <c r="I40" s="701"/>
      <c r="J40" s="701"/>
      <c r="K40" s="701"/>
      <c r="L40" s="693"/>
      <c r="M40" s="698"/>
      <c r="N40" s="665"/>
    </row>
    <row r="41" spans="2:28" ht="12.75" customHeight="1" x14ac:dyDescent="0.2">
      <c r="B41" s="67"/>
      <c r="C41" s="122"/>
      <c r="D41" s="518" t="s">
        <v>104</v>
      </c>
      <c r="E41" s="130"/>
      <c r="G41" s="124"/>
      <c r="H41" s="1077">
        <f>$F$19*H19+$F$21*H21+$F$22*H22+$F$23*H23</f>
        <v>0</v>
      </c>
      <c r="I41" s="1077">
        <f>$F$19*I19+$F$21*I21+$F$22*I22+$F$23*I23</f>
        <v>0</v>
      </c>
      <c r="J41" s="1077">
        <f>$F$19*J19+$F$21*J21+$F$22*J22+$F$23*J23</f>
        <v>0</v>
      </c>
      <c r="K41" s="1077">
        <f>$F$19*K19+$F$21*K21+$F$22*K22+$F$23*K23</f>
        <v>0</v>
      </c>
      <c r="L41" s="1077">
        <f>$F$19*L19+$F$21*L21+$F$22*L22+$F$23*L23</f>
        <v>0</v>
      </c>
      <c r="M41" s="698"/>
      <c r="N41" s="665"/>
    </row>
    <row r="42" spans="2:28" ht="12.75" customHeight="1" x14ac:dyDescent="0.2">
      <c r="B42" s="67"/>
      <c r="C42" s="122"/>
      <c r="D42" s="1187"/>
      <c r="E42" s="124"/>
      <c r="F42" s="130"/>
      <c r="G42" s="124"/>
      <c r="H42" s="228">
        <v>0</v>
      </c>
      <c r="I42" s="228">
        <v>0</v>
      </c>
      <c r="J42" s="228">
        <v>0</v>
      </c>
      <c r="K42" s="228">
        <v>0</v>
      </c>
      <c r="L42" s="228">
        <v>0</v>
      </c>
      <c r="M42" s="698"/>
      <c r="N42" s="665"/>
    </row>
    <row r="43" spans="2:28" ht="12.75" customHeight="1" x14ac:dyDescent="0.2">
      <c r="B43" s="67"/>
      <c r="C43" s="122"/>
      <c r="D43" s="1187"/>
      <c r="E43" s="124"/>
      <c r="F43" s="130"/>
      <c r="G43" s="124"/>
      <c r="H43" s="228">
        <v>0</v>
      </c>
      <c r="I43" s="228">
        <v>0</v>
      </c>
      <c r="J43" s="228">
        <v>0</v>
      </c>
      <c r="K43" s="228">
        <v>0</v>
      </c>
      <c r="L43" s="228">
        <v>0</v>
      </c>
      <c r="M43" s="698"/>
      <c r="N43" s="665"/>
      <c r="Q43" s="484"/>
    </row>
    <row r="44" spans="2:28" ht="12.75" customHeight="1" x14ac:dyDescent="0.2">
      <c r="B44" s="67"/>
      <c r="C44" s="122"/>
      <c r="D44" s="1187"/>
      <c r="E44" s="124"/>
      <c r="F44" s="128"/>
      <c r="G44" s="124"/>
      <c r="H44" s="228">
        <v>0</v>
      </c>
      <c r="I44" s="228">
        <v>0</v>
      </c>
      <c r="J44" s="228">
        <v>0</v>
      </c>
      <c r="K44" s="228">
        <v>0</v>
      </c>
      <c r="L44" s="228">
        <v>0</v>
      </c>
      <c r="M44" s="698"/>
      <c r="N44" s="665"/>
    </row>
    <row r="45" spans="2:28" ht="12.75" customHeight="1" x14ac:dyDescent="0.2">
      <c r="B45" s="67"/>
      <c r="C45" s="122"/>
      <c r="D45" s="1187"/>
      <c r="E45" s="124"/>
      <c r="F45" s="128"/>
      <c r="G45" s="124"/>
      <c r="H45" s="228">
        <v>0</v>
      </c>
      <c r="I45" s="228">
        <v>0</v>
      </c>
      <c r="J45" s="228">
        <v>0</v>
      </c>
      <c r="K45" s="228">
        <v>0</v>
      </c>
      <c r="L45" s="228">
        <v>0</v>
      </c>
      <c r="M45" s="698"/>
      <c r="N45" s="665"/>
    </row>
    <row r="46" spans="2:28" ht="12.75" customHeight="1" x14ac:dyDescent="0.2">
      <c r="B46" s="67"/>
      <c r="C46" s="122"/>
      <c r="D46" s="136"/>
      <c r="E46" s="124"/>
      <c r="F46" s="128"/>
      <c r="G46" s="124"/>
      <c r="H46" s="1139">
        <f>SUM(H41:H45)</f>
        <v>0</v>
      </c>
      <c r="I46" s="1139">
        <f>SUM(I41:I45)</f>
        <v>0</v>
      </c>
      <c r="J46" s="1139">
        <f>SUM(J41:J45)</f>
        <v>0</v>
      </c>
      <c r="K46" s="1139">
        <f>SUM(K41:K45)</f>
        <v>0</v>
      </c>
      <c r="L46" s="1139">
        <f>SUM(L41:L45)</f>
        <v>0</v>
      </c>
      <c r="M46" s="698"/>
      <c r="N46" s="665"/>
    </row>
    <row r="47" spans="2:28" ht="12.75" customHeight="1" x14ac:dyDescent="0.2">
      <c r="B47" s="67"/>
      <c r="C47" s="122"/>
      <c r="D47" s="528" t="s">
        <v>91</v>
      </c>
      <c r="E47" s="124"/>
      <c r="F47" s="128"/>
      <c r="G47" s="124"/>
      <c r="H47" s="124"/>
      <c r="I47" s="262"/>
      <c r="J47" s="230"/>
      <c r="K47" s="230"/>
      <c r="L47" s="230"/>
      <c r="M47" s="698"/>
      <c r="N47" s="665"/>
      <c r="P47" s="17"/>
      <c r="R47" s="17"/>
      <c r="S47" s="17"/>
      <c r="T47" s="17"/>
      <c r="U47" s="17"/>
      <c r="V47" s="17"/>
      <c r="W47" s="17"/>
      <c r="X47" s="17"/>
      <c r="Y47" s="17"/>
      <c r="Z47" s="17"/>
      <c r="AA47" s="17"/>
      <c r="AB47" s="17"/>
    </row>
    <row r="48" spans="2:28" ht="12.75" customHeight="1" x14ac:dyDescent="0.2">
      <c r="B48" s="67"/>
      <c r="C48" s="122"/>
      <c r="D48" s="1187"/>
      <c r="E48" s="124"/>
      <c r="F48" s="128"/>
      <c r="G48" s="124"/>
      <c r="H48" s="228">
        <v>0</v>
      </c>
      <c r="I48" s="228">
        <v>0</v>
      </c>
      <c r="J48" s="228">
        <v>0</v>
      </c>
      <c r="K48" s="228">
        <v>0</v>
      </c>
      <c r="L48" s="228">
        <v>0</v>
      </c>
      <c r="M48" s="698"/>
      <c r="N48" s="665"/>
    </row>
    <row r="49" spans="2:28" ht="12.75" customHeight="1" x14ac:dyDescent="0.2">
      <c r="B49" s="67"/>
      <c r="C49" s="122"/>
      <c r="D49" s="1187"/>
      <c r="E49" s="124"/>
      <c r="F49" s="128"/>
      <c r="G49" s="124"/>
      <c r="H49" s="228">
        <v>0</v>
      </c>
      <c r="I49" s="228">
        <v>0</v>
      </c>
      <c r="J49" s="228">
        <v>0</v>
      </c>
      <c r="K49" s="228">
        <v>0</v>
      </c>
      <c r="L49" s="228">
        <v>0</v>
      </c>
      <c r="M49" s="698"/>
      <c r="N49" s="665"/>
    </row>
    <row r="50" spans="2:28" ht="12.75" customHeight="1" x14ac:dyDescent="0.2">
      <c r="B50" s="67"/>
      <c r="C50" s="122"/>
      <c r="D50" s="1187"/>
      <c r="E50" s="124"/>
      <c r="F50" s="128"/>
      <c r="G50" s="124"/>
      <c r="H50" s="228">
        <v>0</v>
      </c>
      <c r="I50" s="228">
        <v>0</v>
      </c>
      <c r="J50" s="228">
        <v>0</v>
      </c>
      <c r="K50" s="228">
        <v>0</v>
      </c>
      <c r="L50" s="228">
        <v>0</v>
      </c>
      <c r="M50" s="698"/>
      <c r="N50" s="665"/>
    </row>
    <row r="51" spans="2:28" ht="12.75" customHeight="1" x14ac:dyDescent="0.2">
      <c r="B51" s="67"/>
      <c r="C51" s="122"/>
      <c r="D51" s="1187"/>
      <c r="E51" s="124"/>
      <c r="F51" s="128"/>
      <c r="G51" s="124"/>
      <c r="H51" s="228">
        <v>0</v>
      </c>
      <c r="I51" s="228">
        <v>0</v>
      </c>
      <c r="J51" s="228">
        <v>0</v>
      </c>
      <c r="K51" s="228">
        <v>0</v>
      </c>
      <c r="L51" s="228">
        <v>0</v>
      </c>
      <c r="M51" s="698"/>
      <c r="N51" s="665"/>
      <c r="P51" s="20"/>
      <c r="R51" s="20"/>
      <c r="S51" s="20"/>
      <c r="T51" s="20"/>
      <c r="U51" s="20"/>
      <c r="V51" s="20"/>
      <c r="W51" s="20"/>
      <c r="X51" s="20"/>
      <c r="Y51" s="20"/>
      <c r="Z51" s="20"/>
      <c r="AA51" s="20"/>
      <c r="AB51" s="20"/>
    </row>
    <row r="52" spans="2:28" ht="12.75" customHeight="1" x14ac:dyDescent="0.2">
      <c r="B52" s="67"/>
      <c r="C52" s="122"/>
      <c r="D52" s="1187"/>
      <c r="E52" s="124"/>
      <c r="F52" s="128"/>
      <c r="G52" s="124"/>
      <c r="H52" s="228">
        <v>0</v>
      </c>
      <c r="I52" s="228">
        <v>0</v>
      </c>
      <c r="J52" s="228">
        <v>0</v>
      </c>
      <c r="K52" s="228">
        <v>0</v>
      </c>
      <c r="L52" s="228">
        <v>0</v>
      </c>
      <c r="M52" s="698"/>
      <c r="N52" s="665"/>
    </row>
    <row r="53" spans="2:28" ht="12.75" customHeight="1" x14ac:dyDescent="0.2">
      <c r="B53" s="67"/>
      <c r="C53" s="122"/>
      <c r="D53" s="136"/>
      <c r="E53" s="130"/>
      <c r="F53" s="130"/>
      <c r="G53" s="124"/>
      <c r="H53" s="1139">
        <f>SUM(H48:H52)</f>
        <v>0</v>
      </c>
      <c r="I53" s="1139">
        <f>SUM(I48:I52)</f>
        <v>0</v>
      </c>
      <c r="J53" s="1139">
        <f>SUM(J48:J52)</f>
        <v>0</v>
      </c>
      <c r="K53" s="1139">
        <f>SUM(K48:K52)</f>
        <v>0</v>
      </c>
      <c r="L53" s="1139">
        <f>SUM(L48:L52)</f>
        <v>0</v>
      </c>
      <c r="M53" s="698"/>
      <c r="N53" s="665"/>
    </row>
    <row r="54" spans="2:28" ht="12.75" customHeight="1" x14ac:dyDescent="0.2">
      <c r="B54" s="67"/>
      <c r="C54" s="122"/>
      <c r="D54" s="136"/>
      <c r="E54" s="130"/>
      <c r="F54" s="130"/>
      <c r="G54" s="124"/>
      <c r="H54" s="700"/>
      <c r="I54" s="700"/>
      <c r="J54" s="700"/>
      <c r="K54" s="700"/>
      <c r="L54" s="700"/>
      <c r="M54" s="698"/>
      <c r="N54" s="665"/>
    </row>
    <row r="55" spans="2:28" ht="12.75" customHeight="1" x14ac:dyDescent="0.2">
      <c r="B55" s="67"/>
      <c r="C55" s="122"/>
      <c r="D55" s="165" t="s">
        <v>92</v>
      </c>
      <c r="E55" s="165"/>
      <c r="F55" s="165"/>
      <c r="G55" s="123"/>
      <c r="H55" s="1138">
        <f>H46-H53</f>
        <v>0</v>
      </c>
      <c r="I55" s="1138">
        <f>I46-I53</f>
        <v>0</v>
      </c>
      <c r="J55" s="1138">
        <f>J46-J53</f>
        <v>0</v>
      </c>
      <c r="K55" s="1138">
        <f>K46-K53</f>
        <v>0</v>
      </c>
      <c r="L55" s="1138">
        <f>L46-L53</f>
        <v>0</v>
      </c>
      <c r="M55" s="698"/>
      <c r="N55" s="665"/>
    </row>
    <row r="56" spans="2:28" ht="12.75" customHeight="1" x14ac:dyDescent="0.2">
      <c r="B56" s="67"/>
      <c r="C56" s="122"/>
      <c r="D56" s="240"/>
      <c r="E56" s="130"/>
      <c r="F56" s="130"/>
      <c r="G56" s="130"/>
      <c r="H56" s="130"/>
      <c r="I56" s="130"/>
      <c r="J56" s="130"/>
      <c r="K56" s="130"/>
      <c r="L56" s="130"/>
      <c r="M56" s="698"/>
      <c r="N56" s="665"/>
    </row>
    <row r="57" spans="2:28" ht="12.75" customHeight="1" x14ac:dyDescent="0.2">
      <c r="B57" s="67"/>
      <c r="C57" s="122"/>
      <c r="D57" s="240"/>
      <c r="E57" s="130"/>
      <c r="F57" s="130"/>
      <c r="G57" s="130"/>
      <c r="H57" s="130"/>
      <c r="I57" s="130"/>
      <c r="J57" s="130"/>
      <c r="K57" s="130"/>
      <c r="L57" s="130"/>
      <c r="M57" s="698"/>
      <c r="N57" s="665"/>
    </row>
    <row r="58" spans="2:28" ht="12.75" customHeight="1" x14ac:dyDescent="0.2">
      <c r="B58" s="67"/>
      <c r="C58" s="122"/>
      <c r="D58" s="240" t="s">
        <v>199</v>
      </c>
      <c r="E58" s="130"/>
      <c r="F58" s="130"/>
      <c r="G58" s="130"/>
      <c r="H58" s="1137">
        <f>H19+H24+H38-H55</f>
        <v>202025.98</v>
      </c>
      <c r="I58" s="1137">
        <f>I19+I24+I38-I55</f>
        <v>208738.07</v>
      </c>
      <c r="J58" s="1137">
        <f>J19+J24+J38-J55</f>
        <v>208738.07</v>
      </c>
      <c r="K58" s="1137">
        <f>K19+K24+K38-K55</f>
        <v>208738.07</v>
      </c>
      <c r="L58" s="1137">
        <f>L19+L24+L38-L55</f>
        <v>208738.07</v>
      </c>
      <c r="M58" s="698"/>
      <c r="N58" s="665"/>
    </row>
    <row r="59" spans="2:28" ht="12.75" customHeight="1" x14ac:dyDescent="0.2">
      <c r="B59" s="67"/>
      <c r="C59" s="707"/>
      <c r="D59" s="266"/>
      <c r="E59" s="132"/>
      <c r="F59" s="132"/>
      <c r="G59" s="132"/>
      <c r="H59" s="132"/>
      <c r="I59" s="132"/>
      <c r="J59" s="132"/>
      <c r="K59" s="132"/>
      <c r="L59" s="132"/>
      <c r="M59" s="708"/>
      <c r="N59" s="665"/>
    </row>
    <row r="60" spans="2:28" ht="12.75" customHeight="1" x14ac:dyDescent="0.2">
      <c r="B60" s="67"/>
      <c r="C60" s="75"/>
      <c r="D60" s="222"/>
      <c r="E60" s="75"/>
      <c r="F60" s="75"/>
      <c r="G60" s="75"/>
      <c r="H60" s="75"/>
      <c r="I60" s="75"/>
      <c r="J60" s="75"/>
      <c r="K60" s="75"/>
      <c r="L60" s="75"/>
      <c r="M60" s="666"/>
      <c r="N60" s="665"/>
    </row>
    <row r="61" spans="2:28" ht="12.75" customHeight="1" x14ac:dyDescent="0.2">
      <c r="B61" s="67"/>
      <c r="C61" s="118"/>
      <c r="D61" s="857"/>
      <c r="E61" s="119"/>
      <c r="F61" s="119"/>
      <c r="G61" s="119"/>
      <c r="H61" s="119"/>
      <c r="I61" s="119"/>
      <c r="J61" s="119"/>
      <c r="K61" s="119"/>
      <c r="L61" s="119"/>
      <c r="M61" s="858"/>
      <c r="N61" s="665"/>
    </row>
    <row r="62" spans="2:28" s="336" customFormat="1" ht="12.75" customHeight="1" x14ac:dyDescent="0.2">
      <c r="B62" s="387"/>
      <c r="C62" s="702"/>
      <c r="D62" s="1035" t="s">
        <v>93</v>
      </c>
      <c r="E62" s="703"/>
      <c r="F62" s="703"/>
      <c r="G62" s="703"/>
      <c r="H62" s="703"/>
      <c r="I62" s="703"/>
      <c r="J62" s="703"/>
      <c r="K62" s="703"/>
      <c r="L62" s="703"/>
      <c r="M62" s="704"/>
      <c r="N62" s="667"/>
      <c r="P62" s="14"/>
      <c r="Q62" s="454"/>
      <c r="R62" s="14"/>
      <c r="S62" s="14"/>
      <c r="T62" s="14"/>
      <c r="U62" s="271"/>
      <c r="V62" s="271"/>
      <c r="W62" s="271"/>
      <c r="X62" s="271"/>
      <c r="Y62" s="271"/>
      <c r="Z62" s="14"/>
      <c r="AA62" s="14"/>
      <c r="AB62" s="14"/>
    </row>
    <row r="63" spans="2:28" ht="12.75" customHeight="1" x14ac:dyDescent="0.2">
      <c r="B63" s="67"/>
      <c r="C63" s="122"/>
      <c r="D63" s="240"/>
      <c r="E63" s="130"/>
      <c r="F63" s="130"/>
      <c r="G63" s="130"/>
      <c r="H63" s="130"/>
      <c r="I63" s="130"/>
      <c r="J63" s="130"/>
      <c r="K63" s="130"/>
      <c r="L63" s="130"/>
      <c r="M63" s="698"/>
      <c r="N63" s="665"/>
    </row>
    <row r="64" spans="2:28" ht="12.75" customHeight="1" x14ac:dyDescent="0.2">
      <c r="B64" s="67"/>
      <c r="C64" s="122"/>
      <c r="D64" s="840"/>
      <c r="E64" s="130"/>
      <c r="F64" s="130"/>
      <c r="G64" s="130"/>
      <c r="H64" s="840">
        <v>0</v>
      </c>
      <c r="I64" s="840">
        <f>H64</f>
        <v>0</v>
      </c>
      <c r="J64" s="840">
        <f t="shared" ref="J64:L68" si="3">I64</f>
        <v>0</v>
      </c>
      <c r="K64" s="840">
        <f t="shared" si="3"/>
        <v>0</v>
      </c>
      <c r="L64" s="840">
        <f t="shared" si="3"/>
        <v>0</v>
      </c>
      <c r="M64" s="698"/>
      <c r="N64" s="665"/>
    </row>
    <row r="65" spans="2:28" ht="12.75" customHeight="1" x14ac:dyDescent="0.2">
      <c r="B65" s="67"/>
      <c r="C65" s="122"/>
      <c r="D65" s="840"/>
      <c r="E65" s="130"/>
      <c r="F65" s="130"/>
      <c r="G65" s="130"/>
      <c r="H65" s="840">
        <v>0</v>
      </c>
      <c r="I65" s="840">
        <f>H65</f>
        <v>0</v>
      </c>
      <c r="J65" s="840">
        <f t="shared" si="3"/>
        <v>0</v>
      </c>
      <c r="K65" s="840">
        <f t="shared" si="3"/>
        <v>0</v>
      </c>
      <c r="L65" s="840">
        <f t="shared" si="3"/>
        <v>0</v>
      </c>
      <c r="M65" s="698"/>
      <c r="N65" s="665"/>
    </row>
    <row r="66" spans="2:28" ht="12.75" customHeight="1" x14ac:dyDescent="0.2">
      <c r="B66" s="67"/>
      <c r="C66" s="122"/>
      <c r="D66" s="840"/>
      <c r="E66" s="130"/>
      <c r="F66" s="130"/>
      <c r="G66" s="130"/>
      <c r="H66" s="840">
        <v>0</v>
      </c>
      <c r="I66" s="840">
        <f>H66</f>
        <v>0</v>
      </c>
      <c r="J66" s="840">
        <f t="shared" si="3"/>
        <v>0</v>
      </c>
      <c r="K66" s="840">
        <f t="shared" si="3"/>
        <v>0</v>
      </c>
      <c r="L66" s="840">
        <f t="shared" si="3"/>
        <v>0</v>
      </c>
      <c r="M66" s="698"/>
      <c r="N66" s="665"/>
    </row>
    <row r="67" spans="2:28" ht="12.75" customHeight="1" x14ac:dyDescent="0.2">
      <c r="B67" s="67"/>
      <c r="C67" s="122"/>
      <c r="D67" s="840"/>
      <c r="E67" s="130"/>
      <c r="F67" s="130"/>
      <c r="G67" s="130"/>
      <c r="H67" s="840">
        <v>0</v>
      </c>
      <c r="I67" s="840">
        <f>H67</f>
        <v>0</v>
      </c>
      <c r="J67" s="840">
        <f t="shared" si="3"/>
        <v>0</v>
      </c>
      <c r="K67" s="840">
        <f t="shared" si="3"/>
        <v>0</v>
      </c>
      <c r="L67" s="840">
        <f t="shared" si="3"/>
        <v>0</v>
      </c>
      <c r="M67" s="698"/>
      <c r="N67" s="665"/>
    </row>
    <row r="68" spans="2:28" ht="12.75" customHeight="1" x14ac:dyDescent="0.2">
      <c r="B68" s="67"/>
      <c r="C68" s="122"/>
      <c r="D68" s="840"/>
      <c r="E68" s="130"/>
      <c r="F68" s="130"/>
      <c r="G68" s="130"/>
      <c r="H68" s="840">
        <v>0</v>
      </c>
      <c r="I68" s="840">
        <f>H68</f>
        <v>0</v>
      </c>
      <c r="J68" s="840">
        <f t="shared" si="3"/>
        <v>0</v>
      </c>
      <c r="K68" s="840">
        <f t="shared" si="3"/>
        <v>0</v>
      </c>
      <c r="L68" s="840">
        <f t="shared" si="3"/>
        <v>0</v>
      </c>
      <c r="M68" s="698"/>
      <c r="N68" s="665"/>
    </row>
    <row r="69" spans="2:28" ht="12.75" customHeight="1" x14ac:dyDescent="0.2">
      <c r="B69" s="67"/>
      <c r="C69" s="122"/>
      <c r="D69" s="695"/>
      <c r="E69" s="130"/>
      <c r="F69" s="130"/>
      <c r="G69" s="130"/>
      <c r="H69" s="130"/>
      <c r="I69" s="695"/>
      <c r="J69" s="695"/>
      <c r="K69" s="695"/>
      <c r="L69" s="695"/>
      <c r="M69" s="698"/>
      <c r="N69" s="665"/>
    </row>
    <row r="70" spans="2:28" ht="12.75" customHeight="1" x14ac:dyDescent="0.2">
      <c r="B70" s="67"/>
      <c r="C70" s="122"/>
      <c r="D70" s="240" t="s">
        <v>291</v>
      </c>
      <c r="E70" s="130"/>
      <c r="F70" s="130"/>
      <c r="G70" s="130"/>
      <c r="H70" s="1136">
        <f>SUM(H64:H68)</f>
        <v>0</v>
      </c>
      <c r="I70" s="1136">
        <f>SUM(I64:I68)</f>
        <v>0</v>
      </c>
      <c r="J70" s="1136">
        <f>SUM(J64:J68)</f>
        <v>0</v>
      </c>
      <c r="K70" s="1136">
        <f>SUM(K64:K68)</f>
        <v>0</v>
      </c>
      <c r="L70" s="1136">
        <f>SUM(L64:L68)</f>
        <v>0</v>
      </c>
      <c r="M70" s="698"/>
      <c r="N70" s="665"/>
    </row>
    <row r="71" spans="2:28" ht="12.75" customHeight="1" x14ac:dyDescent="0.2">
      <c r="B71" s="67"/>
      <c r="C71" s="707"/>
      <c r="D71" s="266"/>
      <c r="E71" s="132"/>
      <c r="F71" s="132"/>
      <c r="G71" s="132"/>
      <c r="H71" s="132"/>
      <c r="I71" s="132"/>
      <c r="J71" s="132"/>
      <c r="K71" s="132"/>
      <c r="L71" s="132"/>
      <c r="M71" s="708"/>
      <c r="N71" s="665"/>
    </row>
    <row r="72" spans="2:28" ht="12.75" customHeight="1" x14ac:dyDescent="0.2">
      <c r="B72" s="67"/>
      <c r="C72" s="75"/>
      <c r="D72" s="222"/>
      <c r="E72" s="75"/>
      <c r="F72" s="75"/>
      <c r="G72" s="75"/>
      <c r="H72" s="75"/>
      <c r="I72" s="75"/>
      <c r="J72" s="75"/>
      <c r="K72" s="75"/>
      <c r="L72" s="75"/>
      <c r="M72" s="666"/>
      <c r="N72" s="665"/>
    </row>
    <row r="73" spans="2:28" ht="12.75" customHeight="1" x14ac:dyDescent="0.2">
      <c r="B73" s="67"/>
      <c r="C73" s="118"/>
      <c r="D73" s="857"/>
      <c r="E73" s="119"/>
      <c r="F73" s="119"/>
      <c r="G73" s="119"/>
      <c r="H73" s="119"/>
      <c r="I73" s="119"/>
      <c r="J73" s="119"/>
      <c r="K73" s="119"/>
      <c r="L73" s="119"/>
      <c r="M73" s="858"/>
      <c r="N73" s="665"/>
    </row>
    <row r="74" spans="2:28" s="336" customFormat="1" ht="12.75" customHeight="1" x14ac:dyDescent="0.2">
      <c r="B74" s="387"/>
      <c r="C74" s="702"/>
      <c r="D74" s="1035" t="s">
        <v>264</v>
      </c>
      <c r="E74" s="703"/>
      <c r="F74" s="703"/>
      <c r="G74" s="703"/>
      <c r="H74" s="703"/>
      <c r="I74" s="703"/>
      <c r="J74" s="703"/>
      <c r="K74" s="703"/>
      <c r="L74" s="703"/>
      <c r="M74" s="704"/>
      <c r="N74" s="667"/>
      <c r="P74" s="14"/>
      <c r="Q74" s="454"/>
      <c r="R74" s="14"/>
      <c r="S74" s="14"/>
      <c r="T74" s="14"/>
      <c r="U74" s="271"/>
      <c r="V74" s="271"/>
      <c r="W74" s="271"/>
      <c r="X74" s="271"/>
      <c r="Y74" s="271"/>
      <c r="Z74" s="14"/>
      <c r="AA74" s="14"/>
      <c r="AB74" s="14"/>
    </row>
    <row r="75" spans="2:28" ht="12.75" hidden="1" customHeight="1" x14ac:dyDescent="0.2">
      <c r="B75" s="67"/>
      <c r="C75" s="122"/>
      <c r="D75" s="124"/>
      <c r="E75" s="130"/>
      <c r="F75" s="130"/>
      <c r="G75" s="130"/>
      <c r="H75" s="130"/>
      <c r="I75" s="130"/>
      <c r="J75" s="130"/>
      <c r="K75" s="130"/>
      <c r="L75" s="130"/>
      <c r="M75" s="698"/>
      <c r="N75" s="665"/>
    </row>
    <row r="76" spans="2:28" ht="12.75" hidden="1" customHeight="1" x14ac:dyDescent="0.2">
      <c r="B76" s="67"/>
      <c r="C76" s="122"/>
      <c r="I76" s="14"/>
      <c r="J76" s="14"/>
      <c r="K76" s="14"/>
      <c r="L76" s="14"/>
      <c r="M76" s="125"/>
      <c r="N76" s="665"/>
    </row>
    <row r="77" spans="2:28" ht="12.75" hidden="1" customHeight="1" x14ac:dyDescent="0.2">
      <c r="B77" s="67"/>
      <c r="C77" s="126"/>
      <c r="I77" s="14"/>
      <c r="J77" s="14"/>
      <c r="K77" s="14"/>
      <c r="L77" s="14"/>
      <c r="M77" s="125"/>
      <c r="N77" s="665"/>
    </row>
    <row r="78" spans="2:28" ht="12.75" hidden="1" customHeight="1" x14ac:dyDescent="0.2">
      <c r="B78" s="67"/>
      <c r="C78" s="126"/>
      <c r="I78" s="14"/>
      <c r="J78" s="14"/>
      <c r="K78" s="14"/>
      <c r="L78" s="14"/>
      <c r="M78" s="697"/>
      <c r="N78" s="665"/>
    </row>
    <row r="79" spans="2:28" ht="12.75" hidden="1" customHeight="1" x14ac:dyDescent="0.2">
      <c r="B79" s="67"/>
      <c r="C79" s="263"/>
      <c r="I79" s="14"/>
      <c r="J79" s="14"/>
      <c r="K79" s="14"/>
      <c r="L79" s="14"/>
      <c r="M79" s="706"/>
      <c r="N79" s="665"/>
    </row>
    <row r="80" spans="2:28" ht="12.75" hidden="1" customHeight="1" x14ac:dyDescent="0.2">
      <c r="B80" s="67"/>
      <c r="C80" s="263"/>
      <c r="I80" s="14"/>
      <c r="J80" s="14"/>
      <c r="K80" s="14"/>
      <c r="L80" s="14"/>
      <c r="M80" s="706"/>
      <c r="N80" s="665"/>
    </row>
    <row r="81" spans="2:28" ht="12.75" customHeight="1" x14ac:dyDescent="0.2">
      <c r="B81" s="67"/>
      <c r="C81" s="263"/>
      <c r="D81" s="130"/>
      <c r="E81" s="127"/>
      <c r="F81" s="127"/>
      <c r="G81" s="127"/>
      <c r="H81" s="127"/>
      <c r="I81" s="705"/>
      <c r="J81" s="705"/>
      <c r="K81" s="705"/>
      <c r="L81" s="705"/>
      <c r="M81" s="706"/>
      <c r="N81" s="665"/>
    </row>
    <row r="82" spans="2:28" ht="12.75" customHeight="1" x14ac:dyDescent="0.2">
      <c r="B82" s="67"/>
      <c r="C82" s="122"/>
      <c r="D82" s="124" t="s">
        <v>132</v>
      </c>
      <c r="E82" s="130"/>
      <c r="F82" s="130"/>
      <c r="G82" s="130"/>
      <c r="H82" s="840">
        <v>0</v>
      </c>
      <c r="I82" s="840">
        <f t="shared" ref="I82:I88" si="4">H82</f>
        <v>0</v>
      </c>
      <c r="J82" s="840">
        <f>I82</f>
        <v>0</v>
      </c>
      <c r="K82" s="840">
        <f>J82</f>
        <v>0</v>
      </c>
      <c r="L82" s="840">
        <f>K82</f>
        <v>0</v>
      </c>
      <c r="M82" s="698"/>
      <c r="N82" s="665"/>
    </row>
    <row r="83" spans="2:28" ht="12.75" customHeight="1" x14ac:dyDescent="0.2">
      <c r="B83" s="67"/>
      <c r="C83" s="122"/>
      <c r="D83" s="124" t="s">
        <v>10</v>
      </c>
      <c r="E83" s="130"/>
      <c r="F83" s="130"/>
      <c r="G83" s="130"/>
      <c r="H83" s="840">
        <v>0</v>
      </c>
      <c r="I83" s="840">
        <f t="shared" si="4"/>
        <v>0</v>
      </c>
      <c r="J83" s="840">
        <f t="shared" ref="J83:L84" si="5">I83</f>
        <v>0</v>
      </c>
      <c r="K83" s="840">
        <f t="shared" si="5"/>
        <v>0</v>
      </c>
      <c r="L83" s="840">
        <f t="shared" si="5"/>
        <v>0</v>
      </c>
      <c r="M83" s="698"/>
      <c r="N83" s="665"/>
    </row>
    <row r="84" spans="2:28" ht="12.75" customHeight="1" x14ac:dyDescent="0.2">
      <c r="B84" s="67"/>
      <c r="C84" s="122"/>
      <c r="D84" s="133" t="s">
        <v>359</v>
      </c>
      <c r="E84" s="130"/>
      <c r="F84" s="130"/>
      <c r="G84" s="130"/>
      <c r="H84" s="840">
        <v>0</v>
      </c>
      <c r="I84" s="840">
        <f t="shared" si="4"/>
        <v>0</v>
      </c>
      <c r="J84" s="840">
        <f t="shared" si="5"/>
        <v>0</v>
      </c>
      <c r="K84" s="840">
        <f t="shared" si="5"/>
        <v>0</v>
      </c>
      <c r="L84" s="840">
        <f t="shared" si="5"/>
        <v>0</v>
      </c>
      <c r="M84" s="698"/>
      <c r="N84" s="665"/>
    </row>
    <row r="85" spans="2:28" ht="12.75" customHeight="1" x14ac:dyDescent="0.2">
      <c r="B85" s="67"/>
      <c r="C85" s="122"/>
      <c r="D85" s="877"/>
      <c r="E85" s="130"/>
      <c r="F85" s="130"/>
      <c r="G85" s="130"/>
      <c r="H85" s="840">
        <v>0</v>
      </c>
      <c r="I85" s="840">
        <f t="shared" si="4"/>
        <v>0</v>
      </c>
      <c r="J85" s="840">
        <f t="shared" ref="J85:L87" si="6">I85</f>
        <v>0</v>
      </c>
      <c r="K85" s="840">
        <f t="shared" si="6"/>
        <v>0</v>
      </c>
      <c r="L85" s="840">
        <f t="shared" si="6"/>
        <v>0</v>
      </c>
      <c r="M85" s="698"/>
      <c r="N85" s="665"/>
    </row>
    <row r="86" spans="2:28" ht="12.75" customHeight="1" x14ac:dyDescent="0.2">
      <c r="B86" s="67"/>
      <c r="C86" s="122"/>
      <c r="D86" s="859"/>
      <c r="E86" s="130"/>
      <c r="F86" s="130"/>
      <c r="G86" s="130"/>
      <c r="H86" s="840">
        <v>0</v>
      </c>
      <c r="I86" s="840">
        <f>H86</f>
        <v>0</v>
      </c>
      <c r="J86" s="840">
        <f>I86</f>
        <v>0</v>
      </c>
      <c r="K86" s="840">
        <f>J86</f>
        <v>0</v>
      </c>
      <c r="L86" s="840">
        <f>K86</f>
        <v>0</v>
      </c>
      <c r="M86" s="698"/>
      <c r="N86" s="665"/>
    </row>
    <row r="87" spans="2:28" ht="12.75" customHeight="1" x14ac:dyDescent="0.2">
      <c r="B87" s="67"/>
      <c r="C87" s="122"/>
      <c r="D87" s="859"/>
      <c r="E87" s="130"/>
      <c r="F87" s="130"/>
      <c r="G87" s="130"/>
      <c r="H87" s="840">
        <v>0</v>
      </c>
      <c r="I87" s="840">
        <f t="shared" si="4"/>
        <v>0</v>
      </c>
      <c r="J87" s="840">
        <f t="shared" si="6"/>
        <v>0</v>
      </c>
      <c r="K87" s="840">
        <f t="shared" si="6"/>
        <v>0</v>
      </c>
      <c r="L87" s="840">
        <f t="shared" si="6"/>
        <v>0</v>
      </c>
      <c r="M87" s="698"/>
      <c r="N87" s="665"/>
    </row>
    <row r="88" spans="2:28" ht="12.75" customHeight="1" x14ac:dyDescent="0.2">
      <c r="B88" s="67"/>
      <c r="C88" s="122"/>
      <c r="D88" s="226"/>
      <c r="E88" s="130"/>
      <c r="F88" s="130"/>
      <c r="G88" s="130"/>
      <c r="H88" s="840">
        <v>0</v>
      </c>
      <c r="I88" s="840">
        <f t="shared" si="4"/>
        <v>0</v>
      </c>
      <c r="J88" s="840">
        <f>I88</f>
        <v>0</v>
      </c>
      <c r="K88" s="840">
        <f>J88</f>
        <v>0</v>
      </c>
      <c r="L88" s="840">
        <f>K88</f>
        <v>0</v>
      </c>
      <c r="M88" s="698"/>
      <c r="N88" s="665"/>
    </row>
    <row r="89" spans="2:28" ht="12.75" customHeight="1" x14ac:dyDescent="0.2">
      <c r="B89" s="67"/>
      <c r="C89" s="122"/>
      <c r="D89" s="124"/>
      <c r="E89" s="130"/>
      <c r="F89" s="130"/>
      <c r="G89" s="130"/>
      <c r="H89" s="130"/>
      <c r="I89" s="695"/>
      <c r="J89" s="695"/>
      <c r="K89" s="695"/>
      <c r="L89" s="695"/>
      <c r="M89" s="698"/>
      <c r="N89" s="665"/>
    </row>
    <row r="90" spans="2:28" ht="12.75" customHeight="1" x14ac:dyDescent="0.2">
      <c r="B90" s="67"/>
      <c r="C90" s="122"/>
      <c r="D90" s="240" t="s">
        <v>291</v>
      </c>
      <c r="E90" s="130"/>
      <c r="F90" s="130"/>
      <c r="G90" s="130"/>
      <c r="H90" s="1136">
        <f>SUM(H82:H88)</f>
        <v>0</v>
      </c>
      <c r="I90" s="1136">
        <f>SUM(I82:I88)</f>
        <v>0</v>
      </c>
      <c r="J90" s="1136">
        <f>SUM(J82:J88)</f>
        <v>0</v>
      </c>
      <c r="K90" s="1136">
        <f>SUM(K82:K88)</f>
        <v>0</v>
      </c>
      <c r="L90" s="1136">
        <f>SUM(L82:L88)</f>
        <v>0</v>
      </c>
      <c r="M90" s="698"/>
      <c r="N90" s="665"/>
    </row>
    <row r="91" spans="2:28" ht="12.75" customHeight="1" x14ac:dyDescent="0.2">
      <c r="B91" s="67"/>
      <c r="C91" s="707"/>
      <c r="D91" s="266"/>
      <c r="E91" s="132"/>
      <c r="F91" s="132"/>
      <c r="G91" s="132"/>
      <c r="H91" s="132"/>
      <c r="I91" s="132"/>
      <c r="J91" s="132"/>
      <c r="K91" s="132"/>
      <c r="L91" s="132"/>
      <c r="M91" s="708"/>
      <c r="N91" s="665"/>
    </row>
    <row r="92" spans="2:28" ht="12.75" customHeight="1" x14ac:dyDescent="0.2">
      <c r="B92" s="67"/>
      <c r="C92" s="75"/>
      <c r="D92" s="222"/>
      <c r="E92" s="75"/>
      <c r="F92" s="75"/>
      <c r="G92" s="75"/>
      <c r="H92" s="75"/>
      <c r="I92" s="75"/>
      <c r="J92" s="75"/>
      <c r="K92" s="75"/>
      <c r="L92" s="75"/>
      <c r="M92" s="666"/>
      <c r="N92" s="665"/>
    </row>
    <row r="93" spans="2:28" ht="12.75" customHeight="1" x14ac:dyDescent="0.2">
      <c r="B93" s="67"/>
      <c r="C93" s="118"/>
      <c r="D93" s="857"/>
      <c r="E93" s="119"/>
      <c r="F93" s="119"/>
      <c r="G93" s="119"/>
      <c r="H93" s="119"/>
      <c r="I93" s="119"/>
      <c r="J93" s="119"/>
      <c r="K93" s="119"/>
      <c r="L93" s="119"/>
      <c r="M93" s="858"/>
      <c r="N93" s="665"/>
    </row>
    <row r="94" spans="2:28" s="17" customFormat="1" ht="12.75" customHeight="1" x14ac:dyDescent="0.2">
      <c r="B94" s="95"/>
      <c r="C94" s="122"/>
      <c r="D94" s="240" t="s">
        <v>133</v>
      </c>
      <c r="E94" s="130"/>
      <c r="F94" s="130"/>
      <c r="G94" s="130"/>
      <c r="H94" s="1136">
        <f>H58+H70+H90</f>
        <v>202025.98</v>
      </c>
      <c r="I94" s="1136">
        <f>I58+I70+I90</f>
        <v>208738.07</v>
      </c>
      <c r="J94" s="1136">
        <f>J58+J70+J90</f>
        <v>208738.07</v>
      </c>
      <c r="K94" s="1136">
        <f>K58+K70+K90</f>
        <v>208738.07</v>
      </c>
      <c r="L94" s="1136">
        <f>L58+L70+L90</f>
        <v>208738.07</v>
      </c>
      <c r="M94" s="698"/>
      <c r="N94" s="665"/>
      <c r="P94" s="14"/>
      <c r="Q94" s="454"/>
      <c r="R94" s="14"/>
      <c r="S94" s="14"/>
      <c r="T94" s="14"/>
      <c r="U94" s="271"/>
      <c r="V94" s="271"/>
      <c r="W94" s="271"/>
      <c r="X94" s="271"/>
      <c r="Y94" s="271"/>
      <c r="Z94" s="14"/>
      <c r="AA94" s="14"/>
      <c r="AB94" s="14"/>
    </row>
    <row r="95" spans="2:28" ht="12.75" customHeight="1" x14ac:dyDescent="0.2">
      <c r="B95" s="67"/>
      <c r="C95" s="707"/>
      <c r="D95" s="132"/>
      <c r="E95" s="132"/>
      <c r="F95" s="132"/>
      <c r="G95" s="132"/>
      <c r="H95" s="132"/>
      <c r="I95" s="132"/>
      <c r="J95" s="132"/>
      <c r="K95" s="132"/>
      <c r="L95" s="132"/>
      <c r="M95" s="708"/>
      <c r="N95" s="665"/>
    </row>
    <row r="96" spans="2:28" ht="12.75" customHeight="1" x14ac:dyDescent="0.2">
      <c r="B96" s="67"/>
      <c r="C96" s="68"/>
      <c r="D96" s="668"/>
      <c r="E96" s="75"/>
      <c r="F96" s="75"/>
      <c r="G96" s="75"/>
      <c r="H96" s="75"/>
      <c r="I96" s="669"/>
      <c r="J96" s="669"/>
      <c r="K96" s="669"/>
      <c r="L96" s="669"/>
      <c r="M96" s="666"/>
      <c r="N96" s="665"/>
    </row>
    <row r="97" spans="2:28" ht="12.75" customHeight="1" x14ac:dyDescent="0.2">
      <c r="B97" s="67"/>
      <c r="C97" s="68"/>
      <c r="D97" s="668"/>
      <c r="E97" s="75"/>
      <c r="F97" s="75"/>
      <c r="G97" s="75"/>
      <c r="H97" s="75"/>
      <c r="I97" s="669"/>
      <c r="J97" s="669"/>
      <c r="K97" s="669"/>
      <c r="L97" s="669"/>
      <c r="M97" s="666"/>
      <c r="N97" s="665"/>
    </row>
    <row r="98" spans="2:28" s="20" customFormat="1" ht="12.75" customHeight="1" x14ac:dyDescent="0.25">
      <c r="B98" s="670"/>
      <c r="C98" s="671"/>
      <c r="D98" s="87"/>
      <c r="E98" s="87"/>
      <c r="F98" s="87"/>
      <c r="G98" s="87"/>
      <c r="H98" s="87"/>
      <c r="I98" s="672"/>
      <c r="J98" s="672"/>
      <c r="K98" s="672"/>
      <c r="L98" s="672"/>
      <c r="M98" s="89" t="s">
        <v>410</v>
      </c>
      <c r="N98" s="673"/>
      <c r="P98" s="14"/>
      <c r="Q98" s="454"/>
      <c r="R98" s="14"/>
      <c r="S98" s="14"/>
      <c r="T98" s="14"/>
      <c r="U98" s="271"/>
      <c r="V98" s="271"/>
      <c r="W98" s="271"/>
      <c r="X98" s="271"/>
      <c r="Y98" s="271"/>
      <c r="Z98" s="14"/>
      <c r="AA98" s="14"/>
      <c r="AB98" s="14"/>
    </row>
    <row r="99" spans="2:28" ht="12.75" customHeight="1" x14ac:dyDescent="0.2">
      <c r="B99" s="674"/>
      <c r="C99" s="675"/>
      <c r="D99" s="675"/>
      <c r="E99" s="675"/>
      <c r="F99" s="675"/>
      <c r="G99" s="675"/>
      <c r="H99" s="675"/>
      <c r="I99" s="676"/>
      <c r="J99" s="676"/>
      <c r="K99" s="676"/>
      <c r="L99" s="676"/>
      <c r="M99" s="675"/>
      <c r="N99" s="677"/>
    </row>
    <row r="100" spans="2:28" x14ac:dyDescent="0.2">
      <c r="B100" s="78"/>
      <c r="C100" s="79"/>
      <c r="D100" s="79"/>
      <c r="E100" s="79"/>
      <c r="F100" s="79"/>
      <c r="G100" s="79"/>
      <c r="H100" s="1029"/>
      <c r="I100" s="1123"/>
      <c r="J100" s="1123"/>
      <c r="K100" s="1123"/>
      <c r="L100" s="1123"/>
      <c r="M100" s="79"/>
      <c r="N100" s="82"/>
    </row>
    <row r="101" spans="2:28" ht="12.75" customHeight="1" x14ac:dyDescent="0.2">
      <c r="B101" s="78"/>
      <c r="C101" s="79"/>
      <c r="D101" s="477"/>
      <c r="E101" s="658"/>
      <c r="F101" s="658"/>
      <c r="G101" s="658"/>
      <c r="H101" s="1120">
        <f>H8</f>
        <v>2015</v>
      </c>
      <c r="I101" s="1120">
        <f>I8</f>
        <v>2016</v>
      </c>
      <c r="J101" s="1120">
        <f>I101+1</f>
        <v>2017</v>
      </c>
      <c r="K101" s="1120">
        <f>J101+1</f>
        <v>2018</v>
      </c>
      <c r="L101" s="1120">
        <f>K101+1</f>
        <v>2019</v>
      </c>
      <c r="M101" s="79"/>
      <c r="N101" s="82"/>
    </row>
    <row r="102" spans="2:28" ht="12.75" customHeight="1" x14ac:dyDescent="0.2">
      <c r="B102" s="78"/>
      <c r="C102" s="79"/>
      <c r="D102" s="80"/>
      <c r="E102" s="511"/>
      <c r="F102" s="511"/>
      <c r="G102" s="511"/>
      <c r="H102" s="1124"/>
      <c r="I102" s="1125"/>
      <c r="J102" s="1125"/>
      <c r="K102" s="1125"/>
      <c r="L102" s="1125"/>
      <c r="M102" s="659"/>
      <c r="N102" s="679"/>
    </row>
    <row r="103" spans="2:28" ht="12.75" customHeight="1" x14ac:dyDescent="0.2">
      <c r="B103" s="67"/>
      <c r="C103" s="184"/>
      <c r="D103" s="709"/>
      <c r="E103" s="710"/>
      <c r="F103" s="710"/>
      <c r="G103" s="710"/>
      <c r="H103" s="1126"/>
      <c r="I103" s="1126"/>
      <c r="J103" s="1126"/>
      <c r="K103" s="1126"/>
      <c r="L103" s="1126"/>
      <c r="M103" s="711"/>
      <c r="N103" s="680"/>
    </row>
    <row r="104" spans="2:28" ht="12.75" customHeight="1" x14ac:dyDescent="0.2">
      <c r="B104" s="67"/>
      <c r="C104" s="126"/>
      <c r="D104" s="1122" t="s">
        <v>266</v>
      </c>
      <c r="E104" s="124"/>
      <c r="F104" s="1034" t="s">
        <v>351</v>
      </c>
      <c r="G104" s="124"/>
      <c r="H104" s="1127"/>
      <c r="I104" s="1127"/>
      <c r="J104" s="1127"/>
      <c r="K104" s="1127"/>
      <c r="L104" s="1127"/>
      <c r="M104" s="713"/>
      <c r="N104" s="681"/>
    </row>
    <row r="105" spans="2:28" ht="12.75" customHeight="1" x14ac:dyDescent="0.2">
      <c r="B105" s="67"/>
      <c r="C105" s="126"/>
      <c r="D105" s="124"/>
      <c r="E105" s="124"/>
      <c r="F105" s="124"/>
      <c r="G105" s="124"/>
      <c r="H105" s="712"/>
      <c r="I105" s="712"/>
      <c r="J105" s="712"/>
      <c r="K105" s="712"/>
      <c r="L105" s="712"/>
      <c r="M105" s="713"/>
      <c r="N105" s="681"/>
    </row>
    <row r="106" spans="2:28" ht="12.75" customHeight="1" x14ac:dyDescent="0.2">
      <c r="B106" s="67"/>
      <c r="C106" s="126"/>
      <c r="D106" s="127" t="s">
        <v>253</v>
      </c>
      <c r="E106" s="124"/>
      <c r="F106" s="843"/>
      <c r="G106" s="124"/>
      <c r="H106" s="1075">
        <f>act!F34+act!F42</f>
        <v>0</v>
      </c>
      <c r="I106" s="1075">
        <f>act!G34+act!G42</f>
        <v>0</v>
      </c>
      <c r="J106" s="1075">
        <f>act!H34+act!H42</f>
        <v>0</v>
      </c>
      <c r="K106" s="1075">
        <f>act!I34+act!I42</f>
        <v>0</v>
      </c>
      <c r="L106" s="1075">
        <f>act!J34+act!J42</f>
        <v>0</v>
      </c>
      <c r="M106" s="713"/>
      <c r="N106" s="681"/>
    </row>
    <row r="107" spans="2:28" ht="12.75" customHeight="1" x14ac:dyDescent="0.2">
      <c r="B107" s="67"/>
      <c r="C107" s="126"/>
      <c r="D107" s="127" t="s">
        <v>254</v>
      </c>
      <c r="E107" s="124"/>
      <c r="F107" s="843"/>
      <c r="G107" s="124"/>
      <c r="H107" s="1075">
        <f>act!F35+act!F43</f>
        <v>0</v>
      </c>
      <c r="I107" s="1075">
        <f>act!G35+act!G43</f>
        <v>0</v>
      </c>
      <c r="J107" s="1075">
        <f>act!H35+act!H43</f>
        <v>0</v>
      </c>
      <c r="K107" s="1075">
        <f>act!I35+act!I43</f>
        <v>0</v>
      </c>
      <c r="L107" s="1075">
        <f>act!J35+act!J43</f>
        <v>0</v>
      </c>
      <c r="M107" s="713"/>
      <c r="N107" s="681"/>
    </row>
    <row r="108" spans="2:28" ht="12.75" customHeight="1" x14ac:dyDescent="0.2">
      <c r="B108" s="67"/>
      <c r="C108" s="126"/>
      <c r="D108" s="239" t="s">
        <v>50</v>
      </c>
      <c r="E108" s="124"/>
      <c r="F108" s="843"/>
      <c r="G108" s="124"/>
      <c r="H108" s="1075">
        <f>act!F36+act!F44</f>
        <v>0</v>
      </c>
      <c r="I108" s="1075">
        <f>act!G36+act!G44</f>
        <v>0</v>
      </c>
      <c r="J108" s="1075">
        <f>act!H36+act!H44</f>
        <v>0</v>
      </c>
      <c r="K108" s="1075">
        <f>act!I36+act!I44</f>
        <v>0</v>
      </c>
      <c r="L108" s="1075">
        <f>act!J36+act!J44</f>
        <v>0</v>
      </c>
      <c r="M108" s="713"/>
      <c r="N108" s="681"/>
    </row>
    <row r="109" spans="2:28" ht="12.75" customHeight="1" x14ac:dyDescent="0.2">
      <c r="B109" s="67"/>
      <c r="C109" s="126"/>
      <c r="D109" s="239" t="s">
        <v>51</v>
      </c>
      <c r="E109" s="124"/>
      <c r="F109" s="843"/>
      <c r="G109" s="124"/>
      <c r="H109" s="1075">
        <f>act!F37+act!F45</f>
        <v>0</v>
      </c>
      <c r="I109" s="1075">
        <f>act!G37+act!G45</f>
        <v>0</v>
      </c>
      <c r="J109" s="1075">
        <f>act!H37+act!H45</f>
        <v>0</v>
      </c>
      <c r="K109" s="1075">
        <f>act!I37+act!I45</f>
        <v>0</v>
      </c>
      <c r="L109" s="1075">
        <f>act!J37+act!J45</f>
        <v>0</v>
      </c>
      <c r="M109" s="713"/>
      <c r="N109" s="681"/>
    </row>
    <row r="110" spans="2:28" ht="12.75" customHeight="1" x14ac:dyDescent="0.2">
      <c r="B110" s="67"/>
      <c r="C110" s="126"/>
      <c r="D110" s="127" t="s">
        <v>284</v>
      </c>
      <c r="E110" s="124"/>
      <c r="F110" s="843"/>
      <c r="G110" s="124"/>
      <c r="H110" s="1075">
        <f>act!F38+act!F46</f>
        <v>0</v>
      </c>
      <c r="I110" s="1075">
        <f>act!G38+act!G46</f>
        <v>0</v>
      </c>
      <c r="J110" s="1075">
        <f>act!H38+act!H46</f>
        <v>0</v>
      </c>
      <c r="K110" s="1075">
        <f>act!I38+act!I46</f>
        <v>0</v>
      </c>
      <c r="L110" s="1075">
        <f>act!J38+act!J46</f>
        <v>0</v>
      </c>
      <c r="M110" s="713"/>
      <c r="N110" s="681"/>
    </row>
    <row r="111" spans="2:28" ht="12.75" customHeight="1" x14ac:dyDescent="0.2">
      <c r="B111" s="67"/>
      <c r="C111" s="126"/>
      <c r="D111" s="127" t="s">
        <v>255</v>
      </c>
      <c r="E111" s="124"/>
      <c r="F111" s="843"/>
      <c r="G111" s="124"/>
      <c r="H111" s="1075">
        <f>act!F39+act!F47</f>
        <v>0</v>
      </c>
      <c r="I111" s="1075">
        <f>act!G39+act!G47</f>
        <v>0</v>
      </c>
      <c r="J111" s="1075">
        <f>act!H39+act!H47</f>
        <v>0</v>
      </c>
      <c r="K111" s="1075">
        <f>act!I39+act!I47</f>
        <v>0</v>
      </c>
      <c r="L111" s="1075">
        <f>act!J39+act!J47</f>
        <v>0</v>
      </c>
      <c r="M111" s="713"/>
      <c r="N111" s="681"/>
    </row>
    <row r="112" spans="2:28" ht="12.75" customHeight="1" x14ac:dyDescent="0.2">
      <c r="B112" s="67"/>
      <c r="C112" s="126"/>
      <c r="D112" s="124"/>
      <c r="E112" s="124"/>
      <c r="F112" s="714"/>
      <c r="G112" s="124"/>
      <c r="H112" s="712"/>
      <c r="I112" s="712"/>
      <c r="J112" s="712"/>
      <c r="K112" s="712"/>
      <c r="L112" s="712"/>
      <c r="M112" s="713"/>
      <c r="N112" s="681"/>
    </row>
    <row r="113" spans="2:14" ht="12.75" customHeight="1" x14ac:dyDescent="0.2">
      <c r="B113" s="67"/>
      <c r="C113" s="126"/>
      <c r="D113" s="715" t="s">
        <v>291</v>
      </c>
      <c r="E113" s="124"/>
      <c r="F113" s="714"/>
      <c r="G113" s="124"/>
      <c r="H113" s="1135">
        <f>SUM(H106:H111)</f>
        <v>0</v>
      </c>
      <c r="I113" s="1135">
        <f>SUM(I106:I111)</f>
        <v>0</v>
      </c>
      <c r="J113" s="1135">
        <f>SUM(J106:J111)</f>
        <v>0</v>
      </c>
      <c r="K113" s="1135">
        <f>SUM(K106:K111)</f>
        <v>0</v>
      </c>
      <c r="L113" s="1135">
        <f>SUM(L106:L111)</f>
        <v>0</v>
      </c>
      <c r="M113" s="717"/>
      <c r="N113" s="682"/>
    </row>
    <row r="114" spans="2:14" ht="12.75" customHeight="1" x14ac:dyDescent="0.2">
      <c r="B114" s="67"/>
      <c r="C114" s="191"/>
      <c r="D114" s="849"/>
      <c r="E114" s="850"/>
      <c r="F114" s="851"/>
      <c r="G114" s="850"/>
      <c r="H114" s="852"/>
      <c r="I114" s="852"/>
      <c r="J114" s="852"/>
      <c r="K114" s="852"/>
      <c r="L114" s="852"/>
      <c r="M114" s="853"/>
      <c r="N114" s="680"/>
    </row>
    <row r="115" spans="2:14" ht="12.75" customHeight="1" x14ac:dyDescent="0.2">
      <c r="B115" s="78"/>
      <c r="C115" s="79"/>
      <c r="D115" s="80"/>
      <c r="E115" s="511"/>
      <c r="F115" s="856"/>
      <c r="G115" s="511"/>
      <c r="H115" s="511"/>
      <c r="I115" s="678"/>
      <c r="J115" s="678"/>
      <c r="K115" s="678"/>
      <c r="L115" s="678"/>
      <c r="M115" s="659"/>
      <c r="N115" s="679"/>
    </row>
    <row r="116" spans="2:14" ht="12.75" customHeight="1" x14ac:dyDescent="0.2">
      <c r="B116" s="67"/>
      <c r="C116" s="184"/>
      <c r="D116" s="120"/>
      <c r="E116" s="120"/>
      <c r="F116" s="846"/>
      <c r="G116" s="120"/>
      <c r="H116" s="120"/>
      <c r="I116" s="854"/>
      <c r="J116" s="854"/>
      <c r="K116" s="854"/>
      <c r="L116" s="854"/>
      <c r="M116" s="855"/>
      <c r="N116" s="681"/>
    </row>
    <row r="117" spans="2:14" ht="12.75" customHeight="1" x14ac:dyDescent="0.2">
      <c r="B117" s="67"/>
      <c r="C117" s="126"/>
      <c r="D117" s="1025" t="s">
        <v>267</v>
      </c>
      <c r="E117" s="1026"/>
      <c r="F117" s="1128" t="s">
        <v>351</v>
      </c>
      <c r="G117" s="124"/>
      <c r="H117" s="124"/>
      <c r="I117" s="718"/>
      <c r="J117" s="718"/>
      <c r="K117" s="718"/>
      <c r="L117" s="718"/>
      <c r="M117" s="719"/>
      <c r="N117" s="683"/>
    </row>
    <row r="118" spans="2:14" ht="12.75" customHeight="1" x14ac:dyDescent="0.2">
      <c r="B118" s="67"/>
      <c r="C118" s="126"/>
      <c r="D118" s="165"/>
      <c r="E118" s="124"/>
      <c r="F118" s="714"/>
      <c r="G118" s="124"/>
      <c r="H118" s="124"/>
      <c r="I118" s="718"/>
      <c r="J118" s="718"/>
      <c r="K118" s="718"/>
      <c r="L118" s="718"/>
      <c r="M118" s="719"/>
      <c r="N118" s="683"/>
    </row>
    <row r="119" spans="2:14" ht="12.75" customHeight="1" x14ac:dyDescent="0.2">
      <c r="B119" s="67"/>
      <c r="C119" s="126"/>
      <c r="D119" s="1344" t="s">
        <v>604</v>
      </c>
      <c r="E119" s="124"/>
      <c r="F119" s="843"/>
      <c r="G119" s="124"/>
      <c r="H119" s="1143">
        <f>mop!F17</f>
        <v>0</v>
      </c>
      <c r="I119" s="1143">
        <f>mop!G17</f>
        <v>0</v>
      </c>
      <c r="J119" s="1143">
        <f>mop!H17</f>
        <v>0</v>
      </c>
      <c r="K119" s="1143">
        <f>mop!I17</f>
        <v>0</v>
      </c>
      <c r="L119" s="1143">
        <f>mop!J17</f>
        <v>0</v>
      </c>
      <c r="M119" s="721"/>
      <c r="N119" s="684"/>
    </row>
    <row r="120" spans="2:14" ht="12.75" customHeight="1" x14ac:dyDescent="0.2">
      <c r="B120" s="67"/>
      <c r="C120" s="126"/>
      <c r="D120" s="841"/>
      <c r="E120" s="720"/>
      <c r="F120" s="843"/>
      <c r="G120" s="720"/>
      <c r="H120" s="840">
        <v>0</v>
      </c>
      <c r="I120" s="840">
        <f t="shared" ref="I120:I128" si="7">H120</f>
        <v>0</v>
      </c>
      <c r="J120" s="840">
        <f t="shared" ref="J120:L127" si="8">I120</f>
        <v>0</v>
      </c>
      <c r="K120" s="840">
        <f t="shared" si="8"/>
        <v>0</v>
      </c>
      <c r="L120" s="840">
        <f t="shared" si="8"/>
        <v>0</v>
      </c>
      <c r="M120" s="722"/>
      <c r="N120" s="685"/>
    </row>
    <row r="121" spans="2:14" ht="12.75" customHeight="1" x14ac:dyDescent="0.2">
      <c r="B121" s="67"/>
      <c r="C121" s="126"/>
      <c r="D121" s="227"/>
      <c r="E121" s="720"/>
      <c r="F121" s="843"/>
      <c r="G121" s="720"/>
      <c r="H121" s="840">
        <v>0</v>
      </c>
      <c r="I121" s="840">
        <f t="shared" si="7"/>
        <v>0</v>
      </c>
      <c r="J121" s="840">
        <f t="shared" si="8"/>
        <v>0</v>
      </c>
      <c r="K121" s="840">
        <f t="shared" si="8"/>
        <v>0</v>
      </c>
      <c r="L121" s="840">
        <f t="shared" si="8"/>
        <v>0</v>
      </c>
      <c r="M121" s="722"/>
      <c r="N121" s="685"/>
    </row>
    <row r="122" spans="2:14" ht="12.75" customHeight="1" x14ac:dyDescent="0.2">
      <c r="B122" s="67"/>
      <c r="C122" s="126"/>
      <c r="D122" s="227"/>
      <c r="E122" s="720"/>
      <c r="F122" s="843"/>
      <c r="G122" s="720"/>
      <c r="H122" s="840">
        <v>0</v>
      </c>
      <c r="I122" s="840">
        <f t="shared" si="7"/>
        <v>0</v>
      </c>
      <c r="J122" s="840">
        <f t="shared" si="8"/>
        <v>0</v>
      </c>
      <c r="K122" s="840">
        <f t="shared" si="8"/>
        <v>0</v>
      </c>
      <c r="L122" s="840">
        <f t="shared" si="8"/>
        <v>0</v>
      </c>
      <c r="M122" s="722"/>
      <c r="N122" s="685"/>
    </row>
    <row r="123" spans="2:14" ht="12.75" customHeight="1" x14ac:dyDescent="0.2">
      <c r="B123" s="67"/>
      <c r="C123" s="126"/>
      <c r="D123" s="227"/>
      <c r="E123" s="720"/>
      <c r="F123" s="843"/>
      <c r="G123" s="720"/>
      <c r="H123" s="840">
        <v>0</v>
      </c>
      <c r="I123" s="840">
        <f t="shared" si="7"/>
        <v>0</v>
      </c>
      <c r="J123" s="840">
        <f t="shared" si="8"/>
        <v>0</v>
      </c>
      <c r="K123" s="840">
        <f t="shared" si="8"/>
        <v>0</v>
      </c>
      <c r="L123" s="840">
        <f t="shared" si="8"/>
        <v>0</v>
      </c>
      <c r="M123" s="722"/>
      <c r="N123" s="685"/>
    </row>
    <row r="124" spans="2:14" ht="12.75" customHeight="1" x14ac:dyDescent="0.2">
      <c r="B124" s="67"/>
      <c r="C124" s="126"/>
      <c r="D124" s="227"/>
      <c r="E124" s="720"/>
      <c r="F124" s="843"/>
      <c r="G124" s="720"/>
      <c r="H124" s="840">
        <v>0</v>
      </c>
      <c r="I124" s="840">
        <f t="shared" si="7"/>
        <v>0</v>
      </c>
      <c r="J124" s="840">
        <f t="shared" si="8"/>
        <v>0</v>
      </c>
      <c r="K124" s="840">
        <f t="shared" si="8"/>
        <v>0</v>
      </c>
      <c r="L124" s="840">
        <f t="shared" si="8"/>
        <v>0</v>
      </c>
      <c r="M124" s="722"/>
      <c r="N124" s="685"/>
    </row>
    <row r="125" spans="2:14" ht="12.75" customHeight="1" x14ac:dyDescent="0.2">
      <c r="B125" s="67"/>
      <c r="C125" s="126"/>
      <c r="D125" s="227"/>
      <c r="E125" s="720"/>
      <c r="F125" s="843"/>
      <c r="G125" s="720"/>
      <c r="H125" s="840">
        <v>0</v>
      </c>
      <c r="I125" s="840">
        <f t="shared" si="7"/>
        <v>0</v>
      </c>
      <c r="J125" s="840">
        <f t="shared" si="8"/>
        <v>0</v>
      </c>
      <c r="K125" s="840">
        <f t="shared" si="8"/>
        <v>0</v>
      </c>
      <c r="L125" s="840">
        <f t="shared" si="8"/>
        <v>0</v>
      </c>
      <c r="M125" s="722"/>
      <c r="N125" s="685"/>
    </row>
    <row r="126" spans="2:14" ht="12.75" customHeight="1" x14ac:dyDescent="0.2">
      <c r="B126" s="67"/>
      <c r="C126" s="126"/>
      <c r="D126" s="227"/>
      <c r="E126" s="720"/>
      <c r="F126" s="843"/>
      <c r="G126" s="720"/>
      <c r="H126" s="840">
        <v>0</v>
      </c>
      <c r="I126" s="840">
        <f t="shared" si="7"/>
        <v>0</v>
      </c>
      <c r="J126" s="840">
        <f t="shared" si="8"/>
        <v>0</v>
      </c>
      <c r="K126" s="840">
        <f t="shared" si="8"/>
        <v>0</v>
      </c>
      <c r="L126" s="840">
        <f t="shared" si="8"/>
        <v>0</v>
      </c>
      <c r="M126" s="722"/>
      <c r="N126" s="685"/>
    </row>
    <row r="127" spans="2:14" ht="12.75" customHeight="1" x14ac:dyDescent="0.2">
      <c r="B127" s="67"/>
      <c r="C127" s="126"/>
      <c r="D127" s="227"/>
      <c r="E127" s="720"/>
      <c r="F127" s="843"/>
      <c r="G127" s="720"/>
      <c r="H127" s="840">
        <v>0</v>
      </c>
      <c r="I127" s="840">
        <f t="shared" si="7"/>
        <v>0</v>
      </c>
      <c r="J127" s="840">
        <f t="shared" si="8"/>
        <v>0</v>
      </c>
      <c r="K127" s="840">
        <f t="shared" si="8"/>
        <v>0</v>
      </c>
      <c r="L127" s="840">
        <f t="shared" si="8"/>
        <v>0</v>
      </c>
      <c r="M127" s="722"/>
      <c r="N127" s="685"/>
    </row>
    <row r="128" spans="2:14" ht="12.75" customHeight="1" x14ac:dyDescent="0.2">
      <c r="B128" s="67"/>
      <c r="C128" s="126"/>
      <c r="D128" s="227"/>
      <c r="E128" s="720"/>
      <c r="F128" s="843"/>
      <c r="G128" s="720"/>
      <c r="H128" s="840">
        <v>0</v>
      </c>
      <c r="I128" s="840">
        <f t="shared" si="7"/>
        <v>0</v>
      </c>
      <c r="J128" s="840">
        <f>I128</f>
        <v>0</v>
      </c>
      <c r="K128" s="840">
        <f>J128</f>
        <v>0</v>
      </c>
      <c r="L128" s="840">
        <f>K128</f>
        <v>0</v>
      </c>
      <c r="M128" s="722"/>
      <c r="N128" s="685"/>
    </row>
    <row r="129" spans="2:28" ht="12.75" customHeight="1" x14ac:dyDescent="0.2">
      <c r="B129" s="67"/>
      <c r="C129" s="126"/>
      <c r="D129" s="124"/>
      <c r="E129" s="124"/>
      <c r="F129" s="714"/>
      <c r="G129" s="124"/>
      <c r="H129" s="124"/>
      <c r="I129" s="124"/>
      <c r="J129" s="124"/>
      <c r="K129" s="124"/>
      <c r="L129" s="124"/>
      <c r="M129" s="722"/>
      <c r="N129" s="685"/>
    </row>
    <row r="130" spans="2:28" s="17" customFormat="1" ht="12.75" customHeight="1" x14ac:dyDescent="0.2">
      <c r="B130" s="95"/>
      <c r="C130" s="122"/>
      <c r="D130" s="723" t="s">
        <v>291</v>
      </c>
      <c r="E130" s="130"/>
      <c r="F130" s="724"/>
      <c r="G130" s="130"/>
      <c r="H130" s="1135">
        <f>SUM(H119:H128)</f>
        <v>0</v>
      </c>
      <c r="I130" s="1135">
        <f>SUM(I119:I128)</f>
        <v>0</v>
      </c>
      <c r="J130" s="1135">
        <f>SUM(J119:J128)</f>
        <v>0</v>
      </c>
      <c r="K130" s="1135">
        <f>SUM(K119:K128)</f>
        <v>0</v>
      </c>
      <c r="L130" s="1135">
        <f>SUM(L119:L128)</f>
        <v>0</v>
      </c>
      <c r="M130" s="725"/>
      <c r="N130" s="686"/>
      <c r="Q130" s="453"/>
    </row>
    <row r="131" spans="2:28" ht="12.75" customHeight="1" x14ac:dyDescent="0.2">
      <c r="B131" s="67"/>
      <c r="C131" s="191"/>
      <c r="D131" s="133"/>
      <c r="E131" s="133"/>
      <c r="F131" s="844"/>
      <c r="G131" s="133"/>
      <c r="H131" s="133"/>
      <c r="I131" s="833"/>
      <c r="J131" s="833"/>
      <c r="K131" s="833"/>
      <c r="L131" s="833"/>
      <c r="M131" s="834"/>
      <c r="N131" s="684"/>
    </row>
    <row r="132" spans="2:28" ht="12.75" customHeight="1" x14ac:dyDescent="0.2">
      <c r="B132" s="67"/>
      <c r="C132" s="68"/>
      <c r="D132" s="68"/>
      <c r="E132" s="68"/>
      <c r="F132" s="847"/>
      <c r="G132" s="68"/>
      <c r="H132" s="68"/>
      <c r="I132" s="687"/>
      <c r="J132" s="687"/>
      <c r="K132" s="687"/>
      <c r="L132" s="687"/>
      <c r="M132" s="848"/>
      <c r="N132" s="684"/>
    </row>
    <row r="133" spans="2:28" ht="12.75" customHeight="1" x14ac:dyDescent="0.2">
      <c r="B133" s="67"/>
      <c r="C133" s="184"/>
      <c r="D133" s="845"/>
      <c r="E133" s="845"/>
      <c r="F133" s="846"/>
      <c r="G133" s="845"/>
      <c r="H133" s="845"/>
      <c r="I133" s="836"/>
      <c r="J133" s="836"/>
      <c r="K133" s="836"/>
      <c r="L133" s="836"/>
      <c r="M133" s="837"/>
      <c r="N133" s="684"/>
    </row>
    <row r="134" spans="2:28" s="17" customFormat="1" ht="12.75" customHeight="1" x14ac:dyDescent="0.2">
      <c r="B134" s="95"/>
      <c r="C134" s="122"/>
      <c r="D134" s="1025" t="s">
        <v>268</v>
      </c>
      <c r="E134" s="1122"/>
      <c r="F134" s="1128" t="s">
        <v>351</v>
      </c>
      <c r="G134" s="715"/>
      <c r="H134" s="715"/>
      <c r="I134" s="716"/>
      <c r="J134" s="716"/>
      <c r="K134" s="716"/>
      <c r="L134" s="716"/>
      <c r="M134" s="725"/>
      <c r="N134" s="686"/>
      <c r="P134" s="14"/>
      <c r="Q134" s="454"/>
      <c r="R134" s="14"/>
      <c r="S134" s="14"/>
      <c r="T134" s="14"/>
      <c r="U134" s="14"/>
      <c r="V134" s="271"/>
      <c r="W134" s="271"/>
      <c r="X134" s="271"/>
      <c r="Y134" s="271"/>
      <c r="Z134" s="271"/>
      <c r="AA134" s="14"/>
      <c r="AB134" s="14"/>
    </row>
    <row r="135" spans="2:28" s="17" customFormat="1" ht="12.75" customHeight="1" x14ac:dyDescent="0.2">
      <c r="B135" s="95"/>
      <c r="C135" s="122"/>
      <c r="D135" s="715"/>
      <c r="E135" s="715"/>
      <c r="F135" s="714"/>
      <c r="G135" s="715"/>
      <c r="H135" s="715"/>
      <c r="I135" s="716"/>
      <c r="J135" s="716"/>
      <c r="K135" s="716"/>
      <c r="L135" s="716"/>
      <c r="M135" s="725"/>
      <c r="N135" s="686"/>
      <c r="P135" s="14"/>
      <c r="Q135" s="454"/>
      <c r="R135" s="14"/>
      <c r="S135" s="14"/>
      <c r="T135" s="14"/>
      <c r="U135" s="14"/>
      <c r="V135" s="271"/>
      <c r="W135" s="271"/>
      <c r="X135" s="271"/>
      <c r="Y135" s="271"/>
      <c r="Z135" s="271"/>
      <c r="AA135" s="14"/>
      <c r="AB135" s="14"/>
    </row>
    <row r="136" spans="2:28" ht="12.75" customHeight="1" x14ac:dyDescent="0.2">
      <c r="B136" s="67"/>
      <c r="C136" s="126"/>
      <c r="D136" s="841"/>
      <c r="E136" s="720"/>
      <c r="F136" s="843"/>
      <c r="G136" s="720"/>
      <c r="H136" s="840">
        <v>0</v>
      </c>
      <c r="I136" s="840">
        <f t="shared" ref="I136:I153" si="9">H136</f>
        <v>0</v>
      </c>
      <c r="J136" s="840">
        <f t="shared" ref="J136:L156" si="10">I136</f>
        <v>0</v>
      </c>
      <c r="K136" s="840">
        <f t="shared" si="10"/>
        <v>0</v>
      </c>
      <c r="L136" s="840">
        <f t="shared" si="10"/>
        <v>0</v>
      </c>
      <c r="M136" s="722"/>
      <c r="N136" s="685"/>
      <c r="U136" s="14"/>
      <c r="Z136" s="271"/>
    </row>
    <row r="137" spans="2:28" ht="12.75" customHeight="1" x14ac:dyDescent="0.2">
      <c r="B137" s="67"/>
      <c r="C137" s="126"/>
      <c r="D137" s="841"/>
      <c r="E137" s="720"/>
      <c r="F137" s="843"/>
      <c r="G137" s="720"/>
      <c r="H137" s="840">
        <v>0</v>
      </c>
      <c r="I137" s="840">
        <f t="shared" si="9"/>
        <v>0</v>
      </c>
      <c r="J137" s="840">
        <f t="shared" si="10"/>
        <v>0</v>
      </c>
      <c r="K137" s="840">
        <f t="shared" si="10"/>
        <v>0</v>
      </c>
      <c r="L137" s="840">
        <f t="shared" si="10"/>
        <v>0</v>
      </c>
      <c r="M137" s="722"/>
      <c r="N137" s="685"/>
      <c r="U137" s="14"/>
      <c r="Z137" s="271"/>
    </row>
    <row r="138" spans="2:28" ht="12.75" customHeight="1" x14ac:dyDescent="0.2">
      <c r="B138" s="67"/>
      <c r="C138" s="126"/>
      <c r="D138" s="841"/>
      <c r="E138" s="720"/>
      <c r="F138" s="843"/>
      <c r="G138" s="720"/>
      <c r="H138" s="840">
        <v>0</v>
      </c>
      <c r="I138" s="840">
        <f t="shared" si="9"/>
        <v>0</v>
      </c>
      <c r="J138" s="840">
        <f t="shared" si="10"/>
        <v>0</v>
      </c>
      <c r="K138" s="840">
        <f t="shared" si="10"/>
        <v>0</v>
      </c>
      <c r="L138" s="840">
        <f t="shared" si="10"/>
        <v>0</v>
      </c>
      <c r="M138" s="722"/>
      <c r="N138" s="685"/>
      <c r="U138" s="14"/>
      <c r="Z138" s="271"/>
    </row>
    <row r="139" spans="2:28" ht="12.75" customHeight="1" x14ac:dyDescent="0.2">
      <c r="B139" s="67"/>
      <c r="C139" s="126"/>
      <c r="D139" s="841"/>
      <c r="E139" s="720"/>
      <c r="F139" s="843"/>
      <c r="G139" s="720"/>
      <c r="H139" s="840">
        <v>0</v>
      </c>
      <c r="I139" s="840">
        <f t="shared" si="9"/>
        <v>0</v>
      </c>
      <c r="J139" s="840">
        <f t="shared" si="10"/>
        <v>0</v>
      </c>
      <c r="K139" s="840">
        <f t="shared" si="10"/>
        <v>0</v>
      </c>
      <c r="L139" s="840">
        <f t="shared" si="10"/>
        <v>0</v>
      </c>
      <c r="M139" s="722"/>
      <c r="N139" s="685"/>
      <c r="U139" s="14"/>
      <c r="Z139" s="271"/>
    </row>
    <row r="140" spans="2:28" ht="12.75" customHeight="1" x14ac:dyDescent="0.2">
      <c r="B140" s="67"/>
      <c r="C140" s="126"/>
      <c r="D140" s="841"/>
      <c r="E140" s="720"/>
      <c r="F140" s="843"/>
      <c r="G140" s="720"/>
      <c r="H140" s="840">
        <v>0</v>
      </c>
      <c r="I140" s="840">
        <f t="shared" si="9"/>
        <v>0</v>
      </c>
      <c r="J140" s="840">
        <f t="shared" si="10"/>
        <v>0</v>
      </c>
      <c r="K140" s="840">
        <f t="shared" si="10"/>
        <v>0</v>
      </c>
      <c r="L140" s="840">
        <f t="shared" si="10"/>
        <v>0</v>
      </c>
      <c r="M140" s="722"/>
      <c r="N140" s="685"/>
      <c r="U140" s="14"/>
      <c r="Z140" s="271"/>
    </row>
    <row r="141" spans="2:28" ht="12.75" customHeight="1" x14ac:dyDescent="0.2">
      <c r="B141" s="67"/>
      <c r="C141" s="126"/>
      <c r="D141" s="841"/>
      <c r="E141" s="720"/>
      <c r="F141" s="843"/>
      <c r="G141" s="720"/>
      <c r="H141" s="840">
        <v>0</v>
      </c>
      <c r="I141" s="840">
        <f t="shared" si="9"/>
        <v>0</v>
      </c>
      <c r="J141" s="840">
        <f t="shared" si="10"/>
        <v>0</v>
      </c>
      <c r="K141" s="840">
        <f t="shared" si="10"/>
        <v>0</v>
      </c>
      <c r="L141" s="840">
        <f t="shared" si="10"/>
        <v>0</v>
      </c>
      <c r="M141" s="722"/>
      <c r="N141" s="685"/>
      <c r="U141" s="14"/>
      <c r="Z141" s="271"/>
    </row>
    <row r="142" spans="2:28" ht="12.75" customHeight="1" x14ac:dyDescent="0.2">
      <c r="B142" s="67"/>
      <c r="C142" s="126"/>
      <c r="D142" s="841"/>
      <c r="E142" s="720"/>
      <c r="F142" s="843"/>
      <c r="G142" s="720"/>
      <c r="H142" s="840">
        <v>0</v>
      </c>
      <c r="I142" s="840">
        <f t="shared" si="9"/>
        <v>0</v>
      </c>
      <c r="J142" s="840">
        <f t="shared" si="10"/>
        <v>0</v>
      </c>
      <c r="K142" s="840">
        <f t="shared" si="10"/>
        <v>0</v>
      </c>
      <c r="L142" s="840">
        <f t="shared" si="10"/>
        <v>0</v>
      </c>
      <c r="M142" s="722"/>
      <c r="N142" s="685"/>
      <c r="U142" s="14"/>
      <c r="Z142" s="271"/>
    </row>
    <row r="143" spans="2:28" ht="12.75" customHeight="1" x14ac:dyDescent="0.2">
      <c r="B143" s="67"/>
      <c r="C143" s="126"/>
      <c r="D143" s="841"/>
      <c r="E143" s="720"/>
      <c r="F143" s="843"/>
      <c r="G143" s="720"/>
      <c r="H143" s="840">
        <v>0</v>
      </c>
      <c r="I143" s="840">
        <f t="shared" si="9"/>
        <v>0</v>
      </c>
      <c r="J143" s="840">
        <f t="shared" si="10"/>
        <v>0</v>
      </c>
      <c r="K143" s="840">
        <f t="shared" si="10"/>
        <v>0</v>
      </c>
      <c r="L143" s="840">
        <f t="shared" si="10"/>
        <v>0</v>
      </c>
      <c r="M143" s="722"/>
      <c r="N143" s="685"/>
      <c r="U143" s="14"/>
      <c r="Z143" s="271"/>
    </row>
    <row r="144" spans="2:28" ht="12.75" customHeight="1" x14ac:dyDescent="0.2">
      <c r="B144" s="67"/>
      <c r="C144" s="126"/>
      <c r="D144" s="841"/>
      <c r="E144" s="720"/>
      <c r="F144" s="843"/>
      <c r="G144" s="720"/>
      <c r="H144" s="840">
        <v>0</v>
      </c>
      <c r="I144" s="840">
        <f t="shared" si="9"/>
        <v>0</v>
      </c>
      <c r="J144" s="840">
        <f t="shared" si="10"/>
        <v>0</v>
      </c>
      <c r="K144" s="840">
        <f t="shared" si="10"/>
        <v>0</v>
      </c>
      <c r="L144" s="840">
        <f t="shared" si="10"/>
        <v>0</v>
      </c>
      <c r="M144" s="722"/>
      <c r="N144" s="685"/>
      <c r="U144" s="14"/>
      <c r="Z144" s="271"/>
    </row>
    <row r="145" spans="2:26" ht="12.75" customHeight="1" x14ac:dyDescent="0.2">
      <c r="B145" s="67"/>
      <c r="C145" s="126"/>
      <c r="D145" s="841"/>
      <c r="E145" s="720"/>
      <c r="F145" s="843"/>
      <c r="G145" s="720"/>
      <c r="H145" s="840">
        <v>0</v>
      </c>
      <c r="I145" s="840">
        <f t="shared" si="9"/>
        <v>0</v>
      </c>
      <c r="J145" s="840">
        <f t="shared" ref="J145:L153" si="11">I145</f>
        <v>0</v>
      </c>
      <c r="K145" s="840">
        <f t="shared" si="11"/>
        <v>0</v>
      </c>
      <c r="L145" s="840">
        <f t="shared" si="11"/>
        <v>0</v>
      </c>
      <c r="M145" s="722"/>
      <c r="N145" s="685"/>
      <c r="U145" s="14"/>
      <c r="Z145" s="271"/>
    </row>
    <row r="146" spans="2:26" ht="12.75" customHeight="1" x14ac:dyDescent="0.2">
      <c r="B146" s="67"/>
      <c r="C146" s="126"/>
      <c r="D146" s="841"/>
      <c r="E146" s="720"/>
      <c r="F146" s="843"/>
      <c r="G146" s="720"/>
      <c r="H146" s="840">
        <v>0</v>
      </c>
      <c r="I146" s="840">
        <f t="shared" si="9"/>
        <v>0</v>
      </c>
      <c r="J146" s="840">
        <f t="shared" si="11"/>
        <v>0</v>
      </c>
      <c r="K146" s="840">
        <f t="shared" si="11"/>
        <v>0</v>
      </c>
      <c r="L146" s="840">
        <f t="shared" si="11"/>
        <v>0</v>
      </c>
      <c r="M146" s="722"/>
      <c r="N146" s="685"/>
      <c r="U146" s="14"/>
      <c r="Z146" s="271"/>
    </row>
    <row r="147" spans="2:26" ht="12.75" customHeight="1" x14ac:dyDescent="0.2">
      <c r="B147" s="67"/>
      <c r="C147" s="126"/>
      <c r="D147" s="841"/>
      <c r="E147" s="720"/>
      <c r="F147" s="843"/>
      <c r="G147" s="720"/>
      <c r="H147" s="840">
        <v>0</v>
      </c>
      <c r="I147" s="840">
        <f t="shared" si="9"/>
        <v>0</v>
      </c>
      <c r="J147" s="840">
        <f t="shared" si="11"/>
        <v>0</v>
      </c>
      <c r="K147" s="840">
        <f t="shared" si="11"/>
        <v>0</v>
      </c>
      <c r="L147" s="840">
        <f t="shared" si="11"/>
        <v>0</v>
      </c>
      <c r="M147" s="722"/>
      <c r="N147" s="685"/>
      <c r="U147" s="14"/>
      <c r="Z147" s="271"/>
    </row>
    <row r="148" spans="2:26" ht="12.75" customHeight="1" x14ac:dyDescent="0.2">
      <c r="B148" s="67"/>
      <c r="C148" s="126"/>
      <c r="D148" s="841"/>
      <c r="E148" s="720"/>
      <c r="F148" s="843"/>
      <c r="G148" s="720"/>
      <c r="H148" s="840">
        <v>0</v>
      </c>
      <c r="I148" s="840">
        <f t="shared" si="9"/>
        <v>0</v>
      </c>
      <c r="J148" s="840">
        <f t="shared" si="11"/>
        <v>0</v>
      </c>
      <c r="K148" s="840">
        <f t="shared" si="11"/>
        <v>0</v>
      </c>
      <c r="L148" s="840">
        <f t="shared" si="11"/>
        <v>0</v>
      </c>
      <c r="M148" s="722"/>
      <c r="N148" s="685"/>
      <c r="U148" s="14"/>
      <c r="Z148" s="271"/>
    </row>
    <row r="149" spans="2:26" ht="12.75" customHeight="1" x14ac:dyDescent="0.2">
      <c r="B149" s="67"/>
      <c r="C149" s="126"/>
      <c r="D149" s="841"/>
      <c r="E149" s="720"/>
      <c r="F149" s="843"/>
      <c r="G149" s="720"/>
      <c r="H149" s="840">
        <v>0</v>
      </c>
      <c r="I149" s="840">
        <f t="shared" si="9"/>
        <v>0</v>
      </c>
      <c r="J149" s="840">
        <f t="shared" si="11"/>
        <v>0</v>
      </c>
      <c r="K149" s="840">
        <f t="shared" si="11"/>
        <v>0</v>
      </c>
      <c r="L149" s="840">
        <f t="shared" si="11"/>
        <v>0</v>
      </c>
      <c r="M149" s="722"/>
      <c r="N149" s="685"/>
      <c r="U149" s="14"/>
      <c r="Z149" s="271"/>
    </row>
    <row r="150" spans="2:26" ht="12.75" customHeight="1" x14ac:dyDescent="0.2">
      <c r="B150" s="67"/>
      <c r="C150" s="126"/>
      <c r="D150" s="841"/>
      <c r="E150" s="720"/>
      <c r="F150" s="843"/>
      <c r="G150" s="720"/>
      <c r="H150" s="840">
        <v>0</v>
      </c>
      <c r="I150" s="840">
        <f t="shared" si="9"/>
        <v>0</v>
      </c>
      <c r="J150" s="840">
        <f t="shared" si="11"/>
        <v>0</v>
      </c>
      <c r="K150" s="840">
        <f t="shared" si="11"/>
        <v>0</v>
      </c>
      <c r="L150" s="840">
        <f t="shared" si="11"/>
        <v>0</v>
      </c>
      <c r="M150" s="722"/>
      <c r="N150" s="685"/>
      <c r="U150" s="14"/>
      <c r="Z150" s="271"/>
    </row>
    <row r="151" spans="2:26" ht="12.75" customHeight="1" x14ac:dyDescent="0.2">
      <c r="B151" s="67"/>
      <c r="C151" s="126"/>
      <c r="D151" s="841"/>
      <c r="E151" s="720"/>
      <c r="F151" s="843"/>
      <c r="G151" s="720"/>
      <c r="H151" s="840">
        <v>0</v>
      </c>
      <c r="I151" s="840">
        <f t="shared" si="9"/>
        <v>0</v>
      </c>
      <c r="J151" s="840">
        <f t="shared" si="11"/>
        <v>0</v>
      </c>
      <c r="K151" s="840">
        <f t="shared" si="11"/>
        <v>0</v>
      </c>
      <c r="L151" s="840">
        <f t="shared" si="11"/>
        <v>0</v>
      </c>
      <c r="M151" s="722"/>
      <c r="N151" s="685"/>
      <c r="U151" s="14"/>
      <c r="Z151" s="271"/>
    </row>
    <row r="152" spans="2:26" ht="12.75" customHeight="1" x14ac:dyDescent="0.2">
      <c r="B152" s="67"/>
      <c r="C152" s="126"/>
      <c r="D152" s="841"/>
      <c r="E152" s="720"/>
      <c r="F152" s="843"/>
      <c r="G152" s="720"/>
      <c r="H152" s="840">
        <v>0</v>
      </c>
      <c r="I152" s="840">
        <f t="shared" si="9"/>
        <v>0</v>
      </c>
      <c r="J152" s="840">
        <f t="shared" si="11"/>
        <v>0</v>
      </c>
      <c r="K152" s="840">
        <f t="shared" si="11"/>
        <v>0</v>
      </c>
      <c r="L152" s="840">
        <f t="shared" si="11"/>
        <v>0</v>
      </c>
      <c r="M152" s="722"/>
      <c r="N152" s="685"/>
      <c r="U152" s="14"/>
      <c r="Z152" s="271"/>
    </row>
    <row r="153" spans="2:26" ht="12.75" customHeight="1" x14ac:dyDescent="0.2">
      <c r="B153" s="67"/>
      <c r="C153" s="126"/>
      <c r="D153" s="841"/>
      <c r="E153" s="720"/>
      <c r="F153" s="843"/>
      <c r="G153" s="720"/>
      <c r="H153" s="840">
        <v>0</v>
      </c>
      <c r="I153" s="840">
        <f t="shared" si="9"/>
        <v>0</v>
      </c>
      <c r="J153" s="840">
        <f t="shared" si="11"/>
        <v>0</v>
      </c>
      <c r="K153" s="840">
        <f t="shared" si="11"/>
        <v>0</v>
      </c>
      <c r="L153" s="840">
        <f t="shared" si="11"/>
        <v>0</v>
      </c>
      <c r="M153" s="722"/>
      <c r="N153" s="685"/>
      <c r="U153" s="14"/>
      <c r="Z153" s="271"/>
    </row>
    <row r="154" spans="2:26" ht="12.75" customHeight="1" x14ac:dyDescent="0.2">
      <c r="B154" s="67"/>
      <c r="C154" s="126"/>
      <c r="D154" s="841"/>
      <c r="E154" s="720"/>
      <c r="F154" s="843"/>
      <c r="G154" s="720"/>
      <c r="H154" s="840">
        <v>0</v>
      </c>
      <c r="I154" s="840">
        <f t="shared" ref="I154:I170" si="12">H154</f>
        <v>0</v>
      </c>
      <c r="J154" s="840">
        <f t="shared" si="10"/>
        <v>0</v>
      </c>
      <c r="K154" s="840">
        <f t="shared" si="10"/>
        <v>0</v>
      </c>
      <c r="L154" s="840">
        <f t="shared" si="10"/>
        <v>0</v>
      </c>
      <c r="M154" s="722"/>
      <c r="N154" s="685"/>
      <c r="U154" s="14"/>
      <c r="Z154" s="271"/>
    </row>
    <row r="155" spans="2:26" ht="12.75" customHeight="1" x14ac:dyDescent="0.2">
      <c r="B155" s="67"/>
      <c r="C155" s="126"/>
      <c r="D155" s="841"/>
      <c r="E155" s="720"/>
      <c r="F155" s="843"/>
      <c r="G155" s="720"/>
      <c r="H155" s="840">
        <v>0</v>
      </c>
      <c r="I155" s="840">
        <f t="shared" si="12"/>
        <v>0</v>
      </c>
      <c r="J155" s="840">
        <f t="shared" si="10"/>
        <v>0</v>
      </c>
      <c r="K155" s="840">
        <f t="shared" si="10"/>
        <v>0</v>
      </c>
      <c r="L155" s="840">
        <f t="shared" si="10"/>
        <v>0</v>
      </c>
      <c r="M155" s="722"/>
      <c r="N155" s="685"/>
      <c r="U155" s="14"/>
      <c r="Z155" s="271"/>
    </row>
    <row r="156" spans="2:26" ht="12.75" customHeight="1" x14ac:dyDescent="0.2">
      <c r="B156" s="67"/>
      <c r="C156" s="126"/>
      <c r="D156" s="841"/>
      <c r="E156" s="720"/>
      <c r="F156" s="843"/>
      <c r="G156" s="720"/>
      <c r="H156" s="840">
        <v>0</v>
      </c>
      <c r="I156" s="840">
        <f t="shared" si="12"/>
        <v>0</v>
      </c>
      <c r="J156" s="840">
        <f t="shared" si="10"/>
        <v>0</v>
      </c>
      <c r="K156" s="840">
        <f t="shared" si="10"/>
        <v>0</v>
      </c>
      <c r="L156" s="840">
        <f t="shared" si="10"/>
        <v>0</v>
      </c>
      <c r="M156" s="722"/>
      <c r="N156" s="685"/>
      <c r="U156" s="14"/>
      <c r="Z156" s="271"/>
    </row>
    <row r="157" spans="2:26" ht="12.75" customHeight="1" x14ac:dyDescent="0.2">
      <c r="B157" s="67"/>
      <c r="C157" s="126"/>
      <c r="D157" s="841"/>
      <c r="E157" s="720"/>
      <c r="F157" s="843"/>
      <c r="G157" s="720"/>
      <c r="H157" s="840">
        <v>0</v>
      </c>
      <c r="I157" s="840">
        <f t="shared" si="12"/>
        <v>0</v>
      </c>
      <c r="J157" s="840">
        <f t="shared" ref="J157:L159" si="13">I157</f>
        <v>0</v>
      </c>
      <c r="K157" s="840">
        <f t="shared" si="13"/>
        <v>0</v>
      </c>
      <c r="L157" s="840">
        <f t="shared" si="13"/>
        <v>0</v>
      </c>
      <c r="M157" s="722"/>
      <c r="N157" s="685"/>
      <c r="U157" s="14"/>
      <c r="Z157" s="271"/>
    </row>
    <row r="158" spans="2:26" ht="12.75" customHeight="1" x14ac:dyDescent="0.2">
      <c r="B158" s="67"/>
      <c r="C158" s="126"/>
      <c r="D158" s="841"/>
      <c r="E158" s="720"/>
      <c r="F158" s="843"/>
      <c r="G158" s="720"/>
      <c r="H158" s="840">
        <v>0</v>
      </c>
      <c r="I158" s="840">
        <f t="shared" si="12"/>
        <v>0</v>
      </c>
      <c r="J158" s="840">
        <f t="shared" si="13"/>
        <v>0</v>
      </c>
      <c r="K158" s="840">
        <f t="shared" si="13"/>
        <v>0</v>
      </c>
      <c r="L158" s="840">
        <f t="shared" si="13"/>
        <v>0</v>
      </c>
      <c r="M158" s="722"/>
      <c r="N158" s="685"/>
      <c r="U158" s="14"/>
      <c r="Z158" s="271"/>
    </row>
    <row r="159" spans="2:26" ht="12.75" customHeight="1" x14ac:dyDescent="0.2">
      <c r="B159" s="67"/>
      <c r="C159" s="126"/>
      <c r="D159" s="841"/>
      <c r="E159" s="720"/>
      <c r="F159" s="843"/>
      <c r="G159" s="720"/>
      <c r="H159" s="840">
        <v>0</v>
      </c>
      <c r="I159" s="840">
        <f t="shared" si="12"/>
        <v>0</v>
      </c>
      <c r="J159" s="840">
        <f t="shared" si="13"/>
        <v>0</v>
      </c>
      <c r="K159" s="840">
        <f t="shared" si="13"/>
        <v>0</v>
      </c>
      <c r="L159" s="840">
        <f t="shared" si="13"/>
        <v>0</v>
      </c>
      <c r="M159" s="722"/>
      <c r="N159" s="685"/>
    </row>
    <row r="160" spans="2:26" ht="12.75" customHeight="1" x14ac:dyDescent="0.2">
      <c r="B160" s="67"/>
      <c r="C160" s="126"/>
      <c r="D160" s="841"/>
      <c r="E160" s="720"/>
      <c r="F160" s="843"/>
      <c r="G160" s="720"/>
      <c r="H160" s="840">
        <v>0</v>
      </c>
      <c r="I160" s="840">
        <f t="shared" si="12"/>
        <v>0</v>
      </c>
      <c r="J160" s="840">
        <f t="shared" ref="J160:L168" si="14">I160</f>
        <v>0</v>
      </c>
      <c r="K160" s="840">
        <f t="shared" si="14"/>
        <v>0</v>
      </c>
      <c r="L160" s="840">
        <f t="shared" si="14"/>
        <v>0</v>
      </c>
      <c r="M160" s="722"/>
      <c r="N160" s="685"/>
    </row>
    <row r="161" spans="2:14" ht="12.75" customHeight="1" x14ac:dyDescent="0.2">
      <c r="B161" s="67"/>
      <c r="C161" s="126"/>
      <c r="D161" s="841"/>
      <c r="E161" s="720"/>
      <c r="F161" s="843"/>
      <c r="G161" s="720"/>
      <c r="H161" s="840">
        <v>0</v>
      </c>
      <c r="I161" s="840">
        <f t="shared" si="12"/>
        <v>0</v>
      </c>
      <c r="J161" s="840">
        <f t="shared" si="14"/>
        <v>0</v>
      </c>
      <c r="K161" s="840">
        <f t="shared" si="14"/>
        <v>0</v>
      </c>
      <c r="L161" s="840">
        <f t="shared" si="14"/>
        <v>0</v>
      </c>
      <c r="M161" s="722"/>
      <c r="N161" s="685"/>
    </row>
    <row r="162" spans="2:14" ht="12.75" customHeight="1" x14ac:dyDescent="0.2">
      <c r="B162" s="67"/>
      <c r="C162" s="126"/>
      <c r="D162" s="841"/>
      <c r="E162" s="720"/>
      <c r="F162" s="843"/>
      <c r="G162" s="720"/>
      <c r="H162" s="840">
        <v>0</v>
      </c>
      <c r="I162" s="840">
        <f t="shared" si="12"/>
        <v>0</v>
      </c>
      <c r="J162" s="840">
        <f t="shared" si="14"/>
        <v>0</v>
      </c>
      <c r="K162" s="840">
        <f t="shared" si="14"/>
        <v>0</v>
      </c>
      <c r="L162" s="840">
        <f t="shared" si="14"/>
        <v>0</v>
      </c>
      <c r="M162" s="722"/>
      <c r="N162" s="685"/>
    </row>
    <row r="163" spans="2:14" ht="12.75" customHeight="1" x14ac:dyDescent="0.2">
      <c r="B163" s="67"/>
      <c r="C163" s="126"/>
      <c r="D163" s="841"/>
      <c r="E163" s="720"/>
      <c r="F163" s="843"/>
      <c r="G163" s="720"/>
      <c r="H163" s="840">
        <v>0</v>
      </c>
      <c r="I163" s="840">
        <f t="shared" si="12"/>
        <v>0</v>
      </c>
      <c r="J163" s="840">
        <f t="shared" si="14"/>
        <v>0</v>
      </c>
      <c r="K163" s="840">
        <f t="shared" si="14"/>
        <v>0</v>
      </c>
      <c r="L163" s="840">
        <f t="shared" si="14"/>
        <v>0</v>
      </c>
      <c r="M163" s="722"/>
      <c r="N163" s="685"/>
    </row>
    <row r="164" spans="2:14" ht="12.75" customHeight="1" x14ac:dyDescent="0.2">
      <c r="B164" s="67"/>
      <c r="C164" s="126"/>
      <c r="D164" s="841"/>
      <c r="E164" s="720"/>
      <c r="F164" s="843"/>
      <c r="G164" s="720"/>
      <c r="H164" s="840">
        <v>0</v>
      </c>
      <c r="I164" s="840">
        <f t="shared" si="12"/>
        <v>0</v>
      </c>
      <c r="J164" s="840">
        <f t="shared" si="14"/>
        <v>0</v>
      </c>
      <c r="K164" s="840">
        <f t="shared" si="14"/>
        <v>0</v>
      </c>
      <c r="L164" s="840">
        <f t="shared" si="14"/>
        <v>0</v>
      </c>
      <c r="M164" s="722"/>
      <c r="N164" s="685"/>
    </row>
    <row r="165" spans="2:14" ht="12.75" customHeight="1" x14ac:dyDescent="0.2">
      <c r="B165" s="67"/>
      <c r="C165" s="126"/>
      <c r="D165" s="842"/>
      <c r="E165" s="720"/>
      <c r="F165" s="843"/>
      <c r="G165" s="720"/>
      <c r="H165" s="840">
        <v>0</v>
      </c>
      <c r="I165" s="840">
        <f t="shared" si="12"/>
        <v>0</v>
      </c>
      <c r="J165" s="840">
        <f t="shared" si="14"/>
        <v>0</v>
      </c>
      <c r="K165" s="840">
        <f t="shared" si="14"/>
        <v>0</v>
      </c>
      <c r="L165" s="840">
        <f t="shared" si="14"/>
        <v>0</v>
      </c>
      <c r="M165" s="722"/>
      <c r="N165" s="685"/>
    </row>
    <row r="166" spans="2:14" ht="12.75" customHeight="1" x14ac:dyDescent="0.2">
      <c r="B166" s="67"/>
      <c r="C166" s="126"/>
      <c r="D166" s="842"/>
      <c r="E166" s="720"/>
      <c r="F166" s="843"/>
      <c r="G166" s="720"/>
      <c r="H166" s="840">
        <v>0</v>
      </c>
      <c r="I166" s="840">
        <f t="shared" si="12"/>
        <v>0</v>
      </c>
      <c r="J166" s="840">
        <f t="shared" si="14"/>
        <v>0</v>
      </c>
      <c r="K166" s="840">
        <f t="shared" si="14"/>
        <v>0</v>
      </c>
      <c r="L166" s="840">
        <f t="shared" si="14"/>
        <v>0</v>
      </c>
      <c r="M166" s="722"/>
      <c r="N166" s="685"/>
    </row>
    <row r="167" spans="2:14" ht="12.75" customHeight="1" x14ac:dyDescent="0.2">
      <c r="B167" s="67"/>
      <c r="C167" s="126"/>
      <c r="D167" s="842"/>
      <c r="E167" s="720"/>
      <c r="F167" s="843"/>
      <c r="G167" s="720"/>
      <c r="H167" s="840">
        <v>0</v>
      </c>
      <c r="I167" s="840">
        <f t="shared" si="12"/>
        <v>0</v>
      </c>
      <c r="J167" s="840">
        <f t="shared" si="14"/>
        <v>0</v>
      </c>
      <c r="K167" s="840">
        <f t="shared" si="14"/>
        <v>0</v>
      </c>
      <c r="L167" s="840">
        <f t="shared" si="14"/>
        <v>0</v>
      </c>
      <c r="M167" s="722"/>
      <c r="N167" s="685"/>
    </row>
    <row r="168" spans="2:14" ht="12.75" customHeight="1" x14ac:dyDescent="0.2">
      <c r="B168" s="67"/>
      <c r="C168" s="126"/>
      <c r="D168" s="842"/>
      <c r="E168" s="720"/>
      <c r="F168" s="843"/>
      <c r="G168" s="720"/>
      <c r="H168" s="840">
        <v>0</v>
      </c>
      <c r="I168" s="840">
        <f t="shared" si="12"/>
        <v>0</v>
      </c>
      <c r="J168" s="840">
        <f t="shared" si="14"/>
        <v>0</v>
      </c>
      <c r="K168" s="840">
        <f t="shared" si="14"/>
        <v>0</v>
      </c>
      <c r="L168" s="840">
        <f t="shared" si="14"/>
        <v>0</v>
      </c>
      <c r="M168" s="722"/>
      <c r="N168" s="685"/>
    </row>
    <row r="169" spans="2:14" ht="12.75" customHeight="1" x14ac:dyDescent="0.2">
      <c r="B169" s="67"/>
      <c r="C169" s="126"/>
      <c r="D169" s="842"/>
      <c r="E169" s="720"/>
      <c r="F169" s="843"/>
      <c r="G169" s="720"/>
      <c r="H169" s="840">
        <v>0</v>
      </c>
      <c r="I169" s="840">
        <f t="shared" si="12"/>
        <v>0</v>
      </c>
      <c r="J169" s="840">
        <f t="shared" ref="J169:L170" si="15">I169</f>
        <v>0</v>
      </c>
      <c r="K169" s="840">
        <f t="shared" si="15"/>
        <v>0</v>
      </c>
      <c r="L169" s="840">
        <f t="shared" si="15"/>
        <v>0</v>
      </c>
      <c r="M169" s="722"/>
      <c r="N169" s="685"/>
    </row>
    <row r="170" spans="2:14" ht="12.75" customHeight="1" x14ac:dyDescent="0.2">
      <c r="B170" s="67"/>
      <c r="C170" s="126"/>
      <c r="D170" s="842"/>
      <c r="E170" s="720"/>
      <c r="F170" s="843"/>
      <c r="G170" s="720"/>
      <c r="H170" s="840">
        <v>0</v>
      </c>
      <c r="I170" s="840">
        <f t="shared" si="12"/>
        <v>0</v>
      </c>
      <c r="J170" s="840">
        <f t="shared" si="15"/>
        <v>0</v>
      </c>
      <c r="K170" s="840">
        <f t="shared" si="15"/>
        <v>0</v>
      </c>
      <c r="L170" s="840">
        <f t="shared" si="15"/>
        <v>0</v>
      </c>
      <c r="M170" s="722"/>
      <c r="N170" s="685"/>
    </row>
    <row r="171" spans="2:14" ht="12.75" customHeight="1" x14ac:dyDescent="0.2">
      <c r="B171" s="67"/>
      <c r="C171" s="126"/>
      <c r="D171" s="124"/>
      <c r="E171" s="124"/>
      <c r="F171" s="124"/>
      <c r="G171" s="124"/>
      <c r="H171" s="124"/>
      <c r="I171" s="124"/>
      <c r="J171" s="124"/>
      <c r="K171" s="124"/>
      <c r="L171" s="124"/>
      <c r="M171" s="722"/>
      <c r="N171" s="685"/>
    </row>
    <row r="172" spans="2:14" ht="12.75" customHeight="1" x14ac:dyDescent="0.2">
      <c r="B172" s="67"/>
      <c r="C172" s="126"/>
      <c r="D172" s="715" t="s">
        <v>291</v>
      </c>
      <c r="E172" s="720"/>
      <c r="F172" s="720"/>
      <c r="G172" s="720"/>
      <c r="H172" s="1135">
        <f>SUM(H136:H170)</f>
        <v>0</v>
      </c>
      <c r="I172" s="1135">
        <f>SUM(I136:I170)</f>
        <v>0</v>
      </c>
      <c r="J172" s="1135">
        <f>SUM(J136:J170)</f>
        <v>0</v>
      </c>
      <c r="K172" s="1135">
        <f>SUM(K136:K170)</f>
        <v>0</v>
      </c>
      <c r="L172" s="1135">
        <f>SUM(L136:L170)</f>
        <v>0</v>
      </c>
      <c r="M172" s="725"/>
      <c r="N172" s="686"/>
    </row>
    <row r="173" spans="2:14" ht="12.75" customHeight="1" x14ac:dyDescent="0.2">
      <c r="B173" s="67"/>
      <c r="C173" s="191"/>
      <c r="D173" s="832"/>
      <c r="E173" s="832"/>
      <c r="F173" s="832"/>
      <c r="G173" s="832"/>
      <c r="H173" s="833"/>
      <c r="I173" s="833"/>
      <c r="J173" s="833"/>
      <c r="K173" s="833"/>
      <c r="L173" s="833"/>
      <c r="M173" s="834"/>
      <c r="N173" s="684"/>
    </row>
    <row r="174" spans="2:14" ht="12.75" customHeight="1" x14ac:dyDescent="0.2">
      <c r="B174" s="67"/>
      <c r="C174" s="68"/>
      <c r="D174" s="825"/>
      <c r="E174" s="212"/>
      <c r="F174" s="212"/>
      <c r="G174" s="212"/>
      <c r="H174" s="838"/>
      <c r="I174" s="838"/>
      <c r="J174" s="838"/>
      <c r="K174" s="838"/>
      <c r="L174" s="838"/>
      <c r="M174" s="839"/>
      <c r="N174" s="680"/>
    </row>
    <row r="175" spans="2:14" ht="12.75" customHeight="1" x14ac:dyDescent="0.2">
      <c r="B175" s="67"/>
      <c r="C175" s="184"/>
      <c r="D175" s="835"/>
      <c r="E175" s="835"/>
      <c r="F175" s="835"/>
      <c r="G175" s="835"/>
      <c r="H175" s="836"/>
      <c r="I175" s="836"/>
      <c r="J175" s="836"/>
      <c r="K175" s="836"/>
      <c r="L175" s="836"/>
      <c r="M175" s="837"/>
      <c r="N175" s="684"/>
    </row>
    <row r="176" spans="2:14" ht="12.75" customHeight="1" x14ac:dyDescent="0.2">
      <c r="B176" s="67"/>
      <c r="C176" s="126"/>
      <c r="D176" s="240" t="s">
        <v>106</v>
      </c>
      <c r="E176" s="130"/>
      <c r="F176" s="130"/>
      <c r="G176" s="130"/>
      <c r="H176" s="1135">
        <f>H130+H172+H113</f>
        <v>0</v>
      </c>
      <c r="I176" s="1135">
        <f>I130+I172+I113</f>
        <v>0</v>
      </c>
      <c r="J176" s="1135">
        <f>J130+J172+J113</f>
        <v>0</v>
      </c>
      <c r="K176" s="1135">
        <f>K130+K172+K113</f>
        <v>0</v>
      </c>
      <c r="L176" s="1135">
        <f>L130+L172+L113</f>
        <v>0</v>
      </c>
      <c r="M176" s="725"/>
      <c r="N176" s="686"/>
    </row>
    <row r="177" spans="2:28" ht="12.75" customHeight="1" x14ac:dyDescent="0.2">
      <c r="B177" s="67"/>
      <c r="C177" s="126"/>
      <c r="D177" s="726"/>
      <c r="E177" s="132"/>
      <c r="F177" s="132"/>
      <c r="G177" s="132"/>
      <c r="H177" s="727"/>
      <c r="I177" s="727"/>
      <c r="J177" s="727"/>
      <c r="K177" s="727"/>
      <c r="L177" s="727"/>
      <c r="M177" s="725"/>
      <c r="N177" s="686"/>
    </row>
    <row r="178" spans="2:28" ht="12.75" customHeight="1" x14ac:dyDescent="0.2">
      <c r="B178" s="67"/>
      <c r="C178" s="860"/>
      <c r="D178" s="668"/>
      <c r="E178" s="75"/>
      <c r="F178" s="75"/>
      <c r="G178" s="75"/>
      <c r="H178" s="688"/>
      <c r="I178" s="688"/>
      <c r="J178" s="688"/>
      <c r="K178" s="688"/>
      <c r="L178" s="688"/>
      <c r="M178" s="861"/>
      <c r="N178" s="686"/>
    </row>
    <row r="179" spans="2:28" ht="12.75" customHeight="1" x14ac:dyDescent="0.2">
      <c r="B179" s="67"/>
      <c r="C179" s="68"/>
      <c r="D179" s="668"/>
      <c r="E179" s="75"/>
      <c r="F179" s="75"/>
      <c r="G179" s="75"/>
      <c r="H179" s="688"/>
      <c r="I179" s="688"/>
      <c r="J179" s="688"/>
      <c r="K179" s="688"/>
      <c r="L179" s="688"/>
      <c r="M179" s="689"/>
      <c r="N179" s="686"/>
    </row>
    <row r="180" spans="2:28" ht="12.75" customHeight="1" x14ac:dyDescent="0.2">
      <c r="B180" s="67"/>
      <c r="C180" s="184"/>
      <c r="D180" s="829"/>
      <c r="E180" s="119"/>
      <c r="F180" s="119"/>
      <c r="G180" s="119"/>
      <c r="H180" s="830"/>
      <c r="I180" s="830"/>
      <c r="J180" s="830"/>
      <c r="K180" s="830"/>
      <c r="L180" s="830"/>
      <c r="M180" s="831"/>
      <c r="N180" s="686"/>
    </row>
    <row r="181" spans="2:28" s="17" customFormat="1" ht="12.75" customHeight="1" x14ac:dyDescent="0.2">
      <c r="B181" s="95"/>
      <c r="C181" s="122"/>
      <c r="D181" s="130" t="s">
        <v>107</v>
      </c>
      <c r="E181" s="130"/>
      <c r="F181" s="130"/>
      <c r="G181" s="130"/>
      <c r="H181" s="1135">
        <f>H94-H176</f>
        <v>202025.98</v>
      </c>
      <c r="I181" s="1135">
        <f>I94-I176</f>
        <v>208738.07</v>
      </c>
      <c r="J181" s="1135">
        <f>J94-J176</f>
        <v>208738.07</v>
      </c>
      <c r="K181" s="1135">
        <f>K94-K176</f>
        <v>208738.07</v>
      </c>
      <c r="L181" s="1135">
        <f>L94-L176</f>
        <v>208738.07</v>
      </c>
      <c r="M181" s="725"/>
      <c r="N181" s="686"/>
      <c r="P181" s="14"/>
      <c r="Q181" s="454"/>
      <c r="R181" s="14"/>
      <c r="S181" s="14"/>
      <c r="T181" s="14"/>
      <c r="U181" s="271"/>
      <c r="V181" s="271"/>
      <c r="W181" s="271"/>
      <c r="X181" s="271"/>
      <c r="Y181" s="271"/>
      <c r="Z181" s="14"/>
      <c r="AA181" s="14"/>
      <c r="AB181" s="14"/>
    </row>
    <row r="182" spans="2:28" ht="12.75" customHeight="1" x14ac:dyDescent="0.2">
      <c r="B182" s="67"/>
      <c r="C182" s="191"/>
      <c r="D182" s="726"/>
      <c r="E182" s="132"/>
      <c r="F182" s="132"/>
      <c r="G182" s="132"/>
      <c r="H182" s="727"/>
      <c r="I182" s="727"/>
      <c r="J182" s="727"/>
      <c r="K182" s="727"/>
      <c r="L182" s="727"/>
      <c r="M182" s="728"/>
      <c r="N182" s="686"/>
    </row>
    <row r="183" spans="2:28" ht="12.75" customHeight="1" x14ac:dyDescent="0.2">
      <c r="B183" s="67"/>
      <c r="C183" s="68"/>
      <c r="D183" s="668"/>
      <c r="E183" s="75"/>
      <c r="F183" s="75"/>
      <c r="G183" s="75"/>
      <c r="H183" s="75"/>
      <c r="I183" s="688"/>
      <c r="J183" s="688"/>
      <c r="K183" s="688"/>
      <c r="L183" s="688"/>
      <c r="M183" s="689"/>
      <c r="N183" s="686"/>
    </row>
    <row r="184" spans="2:28" ht="12.75" customHeight="1" x14ac:dyDescent="0.2">
      <c r="B184" s="86"/>
      <c r="C184" s="87"/>
      <c r="D184" s="87"/>
      <c r="E184" s="87"/>
      <c r="F184" s="87"/>
      <c r="G184" s="87"/>
      <c r="H184" s="87"/>
      <c r="I184" s="690"/>
      <c r="J184" s="690"/>
      <c r="K184" s="690"/>
      <c r="L184" s="690"/>
      <c r="M184" s="87"/>
      <c r="N184" s="90"/>
    </row>
    <row r="185" spans="2:28" ht="12.75" customHeight="1" x14ac:dyDescent="0.2">
      <c r="E185" s="451"/>
      <c r="F185" s="451"/>
      <c r="G185" s="15"/>
      <c r="H185" s="15"/>
      <c r="I185" s="15"/>
      <c r="J185" s="15"/>
      <c r="K185" s="452"/>
      <c r="L185" s="452"/>
      <c r="M185" s="452"/>
    </row>
    <row r="186" spans="2:28" ht="12.75" customHeight="1" x14ac:dyDescent="0.2">
      <c r="E186" s="451"/>
      <c r="F186" s="451"/>
      <c r="G186" s="15"/>
      <c r="H186" s="15"/>
      <c r="I186" s="15"/>
      <c r="J186" s="15"/>
      <c r="K186" s="452"/>
      <c r="L186" s="452"/>
      <c r="M186" s="452"/>
    </row>
    <row r="187" spans="2:28" ht="12.75" customHeight="1" x14ac:dyDescent="0.2">
      <c r="E187" s="451"/>
      <c r="F187" s="451"/>
      <c r="G187" s="15"/>
      <c r="H187" s="15"/>
      <c r="I187" s="15"/>
      <c r="J187" s="15"/>
      <c r="K187" s="452"/>
      <c r="L187" s="452"/>
      <c r="M187" s="452"/>
    </row>
    <row r="188" spans="2:28" ht="12.75" customHeight="1" x14ac:dyDescent="0.2">
      <c r="E188" s="451"/>
      <c r="F188" s="451"/>
      <c r="G188" s="15"/>
      <c r="H188" s="15"/>
      <c r="I188" s="15"/>
      <c r="J188" s="15"/>
      <c r="K188" s="452"/>
      <c r="L188" s="452"/>
      <c r="M188" s="452"/>
    </row>
    <row r="189" spans="2:28" ht="12.75" customHeight="1" x14ac:dyDescent="0.2">
      <c r="D189" s="193"/>
      <c r="E189" s="826"/>
      <c r="F189" s="826"/>
      <c r="G189" s="194"/>
      <c r="H189" s="194"/>
      <c r="I189" s="194"/>
      <c r="J189" s="194"/>
      <c r="K189" s="827"/>
      <c r="L189" s="827"/>
      <c r="M189" s="452"/>
    </row>
    <row r="190" spans="2:28" ht="12.75" customHeight="1" x14ac:dyDescent="0.2">
      <c r="D190" s="1129" t="s">
        <v>200</v>
      </c>
      <c r="E190" s="1130"/>
      <c r="F190" s="1039"/>
      <c r="G190" s="1039"/>
      <c r="H190" s="1039" t="str">
        <f>+tab!D2</f>
        <v>2015/16</v>
      </c>
      <c r="I190" s="1039" t="str">
        <f>+tab!E2</f>
        <v>2016/17</v>
      </c>
      <c r="J190" s="1039" t="str">
        <f>+tab!F2</f>
        <v>2017/18</v>
      </c>
      <c r="K190" s="1039" t="str">
        <f>+tab!G2</f>
        <v>2018/19</v>
      </c>
      <c r="L190" s="1039" t="str">
        <f>+tab!H2</f>
        <v>2019/20</v>
      </c>
      <c r="M190" s="15"/>
      <c r="N190" s="15"/>
    </row>
    <row r="191" spans="2:28" ht="12.75" customHeight="1" x14ac:dyDescent="0.2">
      <c r="D191" s="1028" t="s">
        <v>112</v>
      </c>
      <c r="E191" s="1040"/>
      <c r="F191" s="1103"/>
      <c r="G191" s="1040"/>
      <c r="H191" s="1131"/>
      <c r="I191" s="1131"/>
      <c r="J191" s="1131"/>
      <c r="K191" s="1131"/>
      <c r="L191" s="1040"/>
    </row>
    <row r="192" spans="2:28" ht="12.75" customHeight="1" x14ac:dyDescent="0.2">
      <c r="D192" s="1109" t="s">
        <v>138</v>
      </c>
      <c r="E192" s="1040"/>
      <c r="F192" s="1103"/>
      <c r="G192" s="1040"/>
      <c r="H192" s="1131">
        <f>5/12*H58+7/12*I58</f>
        <v>205941.36583333334</v>
      </c>
      <c r="I192" s="1131">
        <f>5/12*I58+7/12*J58</f>
        <v>208738.07</v>
      </c>
      <c r="J192" s="1131">
        <f>5/12*J58+7/12*K58</f>
        <v>208738.07</v>
      </c>
      <c r="K192" s="1131">
        <f>5/12*K58+7/12*L58</f>
        <v>208738.07</v>
      </c>
      <c r="L192" s="1131">
        <f>L58</f>
        <v>208738.07</v>
      </c>
      <c r="M192" s="335"/>
    </row>
    <row r="193" spans="2:13" ht="12.75" customHeight="1" x14ac:dyDescent="0.2">
      <c r="D193" s="1109" t="s">
        <v>93</v>
      </c>
      <c r="E193" s="1040"/>
      <c r="F193" s="1103"/>
      <c r="G193" s="1040"/>
      <c r="H193" s="1131">
        <f>0.416666666666667*H70+0.583333333333333*I70</f>
        <v>0</v>
      </c>
      <c r="I193" s="1131">
        <f>0.416666666666667*I70+0.583333333333333*J70</f>
        <v>0</v>
      </c>
      <c r="J193" s="1131">
        <f>0.416666666666667*J70+0.583333333333333*K70</f>
        <v>0</v>
      </c>
      <c r="K193" s="1131">
        <f>0.416666666666667*K70+0.583333333333333*L70</f>
        <v>0</v>
      </c>
      <c r="L193" s="1131">
        <f>L70</f>
        <v>0</v>
      </c>
      <c r="M193" s="335"/>
    </row>
    <row r="194" spans="2:13" ht="12.75" customHeight="1" x14ac:dyDescent="0.2">
      <c r="D194" s="1109" t="s">
        <v>100</v>
      </c>
      <c r="E194" s="1040"/>
      <c r="F194" s="1103"/>
      <c r="G194" s="1040"/>
      <c r="H194" s="1131">
        <f>0.416666666666667*H82+0.583333333333333*I82</f>
        <v>0</v>
      </c>
      <c r="I194" s="1131">
        <f>0.416666666666667*I82+0.583333333333333*J82</f>
        <v>0</v>
      </c>
      <c r="J194" s="1131">
        <f>0.416666666666667*J82+0.583333333333333*K82</f>
        <v>0</v>
      </c>
      <c r="K194" s="1131">
        <f>0.416666666666667*K82+0.583333333333333*L82</f>
        <v>0</v>
      </c>
      <c r="L194" s="1131">
        <f>L82</f>
        <v>0</v>
      </c>
      <c r="M194" s="335"/>
    </row>
    <row r="195" spans="2:13" ht="12.75" customHeight="1" x14ac:dyDescent="0.2">
      <c r="D195" s="1109" t="s">
        <v>264</v>
      </c>
      <c r="E195" s="1040"/>
      <c r="F195" s="1103"/>
      <c r="G195" s="1040"/>
      <c r="H195" s="1131">
        <f>0.416666666666667*(H90-H82)+0.583333333333333*(I90-I82)</f>
        <v>0</v>
      </c>
      <c r="I195" s="1131">
        <f>0.416666666666667*(I90-I82)+0.583333333333333*(J90-J82)</f>
        <v>0</v>
      </c>
      <c r="J195" s="1131">
        <f>0.416666666666667*(J90-J82)+0.583333333333333*(K90-K82)</f>
        <v>0</v>
      </c>
      <c r="K195" s="1131">
        <f>0.416666666666667*(K90-K82)+0.583333333333333*(L90-L82)</f>
        <v>0</v>
      </c>
      <c r="L195" s="1131">
        <f>(L90-L82)</f>
        <v>0</v>
      </c>
      <c r="M195" s="335"/>
    </row>
    <row r="196" spans="2:13" ht="12.75" customHeight="1" x14ac:dyDescent="0.2">
      <c r="D196" s="1132"/>
      <c r="E196" s="1040"/>
      <c r="F196" s="1103"/>
      <c r="G196" s="1040"/>
      <c r="H196" s="1133">
        <f>SUM(H192:H195)</f>
        <v>205941.36583333334</v>
      </c>
      <c r="I196" s="1133">
        <f>SUM(I192:I195)</f>
        <v>208738.07</v>
      </c>
      <c r="J196" s="1133">
        <f>SUM(J192:J195)</f>
        <v>208738.07</v>
      </c>
      <c r="K196" s="1133">
        <f>SUM(K192:K195)</f>
        <v>208738.07</v>
      </c>
      <c r="L196" s="1133">
        <f>SUM(L192:L195)</f>
        <v>208738.07</v>
      </c>
      <c r="M196" s="335"/>
    </row>
    <row r="197" spans="2:13" ht="12.75" customHeight="1" x14ac:dyDescent="0.2">
      <c r="B197" s="272"/>
      <c r="C197" s="272"/>
      <c r="D197" s="1028" t="s">
        <v>57</v>
      </c>
      <c r="E197" s="1040"/>
      <c r="F197" s="1103"/>
      <c r="G197" s="1040"/>
      <c r="H197" s="1131"/>
      <c r="I197" s="1131"/>
      <c r="J197" s="1131"/>
      <c r="K197" s="1131"/>
      <c r="L197" s="1040"/>
    </row>
    <row r="198" spans="2:13" ht="12.75" customHeight="1" x14ac:dyDescent="0.2">
      <c r="D198" s="1040" t="s">
        <v>266</v>
      </c>
      <c r="E198" s="1040"/>
      <c r="F198" s="1103"/>
      <c r="G198" s="1040"/>
      <c r="H198" s="1131">
        <f>0.416666666666667*H113+0.583333333333333*I113</f>
        <v>0</v>
      </c>
      <c r="I198" s="1131">
        <f>0.416666666666667*I113+0.583333333333333*J113</f>
        <v>0</v>
      </c>
      <c r="J198" s="1131">
        <f>0.416666666666667*J113+0.583333333333333*K113</f>
        <v>0</v>
      </c>
      <c r="K198" s="1131">
        <f>0.416666666666667*K113+0.583333333333333*L113</f>
        <v>0</v>
      </c>
      <c r="L198" s="1131">
        <f>L113</f>
        <v>0</v>
      </c>
      <c r="M198" s="335"/>
    </row>
    <row r="199" spans="2:13" ht="12.75" customHeight="1" x14ac:dyDescent="0.2">
      <c r="D199" s="1040" t="s">
        <v>267</v>
      </c>
      <c r="E199" s="1040"/>
      <c r="F199" s="1103"/>
      <c r="G199" s="1040"/>
      <c r="H199" s="1131">
        <f>0.416666666666667*H130+0.583333333333333*I130</f>
        <v>0</v>
      </c>
      <c r="I199" s="1131">
        <f>0.416666666666667*I130+0.583333333333333*J130</f>
        <v>0</v>
      </c>
      <c r="J199" s="1131">
        <f>0.416666666666667*J130+0.583333333333333*K130</f>
        <v>0</v>
      </c>
      <c r="K199" s="1131">
        <f>0.416666666666667*K130+0.583333333333333*L130</f>
        <v>0</v>
      </c>
      <c r="L199" s="1131">
        <f>L130</f>
        <v>0</v>
      </c>
      <c r="M199" s="335"/>
    </row>
    <row r="200" spans="2:13" ht="12.75" customHeight="1" x14ac:dyDescent="0.2">
      <c r="D200" s="1040" t="s">
        <v>147</v>
      </c>
      <c r="E200" s="1040"/>
      <c r="F200" s="1103"/>
      <c r="G200" s="1040"/>
      <c r="H200" s="1131">
        <f>0.416666666666667*H172+0.583333333333333*I172</f>
        <v>0</v>
      </c>
      <c r="I200" s="1131">
        <f>0.416666666666667*I172+0.583333333333333*J172</f>
        <v>0</v>
      </c>
      <c r="J200" s="1131">
        <f>0.416666666666667*J172+0.583333333333333*K172</f>
        <v>0</v>
      </c>
      <c r="K200" s="1131">
        <f>0.416666666666667*K172+0.583333333333333*L172</f>
        <v>0</v>
      </c>
      <c r="L200" s="1131">
        <f>L172</f>
        <v>0</v>
      </c>
      <c r="M200" s="335"/>
    </row>
    <row r="201" spans="2:13" ht="12.75" customHeight="1" x14ac:dyDescent="0.2">
      <c r="D201" s="1132"/>
      <c r="E201" s="1040"/>
      <c r="F201" s="1103"/>
      <c r="G201" s="1040"/>
      <c r="H201" s="1133">
        <f>SUM(H198:H200)</f>
        <v>0</v>
      </c>
      <c r="I201" s="1133">
        <f>SUM(I198:I200)</f>
        <v>0</v>
      </c>
      <c r="J201" s="1133">
        <f>SUM(J198:J200)</f>
        <v>0</v>
      </c>
      <c r="K201" s="1133">
        <f>SUM(K198:K200)</f>
        <v>0</v>
      </c>
      <c r="L201" s="1133">
        <f>SUM(L198:L200)</f>
        <v>0</v>
      </c>
      <c r="M201" s="335"/>
    </row>
    <row r="202" spans="2:13" ht="12.75" customHeight="1" x14ac:dyDescent="0.2">
      <c r="D202" s="1134"/>
      <c r="E202" s="1040"/>
      <c r="F202" s="1103"/>
      <c r="G202" s="1040"/>
      <c r="H202" s="1131"/>
      <c r="I202" s="1131"/>
      <c r="J202" s="1131"/>
      <c r="K202" s="1131"/>
      <c r="L202" s="1040"/>
    </row>
    <row r="203" spans="2:13" ht="12.75" customHeight="1" x14ac:dyDescent="0.2">
      <c r="B203" s="17"/>
      <c r="C203" s="17"/>
      <c r="D203" s="1132" t="s">
        <v>113</v>
      </c>
      <c r="E203" s="1040"/>
      <c r="F203" s="1103"/>
      <c r="G203" s="1040"/>
      <c r="H203" s="1133">
        <f>+H196-H201</f>
        <v>205941.36583333334</v>
      </c>
      <c r="I203" s="1133">
        <f>+I196-I201</f>
        <v>208738.07</v>
      </c>
      <c r="J203" s="1133">
        <f>+J196-J201</f>
        <v>208738.07</v>
      </c>
      <c r="K203" s="1133">
        <f>+K196-K201</f>
        <v>208738.07</v>
      </c>
      <c r="L203" s="1133">
        <f>+L196-L201</f>
        <v>208738.07</v>
      </c>
      <c r="M203" s="335"/>
    </row>
    <row r="204" spans="2:13" ht="12.75" customHeight="1" x14ac:dyDescent="0.2">
      <c r="D204" s="1038"/>
      <c r="E204" s="1040"/>
      <c r="F204" s="1103"/>
      <c r="G204" s="1040"/>
      <c r="H204" s="1131"/>
      <c r="I204" s="1131"/>
      <c r="J204" s="1131"/>
      <c r="K204" s="1131"/>
      <c r="L204" s="1040"/>
    </row>
    <row r="205" spans="2:13" ht="12.75" customHeight="1" x14ac:dyDescent="0.2">
      <c r="D205" s="1028" t="s">
        <v>140</v>
      </c>
      <c r="E205" s="1040"/>
      <c r="F205" s="1103"/>
      <c r="G205" s="1040"/>
      <c r="H205" s="1133">
        <f>0.416666666666667*H55+0.583333333333333*I55</f>
        <v>0</v>
      </c>
      <c r="I205" s="1133">
        <f>0.416666666666667*I55+0.583333333333333*J55</f>
        <v>0</v>
      </c>
      <c r="J205" s="1133">
        <f>0.416666666666667*J55+0.583333333333333*K55</f>
        <v>0</v>
      </c>
      <c r="K205" s="1133">
        <f>0.416666666666667*K55+0.583333333333333*L55</f>
        <v>0</v>
      </c>
      <c r="L205" s="1133">
        <f>L55</f>
        <v>0</v>
      </c>
    </row>
    <row r="206" spans="2:13" ht="12.75" customHeight="1" x14ac:dyDescent="0.2">
      <c r="D206" s="1040"/>
      <c r="E206" s="1040"/>
      <c r="F206" s="1103"/>
      <c r="G206" s="1040"/>
      <c r="H206" s="1131"/>
      <c r="I206" s="1131"/>
      <c r="J206" s="1131"/>
      <c r="K206" s="1131"/>
      <c r="L206" s="1040"/>
    </row>
    <row r="207" spans="2:13" ht="12.75" customHeight="1" x14ac:dyDescent="0.2">
      <c r="D207" s="1041" t="s">
        <v>522</v>
      </c>
      <c r="E207" s="1040"/>
      <c r="F207" s="1103"/>
      <c r="G207" s="1040"/>
      <c r="H207" s="1131">
        <f>5/12*(H31+H32+H38)+7/12*(I31+I32+I38)</f>
        <v>18593.818333333307</v>
      </c>
      <c r="I207" s="1131">
        <f>5/12*(I31+I32+I38)+7/12*(J31+J32+J38)</f>
        <v>18472.259999999966</v>
      </c>
      <c r="J207" s="1131">
        <f>5/12*(J31+J32+J38)+7/12*(K31+K32+K38)</f>
        <v>18472.259999999966</v>
      </c>
      <c r="K207" s="1131">
        <f>5/12*(K31+K32+K38)+7/12*(L31+L32+L38)</f>
        <v>18472.259999999966</v>
      </c>
      <c r="L207" s="1131">
        <f>(L31+L32+L38)</f>
        <v>18472.259999999966</v>
      </c>
    </row>
    <row r="208" spans="2:13"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sheetData>
  <sheetProtection algorithmName="SHA-512" hashValue="K9fWW1UaYR6+gbvynRqUF2Ip6FPYuRLkyguyqEQ1wEA1r/pntqfxjZ5mmN2m+stAG3iEBMKRja2BIMA7yM+fHQ==" saltValue="NpZ5iyoxKZHsY5HMcfwW6g==" spinCount="100000" sheet="1" objects="1" scenarios="1"/>
  <phoneticPr fontId="0" type="noConversion"/>
  <pageMargins left="0.78740157480314965" right="0.78740157480314965"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2" manualBreakCount="2">
    <brk id="98" min="1" max="13" man="1"/>
    <brk id="184" min="1" max="13" man="1"/>
  </rowBreaks>
  <colBreaks count="1" manualBreakCount="1">
    <brk id="15" min="1" max="268"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3"/>
  <sheetViews>
    <sheetView zoomScale="85" zoomScaleNormal="85" workbookViewId="0">
      <selection activeCell="B2" sqref="B2"/>
    </sheetView>
  </sheetViews>
  <sheetFormatPr defaultColWidth="9.140625" defaultRowHeight="12.75" x14ac:dyDescent="0.2"/>
  <cols>
    <col min="1" max="1" width="3.7109375" style="454" customWidth="1"/>
    <col min="2" max="3" width="2.7109375" style="454" customWidth="1"/>
    <col min="4" max="4" width="45.7109375" style="454" customWidth="1"/>
    <col min="5" max="5" width="2.7109375" style="454" customWidth="1"/>
    <col min="6" max="8" width="14.85546875" style="454" customWidth="1"/>
    <col min="9" max="9" width="14.85546875" style="461" customWidth="1"/>
    <col min="10" max="15" width="14.85546875" style="454" customWidth="1"/>
    <col min="16" max="17" width="2.7109375" style="454" customWidth="1"/>
    <col min="18" max="16384" width="9.140625" style="454"/>
  </cols>
  <sheetData>
    <row r="1" spans="2:17" ht="12.75" customHeight="1" x14ac:dyDescent="0.2"/>
    <row r="2" spans="2:17" x14ac:dyDescent="0.2">
      <c r="B2" s="462"/>
      <c r="C2" s="463"/>
      <c r="D2" s="463"/>
      <c r="E2" s="463"/>
      <c r="F2" s="463"/>
      <c r="G2" s="463"/>
      <c r="H2" s="463"/>
      <c r="I2" s="464"/>
      <c r="J2" s="463"/>
      <c r="K2" s="463"/>
      <c r="L2" s="463"/>
      <c r="M2" s="463"/>
      <c r="N2" s="463"/>
      <c r="O2" s="463"/>
      <c r="P2" s="463"/>
      <c r="Q2" s="465"/>
    </row>
    <row r="3" spans="2:17" x14ac:dyDescent="0.2">
      <c r="B3" s="466"/>
      <c r="C3" s="467"/>
      <c r="D3" s="467"/>
      <c r="E3" s="467"/>
      <c r="F3" s="467"/>
      <c r="G3" s="467"/>
      <c r="H3" s="467"/>
      <c r="I3" s="468"/>
      <c r="J3" s="467"/>
      <c r="K3" s="467"/>
      <c r="L3" s="467"/>
      <c r="M3" s="467"/>
      <c r="N3" s="467"/>
      <c r="O3" s="467"/>
      <c r="P3" s="467"/>
      <c r="Q3" s="469"/>
    </row>
    <row r="4" spans="2:17" s="458" customFormat="1" ht="18.75" x14ac:dyDescent="0.3">
      <c r="B4" s="998"/>
      <c r="C4" s="971" t="s">
        <v>602</v>
      </c>
      <c r="D4" s="471"/>
      <c r="E4" s="471"/>
      <c r="F4" s="471"/>
      <c r="G4" s="471"/>
      <c r="H4" s="79"/>
      <c r="I4" s="79"/>
      <c r="J4" s="79"/>
      <c r="K4" s="471"/>
      <c r="L4" s="471"/>
      <c r="M4" s="471"/>
      <c r="N4" s="471"/>
      <c r="O4" s="471"/>
      <c r="P4" s="471"/>
      <c r="Q4" s="94"/>
    </row>
    <row r="5" spans="2:17" s="16" customFormat="1" ht="18" customHeight="1" x14ac:dyDescent="0.3">
      <c r="B5" s="72"/>
      <c r="C5" s="361" t="str">
        <f>geg!C5</f>
        <v>Voorbeeld SBO</v>
      </c>
      <c r="D5" s="221"/>
      <c r="E5" s="74"/>
      <c r="F5" s="74"/>
      <c r="G5" s="74"/>
      <c r="H5" s="467"/>
      <c r="I5" s="467"/>
      <c r="J5" s="467"/>
      <c r="K5" s="74"/>
      <c r="L5" s="74"/>
      <c r="M5" s="74"/>
      <c r="N5" s="74"/>
      <c r="O5" s="74"/>
      <c r="P5" s="74"/>
      <c r="Q5" s="472"/>
    </row>
    <row r="6" spans="2:17" s="16" customFormat="1" ht="12" customHeight="1" x14ac:dyDescent="0.3">
      <c r="B6" s="72"/>
      <c r="C6" s="473"/>
      <c r="D6" s="221"/>
      <c r="E6" s="74"/>
      <c r="F6" s="74"/>
      <c r="G6" s="74"/>
      <c r="H6" s="467"/>
      <c r="I6" s="467"/>
      <c r="J6" s="467"/>
      <c r="K6" s="74"/>
      <c r="L6" s="74"/>
      <c r="M6" s="74"/>
      <c r="N6" s="74"/>
      <c r="O6" s="74"/>
      <c r="P6" s="74"/>
      <c r="Q6" s="472"/>
    </row>
    <row r="7" spans="2:17" s="16" customFormat="1" ht="12" customHeight="1" x14ac:dyDescent="0.3">
      <c r="B7" s="72"/>
      <c r="C7" s="995"/>
      <c r="D7" s="1149"/>
      <c r="E7" s="1033"/>
      <c r="F7" s="1033"/>
      <c r="G7" s="1033"/>
      <c r="H7" s="1029"/>
      <c r="I7" s="1029"/>
      <c r="J7" s="1029"/>
      <c r="K7" s="1033"/>
      <c r="L7" s="74"/>
      <c r="M7" s="74"/>
      <c r="N7" s="74"/>
      <c r="O7" s="74"/>
      <c r="P7" s="74"/>
      <c r="Q7" s="472"/>
    </row>
    <row r="8" spans="2:17" s="16" customFormat="1" ht="12" customHeight="1" x14ac:dyDescent="0.3">
      <c r="B8" s="72"/>
      <c r="C8" s="995"/>
      <c r="D8" s="1150" t="s">
        <v>44</v>
      </c>
      <c r="E8" s="1033"/>
      <c r="F8" s="1033"/>
      <c r="G8" s="1033"/>
      <c r="H8" s="1029"/>
      <c r="I8" s="1029"/>
      <c r="J8" s="1029"/>
      <c r="K8" s="1033"/>
      <c r="L8" s="74"/>
      <c r="M8" s="74"/>
      <c r="N8" s="74"/>
      <c r="O8" s="74"/>
      <c r="P8" s="74"/>
      <c r="Q8" s="472"/>
    </row>
    <row r="9" spans="2:17" s="16" customFormat="1" ht="12" customHeight="1" x14ac:dyDescent="0.3">
      <c r="B9" s="72"/>
      <c r="C9" s="995"/>
      <c r="D9" s="1151" t="s">
        <v>45</v>
      </c>
      <c r="E9" s="1033"/>
      <c r="F9" s="1033"/>
      <c r="G9" s="1033"/>
      <c r="H9" s="1029"/>
      <c r="I9" s="1029"/>
      <c r="J9" s="1029"/>
      <c r="K9" s="1033"/>
      <c r="L9" s="74"/>
      <c r="M9" s="74"/>
      <c r="N9" s="74"/>
      <c r="O9" s="74"/>
      <c r="P9" s="74"/>
      <c r="Q9" s="472"/>
    </row>
    <row r="10" spans="2:17" s="16" customFormat="1" ht="12" customHeight="1" x14ac:dyDescent="0.3">
      <c r="B10" s="72"/>
      <c r="C10" s="995"/>
      <c r="D10" s="1151" t="s">
        <v>432</v>
      </c>
      <c r="E10" s="1033"/>
      <c r="F10" s="1033"/>
      <c r="G10" s="1033"/>
      <c r="H10" s="1029"/>
      <c r="I10" s="1029"/>
      <c r="J10" s="1029"/>
      <c r="K10" s="1033"/>
      <c r="L10" s="74"/>
      <c r="M10" s="74"/>
      <c r="N10" s="74"/>
      <c r="O10" s="74"/>
      <c r="P10" s="74"/>
      <c r="Q10" s="472"/>
    </row>
    <row r="11" spans="2:17" s="16" customFormat="1" ht="12" customHeight="1" x14ac:dyDescent="0.3">
      <c r="B11" s="72"/>
      <c r="C11" s="474"/>
      <c r="D11" s="1152"/>
      <c r="E11" s="1033"/>
      <c r="F11" s="1033"/>
      <c r="G11" s="1033"/>
      <c r="H11" s="1029"/>
      <c r="I11" s="1029"/>
      <c r="J11" s="1029"/>
      <c r="K11" s="1033"/>
      <c r="L11" s="74"/>
      <c r="M11" s="74"/>
      <c r="N11" s="74"/>
      <c r="O11" s="74"/>
      <c r="P11" s="74"/>
      <c r="Q11" s="472"/>
    </row>
    <row r="12" spans="2:17" ht="12" customHeight="1" x14ac:dyDescent="0.2">
      <c r="B12" s="475"/>
      <c r="C12" s="473"/>
      <c r="D12" s="1153"/>
      <c r="E12" s="1029"/>
      <c r="F12" s="1029"/>
      <c r="G12" s="1024"/>
      <c r="H12" s="1029"/>
      <c r="I12" s="1029"/>
      <c r="J12" s="1029"/>
      <c r="K12" s="1029"/>
      <c r="L12" s="467"/>
      <c r="M12" s="467"/>
      <c r="N12" s="467"/>
      <c r="O12" s="467"/>
      <c r="P12" s="467"/>
      <c r="Q12" s="469"/>
    </row>
    <row r="13" spans="2:17" s="18" customFormat="1" ht="12" customHeight="1" x14ac:dyDescent="0.2">
      <c r="B13" s="476"/>
      <c r="C13" s="177"/>
      <c r="D13" s="1154"/>
      <c r="E13" s="1029"/>
      <c r="F13" s="1024">
        <f>tab!D4</f>
        <v>2015</v>
      </c>
      <c r="G13" s="1024">
        <f t="shared" ref="G13:O13" si="0">F13+1</f>
        <v>2016</v>
      </c>
      <c r="H13" s="1024">
        <f t="shared" si="0"/>
        <v>2017</v>
      </c>
      <c r="I13" s="1024">
        <f t="shared" si="0"/>
        <v>2018</v>
      </c>
      <c r="J13" s="1024">
        <f t="shared" si="0"/>
        <v>2019</v>
      </c>
      <c r="K13" s="1024">
        <f t="shared" si="0"/>
        <v>2020</v>
      </c>
      <c r="L13" s="1024">
        <f t="shared" si="0"/>
        <v>2021</v>
      </c>
      <c r="M13" s="1024">
        <f t="shared" si="0"/>
        <v>2022</v>
      </c>
      <c r="N13" s="1024">
        <f t="shared" si="0"/>
        <v>2023</v>
      </c>
      <c r="O13" s="1024">
        <f t="shared" si="0"/>
        <v>2024</v>
      </c>
      <c r="P13" s="79"/>
      <c r="Q13" s="82"/>
    </row>
    <row r="14" spans="2:17" ht="12" customHeight="1" x14ac:dyDescent="0.2">
      <c r="B14" s="475"/>
      <c r="C14" s="473"/>
      <c r="D14" s="220"/>
      <c r="E14" s="467"/>
      <c r="F14" s="467"/>
      <c r="G14" s="467"/>
      <c r="H14" s="467"/>
      <c r="I14" s="467"/>
      <c r="J14" s="467"/>
      <c r="K14" s="467"/>
      <c r="L14" s="467"/>
      <c r="M14" s="467"/>
      <c r="N14" s="467"/>
      <c r="O14" s="467"/>
      <c r="P14" s="467"/>
      <c r="Q14" s="469"/>
    </row>
    <row r="15" spans="2:17" x14ac:dyDescent="0.2">
      <c r="B15" s="466"/>
      <c r="C15" s="478"/>
      <c r="D15" s="331"/>
      <c r="F15" s="479"/>
      <c r="G15" s="480"/>
      <c r="H15" s="480"/>
      <c r="I15" s="480"/>
      <c r="J15" s="480"/>
      <c r="K15" s="481"/>
      <c r="L15" s="481"/>
      <c r="M15" s="481"/>
      <c r="N15" s="481"/>
      <c r="O15" s="481"/>
      <c r="P15" s="482"/>
      <c r="Q15" s="469"/>
    </row>
    <row r="16" spans="2:17" x14ac:dyDescent="0.2">
      <c r="B16" s="466"/>
      <c r="C16" s="483"/>
      <c r="D16" s="484" t="s">
        <v>46</v>
      </c>
      <c r="E16" s="485"/>
      <c r="F16" s="486">
        <v>0</v>
      </c>
      <c r="G16" s="989">
        <f>F19</f>
        <v>0</v>
      </c>
      <c r="H16" s="989">
        <f t="shared" ref="H16:O16" si="1">G19</f>
        <v>0</v>
      </c>
      <c r="I16" s="989">
        <f t="shared" si="1"/>
        <v>0</v>
      </c>
      <c r="J16" s="989">
        <f t="shared" si="1"/>
        <v>0</v>
      </c>
      <c r="K16" s="989">
        <f t="shared" si="1"/>
        <v>0</v>
      </c>
      <c r="L16" s="989">
        <f t="shared" si="1"/>
        <v>0</v>
      </c>
      <c r="M16" s="989">
        <f t="shared" si="1"/>
        <v>0</v>
      </c>
      <c r="N16" s="989">
        <f t="shared" si="1"/>
        <v>0</v>
      </c>
      <c r="O16" s="989">
        <f t="shared" si="1"/>
        <v>0</v>
      </c>
      <c r="P16" s="487"/>
      <c r="Q16" s="469"/>
    </row>
    <row r="17" spans="2:17" x14ac:dyDescent="0.2">
      <c r="B17" s="466"/>
      <c r="C17" s="483"/>
      <c r="D17" s="484" t="s">
        <v>47</v>
      </c>
      <c r="E17" s="488"/>
      <c r="F17" s="486">
        <v>0</v>
      </c>
      <c r="G17" s="489">
        <v>0</v>
      </c>
      <c r="H17" s="489">
        <v>0</v>
      </c>
      <c r="I17" s="489">
        <v>0</v>
      </c>
      <c r="J17" s="489">
        <v>0</v>
      </c>
      <c r="K17" s="489">
        <v>0</v>
      </c>
      <c r="L17" s="489">
        <v>0</v>
      </c>
      <c r="M17" s="489">
        <v>0</v>
      </c>
      <c r="N17" s="489">
        <v>0</v>
      </c>
      <c r="O17" s="489">
        <v>0</v>
      </c>
      <c r="P17" s="487"/>
      <c r="Q17" s="469"/>
    </row>
    <row r="18" spans="2:17" x14ac:dyDescent="0.2">
      <c r="B18" s="466"/>
      <c r="C18" s="483"/>
      <c r="D18" s="484" t="s">
        <v>48</v>
      </c>
      <c r="E18" s="485"/>
      <c r="F18" s="486">
        <v>0</v>
      </c>
      <c r="G18" s="489">
        <v>0</v>
      </c>
      <c r="H18" s="489">
        <v>0</v>
      </c>
      <c r="I18" s="489">
        <v>0</v>
      </c>
      <c r="J18" s="489">
        <v>0</v>
      </c>
      <c r="K18" s="489">
        <v>0</v>
      </c>
      <c r="L18" s="489">
        <v>0</v>
      </c>
      <c r="M18" s="489">
        <v>0</v>
      </c>
      <c r="N18" s="489">
        <v>0</v>
      </c>
      <c r="O18" s="489">
        <v>0</v>
      </c>
      <c r="P18" s="487"/>
      <c r="Q18" s="469"/>
    </row>
    <row r="19" spans="2:17" x14ac:dyDescent="0.2">
      <c r="B19" s="466"/>
      <c r="C19" s="490"/>
      <c r="D19" s="460" t="s">
        <v>49</v>
      </c>
      <c r="E19" s="488"/>
      <c r="F19" s="1155">
        <f t="shared" ref="F19:O19" si="2">SUM(F16:F17)-F18</f>
        <v>0</v>
      </c>
      <c r="G19" s="1156">
        <f t="shared" si="2"/>
        <v>0</v>
      </c>
      <c r="H19" s="1156">
        <f t="shared" si="2"/>
        <v>0</v>
      </c>
      <c r="I19" s="1156">
        <f t="shared" si="2"/>
        <v>0</v>
      </c>
      <c r="J19" s="1156">
        <f t="shared" si="2"/>
        <v>0</v>
      </c>
      <c r="K19" s="1156">
        <f t="shared" si="2"/>
        <v>0</v>
      </c>
      <c r="L19" s="1156">
        <f t="shared" si="2"/>
        <v>0</v>
      </c>
      <c r="M19" s="1156">
        <f t="shared" si="2"/>
        <v>0</v>
      </c>
      <c r="N19" s="1156">
        <f t="shared" si="2"/>
        <v>0</v>
      </c>
      <c r="O19" s="1156">
        <f t="shared" si="2"/>
        <v>0</v>
      </c>
      <c r="P19" s="487"/>
      <c r="Q19" s="469"/>
    </row>
    <row r="20" spans="2:17" x14ac:dyDescent="0.2">
      <c r="B20" s="466"/>
      <c r="C20" s="461"/>
      <c r="F20" s="491"/>
      <c r="G20" s="492"/>
      <c r="H20" s="493"/>
      <c r="I20" s="492"/>
      <c r="J20" s="492"/>
      <c r="K20" s="492"/>
      <c r="L20" s="492"/>
      <c r="M20" s="492"/>
      <c r="N20" s="492"/>
      <c r="O20" s="492"/>
      <c r="P20" s="494"/>
      <c r="Q20" s="469"/>
    </row>
    <row r="21" spans="2:17" ht="12.75" customHeight="1" x14ac:dyDescent="0.2">
      <c r="B21" s="475"/>
      <c r="C21" s="473"/>
      <c r="D21" s="220"/>
      <c r="E21" s="467"/>
      <c r="F21" s="467"/>
      <c r="G21" s="467"/>
      <c r="H21" s="468"/>
      <c r="I21" s="467"/>
      <c r="J21" s="467"/>
      <c r="K21" s="467"/>
      <c r="L21" s="467"/>
      <c r="M21" s="467"/>
      <c r="N21" s="467"/>
      <c r="O21" s="467"/>
      <c r="P21" s="467"/>
      <c r="Q21" s="469"/>
    </row>
    <row r="22" spans="2:17" ht="12.75" customHeight="1" x14ac:dyDescent="0.2">
      <c r="B22" s="475"/>
      <c r="C22" s="473"/>
      <c r="D22" s="220"/>
      <c r="E22" s="467"/>
      <c r="F22" s="467"/>
      <c r="G22" s="467"/>
      <c r="H22" s="468"/>
      <c r="I22" s="467"/>
      <c r="J22" s="467"/>
      <c r="K22" s="467"/>
      <c r="L22" s="467"/>
      <c r="M22" s="467"/>
      <c r="N22" s="467"/>
      <c r="O22" s="467"/>
      <c r="P22" s="467"/>
      <c r="Q22" s="469"/>
    </row>
    <row r="23" spans="2:17" s="18" customFormat="1" ht="12.75" customHeight="1" x14ac:dyDescent="0.2">
      <c r="B23" s="495"/>
      <c r="C23" s="177"/>
      <c r="D23" s="477"/>
      <c r="E23" s="79"/>
      <c r="F23" s="1024">
        <f>O13+1</f>
        <v>2025</v>
      </c>
      <c r="G23" s="1024">
        <f t="shared" ref="G23:O23" si="3">F23+1</f>
        <v>2026</v>
      </c>
      <c r="H23" s="1024">
        <f t="shared" si="3"/>
        <v>2027</v>
      </c>
      <c r="I23" s="1024">
        <f t="shared" si="3"/>
        <v>2028</v>
      </c>
      <c r="J23" s="1024">
        <f t="shared" si="3"/>
        <v>2029</v>
      </c>
      <c r="K23" s="1024">
        <f t="shared" si="3"/>
        <v>2030</v>
      </c>
      <c r="L23" s="1024">
        <f t="shared" si="3"/>
        <v>2031</v>
      </c>
      <c r="M23" s="1024">
        <f t="shared" si="3"/>
        <v>2032</v>
      </c>
      <c r="N23" s="1024">
        <f t="shared" si="3"/>
        <v>2033</v>
      </c>
      <c r="O23" s="1024">
        <f t="shared" si="3"/>
        <v>2034</v>
      </c>
      <c r="P23" s="81"/>
      <c r="Q23" s="82"/>
    </row>
    <row r="24" spans="2:17" ht="12.75" customHeight="1" x14ac:dyDescent="0.2">
      <c r="B24" s="475"/>
      <c r="C24" s="473"/>
      <c r="D24" s="220"/>
      <c r="E24" s="467"/>
      <c r="F24" s="467"/>
      <c r="G24" s="467"/>
      <c r="H24" s="467"/>
      <c r="I24" s="467"/>
      <c r="J24" s="467"/>
      <c r="K24" s="467"/>
      <c r="L24" s="467"/>
      <c r="M24" s="467"/>
      <c r="N24" s="467"/>
      <c r="O24" s="467"/>
      <c r="P24" s="467"/>
      <c r="Q24" s="469"/>
    </row>
    <row r="25" spans="2:17" ht="12.75" customHeight="1" x14ac:dyDescent="0.2">
      <c r="B25" s="475"/>
      <c r="C25" s="478"/>
      <c r="D25" s="331"/>
      <c r="F25" s="479"/>
      <c r="G25" s="480"/>
      <c r="H25" s="480"/>
      <c r="I25" s="480"/>
      <c r="J25" s="480"/>
      <c r="K25" s="480"/>
      <c r="L25" s="480"/>
      <c r="M25" s="480"/>
      <c r="N25" s="480"/>
      <c r="O25" s="480"/>
      <c r="P25" s="482"/>
      <c r="Q25" s="469"/>
    </row>
    <row r="26" spans="2:17" ht="12.75" customHeight="1" x14ac:dyDescent="0.2">
      <c r="B26" s="475"/>
      <c r="C26" s="483"/>
      <c r="D26" s="484" t="s">
        <v>46</v>
      </c>
      <c r="E26" s="485"/>
      <c r="F26" s="1157">
        <f>O19</f>
        <v>0</v>
      </c>
      <c r="G26" s="989">
        <f>F29</f>
        <v>0</v>
      </c>
      <c r="H26" s="989">
        <f t="shared" ref="H26:O26" si="4">G29</f>
        <v>0</v>
      </c>
      <c r="I26" s="989">
        <f t="shared" si="4"/>
        <v>0</v>
      </c>
      <c r="J26" s="989">
        <f t="shared" si="4"/>
        <v>0</v>
      </c>
      <c r="K26" s="989">
        <f t="shared" si="4"/>
        <v>0</v>
      </c>
      <c r="L26" s="989">
        <f t="shared" si="4"/>
        <v>0</v>
      </c>
      <c r="M26" s="989">
        <f t="shared" si="4"/>
        <v>0</v>
      </c>
      <c r="N26" s="989">
        <f t="shared" si="4"/>
        <v>0</v>
      </c>
      <c r="O26" s="989">
        <f t="shared" si="4"/>
        <v>0</v>
      </c>
      <c r="P26" s="487"/>
      <c r="Q26" s="469"/>
    </row>
    <row r="27" spans="2:17" ht="12.75" customHeight="1" x14ac:dyDescent="0.2">
      <c r="B27" s="475"/>
      <c r="C27" s="483"/>
      <c r="D27" s="484" t="s">
        <v>47</v>
      </c>
      <c r="E27" s="488"/>
      <c r="F27" s="486">
        <v>0</v>
      </c>
      <c r="G27" s="489">
        <v>0</v>
      </c>
      <c r="H27" s="489">
        <v>0</v>
      </c>
      <c r="I27" s="489">
        <v>0</v>
      </c>
      <c r="J27" s="489">
        <v>0</v>
      </c>
      <c r="K27" s="489">
        <v>0</v>
      </c>
      <c r="L27" s="489">
        <v>0</v>
      </c>
      <c r="M27" s="489">
        <v>0</v>
      </c>
      <c r="N27" s="489">
        <v>0</v>
      </c>
      <c r="O27" s="489">
        <v>0</v>
      </c>
      <c r="P27" s="487"/>
      <c r="Q27" s="469"/>
    </row>
    <row r="28" spans="2:17" ht="12.75" customHeight="1" x14ac:dyDescent="0.2">
      <c r="B28" s="475"/>
      <c r="C28" s="483"/>
      <c r="D28" s="484" t="s">
        <v>48</v>
      </c>
      <c r="E28" s="485"/>
      <c r="F28" s="486">
        <v>0</v>
      </c>
      <c r="G28" s="489">
        <v>0</v>
      </c>
      <c r="H28" s="489">
        <v>0</v>
      </c>
      <c r="I28" s="489">
        <v>0</v>
      </c>
      <c r="J28" s="489">
        <v>0</v>
      </c>
      <c r="K28" s="489">
        <v>0</v>
      </c>
      <c r="L28" s="489">
        <v>0</v>
      </c>
      <c r="M28" s="489">
        <v>0</v>
      </c>
      <c r="N28" s="489">
        <v>0</v>
      </c>
      <c r="O28" s="489">
        <v>0</v>
      </c>
      <c r="P28" s="487"/>
      <c r="Q28" s="469"/>
    </row>
    <row r="29" spans="2:17" ht="12.75" customHeight="1" x14ac:dyDescent="0.2">
      <c r="B29" s="475"/>
      <c r="C29" s="490"/>
      <c r="D29" s="460" t="s">
        <v>49</v>
      </c>
      <c r="E29" s="488"/>
      <c r="F29" s="1155">
        <f t="shared" ref="F29:O29" si="5">SUM(F26:F27)-F28</f>
        <v>0</v>
      </c>
      <c r="G29" s="1156">
        <f t="shared" si="5"/>
        <v>0</v>
      </c>
      <c r="H29" s="1156">
        <f t="shared" si="5"/>
        <v>0</v>
      </c>
      <c r="I29" s="1156">
        <f t="shared" si="5"/>
        <v>0</v>
      </c>
      <c r="J29" s="1156">
        <f t="shared" si="5"/>
        <v>0</v>
      </c>
      <c r="K29" s="1156">
        <f t="shared" si="5"/>
        <v>0</v>
      </c>
      <c r="L29" s="1156">
        <f t="shared" si="5"/>
        <v>0</v>
      </c>
      <c r="M29" s="1156">
        <f t="shared" si="5"/>
        <v>0</v>
      </c>
      <c r="N29" s="1156">
        <f t="shared" si="5"/>
        <v>0</v>
      </c>
      <c r="O29" s="1156">
        <f t="shared" si="5"/>
        <v>0</v>
      </c>
      <c r="P29" s="487"/>
      <c r="Q29" s="469"/>
    </row>
    <row r="30" spans="2:17" ht="12.75" customHeight="1" x14ac:dyDescent="0.2">
      <c r="B30" s="475"/>
      <c r="C30" s="461"/>
      <c r="F30" s="491"/>
      <c r="G30" s="492"/>
      <c r="H30" s="492"/>
      <c r="I30" s="492"/>
      <c r="J30" s="492"/>
      <c r="K30" s="492"/>
      <c r="L30" s="492"/>
      <c r="M30" s="492"/>
      <c r="N30" s="492"/>
      <c r="O30" s="492"/>
      <c r="P30" s="494"/>
      <c r="Q30" s="469"/>
    </row>
    <row r="31" spans="2:17" ht="12.75" customHeight="1" x14ac:dyDescent="0.2">
      <c r="B31" s="475"/>
      <c r="C31" s="473"/>
      <c r="D31" s="220"/>
      <c r="E31" s="467"/>
      <c r="F31" s="467"/>
      <c r="G31" s="467"/>
      <c r="H31" s="467"/>
      <c r="I31" s="467"/>
      <c r="J31" s="467"/>
      <c r="K31" s="467"/>
      <c r="L31" s="467"/>
      <c r="M31" s="467"/>
      <c r="N31" s="467"/>
      <c r="O31" s="467"/>
      <c r="P31" s="467"/>
      <c r="Q31" s="469"/>
    </row>
    <row r="32" spans="2:17" s="499" customFormat="1" ht="12.75" customHeight="1" x14ac:dyDescent="0.25">
      <c r="B32" s="496"/>
      <c r="C32" s="497"/>
      <c r="D32" s="497"/>
      <c r="E32" s="497"/>
      <c r="F32" s="497"/>
      <c r="G32" s="497"/>
      <c r="H32" s="497"/>
      <c r="I32" s="497"/>
      <c r="J32" s="497"/>
      <c r="K32" s="497"/>
      <c r="L32" s="497"/>
      <c r="M32" s="497"/>
      <c r="N32" s="497"/>
      <c r="O32" s="497"/>
      <c r="P32" s="89" t="s">
        <v>410</v>
      </c>
      <c r="Q32" s="498"/>
    </row>
    <row r="33" ht="12" customHeight="1" collapsed="1" x14ac:dyDescent="0.2"/>
  </sheetData>
  <sheetProtection algorithmName="SHA-512" hashValue="10Lcr4IX3cRVQue2ptbKTQWMOhVhjcCBKZKesiAY0ICXLyhMDGXS1lIatm+pUnGJP2ZqolnaFGx9bj72MJ/1bA==" saltValue="2dQY5RhT/LjMZdLIPxqOhQ==" spinCount="100000" sheet="1" objects="1" scenarios="1"/>
  <phoneticPr fontId="0" type="noConversion"/>
  <pageMargins left="0.78740157480314965" right="0.78740157480314965" top="0.98425196850393704" bottom="0.98425196850393704" header="0.51181102362204722" footer="0.51181102362204722"/>
  <pageSetup paperSize="9" scale="63" orientation="landscape" r:id="rId1"/>
  <headerFooter alignWithMargins="0">
    <oddHeader>&amp;L&amp;"Arial,Vet"&amp;F&amp;R&amp;"Arial,Vet"&amp;A</oddHeader>
    <oddFooter>&amp;L&amp;"Arial,Vet"PO-Raad&amp;C&amp;"Arial,Vet"&amp;D&amp;R&amp;"Arial,Vet"pagina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M150"/>
  <sheetViews>
    <sheetView zoomScale="85" zoomScaleNormal="85" zoomScaleSheetLayoutView="85" workbookViewId="0">
      <pane ySplit="12" topLeftCell="A13" activePane="bottomLeft" state="frozen"/>
      <selection activeCell="A4" sqref="A4:XFD4"/>
      <selection pane="bottomLeft" activeCell="B2" sqref="B2"/>
    </sheetView>
  </sheetViews>
  <sheetFormatPr defaultColWidth="9.140625" defaultRowHeight="12.75" x14ac:dyDescent="0.2"/>
  <cols>
    <col min="1" max="1" width="3.7109375" style="14" customWidth="1"/>
    <col min="2" max="3" width="2.7109375" style="14" customWidth="1"/>
    <col min="4" max="5" width="25.7109375" style="21" customWidth="1"/>
    <col min="6" max="7" width="8.7109375" style="22" customWidth="1"/>
    <col min="8" max="10" width="10.7109375" style="22" customWidth="1"/>
    <col min="11" max="11" width="0.85546875" style="14" customWidth="1"/>
    <col min="12" max="12" width="12.7109375" style="14" hidden="1" customWidth="1"/>
    <col min="13" max="16" width="10.7109375" style="14" customWidth="1"/>
    <col min="17" max="17" width="0.85546875" style="14" customWidth="1"/>
    <col min="18" max="22" width="10.7109375" style="14" customWidth="1"/>
    <col min="23" max="23" width="0.85546875" style="14" customWidth="1"/>
    <col min="24" max="28" width="10.7109375" style="14" customWidth="1"/>
    <col min="29" max="30" width="2.7109375" style="14" customWidth="1"/>
    <col min="31" max="16384" width="9.140625" style="14"/>
  </cols>
  <sheetData>
    <row r="2" spans="2:39" x14ac:dyDescent="0.2">
      <c r="B2" s="68"/>
      <c r="C2" s="68"/>
      <c r="D2" s="84"/>
      <c r="E2" s="84"/>
      <c r="F2" s="85"/>
      <c r="G2" s="85"/>
      <c r="H2" s="85"/>
      <c r="I2" s="85"/>
      <c r="J2" s="85"/>
      <c r="K2" s="68"/>
      <c r="L2" s="68"/>
      <c r="M2" s="68"/>
      <c r="N2" s="68"/>
      <c r="O2" s="68"/>
      <c r="P2" s="68"/>
      <c r="Q2" s="68"/>
      <c r="R2" s="68"/>
      <c r="S2" s="68"/>
      <c r="T2" s="68"/>
      <c r="U2" s="68"/>
      <c r="V2" s="68"/>
      <c r="W2" s="68"/>
      <c r="X2" s="68"/>
      <c r="Y2" s="68"/>
      <c r="Z2" s="68"/>
      <c r="AA2" s="68"/>
      <c r="AB2" s="68"/>
      <c r="AC2" s="68"/>
      <c r="AD2" s="68"/>
    </row>
    <row r="3" spans="2:39" x14ac:dyDescent="0.2">
      <c r="B3" s="68"/>
      <c r="C3" s="68"/>
      <c r="D3" s="84"/>
      <c r="E3" s="84"/>
      <c r="F3" s="85"/>
      <c r="G3" s="85"/>
      <c r="H3" s="85"/>
      <c r="I3" s="85"/>
      <c r="J3" s="85"/>
      <c r="K3" s="68"/>
      <c r="L3" s="68"/>
      <c r="M3" s="68"/>
      <c r="N3" s="68"/>
      <c r="O3" s="68"/>
      <c r="P3" s="68"/>
      <c r="Q3" s="68"/>
      <c r="R3" s="68"/>
      <c r="S3" s="68"/>
      <c r="T3" s="68"/>
      <c r="U3" s="68"/>
      <c r="V3" s="68"/>
      <c r="W3" s="68"/>
      <c r="X3" s="68"/>
      <c r="Y3" s="68"/>
      <c r="Z3" s="68"/>
      <c r="AA3" s="68"/>
      <c r="AB3" s="68"/>
      <c r="AC3" s="68"/>
      <c r="AD3" s="68"/>
    </row>
    <row r="4" spans="2:39" s="1000" customFormat="1" ht="18" customHeight="1" x14ac:dyDescent="0.3">
      <c r="B4" s="971"/>
      <c r="C4" s="971" t="s">
        <v>355</v>
      </c>
      <c r="D4" s="971"/>
      <c r="E4" s="970"/>
      <c r="F4" s="999"/>
      <c r="G4" s="999"/>
      <c r="H4" s="999"/>
      <c r="I4" s="999"/>
      <c r="J4" s="999"/>
      <c r="K4" s="971"/>
      <c r="L4" s="971"/>
      <c r="M4" s="971"/>
      <c r="N4" s="971"/>
      <c r="O4" s="971"/>
      <c r="P4" s="971"/>
      <c r="Q4" s="971"/>
      <c r="R4" s="971"/>
      <c r="S4" s="971"/>
      <c r="T4" s="971"/>
      <c r="U4" s="971"/>
      <c r="V4" s="971"/>
      <c r="W4" s="971"/>
      <c r="X4" s="971"/>
      <c r="Y4" s="971"/>
      <c r="Z4" s="971"/>
      <c r="AA4" s="971"/>
      <c r="AB4" s="971"/>
      <c r="AC4" s="971"/>
      <c r="AD4" s="971"/>
    </row>
    <row r="5" spans="2:39" ht="18.75" customHeight="1" x14ac:dyDescent="0.3">
      <c r="B5" s="68"/>
      <c r="C5" s="74" t="str">
        <f>geg!F11</f>
        <v>Voorbeeld SBO</v>
      </c>
      <c r="D5" s="75"/>
      <c r="E5" s="84"/>
      <c r="F5" s="85"/>
      <c r="G5" s="85"/>
      <c r="H5" s="85"/>
      <c r="I5" s="85"/>
      <c r="J5" s="85"/>
      <c r="K5" s="68"/>
      <c r="L5" s="68"/>
      <c r="M5" s="68"/>
      <c r="N5" s="68"/>
      <c r="O5" s="68"/>
      <c r="P5" s="68"/>
      <c r="Q5" s="68"/>
      <c r="R5" s="68"/>
      <c r="S5" s="68"/>
      <c r="T5" s="68"/>
      <c r="U5" s="68"/>
      <c r="V5" s="68"/>
      <c r="W5" s="68"/>
      <c r="X5" s="68"/>
      <c r="Y5" s="68"/>
      <c r="Z5" s="68"/>
      <c r="AA5" s="68"/>
      <c r="AB5" s="68"/>
      <c r="AC5" s="68"/>
      <c r="AD5" s="68"/>
    </row>
    <row r="6" spans="2:39" s="1040" customFormat="1" ht="12" customHeight="1" x14ac:dyDescent="0.25">
      <c r="B6" s="1029"/>
      <c r="C6" s="1158"/>
      <c r="D6" s="1159"/>
      <c r="E6" s="1159"/>
      <c r="F6" s="1160"/>
      <c r="G6" s="1160"/>
      <c r="H6" s="1160"/>
      <c r="I6" s="1160"/>
      <c r="J6" s="1160"/>
      <c r="K6" s="1029"/>
      <c r="L6" s="1029"/>
      <c r="M6" s="1029"/>
      <c r="N6" s="1029"/>
      <c r="O6" s="1029"/>
      <c r="P6" s="1029"/>
      <c r="Q6" s="1029"/>
      <c r="R6" s="1029"/>
      <c r="S6" s="1029"/>
      <c r="T6" s="1029"/>
      <c r="U6" s="1029"/>
      <c r="V6" s="1029"/>
      <c r="W6" s="1029"/>
      <c r="X6" s="1029"/>
      <c r="Y6" s="1029"/>
      <c r="Z6" s="1029"/>
      <c r="AA6" s="1029"/>
      <c r="AB6" s="1029"/>
      <c r="AC6" s="1029"/>
      <c r="AD6" s="1029"/>
    </row>
    <row r="7" spans="2:39" s="1061" customFormat="1" x14ac:dyDescent="0.2">
      <c r="B7" s="1161"/>
      <c r="C7" s="1161"/>
      <c r="D7" s="1151" t="s">
        <v>259</v>
      </c>
      <c r="E7" s="1151" t="s">
        <v>258</v>
      </c>
      <c r="F7" s="1161" t="s">
        <v>262</v>
      </c>
      <c r="G7" s="1161" t="s">
        <v>394</v>
      </c>
      <c r="H7" s="1161" t="s">
        <v>256</v>
      </c>
      <c r="I7" s="1161" t="s">
        <v>211</v>
      </c>
      <c r="J7" s="1161" t="s">
        <v>257</v>
      </c>
      <c r="K7" s="1161"/>
      <c r="L7" s="1161" t="s">
        <v>286</v>
      </c>
      <c r="M7" s="1161" t="s">
        <v>288</v>
      </c>
      <c r="N7" s="1161" t="s">
        <v>230</v>
      </c>
      <c r="O7" s="1162" t="s">
        <v>285</v>
      </c>
      <c r="P7" s="1161" t="s">
        <v>436</v>
      </c>
      <c r="Q7" s="1161"/>
      <c r="R7" s="1161">
        <f>P8</f>
        <v>2015</v>
      </c>
      <c r="S7" s="1163">
        <f>R7+1</f>
        <v>2016</v>
      </c>
      <c r="T7" s="1163">
        <f>R7+2</f>
        <v>2017</v>
      </c>
      <c r="U7" s="1164">
        <f>R7+3</f>
        <v>2018</v>
      </c>
      <c r="V7" s="1164">
        <f>S7+3</f>
        <v>2019</v>
      </c>
      <c r="W7" s="1161"/>
      <c r="X7" s="1161">
        <f>R7</f>
        <v>2015</v>
      </c>
      <c r="Y7" s="1161">
        <f>S7</f>
        <v>2016</v>
      </c>
      <c r="Z7" s="1161">
        <f>T7</f>
        <v>2017</v>
      </c>
      <c r="AA7" s="1161">
        <f>U7</f>
        <v>2018</v>
      </c>
      <c r="AB7" s="1161">
        <f>V7</f>
        <v>2019</v>
      </c>
      <c r="AC7" s="1161"/>
      <c r="AD7" s="1161"/>
    </row>
    <row r="8" spans="2:39" s="1061" customFormat="1" x14ac:dyDescent="0.2">
      <c r="B8" s="1161"/>
      <c r="C8" s="1161"/>
      <c r="D8" s="1151"/>
      <c r="E8" s="1151"/>
      <c r="F8" s="1161" t="s">
        <v>261</v>
      </c>
      <c r="G8" s="1161" t="s">
        <v>395</v>
      </c>
      <c r="H8" s="1161" t="s">
        <v>260</v>
      </c>
      <c r="I8" s="1161" t="s">
        <v>209</v>
      </c>
      <c r="J8" s="1161" t="s">
        <v>215</v>
      </c>
      <c r="K8" s="1161"/>
      <c r="L8" s="1161"/>
      <c r="M8" s="1161" t="s">
        <v>289</v>
      </c>
      <c r="N8" s="1161" t="s">
        <v>290</v>
      </c>
      <c r="O8" s="1162" t="s">
        <v>230</v>
      </c>
      <c r="P8" s="1162">
        <f>tab!D4</f>
        <v>2015</v>
      </c>
      <c r="Q8" s="1161"/>
      <c r="R8" s="1161" t="s">
        <v>230</v>
      </c>
      <c r="S8" s="1161" t="s">
        <v>230</v>
      </c>
      <c r="T8" s="1161" t="s">
        <v>230</v>
      </c>
      <c r="U8" s="1161" t="s">
        <v>230</v>
      </c>
      <c r="V8" s="1161" t="s">
        <v>230</v>
      </c>
      <c r="W8" s="1161"/>
      <c r="X8" s="1161" t="s">
        <v>233</v>
      </c>
      <c r="Y8" s="1161" t="s">
        <v>233</v>
      </c>
      <c r="Z8" s="1161" t="s">
        <v>233</v>
      </c>
      <c r="AA8" s="1161" t="s">
        <v>233</v>
      </c>
      <c r="AB8" s="1161" t="s">
        <v>233</v>
      </c>
      <c r="AC8" s="1161"/>
      <c r="AD8" s="1161"/>
    </row>
    <row r="9" spans="2:39" s="1061" customFormat="1" x14ac:dyDescent="0.2">
      <c r="B9" s="1161"/>
      <c r="C9" s="1161"/>
      <c r="D9" s="1151"/>
      <c r="E9" s="1151"/>
      <c r="F9" s="1161"/>
      <c r="G9" s="1161"/>
      <c r="H9" s="1161"/>
      <c r="I9" s="1161"/>
      <c r="J9" s="1161"/>
      <c r="K9" s="1161"/>
      <c r="L9" s="1161"/>
      <c r="M9" s="1161"/>
      <c r="N9" s="1161"/>
      <c r="O9" s="1162"/>
      <c r="P9" s="1162"/>
      <c r="Q9" s="1161"/>
      <c r="R9" s="1161"/>
      <c r="S9" s="1161"/>
      <c r="T9" s="1161"/>
      <c r="U9" s="1161"/>
      <c r="V9" s="1161"/>
      <c r="W9" s="1161"/>
      <c r="X9" s="1161"/>
      <c r="Y9" s="1161"/>
      <c r="Z9" s="1161"/>
      <c r="AA9" s="1161"/>
      <c r="AB9" s="1161"/>
      <c r="AC9" s="1161"/>
      <c r="AD9" s="1161"/>
    </row>
    <row r="10" spans="2:39" s="23" customFormat="1" x14ac:dyDescent="0.2">
      <c r="B10" s="97"/>
      <c r="C10" s="501"/>
      <c r="D10" s="295"/>
      <c r="E10" s="295"/>
      <c r="F10" s="502"/>
      <c r="G10" s="502"/>
      <c r="H10" s="502"/>
      <c r="I10" s="502"/>
      <c r="J10" s="502"/>
      <c r="K10" s="502"/>
      <c r="L10" s="502"/>
      <c r="M10" s="502"/>
      <c r="N10" s="502"/>
      <c r="O10" s="503"/>
      <c r="P10" s="503"/>
      <c r="Q10" s="502"/>
      <c r="R10" s="502"/>
      <c r="S10" s="502"/>
      <c r="T10" s="502"/>
      <c r="U10" s="502"/>
      <c r="V10" s="502"/>
      <c r="W10" s="502"/>
      <c r="X10" s="502"/>
      <c r="Y10" s="502"/>
      <c r="Z10" s="502"/>
      <c r="AA10" s="502"/>
      <c r="AB10" s="502"/>
      <c r="AC10" s="504"/>
      <c r="AD10" s="97"/>
    </row>
    <row r="11" spans="2:39" x14ac:dyDescent="0.2">
      <c r="B11" s="68"/>
      <c r="C11" s="126"/>
      <c r="D11" s="127"/>
      <c r="E11" s="127"/>
      <c r="F11" s="128"/>
      <c r="G11" s="128"/>
      <c r="H11" s="128"/>
      <c r="I11" s="128"/>
      <c r="J11" s="128"/>
      <c r="K11" s="124"/>
      <c r="L11" s="124"/>
      <c r="M11" s="124"/>
      <c r="N11" s="124"/>
      <c r="O11" s="124"/>
      <c r="P11" s="1074">
        <f>SUM(P13:P146)</f>
        <v>0</v>
      </c>
      <c r="Q11" s="124"/>
      <c r="R11" s="1074">
        <f>SUM(R13:R146)</f>
        <v>0</v>
      </c>
      <c r="S11" s="1074">
        <f>SUM(S13:S146)</f>
        <v>0</v>
      </c>
      <c r="T11" s="1074">
        <f>SUM(T13:T146)</f>
        <v>0</v>
      </c>
      <c r="U11" s="1074">
        <f>SUM(U13:U146)</f>
        <v>0</v>
      </c>
      <c r="V11" s="1074">
        <f>SUM(V13:V146)</f>
        <v>0</v>
      </c>
      <c r="W11" s="124"/>
      <c r="X11" s="1074">
        <f>SUM(X13:X146)</f>
        <v>0</v>
      </c>
      <c r="Y11" s="1074">
        <f>SUM(Y13:Y146)</f>
        <v>0</v>
      </c>
      <c r="Z11" s="1074">
        <f>SUM(Z13:Z146)</f>
        <v>0</v>
      </c>
      <c r="AA11" s="1074">
        <f>SUM(AA13:AA146)</f>
        <v>0</v>
      </c>
      <c r="AB11" s="1074">
        <f>SUM(AB13:AB146)</f>
        <v>0</v>
      </c>
      <c r="AC11" s="125"/>
      <c r="AD11" s="68"/>
    </row>
    <row r="12" spans="2:39" s="23" customFormat="1" x14ac:dyDescent="0.2">
      <c r="B12" s="97"/>
      <c r="C12" s="505"/>
      <c r="D12" s="238"/>
      <c r="E12" s="238"/>
      <c r="F12" s="190"/>
      <c r="G12" s="190"/>
      <c r="H12" s="190"/>
      <c r="I12" s="190"/>
      <c r="J12" s="190"/>
      <c r="K12" s="190"/>
      <c r="L12" s="190"/>
      <c r="M12" s="190"/>
      <c r="N12" s="190"/>
      <c r="O12" s="409"/>
      <c r="P12" s="409"/>
      <c r="Q12" s="190"/>
      <c r="R12" s="190"/>
      <c r="S12" s="190"/>
      <c r="T12" s="190"/>
      <c r="U12" s="190"/>
      <c r="V12" s="190"/>
      <c r="W12" s="190"/>
      <c r="X12" s="128"/>
      <c r="Y12" s="128"/>
      <c r="Z12" s="128"/>
      <c r="AA12" s="128"/>
      <c r="AB12" s="128"/>
      <c r="AC12" s="506"/>
      <c r="AD12" s="97"/>
    </row>
    <row r="13" spans="2:39" x14ac:dyDescent="0.2">
      <c r="B13" s="68"/>
      <c r="C13" s="126"/>
      <c r="D13" s="308" t="s">
        <v>367</v>
      </c>
      <c r="E13" s="308"/>
      <c r="F13" s="398"/>
      <c r="G13" s="117">
        <v>1</v>
      </c>
      <c r="H13" s="228">
        <v>50000</v>
      </c>
      <c r="I13" s="117">
        <v>2007</v>
      </c>
      <c r="J13" s="117">
        <v>5</v>
      </c>
      <c r="K13" s="124"/>
      <c r="L13" s="128">
        <f>IF(J13="geen",9999999999,J13)</f>
        <v>5</v>
      </c>
      <c r="M13" s="1077">
        <f t="shared" ref="M13:M43" si="0">G13*H13</f>
        <v>50000</v>
      </c>
      <c r="N13" s="1077">
        <f>IF(G13=0,0,(G13*H13)/L13)</f>
        <v>10000</v>
      </c>
      <c r="O13" s="1165">
        <f t="shared" ref="O13:O43" si="1">IF(L13=0,"-",(IF(L13&gt;3000,"-",I13+L13-1)))</f>
        <v>2011</v>
      </c>
      <c r="P13" s="1077">
        <f>IF(J13="geen",IF(I13&lt;$R$7,G13*H13,0),IF(I13&gt;=$R$7,0,IF((H13*G13-(R$7-I13)*N13)&lt;0,0,H13*G13-(R$7-I13)*N13)))</f>
        <v>0</v>
      </c>
      <c r="Q13" s="124"/>
      <c r="R13" s="1077">
        <f t="shared" ref="R13:R43" si="2">(IF(R$7&lt;$I13,0,IF($O13&lt;=R$7-1,0,$N13)))</f>
        <v>0</v>
      </c>
      <c r="S13" s="1077">
        <f t="shared" ref="S13:S43" si="3">(IF(S$7&lt;$I13,0,IF($O13&lt;=S$7-1,0,$N13)))</f>
        <v>0</v>
      </c>
      <c r="T13" s="1077">
        <f t="shared" ref="T13:T43" si="4">(IF(T$7&lt;$I13,0,IF($O13&lt;=T$7-1,0,$N13)))</f>
        <v>0</v>
      </c>
      <c r="U13" s="1077">
        <f t="shared" ref="U13:V32" si="5">(IF(U$7&lt;$I13,0,IF($O13&lt;=U$7-1,0,$N13)))</f>
        <v>0</v>
      </c>
      <c r="V13" s="1077">
        <f t="shared" si="5"/>
        <v>0</v>
      </c>
      <c r="W13" s="124"/>
      <c r="X13" s="1077">
        <f t="shared" ref="X13:AB22" si="6">IF(X$7=$I13,($G13*$H13),0)</f>
        <v>0</v>
      </c>
      <c r="Y13" s="1077">
        <f t="shared" si="6"/>
        <v>0</v>
      </c>
      <c r="Z13" s="1077">
        <f t="shared" si="6"/>
        <v>0</v>
      </c>
      <c r="AA13" s="1077">
        <f t="shared" si="6"/>
        <v>0</v>
      </c>
      <c r="AB13" s="1077">
        <f t="shared" si="6"/>
        <v>0</v>
      </c>
      <c r="AC13" s="125"/>
      <c r="AD13" s="68"/>
      <c r="AM13" s="14" t="s">
        <v>369</v>
      </c>
    </row>
    <row r="14" spans="2:39" x14ac:dyDescent="0.2">
      <c r="B14" s="68"/>
      <c r="C14" s="126"/>
      <c r="D14" s="308" t="s">
        <v>367</v>
      </c>
      <c r="E14" s="308"/>
      <c r="F14" s="398"/>
      <c r="G14" s="117">
        <v>1</v>
      </c>
      <c r="H14" s="228">
        <v>50000</v>
      </c>
      <c r="I14" s="117">
        <v>2007</v>
      </c>
      <c r="J14" s="117">
        <v>5</v>
      </c>
      <c r="K14" s="124"/>
      <c r="L14" s="128">
        <f t="shared" ref="L14:L107" si="7">IF(J14="geen",9999999999,J14)</f>
        <v>5</v>
      </c>
      <c r="M14" s="1077">
        <f t="shared" si="0"/>
        <v>50000</v>
      </c>
      <c r="N14" s="1077">
        <f t="shared" ref="N14:N43" si="8">IF(G14=0,0,(G14*H14)/L14)</f>
        <v>10000</v>
      </c>
      <c r="O14" s="1165">
        <f t="shared" si="1"/>
        <v>2011</v>
      </c>
      <c r="P14" s="1077">
        <f t="shared" ref="P14:P77" si="9">IF(J14="geen",IF(I14&lt;$R$7,G14*H14,0),IF(I14&gt;=$R$7,0,IF((H14*G14-(R$7-I14)*N14)&lt;0,0,H14*G14-(R$7-I14)*N14)))</f>
        <v>0</v>
      </c>
      <c r="Q14" s="124"/>
      <c r="R14" s="1077">
        <f t="shared" si="2"/>
        <v>0</v>
      </c>
      <c r="S14" s="1077">
        <f t="shared" si="3"/>
        <v>0</v>
      </c>
      <c r="T14" s="1077">
        <f t="shared" si="4"/>
        <v>0</v>
      </c>
      <c r="U14" s="1077">
        <f t="shared" si="5"/>
        <v>0</v>
      </c>
      <c r="V14" s="1077">
        <f t="shared" si="5"/>
        <v>0</v>
      </c>
      <c r="W14" s="124"/>
      <c r="X14" s="1077">
        <f t="shared" si="6"/>
        <v>0</v>
      </c>
      <c r="Y14" s="1077">
        <f t="shared" si="6"/>
        <v>0</v>
      </c>
      <c r="Z14" s="1077">
        <f t="shared" si="6"/>
        <v>0</v>
      </c>
      <c r="AA14" s="1077">
        <f t="shared" si="6"/>
        <v>0</v>
      </c>
      <c r="AB14" s="1077">
        <f t="shared" si="6"/>
        <v>0</v>
      </c>
      <c r="AC14" s="125"/>
      <c r="AD14" s="68"/>
      <c r="AM14" s="14" t="s">
        <v>387</v>
      </c>
    </row>
    <row r="15" spans="2:39" x14ac:dyDescent="0.2">
      <c r="B15" s="68"/>
      <c r="C15" s="126"/>
      <c r="D15" s="308"/>
      <c r="E15" s="308"/>
      <c r="F15" s="398"/>
      <c r="G15" s="117"/>
      <c r="H15" s="228"/>
      <c r="I15" s="117"/>
      <c r="J15" s="117"/>
      <c r="K15" s="124"/>
      <c r="L15" s="128">
        <f t="shared" si="7"/>
        <v>0</v>
      </c>
      <c r="M15" s="1077">
        <f t="shared" si="0"/>
        <v>0</v>
      </c>
      <c r="N15" s="1077">
        <f t="shared" si="8"/>
        <v>0</v>
      </c>
      <c r="O15" s="1165" t="str">
        <f t="shared" si="1"/>
        <v>-</v>
      </c>
      <c r="P15" s="1077">
        <f t="shared" si="9"/>
        <v>0</v>
      </c>
      <c r="Q15" s="124"/>
      <c r="R15" s="1077">
        <f t="shared" si="2"/>
        <v>0</v>
      </c>
      <c r="S15" s="1077">
        <f t="shared" si="3"/>
        <v>0</v>
      </c>
      <c r="T15" s="1077">
        <f t="shared" si="4"/>
        <v>0</v>
      </c>
      <c r="U15" s="1077">
        <f t="shared" si="5"/>
        <v>0</v>
      </c>
      <c r="V15" s="1077">
        <f t="shared" si="5"/>
        <v>0</v>
      </c>
      <c r="W15" s="124"/>
      <c r="X15" s="1077">
        <f t="shared" si="6"/>
        <v>0</v>
      </c>
      <c r="Y15" s="1077">
        <f t="shared" si="6"/>
        <v>0</v>
      </c>
      <c r="Z15" s="1077">
        <f t="shared" si="6"/>
        <v>0</v>
      </c>
      <c r="AA15" s="1077">
        <f t="shared" si="6"/>
        <v>0</v>
      </c>
      <c r="AB15" s="1077">
        <f t="shared" si="6"/>
        <v>0</v>
      </c>
      <c r="AC15" s="125"/>
      <c r="AD15" s="68"/>
      <c r="AM15" s="14" t="s">
        <v>367</v>
      </c>
    </row>
    <row r="16" spans="2:39" x14ac:dyDescent="0.2">
      <c r="B16" s="68"/>
      <c r="C16" s="126"/>
      <c r="D16" s="308"/>
      <c r="E16" s="308"/>
      <c r="F16" s="398"/>
      <c r="G16" s="117"/>
      <c r="H16" s="228"/>
      <c r="I16" s="117"/>
      <c r="J16" s="117"/>
      <c r="K16" s="124"/>
      <c r="L16" s="128">
        <f t="shared" si="7"/>
        <v>0</v>
      </c>
      <c r="M16" s="1077">
        <f t="shared" si="0"/>
        <v>0</v>
      </c>
      <c r="N16" s="1077">
        <f t="shared" si="8"/>
        <v>0</v>
      </c>
      <c r="O16" s="1165" t="str">
        <f t="shared" si="1"/>
        <v>-</v>
      </c>
      <c r="P16" s="1077">
        <f t="shared" si="9"/>
        <v>0</v>
      </c>
      <c r="Q16" s="124"/>
      <c r="R16" s="1077">
        <f t="shared" si="2"/>
        <v>0</v>
      </c>
      <c r="S16" s="1077">
        <f t="shared" si="3"/>
        <v>0</v>
      </c>
      <c r="T16" s="1077">
        <f t="shared" si="4"/>
        <v>0</v>
      </c>
      <c r="U16" s="1077">
        <f t="shared" si="5"/>
        <v>0</v>
      </c>
      <c r="V16" s="1077">
        <f t="shared" si="5"/>
        <v>0</v>
      </c>
      <c r="W16" s="124"/>
      <c r="X16" s="1077">
        <f t="shared" si="6"/>
        <v>0</v>
      </c>
      <c r="Y16" s="1077">
        <f t="shared" si="6"/>
        <v>0</v>
      </c>
      <c r="Z16" s="1077">
        <f t="shared" si="6"/>
        <v>0</v>
      </c>
      <c r="AA16" s="1077">
        <f t="shared" si="6"/>
        <v>0</v>
      </c>
      <c r="AB16" s="1077">
        <f t="shared" si="6"/>
        <v>0</v>
      </c>
      <c r="AC16" s="125"/>
      <c r="AD16" s="68"/>
      <c r="AM16" s="14" t="s">
        <v>368</v>
      </c>
    </row>
    <row r="17" spans="2:39" x14ac:dyDescent="0.2">
      <c r="B17" s="68"/>
      <c r="C17" s="126"/>
      <c r="D17" s="308"/>
      <c r="E17" s="308"/>
      <c r="F17" s="398"/>
      <c r="G17" s="117"/>
      <c r="H17" s="228"/>
      <c r="I17" s="117"/>
      <c r="J17" s="117"/>
      <c r="K17" s="124"/>
      <c r="L17" s="128">
        <f t="shared" si="7"/>
        <v>0</v>
      </c>
      <c r="M17" s="1077">
        <f t="shared" si="0"/>
        <v>0</v>
      </c>
      <c r="N17" s="1077">
        <f t="shared" si="8"/>
        <v>0</v>
      </c>
      <c r="O17" s="1165" t="str">
        <f t="shared" si="1"/>
        <v>-</v>
      </c>
      <c r="P17" s="1077">
        <f t="shared" si="9"/>
        <v>0</v>
      </c>
      <c r="Q17" s="124"/>
      <c r="R17" s="1077">
        <f t="shared" si="2"/>
        <v>0</v>
      </c>
      <c r="S17" s="1077">
        <f t="shared" si="3"/>
        <v>0</v>
      </c>
      <c r="T17" s="1077">
        <f t="shared" si="4"/>
        <v>0</v>
      </c>
      <c r="U17" s="1077">
        <f t="shared" si="5"/>
        <v>0</v>
      </c>
      <c r="V17" s="1077">
        <f t="shared" si="5"/>
        <v>0</v>
      </c>
      <c r="W17" s="124"/>
      <c r="X17" s="1077">
        <f t="shared" si="6"/>
        <v>0</v>
      </c>
      <c r="Y17" s="1077">
        <f t="shared" si="6"/>
        <v>0</v>
      </c>
      <c r="Z17" s="1077">
        <f t="shared" si="6"/>
        <v>0</v>
      </c>
      <c r="AA17" s="1077">
        <f t="shared" si="6"/>
        <v>0</v>
      </c>
      <c r="AB17" s="1077">
        <f t="shared" si="6"/>
        <v>0</v>
      </c>
      <c r="AC17" s="125"/>
      <c r="AD17" s="68"/>
      <c r="AM17" s="14" t="s">
        <v>356</v>
      </c>
    </row>
    <row r="18" spans="2:39" x14ac:dyDescent="0.2">
      <c r="B18" s="68"/>
      <c r="C18" s="126"/>
      <c r="D18" s="308"/>
      <c r="E18" s="308"/>
      <c r="F18" s="398"/>
      <c r="G18" s="117"/>
      <c r="H18" s="228"/>
      <c r="I18" s="117"/>
      <c r="J18" s="117"/>
      <c r="K18" s="124"/>
      <c r="L18" s="128">
        <f t="shared" si="7"/>
        <v>0</v>
      </c>
      <c r="M18" s="1077">
        <f t="shared" si="0"/>
        <v>0</v>
      </c>
      <c r="N18" s="1077">
        <f t="shared" si="8"/>
        <v>0</v>
      </c>
      <c r="O18" s="1165" t="str">
        <f t="shared" si="1"/>
        <v>-</v>
      </c>
      <c r="P18" s="1077">
        <f t="shared" si="9"/>
        <v>0</v>
      </c>
      <c r="Q18" s="124"/>
      <c r="R18" s="1077">
        <f t="shared" si="2"/>
        <v>0</v>
      </c>
      <c r="S18" s="1077">
        <f t="shared" si="3"/>
        <v>0</v>
      </c>
      <c r="T18" s="1077">
        <f t="shared" si="4"/>
        <v>0</v>
      </c>
      <c r="U18" s="1077">
        <f t="shared" si="5"/>
        <v>0</v>
      </c>
      <c r="V18" s="1077">
        <f t="shared" si="5"/>
        <v>0</v>
      </c>
      <c r="W18" s="124"/>
      <c r="X18" s="1077">
        <f t="shared" si="6"/>
        <v>0</v>
      </c>
      <c r="Y18" s="1077">
        <f t="shared" si="6"/>
        <v>0</v>
      </c>
      <c r="Z18" s="1077">
        <f t="shared" si="6"/>
        <v>0</v>
      </c>
      <c r="AA18" s="1077">
        <f t="shared" si="6"/>
        <v>0</v>
      </c>
      <c r="AB18" s="1077">
        <f t="shared" si="6"/>
        <v>0</v>
      </c>
      <c r="AC18" s="125"/>
      <c r="AD18" s="68"/>
      <c r="AM18" s="14" t="s">
        <v>370</v>
      </c>
    </row>
    <row r="19" spans="2:39" x14ac:dyDescent="0.2">
      <c r="B19" s="68"/>
      <c r="C19" s="126"/>
      <c r="D19" s="308"/>
      <c r="E19" s="308"/>
      <c r="F19" s="398"/>
      <c r="G19" s="117"/>
      <c r="H19" s="228"/>
      <c r="I19" s="117"/>
      <c r="J19" s="117"/>
      <c r="K19" s="124"/>
      <c r="L19" s="128">
        <f t="shared" si="7"/>
        <v>0</v>
      </c>
      <c r="M19" s="1077">
        <f t="shared" si="0"/>
        <v>0</v>
      </c>
      <c r="N19" s="1077">
        <f t="shared" si="8"/>
        <v>0</v>
      </c>
      <c r="O19" s="1165" t="str">
        <f t="shared" si="1"/>
        <v>-</v>
      </c>
      <c r="P19" s="1077">
        <f t="shared" si="9"/>
        <v>0</v>
      </c>
      <c r="Q19" s="124"/>
      <c r="R19" s="1077">
        <f t="shared" si="2"/>
        <v>0</v>
      </c>
      <c r="S19" s="1077">
        <f t="shared" si="3"/>
        <v>0</v>
      </c>
      <c r="T19" s="1077">
        <f t="shared" si="4"/>
        <v>0</v>
      </c>
      <c r="U19" s="1077">
        <f t="shared" si="5"/>
        <v>0</v>
      </c>
      <c r="V19" s="1077">
        <f t="shared" si="5"/>
        <v>0</v>
      </c>
      <c r="W19" s="124"/>
      <c r="X19" s="1077">
        <f t="shared" si="6"/>
        <v>0</v>
      </c>
      <c r="Y19" s="1077">
        <f t="shared" si="6"/>
        <v>0</v>
      </c>
      <c r="Z19" s="1077">
        <f t="shared" si="6"/>
        <v>0</v>
      </c>
      <c r="AA19" s="1077">
        <f t="shared" si="6"/>
        <v>0</v>
      </c>
      <c r="AB19" s="1077">
        <f t="shared" si="6"/>
        <v>0</v>
      </c>
      <c r="AC19" s="125"/>
      <c r="AD19" s="68"/>
    </row>
    <row r="20" spans="2:39" x14ac:dyDescent="0.2">
      <c r="B20" s="68"/>
      <c r="C20" s="126"/>
      <c r="D20" s="308"/>
      <c r="E20" s="308"/>
      <c r="F20" s="398"/>
      <c r="G20" s="117"/>
      <c r="H20" s="228"/>
      <c r="I20" s="117"/>
      <c r="J20" s="117"/>
      <c r="K20" s="124"/>
      <c r="L20" s="128">
        <f t="shared" si="7"/>
        <v>0</v>
      </c>
      <c r="M20" s="1077">
        <f t="shared" si="0"/>
        <v>0</v>
      </c>
      <c r="N20" s="1077">
        <f t="shared" si="8"/>
        <v>0</v>
      </c>
      <c r="O20" s="1165" t="str">
        <f t="shared" si="1"/>
        <v>-</v>
      </c>
      <c r="P20" s="1077">
        <f t="shared" si="9"/>
        <v>0</v>
      </c>
      <c r="Q20" s="124"/>
      <c r="R20" s="1077">
        <f t="shared" si="2"/>
        <v>0</v>
      </c>
      <c r="S20" s="1077">
        <f t="shared" si="3"/>
        <v>0</v>
      </c>
      <c r="T20" s="1077">
        <f t="shared" si="4"/>
        <v>0</v>
      </c>
      <c r="U20" s="1077">
        <f t="shared" si="5"/>
        <v>0</v>
      </c>
      <c r="V20" s="1077">
        <f t="shared" si="5"/>
        <v>0</v>
      </c>
      <c r="W20" s="124"/>
      <c r="X20" s="1077">
        <f t="shared" si="6"/>
        <v>0</v>
      </c>
      <c r="Y20" s="1077">
        <f t="shared" si="6"/>
        <v>0</v>
      </c>
      <c r="Z20" s="1077">
        <f t="shared" si="6"/>
        <v>0</v>
      </c>
      <c r="AA20" s="1077">
        <f t="shared" si="6"/>
        <v>0</v>
      </c>
      <c r="AB20" s="1077">
        <f t="shared" si="6"/>
        <v>0</v>
      </c>
      <c r="AC20" s="125"/>
      <c r="AD20" s="68"/>
    </row>
    <row r="21" spans="2:39" x14ac:dyDescent="0.2">
      <c r="B21" s="68"/>
      <c r="C21" s="126"/>
      <c r="D21" s="308"/>
      <c r="E21" s="308"/>
      <c r="F21" s="398"/>
      <c r="G21" s="117"/>
      <c r="H21" s="228"/>
      <c r="I21" s="117"/>
      <c r="J21" s="117"/>
      <c r="K21" s="124"/>
      <c r="L21" s="128">
        <f t="shared" si="7"/>
        <v>0</v>
      </c>
      <c r="M21" s="1077">
        <f t="shared" si="0"/>
        <v>0</v>
      </c>
      <c r="N21" s="1077">
        <f t="shared" si="8"/>
        <v>0</v>
      </c>
      <c r="O21" s="1165" t="str">
        <f t="shared" si="1"/>
        <v>-</v>
      </c>
      <c r="P21" s="1077">
        <f t="shared" si="9"/>
        <v>0</v>
      </c>
      <c r="Q21" s="124"/>
      <c r="R21" s="1077">
        <f t="shared" si="2"/>
        <v>0</v>
      </c>
      <c r="S21" s="1077">
        <f t="shared" si="3"/>
        <v>0</v>
      </c>
      <c r="T21" s="1077">
        <f t="shared" si="4"/>
        <v>0</v>
      </c>
      <c r="U21" s="1077">
        <f t="shared" si="5"/>
        <v>0</v>
      </c>
      <c r="V21" s="1077">
        <f t="shared" si="5"/>
        <v>0</v>
      </c>
      <c r="W21" s="124"/>
      <c r="X21" s="1077">
        <f t="shared" si="6"/>
        <v>0</v>
      </c>
      <c r="Y21" s="1077">
        <f t="shared" si="6"/>
        <v>0</v>
      </c>
      <c r="Z21" s="1077">
        <f t="shared" si="6"/>
        <v>0</v>
      </c>
      <c r="AA21" s="1077">
        <f t="shared" si="6"/>
        <v>0</v>
      </c>
      <c r="AB21" s="1077">
        <f t="shared" si="6"/>
        <v>0</v>
      </c>
      <c r="AC21" s="125"/>
      <c r="AD21" s="68"/>
    </row>
    <row r="22" spans="2:39" x14ac:dyDescent="0.2">
      <c r="B22" s="68"/>
      <c r="C22" s="126"/>
      <c r="D22" s="308"/>
      <c r="E22" s="308"/>
      <c r="F22" s="398"/>
      <c r="G22" s="117"/>
      <c r="H22" s="228"/>
      <c r="I22" s="117"/>
      <c r="J22" s="117"/>
      <c r="K22" s="124"/>
      <c r="L22" s="128">
        <f t="shared" si="7"/>
        <v>0</v>
      </c>
      <c r="M22" s="1077">
        <f t="shared" si="0"/>
        <v>0</v>
      </c>
      <c r="N22" s="1077">
        <f t="shared" si="8"/>
        <v>0</v>
      </c>
      <c r="O22" s="1165" t="str">
        <f t="shared" si="1"/>
        <v>-</v>
      </c>
      <c r="P22" s="1077">
        <f t="shared" si="9"/>
        <v>0</v>
      </c>
      <c r="Q22" s="124"/>
      <c r="R22" s="1077">
        <f t="shared" si="2"/>
        <v>0</v>
      </c>
      <c r="S22" s="1077">
        <f t="shared" si="3"/>
        <v>0</v>
      </c>
      <c r="T22" s="1077">
        <f t="shared" si="4"/>
        <v>0</v>
      </c>
      <c r="U22" s="1077">
        <f t="shared" si="5"/>
        <v>0</v>
      </c>
      <c r="V22" s="1077">
        <f t="shared" si="5"/>
        <v>0</v>
      </c>
      <c r="W22" s="124"/>
      <c r="X22" s="1077">
        <f t="shared" si="6"/>
        <v>0</v>
      </c>
      <c r="Y22" s="1077">
        <f t="shared" si="6"/>
        <v>0</v>
      </c>
      <c r="Z22" s="1077">
        <f t="shared" si="6"/>
        <v>0</v>
      </c>
      <c r="AA22" s="1077">
        <f t="shared" si="6"/>
        <v>0</v>
      </c>
      <c r="AB22" s="1077">
        <f t="shared" si="6"/>
        <v>0</v>
      </c>
      <c r="AC22" s="125"/>
      <c r="AD22" s="68"/>
    </row>
    <row r="23" spans="2:39" x14ac:dyDescent="0.2">
      <c r="B23" s="68"/>
      <c r="C23" s="126"/>
      <c r="D23" s="308"/>
      <c r="E23" s="308"/>
      <c r="F23" s="398"/>
      <c r="G23" s="117"/>
      <c r="H23" s="228"/>
      <c r="I23" s="117"/>
      <c r="J23" s="117"/>
      <c r="K23" s="124"/>
      <c r="L23" s="128">
        <f t="shared" si="7"/>
        <v>0</v>
      </c>
      <c r="M23" s="1077">
        <f t="shared" si="0"/>
        <v>0</v>
      </c>
      <c r="N23" s="1077">
        <f t="shared" si="8"/>
        <v>0</v>
      </c>
      <c r="O23" s="1165" t="str">
        <f t="shared" si="1"/>
        <v>-</v>
      </c>
      <c r="P23" s="1077">
        <f t="shared" si="9"/>
        <v>0</v>
      </c>
      <c r="Q23" s="124"/>
      <c r="R23" s="1077">
        <f t="shared" si="2"/>
        <v>0</v>
      </c>
      <c r="S23" s="1077">
        <f t="shared" si="3"/>
        <v>0</v>
      </c>
      <c r="T23" s="1077">
        <f t="shared" si="4"/>
        <v>0</v>
      </c>
      <c r="U23" s="1077">
        <f t="shared" si="5"/>
        <v>0</v>
      </c>
      <c r="V23" s="1077">
        <f t="shared" si="5"/>
        <v>0</v>
      </c>
      <c r="W23" s="124"/>
      <c r="X23" s="1077">
        <f t="shared" ref="X23:AB32" si="10">IF(X$7=$I23,($G23*$H23),0)</f>
        <v>0</v>
      </c>
      <c r="Y23" s="1077">
        <f t="shared" si="10"/>
        <v>0</v>
      </c>
      <c r="Z23" s="1077">
        <f t="shared" si="10"/>
        <v>0</v>
      </c>
      <c r="AA23" s="1077">
        <f t="shared" si="10"/>
        <v>0</v>
      </c>
      <c r="AB23" s="1077">
        <f t="shared" si="10"/>
        <v>0</v>
      </c>
      <c r="AC23" s="125"/>
      <c r="AD23" s="68"/>
    </row>
    <row r="24" spans="2:39" x14ac:dyDescent="0.2">
      <c r="B24" s="68"/>
      <c r="C24" s="126"/>
      <c r="D24" s="308"/>
      <c r="E24" s="308"/>
      <c r="F24" s="398"/>
      <c r="G24" s="117"/>
      <c r="H24" s="228"/>
      <c r="I24" s="117"/>
      <c r="J24" s="117"/>
      <c r="K24" s="124"/>
      <c r="L24" s="128">
        <f t="shared" si="7"/>
        <v>0</v>
      </c>
      <c r="M24" s="1077">
        <f t="shared" si="0"/>
        <v>0</v>
      </c>
      <c r="N24" s="1077">
        <f t="shared" si="8"/>
        <v>0</v>
      </c>
      <c r="O24" s="1165" t="str">
        <f t="shared" si="1"/>
        <v>-</v>
      </c>
      <c r="P24" s="1077">
        <f t="shared" si="9"/>
        <v>0</v>
      </c>
      <c r="Q24" s="124"/>
      <c r="R24" s="1077">
        <f t="shared" si="2"/>
        <v>0</v>
      </c>
      <c r="S24" s="1077">
        <f t="shared" si="3"/>
        <v>0</v>
      </c>
      <c r="T24" s="1077">
        <f t="shared" si="4"/>
        <v>0</v>
      </c>
      <c r="U24" s="1077">
        <f t="shared" si="5"/>
        <v>0</v>
      </c>
      <c r="V24" s="1077">
        <f t="shared" si="5"/>
        <v>0</v>
      </c>
      <c r="W24" s="124"/>
      <c r="X24" s="1077">
        <f t="shared" si="10"/>
        <v>0</v>
      </c>
      <c r="Y24" s="1077">
        <f t="shared" si="10"/>
        <v>0</v>
      </c>
      <c r="Z24" s="1077">
        <f t="shared" si="10"/>
        <v>0</v>
      </c>
      <c r="AA24" s="1077">
        <f t="shared" si="10"/>
        <v>0</v>
      </c>
      <c r="AB24" s="1077">
        <f t="shared" si="10"/>
        <v>0</v>
      </c>
      <c r="AC24" s="125"/>
      <c r="AD24" s="68"/>
    </row>
    <row r="25" spans="2:39" x14ac:dyDescent="0.2">
      <c r="B25" s="68"/>
      <c r="C25" s="126"/>
      <c r="D25" s="308"/>
      <c r="E25" s="308"/>
      <c r="F25" s="398"/>
      <c r="G25" s="117"/>
      <c r="H25" s="228"/>
      <c r="I25" s="117"/>
      <c r="J25" s="117"/>
      <c r="K25" s="124"/>
      <c r="L25" s="128">
        <f t="shared" si="7"/>
        <v>0</v>
      </c>
      <c r="M25" s="1077">
        <f t="shared" si="0"/>
        <v>0</v>
      </c>
      <c r="N25" s="1077">
        <f t="shared" si="8"/>
        <v>0</v>
      </c>
      <c r="O25" s="1165" t="str">
        <f t="shared" si="1"/>
        <v>-</v>
      </c>
      <c r="P25" s="1077">
        <f t="shared" si="9"/>
        <v>0</v>
      </c>
      <c r="Q25" s="124"/>
      <c r="R25" s="1077">
        <f t="shared" si="2"/>
        <v>0</v>
      </c>
      <c r="S25" s="1077">
        <f t="shared" si="3"/>
        <v>0</v>
      </c>
      <c r="T25" s="1077">
        <f t="shared" si="4"/>
        <v>0</v>
      </c>
      <c r="U25" s="1077">
        <f t="shared" si="5"/>
        <v>0</v>
      </c>
      <c r="V25" s="1077">
        <f t="shared" si="5"/>
        <v>0</v>
      </c>
      <c r="W25" s="124"/>
      <c r="X25" s="1077">
        <f t="shared" si="10"/>
        <v>0</v>
      </c>
      <c r="Y25" s="1077">
        <f t="shared" si="10"/>
        <v>0</v>
      </c>
      <c r="Z25" s="1077">
        <f t="shared" si="10"/>
        <v>0</v>
      </c>
      <c r="AA25" s="1077">
        <f t="shared" si="10"/>
        <v>0</v>
      </c>
      <c r="AB25" s="1077">
        <f t="shared" si="10"/>
        <v>0</v>
      </c>
      <c r="AC25" s="125"/>
      <c r="AD25" s="68"/>
    </row>
    <row r="26" spans="2:39" x14ac:dyDescent="0.2">
      <c r="B26" s="68"/>
      <c r="C26" s="126"/>
      <c r="D26" s="308"/>
      <c r="E26" s="308"/>
      <c r="F26" s="398"/>
      <c r="G26" s="117"/>
      <c r="H26" s="228"/>
      <c r="I26" s="117"/>
      <c r="J26" s="117"/>
      <c r="K26" s="124"/>
      <c r="L26" s="128">
        <f t="shared" si="7"/>
        <v>0</v>
      </c>
      <c r="M26" s="1077">
        <f t="shared" si="0"/>
        <v>0</v>
      </c>
      <c r="N26" s="1077">
        <f t="shared" si="8"/>
        <v>0</v>
      </c>
      <c r="O26" s="1165" t="str">
        <f t="shared" si="1"/>
        <v>-</v>
      </c>
      <c r="P26" s="1077">
        <f t="shared" si="9"/>
        <v>0</v>
      </c>
      <c r="Q26" s="124"/>
      <c r="R26" s="1077">
        <f t="shared" si="2"/>
        <v>0</v>
      </c>
      <c r="S26" s="1077">
        <f t="shared" si="3"/>
        <v>0</v>
      </c>
      <c r="T26" s="1077">
        <f t="shared" si="4"/>
        <v>0</v>
      </c>
      <c r="U26" s="1077">
        <f t="shared" si="5"/>
        <v>0</v>
      </c>
      <c r="V26" s="1077">
        <f t="shared" si="5"/>
        <v>0</v>
      </c>
      <c r="W26" s="124"/>
      <c r="X26" s="1077">
        <f t="shared" si="10"/>
        <v>0</v>
      </c>
      <c r="Y26" s="1077">
        <f t="shared" si="10"/>
        <v>0</v>
      </c>
      <c r="Z26" s="1077">
        <f t="shared" si="10"/>
        <v>0</v>
      </c>
      <c r="AA26" s="1077">
        <f t="shared" si="10"/>
        <v>0</v>
      </c>
      <c r="AB26" s="1077">
        <f t="shared" si="10"/>
        <v>0</v>
      </c>
      <c r="AC26" s="125"/>
      <c r="AD26" s="68"/>
    </row>
    <row r="27" spans="2:39" x14ac:dyDescent="0.2">
      <c r="B27" s="68"/>
      <c r="C27" s="126"/>
      <c r="D27" s="308"/>
      <c r="E27" s="308"/>
      <c r="F27" s="398"/>
      <c r="G27" s="117"/>
      <c r="H27" s="228"/>
      <c r="I27" s="117"/>
      <c r="J27" s="117"/>
      <c r="K27" s="124"/>
      <c r="L27" s="128">
        <f t="shared" si="7"/>
        <v>0</v>
      </c>
      <c r="M27" s="1077">
        <f t="shared" si="0"/>
        <v>0</v>
      </c>
      <c r="N27" s="1077">
        <f t="shared" si="8"/>
        <v>0</v>
      </c>
      <c r="O27" s="1165" t="str">
        <f t="shared" si="1"/>
        <v>-</v>
      </c>
      <c r="P27" s="1077">
        <f t="shared" si="9"/>
        <v>0</v>
      </c>
      <c r="Q27" s="124"/>
      <c r="R27" s="1077">
        <f t="shared" si="2"/>
        <v>0</v>
      </c>
      <c r="S27" s="1077">
        <f t="shared" si="3"/>
        <v>0</v>
      </c>
      <c r="T27" s="1077">
        <f t="shared" si="4"/>
        <v>0</v>
      </c>
      <c r="U27" s="1077">
        <f t="shared" si="5"/>
        <v>0</v>
      </c>
      <c r="V27" s="1077">
        <f t="shared" si="5"/>
        <v>0</v>
      </c>
      <c r="W27" s="124"/>
      <c r="X27" s="1077">
        <f t="shared" si="10"/>
        <v>0</v>
      </c>
      <c r="Y27" s="1077">
        <f t="shared" si="10"/>
        <v>0</v>
      </c>
      <c r="Z27" s="1077">
        <f t="shared" si="10"/>
        <v>0</v>
      </c>
      <c r="AA27" s="1077">
        <f t="shared" si="10"/>
        <v>0</v>
      </c>
      <c r="AB27" s="1077">
        <f t="shared" si="10"/>
        <v>0</v>
      </c>
      <c r="AC27" s="125"/>
      <c r="AD27" s="68"/>
    </row>
    <row r="28" spans="2:39" x14ac:dyDescent="0.2">
      <c r="B28" s="68"/>
      <c r="C28" s="126"/>
      <c r="D28" s="308"/>
      <c r="E28" s="308"/>
      <c r="F28" s="398"/>
      <c r="G28" s="117"/>
      <c r="H28" s="228"/>
      <c r="I28" s="117"/>
      <c r="J28" s="117"/>
      <c r="K28" s="124"/>
      <c r="L28" s="128">
        <f t="shared" si="7"/>
        <v>0</v>
      </c>
      <c r="M28" s="1077">
        <f t="shared" si="0"/>
        <v>0</v>
      </c>
      <c r="N28" s="1077">
        <f t="shared" si="8"/>
        <v>0</v>
      </c>
      <c r="O28" s="1165" t="str">
        <f t="shared" si="1"/>
        <v>-</v>
      </c>
      <c r="P28" s="1077">
        <f t="shared" si="9"/>
        <v>0</v>
      </c>
      <c r="Q28" s="124"/>
      <c r="R28" s="1077">
        <f t="shared" si="2"/>
        <v>0</v>
      </c>
      <c r="S28" s="1077">
        <f t="shared" si="3"/>
        <v>0</v>
      </c>
      <c r="T28" s="1077">
        <f t="shared" si="4"/>
        <v>0</v>
      </c>
      <c r="U28" s="1077">
        <f t="shared" si="5"/>
        <v>0</v>
      </c>
      <c r="V28" s="1077">
        <f t="shared" si="5"/>
        <v>0</v>
      </c>
      <c r="W28" s="124"/>
      <c r="X28" s="1077">
        <f t="shared" si="10"/>
        <v>0</v>
      </c>
      <c r="Y28" s="1077">
        <f t="shared" si="10"/>
        <v>0</v>
      </c>
      <c r="Z28" s="1077">
        <f t="shared" si="10"/>
        <v>0</v>
      </c>
      <c r="AA28" s="1077">
        <f t="shared" si="10"/>
        <v>0</v>
      </c>
      <c r="AB28" s="1077">
        <f t="shared" si="10"/>
        <v>0</v>
      </c>
      <c r="AC28" s="125"/>
      <c r="AD28" s="68"/>
    </row>
    <row r="29" spans="2:39" x14ac:dyDescent="0.2">
      <c r="B29" s="68"/>
      <c r="C29" s="126"/>
      <c r="D29" s="308"/>
      <c r="E29" s="308"/>
      <c r="F29" s="398"/>
      <c r="G29" s="117"/>
      <c r="H29" s="228"/>
      <c r="I29" s="117"/>
      <c r="J29" s="117"/>
      <c r="K29" s="124"/>
      <c r="L29" s="128">
        <f t="shared" si="7"/>
        <v>0</v>
      </c>
      <c r="M29" s="1077">
        <f t="shared" si="0"/>
        <v>0</v>
      </c>
      <c r="N29" s="1077">
        <f t="shared" si="8"/>
        <v>0</v>
      </c>
      <c r="O29" s="1165" t="str">
        <f t="shared" si="1"/>
        <v>-</v>
      </c>
      <c r="P29" s="1077">
        <f t="shared" si="9"/>
        <v>0</v>
      </c>
      <c r="Q29" s="124"/>
      <c r="R29" s="1077">
        <f t="shared" si="2"/>
        <v>0</v>
      </c>
      <c r="S29" s="1077">
        <f t="shared" si="3"/>
        <v>0</v>
      </c>
      <c r="T29" s="1077">
        <f t="shared" si="4"/>
        <v>0</v>
      </c>
      <c r="U29" s="1077">
        <f t="shared" si="5"/>
        <v>0</v>
      </c>
      <c r="V29" s="1077">
        <f t="shared" si="5"/>
        <v>0</v>
      </c>
      <c r="W29" s="124"/>
      <c r="X29" s="1077">
        <f t="shared" si="10"/>
        <v>0</v>
      </c>
      <c r="Y29" s="1077">
        <f t="shared" si="10"/>
        <v>0</v>
      </c>
      <c r="Z29" s="1077">
        <f t="shared" si="10"/>
        <v>0</v>
      </c>
      <c r="AA29" s="1077">
        <f t="shared" si="10"/>
        <v>0</v>
      </c>
      <c r="AB29" s="1077">
        <f t="shared" si="10"/>
        <v>0</v>
      </c>
      <c r="AC29" s="125"/>
      <c r="AD29" s="68"/>
    </row>
    <row r="30" spans="2:39" x14ac:dyDescent="0.2">
      <c r="B30" s="68"/>
      <c r="C30" s="126"/>
      <c r="D30" s="308"/>
      <c r="E30" s="308"/>
      <c r="F30" s="398"/>
      <c r="G30" s="117"/>
      <c r="H30" s="228"/>
      <c r="I30" s="117"/>
      <c r="J30" s="117"/>
      <c r="K30" s="124"/>
      <c r="L30" s="128">
        <f t="shared" si="7"/>
        <v>0</v>
      </c>
      <c r="M30" s="1077">
        <f t="shared" si="0"/>
        <v>0</v>
      </c>
      <c r="N30" s="1077">
        <f t="shared" si="8"/>
        <v>0</v>
      </c>
      <c r="O30" s="1165" t="str">
        <f t="shared" si="1"/>
        <v>-</v>
      </c>
      <c r="P30" s="1077">
        <f t="shared" si="9"/>
        <v>0</v>
      </c>
      <c r="Q30" s="124"/>
      <c r="R30" s="1077">
        <f t="shared" si="2"/>
        <v>0</v>
      </c>
      <c r="S30" s="1077">
        <f t="shared" si="3"/>
        <v>0</v>
      </c>
      <c r="T30" s="1077">
        <f t="shared" si="4"/>
        <v>0</v>
      </c>
      <c r="U30" s="1077">
        <f t="shared" si="5"/>
        <v>0</v>
      </c>
      <c r="V30" s="1077">
        <f t="shared" si="5"/>
        <v>0</v>
      </c>
      <c r="W30" s="124"/>
      <c r="X30" s="1077">
        <f t="shared" si="10"/>
        <v>0</v>
      </c>
      <c r="Y30" s="1077">
        <f t="shared" si="10"/>
        <v>0</v>
      </c>
      <c r="Z30" s="1077">
        <f t="shared" si="10"/>
        <v>0</v>
      </c>
      <c r="AA30" s="1077">
        <f t="shared" si="10"/>
        <v>0</v>
      </c>
      <c r="AB30" s="1077">
        <f t="shared" si="10"/>
        <v>0</v>
      </c>
      <c r="AC30" s="125"/>
      <c r="AD30" s="68"/>
    </row>
    <row r="31" spans="2:39" x14ac:dyDescent="0.2">
      <c r="B31" s="68"/>
      <c r="C31" s="126"/>
      <c r="D31" s="308"/>
      <c r="E31" s="308"/>
      <c r="F31" s="398"/>
      <c r="G31" s="117"/>
      <c r="H31" s="228"/>
      <c r="I31" s="117"/>
      <c r="J31" s="117"/>
      <c r="K31" s="124"/>
      <c r="L31" s="128">
        <f t="shared" si="7"/>
        <v>0</v>
      </c>
      <c r="M31" s="1077">
        <f t="shared" si="0"/>
        <v>0</v>
      </c>
      <c r="N31" s="1077">
        <f t="shared" si="8"/>
        <v>0</v>
      </c>
      <c r="O31" s="1165" t="str">
        <f t="shared" si="1"/>
        <v>-</v>
      </c>
      <c r="P31" s="1077">
        <f t="shared" si="9"/>
        <v>0</v>
      </c>
      <c r="Q31" s="124"/>
      <c r="R31" s="1077">
        <f t="shared" si="2"/>
        <v>0</v>
      </c>
      <c r="S31" s="1077">
        <f t="shared" si="3"/>
        <v>0</v>
      </c>
      <c r="T31" s="1077">
        <f t="shared" si="4"/>
        <v>0</v>
      </c>
      <c r="U31" s="1077">
        <f t="shared" si="5"/>
        <v>0</v>
      </c>
      <c r="V31" s="1077">
        <f t="shared" si="5"/>
        <v>0</v>
      </c>
      <c r="W31" s="124"/>
      <c r="X31" s="1077">
        <f t="shared" si="10"/>
        <v>0</v>
      </c>
      <c r="Y31" s="1077">
        <f t="shared" si="10"/>
        <v>0</v>
      </c>
      <c r="Z31" s="1077">
        <f t="shared" si="10"/>
        <v>0</v>
      </c>
      <c r="AA31" s="1077">
        <f t="shared" si="10"/>
        <v>0</v>
      </c>
      <c r="AB31" s="1077">
        <f t="shared" si="10"/>
        <v>0</v>
      </c>
      <c r="AC31" s="125"/>
      <c r="AD31" s="68"/>
    </row>
    <row r="32" spans="2:39" x14ac:dyDescent="0.2">
      <c r="B32" s="68"/>
      <c r="C32" s="126"/>
      <c r="D32" s="308"/>
      <c r="E32" s="308"/>
      <c r="F32" s="398"/>
      <c r="G32" s="117"/>
      <c r="H32" s="228"/>
      <c r="I32" s="117"/>
      <c r="J32" s="117"/>
      <c r="K32" s="124"/>
      <c r="L32" s="128">
        <f t="shared" si="7"/>
        <v>0</v>
      </c>
      <c r="M32" s="1077">
        <f t="shared" si="0"/>
        <v>0</v>
      </c>
      <c r="N32" s="1077">
        <f t="shared" si="8"/>
        <v>0</v>
      </c>
      <c r="O32" s="1165" t="str">
        <f t="shared" si="1"/>
        <v>-</v>
      </c>
      <c r="P32" s="1077">
        <f t="shared" si="9"/>
        <v>0</v>
      </c>
      <c r="Q32" s="124"/>
      <c r="R32" s="1077">
        <f t="shared" si="2"/>
        <v>0</v>
      </c>
      <c r="S32" s="1077">
        <f t="shared" si="3"/>
        <v>0</v>
      </c>
      <c r="T32" s="1077">
        <f t="shared" si="4"/>
        <v>0</v>
      </c>
      <c r="U32" s="1077">
        <f t="shared" si="5"/>
        <v>0</v>
      </c>
      <c r="V32" s="1077">
        <f t="shared" si="5"/>
        <v>0</v>
      </c>
      <c r="W32" s="124"/>
      <c r="X32" s="1077">
        <f t="shared" si="10"/>
        <v>0</v>
      </c>
      <c r="Y32" s="1077">
        <f t="shared" si="10"/>
        <v>0</v>
      </c>
      <c r="Z32" s="1077">
        <f t="shared" si="10"/>
        <v>0</v>
      </c>
      <c r="AA32" s="1077">
        <f t="shared" si="10"/>
        <v>0</v>
      </c>
      <c r="AB32" s="1077">
        <f t="shared" si="10"/>
        <v>0</v>
      </c>
      <c r="AC32" s="125"/>
      <c r="AD32" s="68"/>
    </row>
    <row r="33" spans="2:30" x14ac:dyDescent="0.2">
      <c r="B33" s="68"/>
      <c r="C33" s="126"/>
      <c r="D33" s="308"/>
      <c r="E33" s="308"/>
      <c r="F33" s="398"/>
      <c r="G33" s="117"/>
      <c r="H33" s="228"/>
      <c r="I33" s="117"/>
      <c r="J33" s="117"/>
      <c r="K33" s="124"/>
      <c r="L33" s="128">
        <f t="shared" si="7"/>
        <v>0</v>
      </c>
      <c r="M33" s="1077">
        <f t="shared" si="0"/>
        <v>0</v>
      </c>
      <c r="N33" s="1077">
        <f t="shared" si="8"/>
        <v>0</v>
      </c>
      <c r="O33" s="1165" t="str">
        <f t="shared" si="1"/>
        <v>-</v>
      </c>
      <c r="P33" s="1077">
        <f t="shared" si="9"/>
        <v>0</v>
      </c>
      <c r="Q33" s="124"/>
      <c r="R33" s="1077">
        <f t="shared" si="2"/>
        <v>0</v>
      </c>
      <c r="S33" s="1077">
        <f t="shared" si="3"/>
        <v>0</v>
      </c>
      <c r="T33" s="1077">
        <f t="shared" si="4"/>
        <v>0</v>
      </c>
      <c r="U33" s="1077">
        <f t="shared" ref="U33:V52" si="11">(IF(U$7&lt;$I33,0,IF($O33&lt;=U$7-1,0,$N33)))</f>
        <v>0</v>
      </c>
      <c r="V33" s="1077">
        <f t="shared" si="11"/>
        <v>0</v>
      </c>
      <c r="W33" s="124"/>
      <c r="X33" s="1077">
        <f t="shared" ref="X33:AB42" si="12">IF(X$7=$I33,($G33*$H33),0)</f>
        <v>0</v>
      </c>
      <c r="Y33" s="1077">
        <f t="shared" si="12"/>
        <v>0</v>
      </c>
      <c r="Z33" s="1077">
        <f t="shared" si="12"/>
        <v>0</v>
      </c>
      <c r="AA33" s="1077">
        <f t="shared" si="12"/>
        <v>0</v>
      </c>
      <c r="AB33" s="1077">
        <f t="shared" si="12"/>
        <v>0</v>
      </c>
      <c r="AC33" s="125"/>
      <c r="AD33" s="68"/>
    </row>
    <row r="34" spans="2:30" x14ac:dyDescent="0.2">
      <c r="B34" s="68"/>
      <c r="C34" s="126"/>
      <c r="D34" s="308"/>
      <c r="E34" s="308"/>
      <c r="F34" s="398"/>
      <c r="G34" s="117"/>
      <c r="H34" s="228"/>
      <c r="I34" s="117"/>
      <c r="J34" s="117"/>
      <c r="K34" s="124"/>
      <c r="L34" s="128">
        <f t="shared" si="7"/>
        <v>0</v>
      </c>
      <c r="M34" s="1077">
        <f t="shared" si="0"/>
        <v>0</v>
      </c>
      <c r="N34" s="1077">
        <f t="shared" si="8"/>
        <v>0</v>
      </c>
      <c r="O34" s="1165" t="str">
        <f t="shared" si="1"/>
        <v>-</v>
      </c>
      <c r="P34" s="1077">
        <f t="shared" si="9"/>
        <v>0</v>
      </c>
      <c r="Q34" s="124"/>
      <c r="R34" s="1077">
        <f t="shared" si="2"/>
        <v>0</v>
      </c>
      <c r="S34" s="1077">
        <f t="shared" si="3"/>
        <v>0</v>
      </c>
      <c r="T34" s="1077">
        <f t="shared" si="4"/>
        <v>0</v>
      </c>
      <c r="U34" s="1077">
        <f t="shared" si="11"/>
        <v>0</v>
      </c>
      <c r="V34" s="1077">
        <f t="shared" si="11"/>
        <v>0</v>
      </c>
      <c r="W34" s="124"/>
      <c r="X34" s="1077">
        <f t="shared" si="12"/>
        <v>0</v>
      </c>
      <c r="Y34" s="1077">
        <f t="shared" si="12"/>
        <v>0</v>
      </c>
      <c r="Z34" s="1077">
        <f t="shared" si="12"/>
        <v>0</v>
      </c>
      <c r="AA34" s="1077">
        <f t="shared" si="12"/>
        <v>0</v>
      </c>
      <c r="AB34" s="1077">
        <f t="shared" si="12"/>
        <v>0</v>
      </c>
      <c r="AC34" s="125"/>
      <c r="AD34" s="68"/>
    </row>
    <row r="35" spans="2:30" x14ac:dyDescent="0.2">
      <c r="B35" s="68"/>
      <c r="C35" s="126"/>
      <c r="D35" s="308"/>
      <c r="E35" s="308"/>
      <c r="F35" s="398"/>
      <c r="G35" s="117"/>
      <c r="H35" s="228"/>
      <c r="I35" s="117"/>
      <c r="J35" s="117"/>
      <c r="K35" s="124"/>
      <c r="L35" s="128">
        <f t="shared" si="7"/>
        <v>0</v>
      </c>
      <c r="M35" s="1077">
        <f t="shared" si="0"/>
        <v>0</v>
      </c>
      <c r="N35" s="1077">
        <f t="shared" si="8"/>
        <v>0</v>
      </c>
      <c r="O35" s="1165" t="str">
        <f t="shared" si="1"/>
        <v>-</v>
      </c>
      <c r="P35" s="1077">
        <f t="shared" si="9"/>
        <v>0</v>
      </c>
      <c r="Q35" s="124"/>
      <c r="R35" s="1077">
        <f t="shared" si="2"/>
        <v>0</v>
      </c>
      <c r="S35" s="1077">
        <f t="shared" si="3"/>
        <v>0</v>
      </c>
      <c r="T35" s="1077">
        <f t="shared" si="4"/>
        <v>0</v>
      </c>
      <c r="U35" s="1077">
        <f t="shared" si="11"/>
        <v>0</v>
      </c>
      <c r="V35" s="1077">
        <f t="shared" si="11"/>
        <v>0</v>
      </c>
      <c r="W35" s="124"/>
      <c r="X35" s="1077">
        <f t="shared" si="12"/>
        <v>0</v>
      </c>
      <c r="Y35" s="1077">
        <f t="shared" si="12"/>
        <v>0</v>
      </c>
      <c r="Z35" s="1077">
        <f t="shared" si="12"/>
        <v>0</v>
      </c>
      <c r="AA35" s="1077">
        <f t="shared" si="12"/>
        <v>0</v>
      </c>
      <c r="AB35" s="1077">
        <f t="shared" si="12"/>
        <v>0</v>
      </c>
      <c r="AC35" s="125"/>
      <c r="AD35" s="68"/>
    </row>
    <row r="36" spans="2:30" x14ac:dyDescent="0.2">
      <c r="B36" s="68"/>
      <c r="C36" s="126"/>
      <c r="D36" s="308"/>
      <c r="E36" s="308"/>
      <c r="F36" s="398"/>
      <c r="G36" s="117"/>
      <c r="H36" s="228"/>
      <c r="I36" s="117"/>
      <c r="J36" s="117"/>
      <c r="K36" s="124"/>
      <c r="L36" s="128">
        <f t="shared" si="7"/>
        <v>0</v>
      </c>
      <c r="M36" s="1077">
        <f t="shared" si="0"/>
        <v>0</v>
      </c>
      <c r="N36" s="1077">
        <f t="shared" si="8"/>
        <v>0</v>
      </c>
      <c r="O36" s="1165" t="str">
        <f t="shared" si="1"/>
        <v>-</v>
      </c>
      <c r="P36" s="1077">
        <f t="shared" si="9"/>
        <v>0</v>
      </c>
      <c r="Q36" s="124"/>
      <c r="R36" s="1077">
        <f t="shared" si="2"/>
        <v>0</v>
      </c>
      <c r="S36" s="1077">
        <f t="shared" si="3"/>
        <v>0</v>
      </c>
      <c r="T36" s="1077">
        <f t="shared" si="4"/>
        <v>0</v>
      </c>
      <c r="U36" s="1077">
        <f t="shared" si="11"/>
        <v>0</v>
      </c>
      <c r="V36" s="1077">
        <f t="shared" si="11"/>
        <v>0</v>
      </c>
      <c r="W36" s="124"/>
      <c r="X36" s="1077">
        <f t="shared" si="12"/>
        <v>0</v>
      </c>
      <c r="Y36" s="1077">
        <f t="shared" si="12"/>
        <v>0</v>
      </c>
      <c r="Z36" s="1077">
        <f t="shared" si="12"/>
        <v>0</v>
      </c>
      <c r="AA36" s="1077">
        <f t="shared" si="12"/>
        <v>0</v>
      </c>
      <c r="AB36" s="1077">
        <f t="shared" si="12"/>
        <v>0</v>
      </c>
      <c r="AC36" s="125"/>
      <c r="AD36" s="68"/>
    </row>
    <row r="37" spans="2:30" x14ac:dyDescent="0.2">
      <c r="B37" s="68"/>
      <c r="C37" s="126"/>
      <c r="D37" s="308"/>
      <c r="E37" s="308"/>
      <c r="F37" s="398"/>
      <c r="G37" s="117"/>
      <c r="H37" s="228"/>
      <c r="I37" s="117"/>
      <c r="J37" s="117"/>
      <c r="K37" s="124"/>
      <c r="L37" s="128">
        <f t="shared" si="7"/>
        <v>0</v>
      </c>
      <c r="M37" s="1077">
        <f t="shared" si="0"/>
        <v>0</v>
      </c>
      <c r="N37" s="1077">
        <f t="shared" si="8"/>
        <v>0</v>
      </c>
      <c r="O37" s="1165" t="str">
        <f t="shared" si="1"/>
        <v>-</v>
      </c>
      <c r="P37" s="1077">
        <f t="shared" si="9"/>
        <v>0</v>
      </c>
      <c r="Q37" s="124"/>
      <c r="R37" s="1077">
        <f t="shared" si="2"/>
        <v>0</v>
      </c>
      <c r="S37" s="1077">
        <f t="shared" si="3"/>
        <v>0</v>
      </c>
      <c r="T37" s="1077">
        <f t="shared" si="4"/>
        <v>0</v>
      </c>
      <c r="U37" s="1077">
        <f t="shared" si="11"/>
        <v>0</v>
      </c>
      <c r="V37" s="1077">
        <f t="shared" si="11"/>
        <v>0</v>
      </c>
      <c r="W37" s="124"/>
      <c r="X37" s="1077">
        <f t="shared" si="12"/>
        <v>0</v>
      </c>
      <c r="Y37" s="1077">
        <f t="shared" si="12"/>
        <v>0</v>
      </c>
      <c r="Z37" s="1077">
        <f t="shared" si="12"/>
        <v>0</v>
      </c>
      <c r="AA37" s="1077">
        <f t="shared" si="12"/>
        <v>0</v>
      </c>
      <c r="AB37" s="1077">
        <f t="shared" si="12"/>
        <v>0</v>
      </c>
      <c r="AC37" s="125"/>
      <c r="AD37" s="68"/>
    </row>
    <row r="38" spans="2:30" x14ac:dyDescent="0.2">
      <c r="B38" s="68"/>
      <c r="C38" s="126"/>
      <c r="D38" s="308"/>
      <c r="E38" s="308"/>
      <c r="F38" s="398"/>
      <c r="G38" s="117"/>
      <c r="H38" s="228"/>
      <c r="I38" s="117"/>
      <c r="J38" s="117"/>
      <c r="K38" s="124"/>
      <c r="L38" s="128">
        <f t="shared" si="7"/>
        <v>0</v>
      </c>
      <c r="M38" s="1077">
        <f t="shared" si="0"/>
        <v>0</v>
      </c>
      <c r="N38" s="1077">
        <f t="shared" si="8"/>
        <v>0</v>
      </c>
      <c r="O38" s="1165" t="str">
        <f t="shared" si="1"/>
        <v>-</v>
      </c>
      <c r="P38" s="1077">
        <f t="shared" si="9"/>
        <v>0</v>
      </c>
      <c r="Q38" s="124"/>
      <c r="R38" s="1077">
        <f t="shared" si="2"/>
        <v>0</v>
      </c>
      <c r="S38" s="1077">
        <f t="shared" si="3"/>
        <v>0</v>
      </c>
      <c r="T38" s="1077">
        <f t="shared" si="4"/>
        <v>0</v>
      </c>
      <c r="U38" s="1077">
        <f t="shared" si="11"/>
        <v>0</v>
      </c>
      <c r="V38" s="1077">
        <f t="shared" si="11"/>
        <v>0</v>
      </c>
      <c r="W38" s="124"/>
      <c r="X38" s="1077">
        <f t="shared" si="12"/>
        <v>0</v>
      </c>
      <c r="Y38" s="1077">
        <f t="shared" si="12"/>
        <v>0</v>
      </c>
      <c r="Z38" s="1077">
        <f t="shared" si="12"/>
        <v>0</v>
      </c>
      <c r="AA38" s="1077">
        <f t="shared" si="12"/>
        <v>0</v>
      </c>
      <c r="AB38" s="1077">
        <f t="shared" si="12"/>
        <v>0</v>
      </c>
      <c r="AC38" s="125"/>
      <c r="AD38" s="68"/>
    </row>
    <row r="39" spans="2:30" x14ac:dyDescent="0.2">
      <c r="B39" s="68"/>
      <c r="C39" s="126"/>
      <c r="D39" s="308"/>
      <c r="E39" s="308"/>
      <c r="F39" s="398"/>
      <c r="G39" s="117"/>
      <c r="H39" s="228"/>
      <c r="I39" s="117"/>
      <c r="J39" s="117"/>
      <c r="K39" s="124"/>
      <c r="L39" s="128">
        <f t="shared" si="7"/>
        <v>0</v>
      </c>
      <c r="M39" s="1077">
        <f t="shared" si="0"/>
        <v>0</v>
      </c>
      <c r="N39" s="1077">
        <f t="shared" si="8"/>
        <v>0</v>
      </c>
      <c r="O39" s="1165" t="str">
        <f t="shared" si="1"/>
        <v>-</v>
      </c>
      <c r="P39" s="1077">
        <f t="shared" si="9"/>
        <v>0</v>
      </c>
      <c r="Q39" s="124"/>
      <c r="R39" s="1077">
        <f t="shared" si="2"/>
        <v>0</v>
      </c>
      <c r="S39" s="1077">
        <f t="shared" si="3"/>
        <v>0</v>
      </c>
      <c r="T39" s="1077">
        <f t="shared" si="4"/>
        <v>0</v>
      </c>
      <c r="U39" s="1077">
        <f t="shared" si="11"/>
        <v>0</v>
      </c>
      <c r="V39" s="1077">
        <f t="shared" si="11"/>
        <v>0</v>
      </c>
      <c r="W39" s="124"/>
      <c r="X39" s="1077">
        <f t="shared" si="12"/>
        <v>0</v>
      </c>
      <c r="Y39" s="1077">
        <f t="shared" si="12"/>
        <v>0</v>
      </c>
      <c r="Z39" s="1077">
        <f t="shared" si="12"/>
        <v>0</v>
      </c>
      <c r="AA39" s="1077">
        <f t="shared" si="12"/>
        <v>0</v>
      </c>
      <c r="AB39" s="1077">
        <f t="shared" si="12"/>
        <v>0</v>
      </c>
      <c r="AC39" s="125"/>
      <c r="AD39" s="68"/>
    </row>
    <row r="40" spans="2:30" x14ac:dyDescent="0.2">
      <c r="B40" s="68"/>
      <c r="C40" s="126"/>
      <c r="D40" s="308"/>
      <c r="E40" s="308"/>
      <c r="F40" s="398"/>
      <c r="G40" s="117"/>
      <c r="H40" s="228"/>
      <c r="I40" s="117"/>
      <c r="J40" s="117"/>
      <c r="K40" s="124"/>
      <c r="L40" s="128">
        <f t="shared" si="7"/>
        <v>0</v>
      </c>
      <c r="M40" s="1077">
        <f t="shared" si="0"/>
        <v>0</v>
      </c>
      <c r="N40" s="1077">
        <f t="shared" si="8"/>
        <v>0</v>
      </c>
      <c r="O40" s="1165" t="str">
        <f t="shared" si="1"/>
        <v>-</v>
      </c>
      <c r="P40" s="1077">
        <f t="shared" si="9"/>
        <v>0</v>
      </c>
      <c r="Q40" s="124"/>
      <c r="R40" s="1077">
        <f t="shared" si="2"/>
        <v>0</v>
      </c>
      <c r="S40" s="1077">
        <f t="shared" si="3"/>
        <v>0</v>
      </c>
      <c r="T40" s="1077">
        <f t="shared" si="4"/>
        <v>0</v>
      </c>
      <c r="U40" s="1077">
        <f t="shared" si="11"/>
        <v>0</v>
      </c>
      <c r="V40" s="1077">
        <f t="shared" si="11"/>
        <v>0</v>
      </c>
      <c r="W40" s="124"/>
      <c r="X40" s="1077">
        <f t="shared" si="12"/>
        <v>0</v>
      </c>
      <c r="Y40" s="1077">
        <f t="shared" si="12"/>
        <v>0</v>
      </c>
      <c r="Z40" s="1077">
        <f t="shared" si="12"/>
        <v>0</v>
      </c>
      <c r="AA40" s="1077">
        <f t="shared" si="12"/>
        <v>0</v>
      </c>
      <c r="AB40" s="1077">
        <f t="shared" si="12"/>
        <v>0</v>
      </c>
      <c r="AC40" s="125"/>
      <c r="AD40" s="68"/>
    </row>
    <row r="41" spans="2:30" x14ac:dyDescent="0.2">
      <c r="B41" s="68"/>
      <c r="C41" s="126"/>
      <c r="D41" s="308"/>
      <c r="E41" s="308"/>
      <c r="F41" s="398"/>
      <c r="G41" s="117"/>
      <c r="H41" s="228"/>
      <c r="I41" s="117"/>
      <c r="J41" s="117"/>
      <c r="K41" s="124"/>
      <c r="L41" s="128">
        <f t="shared" si="7"/>
        <v>0</v>
      </c>
      <c r="M41" s="1077">
        <f t="shared" si="0"/>
        <v>0</v>
      </c>
      <c r="N41" s="1077">
        <f t="shared" si="8"/>
        <v>0</v>
      </c>
      <c r="O41" s="1165" t="str">
        <f t="shared" si="1"/>
        <v>-</v>
      </c>
      <c r="P41" s="1077">
        <f t="shared" si="9"/>
        <v>0</v>
      </c>
      <c r="Q41" s="124"/>
      <c r="R41" s="1077">
        <f t="shared" si="2"/>
        <v>0</v>
      </c>
      <c r="S41" s="1077">
        <f t="shared" si="3"/>
        <v>0</v>
      </c>
      <c r="T41" s="1077">
        <f t="shared" si="4"/>
        <v>0</v>
      </c>
      <c r="U41" s="1077">
        <f t="shared" si="11"/>
        <v>0</v>
      </c>
      <c r="V41" s="1077">
        <f t="shared" si="11"/>
        <v>0</v>
      </c>
      <c r="W41" s="124"/>
      <c r="X41" s="1077">
        <f t="shared" si="12"/>
        <v>0</v>
      </c>
      <c r="Y41" s="1077">
        <f t="shared" si="12"/>
        <v>0</v>
      </c>
      <c r="Z41" s="1077">
        <f t="shared" si="12"/>
        <v>0</v>
      </c>
      <c r="AA41" s="1077">
        <f t="shared" si="12"/>
        <v>0</v>
      </c>
      <c r="AB41" s="1077">
        <f t="shared" si="12"/>
        <v>0</v>
      </c>
      <c r="AC41" s="125"/>
      <c r="AD41" s="68"/>
    </row>
    <row r="42" spans="2:30" x14ac:dyDescent="0.2">
      <c r="B42" s="68"/>
      <c r="C42" s="126"/>
      <c r="D42" s="308"/>
      <c r="E42" s="308"/>
      <c r="F42" s="398"/>
      <c r="G42" s="117"/>
      <c r="H42" s="228"/>
      <c r="I42" s="117"/>
      <c r="J42" s="117"/>
      <c r="K42" s="124"/>
      <c r="L42" s="128">
        <f t="shared" si="7"/>
        <v>0</v>
      </c>
      <c r="M42" s="1077">
        <f t="shared" si="0"/>
        <v>0</v>
      </c>
      <c r="N42" s="1077">
        <f t="shared" si="8"/>
        <v>0</v>
      </c>
      <c r="O42" s="1165" t="str">
        <f t="shared" si="1"/>
        <v>-</v>
      </c>
      <c r="P42" s="1077">
        <f t="shared" si="9"/>
        <v>0</v>
      </c>
      <c r="Q42" s="124"/>
      <c r="R42" s="1077">
        <f t="shared" si="2"/>
        <v>0</v>
      </c>
      <c r="S42" s="1077">
        <f t="shared" si="3"/>
        <v>0</v>
      </c>
      <c r="T42" s="1077">
        <f t="shared" si="4"/>
        <v>0</v>
      </c>
      <c r="U42" s="1077">
        <f t="shared" si="11"/>
        <v>0</v>
      </c>
      <c r="V42" s="1077">
        <f t="shared" si="11"/>
        <v>0</v>
      </c>
      <c r="W42" s="124"/>
      <c r="X42" s="1077">
        <f t="shared" si="12"/>
        <v>0</v>
      </c>
      <c r="Y42" s="1077">
        <f t="shared" si="12"/>
        <v>0</v>
      </c>
      <c r="Z42" s="1077">
        <f t="shared" si="12"/>
        <v>0</v>
      </c>
      <c r="AA42" s="1077">
        <f t="shared" si="12"/>
        <v>0</v>
      </c>
      <c r="AB42" s="1077">
        <f t="shared" si="12"/>
        <v>0</v>
      </c>
      <c r="AC42" s="125"/>
      <c r="AD42" s="68"/>
    </row>
    <row r="43" spans="2:30" x14ac:dyDescent="0.2">
      <c r="B43" s="68"/>
      <c r="C43" s="126"/>
      <c r="D43" s="308"/>
      <c r="E43" s="308"/>
      <c r="F43" s="398"/>
      <c r="G43" s="117"/>
      <c r="H43" s="228"/>
      <c r="I43" s="117"/>
      <c r="J43" s="117"/>
      <c r="K43" s="124"/>
      <c r="L43" s="128">
        <f t="shared" si="7"/>
        <v>0</v>
      </c>
      <c r="M43" s="1077">
        <f t="shared" si="0"/>
        <v>0</v>
      </c>
      <c r="N43" s="1077">
        <f t="shared" si="8"/>
        <v>0</v>
      </c>
      <c r="O43" s="1165" t="str">
        <f t="shared" si="1"/>
        <v>-</v>
      </c>
      <c r="P43" s="1077">
        <f t="shared" si="9"/>
        <v>0</v>
      </c>
      <c r="Q43" s="124"/>
      <c r="R43" s="1077">
        <f t="shared" si="2"/>
        <v>0</v>
      </c>
      <c r="S43" s="1077">
        <f t="shared" si="3"/>
        <v>0</v>
      </c>
      <c r="T43" s="1077">
        <f t="shared" si="4"/>
        <v>0</v>
      </c>
      <c r="U43" s="1077">
        <f t="shared" si="11"/>
        <v>0</v>
      </c>
      <c r="V43" s="1077">
        <f t="shared" si="11"/>
        <v>0</v>
      </c>
      <c r="W43" s="124"/>
      <c r="X43" s="1077">
        <f t="shared" ref="X43:AB52" si="13">IF(X$7=$I43,($G43*$H43),0)</f>
        <v>0</v>
      </c>
      <c r="Y43" s="1077">
        <f t="shared" si="13"/>
        <v>0</v>
      </c>
      <c r="Z43" s="1077">
        <f t="shared" si="13"/>
        <v>0</v>
      </c>
      <c r="AA43" s="1077">
        <f t="shared" si="13"/>
        <v>0</v>
      </c>
      <c r="AB43" s="1077">
        <f t="shared" si="13"/>
        <v>0</v>
      </c>
      <c r="AC43" s="125"/>
      <c r="AD43" s="68"/>
    </row>
    <row r="44" spans="2:30" x14ac:dyDescent="0.2">
      <c r="B44" s="68"/>
      <c r="C44" s="126"/>
      <c r="D44" s="308"/>
      <c r="E44" s="308"/>
      <c r="F44" s="398"/>
      <c r="G44" s="117"/>
      <c r="H44" s="228"/>
      <c r="I44" s="117"/>
      <c r="J44" s="117"/>
      <c r="K44" s="124"/>
      <c r="L44" s="128">
        <f t="shared" si="7"/>
        <v>0</v>
      </c>
      <c r="M44" s="1077">
        <f t="shared" ref="M44:M106" si="14">G44*H44</f>
        <v>0</v>
      </c>
      <c r="N44" s="1077">
        <f t="shared" ref="N44:N106" si="15">IF(G44=0,0,(G44*H44)/L44)</f>
        <v>0</v>
      </c>
      <c r="O44" s="1165" t="str">
        <f t="shared" ref="O44:O106" si="16">IF(L44=0,"-",(IF(L44&gt;3000,"-",I44+L44-1)))</f>
        <v>-</v>
      </c>
      <c r="P44" s="1077">
        <f t="shared" si="9"/>
        <v>0</v>
      </c>
      <c r="Q44" s="124"/>
      <c r="R44" s="1077">
        <f t="shared" ref="R44:R106" si="17">(IF(R$7&lt;$I44,0,IF($O44&lt;=R$7-1,0,$N44)))</f>
        <v>0</v>
      </c>
      <c r="S44" s="1077">
        <f t="shared" ref="S44:S106" si="18">(IF(S$7&lt;$I44,0,IF($O44&lt;=S$7-1,0,$N44)))</f>
        <v>0</v>
      </c>
      <c r="T44" s="1077">
        <f t="shared" ref="T44:T106" si="19">(IF(T$7&lt;$I44,0,IF($O44&lt;=T$7-1,0,$N44)))</f>
        <v>0</v>
      </c>
      <c r="U44" s="1077">
        <f t="shared" si="11"/>
        <v>0</v>
      </c>
      <c r="V44" s="1077">
        <f t="shared" si="11"/>
        <v>0</v>
      </c>
      <c r="W44" s="124"/>
      <c r="X44" s="1077">
        <f t="shared" si="13"/>
        <v>0</v>
      </c>
      <c r="Y44" s="1077">
        <f t="shared" si="13"/>
        <v>0</v>
      </c>
      <c r="Z44" s="1077">
        <f t="shared" si="13"/>
        <v>0</v>
      </c>
      <c r="AA44" s="1077">
        <f t="shared" si="13"/>
        <v>0</v>
      </c>
      <c r="AB44" s="1077">
        <f t="shared" si="13"/>
        <v>0</v>
      </c>
      <c r="AC44" s="125"/>
      <c r="AD44" s="68"/>
    </row>
    <row r="45" spans="2:30" x14ac:dyDescent="0.2">
      <c r="B45" s="68"/>
      <c r="C45" s="126"/>
      <c r="D45" s="308"/>
      <c r="E45" s="308"/>
      <c r="F45" s="398"/>
      <c r="G45" s="117"/>
      <c r="H45" s="228"/>
      <c r="I45" s="117"/>
      <c r="J45" s="117"/>
      <c r="K45" s="124"/>
      <c r="L45" s="128">
        <f t="shared" si="7"/>
        <v>0</v>
      </c>
      <c r="M45" s="1077">
        <f t="shared" si="14"/>
        <v>0</v>
      </c>
      <c r="N45" s="1077">
        <f t="shared" si="15"/>
        <v>0</v>
      </c>
      <c r="O45" s="1165" t="str">
        <f t="shared" si="16"/>
        <v>-</v>
      </c>
      <c r="P45" s="1077">
        <f t="shared" si="9"/>
        <v>0</v>
      </c>
      <c r="Q45" s="124"/>
      <c r="R45" s="1077">
        <f t="shared" si="17"/>
        <v>0</v>
      </c>
      <c r="S45" s="1077">
        <f t="shared" si="18"/>
        <v>0</v>
      </c>
      <c r="T45" s="1077">
        <f t="shared" si="19"/>
        <v>0</v>
      </c>
      <c r="U45" s="1077">
        <f t="shared" si="11"/>
        <v>0</v>
      </c>
      <c r="V45" s="1077">
        <f t="shared" si="11"/>
        <v>0</v>
      </c>
      <c r="W45" s="124"/>
      <c r="X45" s="1077">
        <f t="shared" si="13"/>
        <v>0</v>
      </c>
      <c r="Y45" s="1077">
        <f t="shared" si="13"/>
        <v>0</v>
      </c>
      <c r="Z45" s="1077">
        <f t="shared" si="13"/>
        <v>0</v>
      </c>
      <c r="AA45" s="1077">
        <f t="shared" si="13"/>
        <v>0</v>
      </c>
      <c r="AB45" s="1077">
        <f t="shared" si="13"/>
        <v>0</v>
      </c>
      <c r="AC45" s="125"/>
      <c r="AD45" s="68"/>
    </row>
    <row r="46" spans="2:30" x14ac:dyDescent="0.2">
      <c r="B46" s="68"/>
      <c r="C46" s="126"/>
      <c r="D46" s="308"/>
      <c r="E46" s="308"/>
      <c r="F46" s="398"/>
      <c r="G46" s="117"/>
      <c r="H46" s="228"/>
      <c r="I46" s="117"/>
      <c r="J46" s="117"/>
      <c r="K46" s="124"/>
      <c r="L46" s="128">
        <f t="shared" si="7"/>
        <v>0</v>
      </c>
      <c r="M46" s="1077">
        <f t="shared" si="14"/>
        <v>0</v>
      </c>
      <c r="N46" s="1077">
        <f t="shared" si="15"/>
        <v>0</v>
      </c>
      <c r="O46" s="1165" t="str">
        <f t="shared" si="16"/>
        <v>-</v>
      </c>
      <c r="P46" s="1077">
        <f t="shared" si="9"/>
        <v>0</v>
      </c>
      <c r="Q46" s="124"/>
      <c r="R46" s="1077">
        <f t="shared" si="17"/>
        <v>0</v>
      </c>
      <c r="S46" s="1077">
        <f t="shared" si="18"/>
        <v>0</v>
      </c>
      <c r="T46" s="1077">
        <f t="shared" si="19"/>
        <v>0</v>
      </c>
      <c r="U46" s="1077">
        <f t="shared" si="11"/>
        <v>0</v>
      </c>
      <c r="V46" s="1077">
        <f t="shared" si="11"/>
        <v>0</v>
      </c>
      <c r="W46" s="124"/>
      <c r="X46" s="1077">
        <f t="shared" si="13"/>
        <v>0</v>
      </c>
      <c r="Y46" s="1077">
        <f t="shared" si="13"/>
        <v>0</v>
      </c>
      <c r="Z46" s="1077">
        <f t="shared" si="13"/>
        <v>0</v>
      </c>
      <c r="AA46" s="1077">
        <f t="shared" si="13"/>
        <v>0</v>
      </c>
      <c r="AB46" s="1077">
        <f t="shared" si="13"/>
        <v>0</v>
      </c>
      <c r="AC46" s="125"/>
      <c r="AD46" s="68"/>
    </row>
    <row r="47" spans="2:30" x14ac:dyDescent="0.2">
      <c r="B47" s="68"/>
      <c r="C47" s="126"/>
      <c r="D47" s="308"/>
      <c r="E47" s="308"/>
      <c r="F47" s="398"/>
      <c r="G47" s="117"/>
      <c r="H47" s="228"/>
      <c r="I47" s="117"/>
      <c r="J47" s="117"/>
      <c r="K47" s="124"/>
      <c r="L47" s="128">
        <f t="shared" si="7"/>
        <v>0</v>
      </c>
      <c r="M47" s="1077">
        <f t="shared" si="14"/>
        <v>0</v>
      </c>
      <c r="N47" s="1077">
        <f t="shared" si="15"/>
        <v>0</v>
      </c>
      <c r="O47" s="1165" t="str">
        <f t="shared" si="16"/>
        <v>-</v>
      </c>
      <c r="P47" s="1077">
        <f t="shared" si="9"/>
        <v>0</v>
      </c>
      <c r="Q47" s="124"/>
      <c r="R47" s="1077">
        <f t="shared" si="17"/>
        <v>0</v>
      </c>
      <c r="S47" s="1077">
        <f t="shared" si="18"/>
        <v>0</v>
      </c>
      <c r="T47" s="1077">
        <f t="shared" si="19"/>
        <v>0</v>
      </c>
      <c r="U47" s="1077">
        <f t="shared" si="11"/>
        <v>0</v>
      </c>
      <c r="V47" s="1077">
        <f t="shared" si="11"/>
        <v>0</v>
      </c>
      <c r="W47" s="124"/>
      <c r="X47" s="1077">
        <f t="shared" si="13"/>
        <v>0</v>
      </c>
      <c r="Y47" s="1077">
        <f t="shared" si="13"/>
        <v>0</v>
      </c>
      <c r="Z47" s="1077">
        <f t="shared" si="13"/>
        <v>0</v>
      </c>
      <c r="AA47" s="1077">
        <f t="shared" si="13"/>
        <v>0</v>
      </c>
      <c r="AB47" s="1077">
        <f t="shared" si="13"/>
        <v>0</v>
      </c>
      <c r="AC47" s="125"/>
      <c r="AD47" s="68"/>
    </row>
    <row r="48" spans="2:30" x14ac:dyDescent="0.2">
      <c r="B48" s="68"/>
      <c r="C48" s="126"/>
      <c r="D48" s="308"/>
      <c r="E48" s="308"/>
      <c r="F48" s="398"/>
      <c r="G48" s="117"/>
      <c r="H48" s="228"/>
      <c r="I48" s="117"/>
      <c r="J48" s="117"/>
      <c r="K48" s="124"/>
      <c r="L48" s="128">
        <f t="shared" si="7"/>
        <v>0</v>
      </c>
      <c r="M48" s="1077">
        <f t="shared" si="14"/>
        <v>0</v>
      </c>
      <c r="N48" s="1077">
        <f t="shared" si="15"/>
        <v>0</v>
      </c>
      <c r="O48" s="1165" t="str">
        <f t="shared" si="16"/>
        <v>-</v>
      </c>
      <c r="P48" s="1077">
        <f t="shared" si="9"/>
        <v>0</v>
      </c>
      <c r="Q48" s="124"/>
      <c r="R48" s="1077">
        <f t="shared" si="17"/>
        <v>0</v>
      </c>
      <c r="S48" s="1077">
        <f t="shared" si="18"/>
        <v>0</v>
      </c>
      <c r="T48" s="1077">
        <f t="shared" si="19"/>
        <v>0</v>
      </c>
      <c r="U48" s="1077">
        <f t="shared" si="11"/>
        <v>0</v>
      </c>
      <c r="V48" s="1077">
        <f t="shared" si="11"/>
        <v>0</v>
      </c>
      <c r="W48" s="124"/>
      <c r="X48" s="1077">
        <f t="shared" si="13"/>
        <v>0</v>
      </c>
      <c r="Y48" s="1077">
        <f t="shared" si="13"/>
        <v>0</v>
      </c>
      <c r="Z48" s="1077">
        <f t="shared" si="13"/>
        <v>0</v>
      </c>
      <c r="AA48" s="1077">
        <f t="shared" si="13"/>
        <v>0</v>
      </c>
      <c r="AB48" s="1077">
        <f t="shared" si="13"/>
        <v>0</v>
      </c>
      <c r="AC48" s="125"/>
      <c r="AD48" s="68"/>
    </row>
    <row r="49" spans="2:30" x14ac:dyDescent="0.2">
      <c r="B49" s="68"/>
      <c r="C49" s="126"/>
      <c r="D49" s="308"/>
      <c r="E49" s="308"/>
      <c r="F49" s="398"/>
      <c r="G49" s="117"/>
      <c r="H49" s="228"/>
      <c r="I49" s="117"/>
      <c r="J49" s="117"/>
      <c r="K49" s="124"/>
      <c r="L49" s="128">
        <f t="shared" si="7"/>
        <v>0</v>
      </c>
      <c r="M49" s="1077">
        <f t="shared" si="14"/>
        <v>0</v>
      </c>
      <c r="N49" s="1077">
        <f t="shared" si="15"/>
        <v>0</v>
      </c>
      <c r="O49" s="1165" t="str">
        <f t="shared" si="16"/>
        <v>-</v>
      </c>
      <c r="P49" s="1077">
        <f t="shared" si="9"/>
        <v>0</v>
      </c>
      <c r="Q49" s="124"/>
      <c r="R49" s="1077">
        <f t="shared" si="17"/>
        <v>0</v>
      </c>
      <c r="S49" s="1077">
        <f t="shared" si="18"/>
        <v>0</v>
      </c>
      <c r="T49" s="1077">
        <f t="shared" si="19"/>
        <v>0</v>
      </c>
      <c r="U49" s="1077">
        <f t="shared" si="11"/>
        <v>0</v>
      </c>
      <c r="V49" s="1077">
        <f t="shared" si="11"/>
        <v>0</v>
      </c>
      <c r="W49" s="124"/>
      <c r="X49" s="1077">
        <f t="shared" si="13"/>
        <v>0</v>
      </c>
      <c r="Y49" s="1077">
        <f t="shared" si="13"/>
        <v>0</v>
      </c>
      <c r="Z49" s="1077">
        <f t="shared" si="13"/>
        <v>0</v>
      </c>
      <c r="AA49" s="1077">
        <f t="shared" si="13"/>
        <v>0</v>
      </c>
      <c r="AB49" s="1077">
        <f t="shared" si="13"/>
        <v>0</v>
      </c>
      <c r="AC49" s="125"/>
      <c r="AD49" s="68"/>
    </row>
    <row r="50" spans="2:30" x14ac:dyDescent="0.2">
      <c r="B50" s="68"/>
      <c r="C50" s="126"/>
      <c r="D50" s="308"/>
      <c r="E50" s="308"/>
      <c r="F50" s="398"/>
      <c r="G50" s="117"/>
      <c r="H50" s="228"/>
      <c r="I50" s="117"/>
      <c r="J50" s="117"/>
      <c r="K50" s="124"/>
      <c r="L50" s="128">
        <f t="shared" si="7"/>
        <v>0</v>
      </c>
      <c r="M50" s="1077">
        <f t="shared" si="14"/>
        <v>0</v>
      </c>
      <c r="N50" s="1077">
        <f t="shared" si="15"/>
        <v>0</v>
      </c>
      <c r="O50" s="1165" t="str">
        <f t="shared" si="16"/>
        <v>-</v>
      </c>
      <c r="P50" s="1077">
        <f t="shared" si="9"/>
        <v>0</v>
      </c>
      <c r="Q50" s="124"/>
      <c r="R50" s="1077">
        <f t="shared" si="17"/>
        <v>0</v>
      </c>
      <c r="S50" s="1077">
        <f t="shared" si="18"/>
        <v>0</v>
      </c>
      <c r="T50" s="1077">
        <f t="shared" si="19"/>
        <v>0</v>
      </c>
      <c r="U50" s="1077">
        <f t="shared" si="11"/>
        <v>0</v>
      </c>
      <c r="V50" s="1077">
        <f t="shared" si="11"/>
        <v>0</v>
      </c>
      <c r="W50" s="124"/>
      <c r="X50" s="1077">
        <f t="shared" si="13"/>
        <v>0</v>
      </c>
      <c r="Y50" s="1077">
        <f t="shared" si="13"/>
        <v>0</v>
      </c>
      <c r="Z50" s="1077">
        <f t="shared" si="13"/>
        <v>0</v>
      </c>
      <c r="AA50" s="1077">
        <f t="shared" si="13"/>
        <v>0</v>
      </c>
      <c r="AB50" s="1077">
        <f t="shared" si="13"/>
        <v>0</v>
      </c>
      <c r="AC50" s="125"/>
      <c r="AD50" s="68"/>
    </row>
    <row r="51" spans="2:30" x14ac:dyDescent="0.2">
      <c r="B51" s="68"/>
      <c r="C51" s="126"/>
      <c r="D51" s="308"/>
      <c r="E51" s="308"/>
      <c r="F51" s="398"/>
      <c r="G51" s="117"/>
      <c r="H51" s="228"/>
      <c r="I51" s="117"/>
      <c r="J51" s="117"/>
      <c r="K51" s="124"/>
      <c r="L51" s="128">
        <f t="shared" si="7"/>
        <v>0</v>
      </c>
      <c r="M51" s="1077">
        <f t="shared" si="14"/>
        <v>0</v>
      </c>
      <c r="N51" s="1077">
        <f t="shared" si="15"/>
        <v>0</v>
      </c>
      <c r="O51" s="1165" t="str">
        <f t="shared" si="16"/>
        <v>-</v>
      </c>
      <c r="P51" s="1077">
        <f t="shared" si="9"/>
        <v>0</v>
      </c>
      <c r="Q51" s="124"/>
      <c r="R51" s="1077">
        <f t="shared" si="17"/>
        <v>0</v>
      </c>
      <c r="S51" s="1077">
        <f t="shared" si="18"/>
        <v>0</v>
      </c>
      <c r="T51" s="1077">
        <f t="shared" si="19"/>
        <v>0</v>
      </c>
      <c r="U51" s="1077">
        <f t="shared" si="11"/>
        <v>0</v>
      </c>
      <c r="V51" s="1077">
        <f t="shared" si="11"/>
        <v>0</v>
      </c>
      <c r="W51" s="124"/>
      <c r="X51" s="1077">
        <f t="shared" si="13"/>
        <v>0</v>
      </c>
      <c r="Y51" s="1077">
        <f t="shared" si="13"/>
        <v>0</v>
      </c>
      <c r="Z51" s="1077">
        <f t="shared" si="13"/>
        <v>0</v>
      </c>
      <c r="AA51" s="1077">
        <f t="shared" si="13"/>
        <v>0</v>
      </c>
      <c r="AB51" s="1077">
        <f t="shared" si="13"/>
        <v>0</v>
      </c>
      <c r="AC51" s="125"/>
      <c r="AD51" s="68"/>
    </row>
    <row r="52" spans="2:30" x14ac:dyDescent="0.2">
      <c r="B52" s="68"/>
      <c r="C52" s="126"/>
      <c r="D52" s="308"/>
      <c r="E52" s="308"/>
      <c r="F52" s="398"/>
      <c r="G52" s="117"/>
      <c r="H52" s="228"/>
      <c r="I52" s="117"/>
      <c r="J52" s="117"/>
      <c r="K52" s="124"/>
      <c r="L52" s="128">
        <f t="shared" si="7"/>
        <v>0</v>
      </c>
      <c r="M52" s="1077">
        <f t="shared" si="14"/>
        <v>0</v>
      </c>
      <c r="N52" s="1077">
        <f t="shared" si="15"/>
        <v>0</v>
      </c>
      <c r="O52" s="1165" t="str">
        <f t="shared" si="16"/>
        <v>-</v>
      </c>
      <c r="P52" s="1077">
        <f t="shared" si="9"/>
        <v>0</v>
      </c>
      <c r="Q52" s="124"/>
      <c r="R52" s="1077">
        <f t="shared" si="17"/>
        <v>0</v>
      </c>
      <c r="S52" s="1077">
        <f t="shared" si="18"/>
        <v>0</v>
      </c>
      <c r="T52" s="1077">
        <f t="shared" si="19"/>
        <v>0</v>
      </c>
      <c r="U52" s="1077">
        <f t="shared" si="11"/>
        <v>0</v>
      </c>
      <c r="V52" s="1077">
        <f t="shared" si="11"/>
        <v>0</v>
      </c>
      <c r="W52" s="124"/>
      <c r="X52" s="1077">
        <f t="shared" si="13"/>
        <v>0</v>
      </c>
      <c r="Y52" s="1077">
        <f t="shared" si="13"/>
        <v>0</v>
      </c>
      <c r="Z52" s="1077">
        <f t="shared" si="13"/>
        <v>0</v>
      </c>
      <c r="AA52" s="1077">
        <f t="shared" si="13"/>
        <v>0</v>
      </c>
      <c r="AB52" s="1077">
        <f t="shared" si="13"/>
        <v>0</v>
      </c>
      <c r="AC52" s="125"/>
      <c r="AD52" s="68"/>
    </row>
    <row r="53" spans="2:30" x14ac:dyDescent="0.2">
      <c r="B53" s="68"/>
      <c r="C53" s="126"/>
      <c r="D53" s="308"/>
      <c r="E53" s="308"/>
      <c r="F53" s="398"/>
      <c r="G53" s="117"/>
      <c r="H53" s="228"/>
      <c r="I53" s="117"/>
      <c r="J53" s="117"/>
      <c r="K53" s="124"/>
      <c r="L53" s="128">
        <f t="shared" si="7"/>
        <v>0</v>
      </c>
      <c r="M53" s="1077">
        <f t="shared" si="14"/>
        <v>0</v>
      </c>
      <c r="N53" s="1077">
        <f t="shared" si="15"/>
        <v>0</v>
      </c>
      <c r="O53" s="1165" t="str">
        <f t="shared" si="16"/>
        <v>-</v>
      </c>
      <c r="P53" s="1077">
        <f t="shared" si="9"/>
        <v>0</v>
      </c>
      <c r="Q53" s="124"/>
      <c r="R53" s="1077">
        <f t="shared" si="17"/>
        <v>0</v>
      </c>
      <c r="S53" s="1077">
        <f t="shared" si="18"/>
        <v>0</v>
      </c>
      <c r="T53" s="1077">
        <f t="shared" si="19"/>
        <v>0</v>
      </c>
      <c r="U53" s="1077">
        <f t="shared" ref="U53:V72" si="20">(IF(U$7&lt;$I53,0,IF($O53&lt;=U$7-1,0,$N53)))</f>
        <v>0</v>
      </c>
      <c r="V53" s="1077">
        <f t="shared" si="20"/>
        <v>0</v>
      </c>
      <c r="W53" s="124"/>
      <c r="X53" s="1077">
        <f t="shared" ref="X53:AB62" si="21">IF(X$7=$I53,($G53*$H53),0)</f>
        <v>0</v>
      </c>
      <c r="Y53" s="1077">
        <f t="shared" si="21"/>
        <v>0</v>
      </c>
      <c r="Z53" s="1077">
        <f t="shared" si="21"/>
        <v>0</v>
      </c>
      <c r="AA53" s="1077">
        <f t="shared" si="21"/>
        <v>0</v>
      </c>
      <c r="AB53" s="1077">
        <f t="shared" si="21"/>
        <v>0</v>
      </c>
      <c r="AC53" s="125"/>
      <c r="AD53" s="68"/>
    </row>
    <row r="54" spans="2:30" x14ac:dyDescent="0.2">
      <c r="B54" s="68"/>
      <c r="C54" s="126"/>
      <c r="D54" s="308"/>
      <c r="E54" s="308"/>
      <c r="F54" s="398"/>
      <c r="G54" s="117"/>
      <c r="H54" s="228"/>
      <c r="I54" s="117"/>
      <c r="J54" s="117"/>
      <c r="K54" s="124"/>
      <c r="L54" s="128">
        <f t="shared" si="7"/>
        <v>0</v>
      </c>
      <c r="M54" s="1077">
        <f t="shared" si="14"/>
        <v>0</v>
      </c>
      <c r="N54" s="1077">
        <f t="shared" si="15"/>
        <v>0</v>
      </c>
      <c r="O54" s="1165" t="str">
        <f t="shared" si="16"/>
        <v>-</v>
      </c>
      <c r="P54" s="1077">
        <f t="shared" si="9"/>
        <v>0</v>
      </c>
      <c r="Q54" s="124"/>
      <c r="R54" s="1077">
        <f t="shared" si="17"/>
        <v>0</v>
      </c>
      <c r="S54" s="1077">
        <f t="shared" si="18"/>
        <v>0</v>
      </c>
      <c r="T54" s="1077">
        <f t="shared" si="19"/>
        <v>0</v>
      </c>
      <c r="U54" s="1077">
        <f t="shared" si="20"/>
        <v>0</v>
      </c>
      <c r="V54" s="1077">
        <f t="shared" si="20"/>
        <v>0</v>
      </c>
      <c r="W54" s="124"/>
      <c r="X54" s="1077">
        <f t="shared" si="21"/>
        <v>0</v>
      </c>
      <c r="Y54" s="1077">
        <f t="shared" si="21"/>
        <v>0</v>
      </c>
      <c r="Z54" s="1077">
        <f t="shared" si="21"/>
        <v>0</v>
      </c>
      <c r="AA54" s="1077">
        <f t="shared" si="21"/>
        <v>0</v>
      </c>
      <c r="AB54" s="1077">
        <f t="shared" si="21"/>
        <v>0</v>
      </c>
      <c r="AC54" s="125"/>
      <c r="AD54" s="68"/>
    </row>
    <row r="55" spans="2:30" x14ac:dyDescent="0.2">
      <c r="B55" s="68"/>
      <c r="C55" s="126"/>
      <c r="D55" s="308"/>
      <c r="E55" s="308"/>
      <c r="F55" s="398"/>
      <c r="G55" s="117"/>
      <c r="H55" s="228"/>
      <c r="I55" s="117"/>
      <c r="J55" s="117"/>
      <c r="K55" s="124"/>
      <c r="L55" s="128">
        <f t="shared" si="7"/>
        <v>0</v>
      </c>
      <c r="M55" s="1077">
        <f t="shared" si="14"/>
        <v>0</v>
      </c>
      <c r="N55" s="1077">
        <f t="shared" si="15"/>
        <v>0</v>
      </c>
      <c r="O55" s="1165" t="str">
        <f t="shared" si="16"/>
        <v>-</v>
      </c>
      <c r="P55" s="1077">
        <f t="shared" si="9"/>
        <v>0</v>
      </c>
      <c r="Q55" s="124"/>
      <c r="R55" s="1077">
        <f t="shared" si="17"/>
        <v>0</v>
      </c>
      <c r="S55" s="1077">
        <f t="shared" si="18"/>
        <v>0</v>
      </c>
      <c r="T55" s="1077">
        <f t="shared" si="19"/>
        <v>0</v>
      </c>
      <c r="U55" s="1077">
        <f t="shared" si="20"/>
        <v>0</v>
      </c>
      <c r="V55" s="1077">
        <f t="shared" si="20"/>
        <v>0</v>
      </c>
      <c r="W55" s="124"/>
      <c r="X55" s="1077">
        <f t="shared" si="21"/>
        <v>0</v>
      </c>
      <c r="Y55" s="1077">
        <f t="shared" si="21"/>
        <v>0</v>
      </c>
      <c r="Z55" s="1077">
        <f t="shared" si="21"/>
        <v>0</v>
      </c>
      <c r="AA55" s="1077">
        <f t="shared" si="21"/>
        <v>0</v>
      </c>
      <c r="AB55" s="1077">
        <f t="shared" si="21"/>
        <v>0</v>
      </c>
      <c r="AC55" s="125"/>
      <c r="AD55" s="68"/>
    </row>
    <row r="56" spans="2:30" x14ac:dyDescent="0.2">
      <c r="B56" s="68"/>
      <c r="C56" s="126"/>
      <c r="D56" s="308"/>
      <c r="E56" s="308"/>
      <c r="F56" s="398"/>
      <c r="G56" s="117"/>
      <c r="H56" s="228"/>
      <c r="I56" s="117"/>
      <c r="J56" s="117"/>
      <c r="K56" s="124"/>
      <c r="L56" s="128">
        <f t="shared" si="7"/>
        <v>0</v>
      </c>
      <c r="M56" s="1077">
        <f t="shared" si="14"/>
        <v>0</v>
      </c>
      <c r="N56" s="1077">
        <f t="shared" si="15"/>
        <v>0</v>
      </c>
      <c r="O56" s="1165" t="str">
        <f t="shared" si="16"/>
        <v>-</v>
      </c>
      <c r="P56" s="1077">
        <f t="shared" si="9"/>
        <v>0</v>
      </c>
      <c r="Q56" s="124"/>
      <c r="R56" s="1077">
        <f t="shared" si="17"/>
        <v>0</v>
      </c>
      <c r="S56" s="1077">
        <f t="shared" si="18"/>
        <v>0</v>
      </c>
      <c r="T56" s="1077">
        <f t="shared" si="19"/>
        <v>0</v>
      </c>
      <c r="U56" s="1077">
        <f t="shared" si="20"/>
        <v>0</v>
      </c>
      <c r="V56" s="1077">
        <f t="shared" si="20"/>
        <v>0</v>
      </c>
      <c r="W56" s="124"/>
      <c r="X56" s="1077">
        <f t="shared" si="21"/>
        <v>0</v>
      </c>
      <c r="Y56" s="1077">
        <f t="shared" si="21"/>
        <v>0</v>
      </c>
      <c r="Z56" s="1077">
        <f t="shared" si="21"/>
        <v>0</v>
      </c>
      <c r="AA56" s="1077">
        <f t="shared" si="21"/>
        <v>0</v>
      </c>
      <c r="AB56" s="1077">
        <f t="shared" si="21"/>
        <v>0</v>
      </c>
      <c r="AC56" s="125"/>
      <c r="AD56" s="68"/>
    </row>
    <row r="57" spans="2:30" x14ac:dyDescent="0.2">
      <c r="B57" s="68"/>
      <c r="C57" s="126"/>
      <c r="D57" s="308"/>
      <c r="E57" s="308"/>
      <c r="F57" s="398"/>
      <c r="G57" s="117"/>
      <c r="H57" s="228"/>
      <c r="I57" s="117"/>
      <c r="J57" s="117"/>
      <c r="K57" s="124"/>
      <c r="L57" s="128">
        <f t="shared" si="7"/>
        <v>0</v>
      </c>
      <c r="M57" s="1077">
        <f t="shared" si="14"/>
        <v>0</v>
      </c>
      <c r="N57" s="1077">
        <f t="shared" si="15"/>
        <v>0</v>
      </c>
      <c r="O57" s="1165" t="str">
        <f t="shared" si="16"/>
        <v>-</v>
      </c>
      <c r="P57" s="1077">
        <f t="shared" si="9"/>
        <v>0</v>
      </c>
      <c r="Q57" s="124"/>
      <c r="R57" s="1077">
        <f t="shared" si="17"/>
        <v>0</v>
      </c>
      <c r="S57" s="1077">
        <f t="shared" si="18"/>
        <v>0</v>
      </c>
      <c r="T57" s="1077">
        <f t="shared" si="19"/>
        <v>0</v>
      </c>
      <c r="U57" s="1077">
        <f t="shared" si="20"/>
        <v>0</v>
      </c>
      <c r="V57" s="1077">
        <f t="shared" si="20"/>
        <v>0</v>
      </c>
      <c r="W57" s="124"/>
      <c r="X57" s="1077">
        <f t="shared" si="21"/>
        <v>0</v>
      </c>
      <c r="Y57" s="1077">
        <f t="shared" si="21"/>
        <v>0</v>
      </c>
      <c r="Z57" s="1077">
        <f t="shared" si="21"/>
        <v>0</v>
      </c>
      <c r="AA57" s="1077">
        <f t="shared" si="21"/>
        <v>0</v>
      </c>
      <c r="AB57" s="1077">
        <f t="shared" si="21"/>
        <v>0</v>
      </c>
      <c r="AC57" s="125"/>
      <c r="AD57" s="68"/>
    </row>
    <row r="58" spans="2:30" x14ac:dyDescent="0.2">
      <c r="B58" s="68"/>
      <c r="C58" s="126"/>
      <c r="D58" s="308"/>
      <c r="E58" s="308"/>
      <c r="F58" s="398"/>
      <c r="G58" s="117"/>
      <c r="H58" s="228"/>
      <c r="I58" s="117"/>
      <c r="J58" s="117"/>
      <c r="K58" s="124"/>
      <c r="L58" s="128">
        <f t="shared" si="7"/>
        <v>0</v>
      </c>
      <c r="M58" s="1077">
        <f t="shared" si="14"/>
        <v>0</v>
      </c>
      <c r="N58" s="1077">
        <f t="shared" si="15"/>
        <v>0</v>
      </c>
      <c r="O58" s="1165" t="str">
        <f t="shared" si="16"/>
        <v>-</v>
      </c>
      <c r="P58" s="1077">
        <f t="shared" si="9"/>
        <v>0</v>
      </c>
      <c r="Q58" s="124"/>
      <c r="R58" s="1077">
        <f t="shared" si="17"/>
        <v>0</v>
      </c>
      <c r="S58" s="1077">
        <f t="shared" si="18"/>
        <v>0</v>
      </c>
      <c r="T58" s="1077">
        <f t="shared" si="19"/>
        <v>0</v>
      </c>
      <c r="U58" s="1077">
        <f t="shared" si="20"/>
        <v>0</v>
      </c>
      <c r="V58" s="1077">
        <f t="shared" si="20"/>
        <v>0</v>
      </c>
      <c r="W58" s="124"/>
      <c r="X58" s="1077">
        <f t="shared" si="21"/>
        <v>0</v>
      </c>
      <c r="Y58" s="1077">
        <f t="shared" si="21"/>
        <v>0</v>
      </c>
      <c r="Z58" s="1077">
        <f t="shared" si="21"/>
        <v>0</v>
      </c>
      <c r="AA58" s="1077">
        <f t="shared" si="21"/>
        <v>0</v>
      </c>
      <c r="AB58" s="1077">
        <f t="shared" si="21"/>
        <v>0</v>
      </c>
      <c r="AC58" s="125"/>
      <c r="AD58" s="68"/>
    </row>
    <row r="59" spans="2:30" x14ac:dyDescent="0.2">
      <c r="B59" s="68"/>
      <c r="C59" s="126"/>
      <c r="D59" s="308"/>
      <c r="E59" s="308"/>
      <c r="F59" s="398"/>
      <c r="G59" s="117"/>
      <c r="H59" s="228"/>
      <c r="I59" s="117"/>
      <c r="J59" s="117"/>
      <c r="K59" s="124"/>
      <c r="L59" s="128">
        <f t="shared" si="7"/>
        <v>0</v>
      </c>
      <c r="M59" s="1077">
        <f t="shared" si="14"/>
        <v>0</v>
      </c>
      <c r="N59" s="1077">
        <f t="shared" si="15"/>
        <v>0</v>
      </c>
      <c r="O59" s="1165" t="str">
        <f t="shared" si="16"/>
        <v>-</v>
      </c>
      <c r="P59" s="1077">
        <f t="shared" si="9"/>
        <v>0</v>
      </c>
      <c r="Q59" s="124"/>
      <c r="R59" s="1077">
        <f t="shared" si="17"/>
        <v>0</v>
      </c>
      <c r="S59" s="1077">
        <f t="shared" si="18"/>
        <v>0</v>
      </c>
      <c r="T59" s="1077">
        <f t="shared" si="19"/>
        <v>0</v>
      </c>
      <c r="U59" s="1077">
        <f t="shared" si="20"/>
        <v>0</v>
      </c>
      <c r="V59" s="1077">
        <f t="shared" si="20"/>
        <v>0</v>
      </c>
      <c r="W59" s="124"/>
      <c r="X59" s="1077">
        <f t="shared" si="21"/>
        <v>0</v>
      </c>
      <c r="Y59" s="1077">
        <f t="shared" si="21"/>
        <v>0</v>
      </c>
      <c r="Z59" s="1077">
        <f t="shared" si="21"/>
        <v>0</v>
      </c>
      <c r="AA59" s="1077">
        <f t="shared" si="21"/>
        <v>0</v>
      </c>
      <c r="AB59" s="1077">
        <f t="shared" si="21"/>
        <v>0</v>
      </c>
      <c r="AC59" s="125"/>
      <c r="AD59" s="68"/>
    </row>
    <row r="60" spans="2:30" x14ac:dyDescent="0.2">
      <c r="B60" s="68"/>
      <c r="C60" s="126"/>
      <c r="D60" s="308"/>
      <c r="E60" s="308"/>
      <c r="F60" s="398"/>
      <c r="G60" s="117"/>
      <c r="H60" s="228"/>
      <c r="I60" s="117"/>
      <c r="J60" s="117"/>
      <c r="K60" s="124"/>
      <c r="L60" s="128">
        <f t="shared" si="7"/>
        <v>0</v>
      </c>
      <c r="M60" s="1077">
        <f t="shared" si="14"/>
        <v>0</v>
      </c>
      <c r="N60" s="1077">
        <f t="shared" si="15"/>
        <v>0</v>
      </c>
      <c r="O60" s="1165" t="str">
        <f t="shared" si="16"/>
        <v>-</v>
      </c>
      <c r="P60" s="1077">
        <f t="shared" si="9"/>
        <v>0</v>
      </c>
      <c r="Q60" s="124"/>
      <c r="R60" s="1077">
        <f t="shared" si="17"/>
        <v>0</v>
      </c>
      <c r="S60" s="1077">
        <f t="shared" si="18"/>
        <v>0</v>
      </c>
      <c r="T60" s="1077">
        <f t="shared" si="19"/>
        <v>0</v>
      </c>
      <c r="U60" s="1077">
        <f t="shared" si="20"/>
        <v>0</v>
      </c>
      <c r="V60" s="1077">
        <f t="shared" si="20"/>
        <v>0</v>
      </c>
      <c r="W60" s="124"/>
      <c r="X60" s="1077">
        <f t="shared" si="21"/>
        <v>0</v>
      </c>
      <c r="Y60" s="1077">
        <f t="shared" si="21"/>
        <v>0</v>
      </c>
      <c r="Z60" s="1077">
        <f t="shared" si="21"/>
        <v>0</v>
      </c>
      <c r="AA60" s="1077">
        <f t="shared" si="21"/>
        <v>0</v>
      </c>
      <c r="AB60" s="1077">
        <f t="shared" si="21"/>
        <v>0</v>
      </c>
      <c r="AC60" s="125"/>
      <c r="AD60" s="68"/>
    </row>
    <row r="61" spans="2:30" x14ac:dyDescent="0.2">
      <c r="B61" s="68"/>
      <c r="C61" s="126"/>
      <c r="D61" s="308"/>
      <c r="E61" s="308"/>
      <c r="F61" s="398"/>
      <c r="G61" s="117"/>
      <c r="H61" s="228"/>
      <c r="I61" s="117"/>
      <c r="J61" s="117"/>
      <c r="K61" s="124"/>
      <c r="L61" s="128">
        <f t="shared" si="7"/>
        <v>0</v>
      </c>
      <c r="M61" s="1077">
        <f t="shared" si="14"/>
        <v>0</v>
      </c>
      <c r="N61" s="1077">
        <f t="shared" si="15"/>
        <v>0</v>
      </c>
      <c r="O61" s="1165" t="str">
        <f t="shared" si="16"/>
        <v>-</v>
      </c>
      <c r="P61" s="1077">
        <f t="shared" si="9"/>
        <v>0</v>
      </c>
      <c r="Q61" s="124"/>
      <c r="R61" s="1077">
        <f t="shared" si="17"/>
        <v>0</v>
      </c>
      <c r="S61" s="1077">
        <f t="shared" si="18"/>
        <v>0</v>
      </c>
      <c r="T61" s="1077">
        <f t="shared" si="19"/>
        <v>0</v>
      </c>
      <c r="U61" s="1077">
        <f t="shared" si="20"/>
        <v>0</v>
      </c>
      <c r="V61" s="1077">
        <f t="shared" si="20"/>
        <v>0</v>
      </c>
      <c r="W61" s="124"/>
      <c r="X61" s="1077">
        <f t="shared" si="21"/>
        <v>0</v>
      </c>
      <c r="Y61" s="1077">
        <f t="shared" si="21"/>
        <v>0</v>
      </c>
      <c r="Z61" s="1077">
        <f t="shared" si="21"/>
        <v>0</v>
      </c>
      <c r="AA61" s="1077">
        <f t="shared" si="21"/>
        <v>0</v>
      </c>
      <c r="AB61" s="1077">
        <f t="shared" si="21"/>
        <v>0</v>
      </c>
      <c r="AC61" s="125"/>
      <c r="AD61" s="68"/>
    </row>
    <row r="62" spans="2:30" x14ac:dyDescent="0.2">
      <c r="B62" s="68"/>
      <c r="C62" s="126"/>
      <c r="D62" s="308"/>
      <c r="E62" s="308"/>
      <c r="F62" s="398"/>
      <c r="G62" s="117"/>
      <c r="H62" s="228"/>
      <c r="I62" s="117"/>
      <c r="J62" s="117"/>
      <c r="K62" s="124"/>
      <c r="L62" s="128">
        <f t="shared" si="7"/>
        <v>0</v>
      </c>
      <c r="M62" s="1077">
        <f t="shared" si="14"/>
        <v>0</v>
      </c>
      <c r="N62" s="1077">
        <f t="shared" si="15"/>
        <v>0</v>
      </c>
      <c r="O62" s="1165" t="str">
        <f t="shared" si="16"/>
        <v>-</v>
      </c>
      <c r="P62" s="1077">
        <f t="shared" si="9"/>
        <v>0</v>
      </c>
      <c r="Q62" s="124"/>
      <c r="R62" s="1077">
        <f t="shared" si="17"/>
        <v>0</v>
      </c>
      <c r="S62" s="1077">
        <f t="shared" si="18"/>
        <v>0</v>
      </c>
      <c r="T62" s="1077">
        <f t="shared" si="19"/>
        <v>0</v>
      </c>
      <c r="U62" s="1077">
        <f t="shared" si="20"/>
        <v>0</v>
      </c>
      <c r="V62" s="1077">
        <f t="shared" si="20"/>
        <v>0</v>
      </c>
      <c r="W62" s="124"/>
      <c r="X62" s="1077">
        <f t="shared" si="21"/>
        <v>0</v>
      </c>
      <c r="Y62" s="1077">
        <f t="shared" si="21"/>
        <v>0</v>
      </c>
      <c r="Z62" s="1077">
        <f t="shared" si="21"/>
        <v>0</v>
      </c>
      <c r="AA62" s="1077">
        <f t="shared" si="21"/>
        <v>0</v>
      </c>
      <c r="AB62" s="1077">
        <f t="shared" si="21"/>
        <v>0</v>
      </c>
      <c r="AC62" s="125"/>
      <c r="AD62" s="68"/>
    </row>
    <row r="63" spans="2:30" x14ac:dyDescent="0.2">
      <c r="B63" s="68"/>
      <c r="C63" s="126"/>
      <c r="D63" s="308"/>
      <c r="E63" s="308"/>
      <c r="F63" s="398"/>
      <c r="G63" s="117"/>
      <c r="H63" s="228"/>
      <c r="I63" s="117"/>
      <c r="J63" s="117"/>
      <c r="K63" s="124"/>
      <c r="L63" s="128">
        <f t="shared" si="7"/>
        <v>0</v>
      </c>
      <c r="M63" s="1077">
        <f t="shared" si="14"/>
        <v>0</v>
      </c>
      <c r="N63" s="1077">
        <f t="shared" si="15"/>
        <v>0</v>
      </c>
      <c r="O63" s="1165" t="str">
        <f t="shared" si="16"/>
        <v>-</v>
      </c>
      <c r="P63" s="1077">
        <f t="shared" si="9"/>
        <v>0</v>
      </c>
      <c r="Q63" s="124"/>
      <c r="R63" s="1077">
        <f t="shared" si="17"/>
        <v>0</v>
      </c>
      <c r="S63" s="1077">
        <f t="shared" si="18"/>
        <v>0</v>
      </c>
      <c r="T63" s="1077">
        <f t="shared" si="19"/>
        <v>0</v>
      </c>
      <c r="U63" s="1077">
        <f t="shared" si="20"/>
        <v>0</v>
      </c>
      <c r="V63" s="1077">
        <f t="shared" si="20"/>
        <v>0</v>
      </c>
      <c r="W63" s="124"/>
      <c r="X63" s="1077">
        <f t="shared" ref="X63:AB72" si="22">IF(X$7=$I63,($G63*$H63),0)</f>
        <v>0</v>
      </c>
      <c r="Y63" s="1077">
        <f t="shared" si="22"/>
        <v>0</v>
      </c>
      <c r="Z63" s="1077">
        <f t="shared" si="22"/>
        <v>0</v>
      </c>
      <c r="AA63" s="1077">
        <f t="shared" si="22"/>
        <v>0</v>
      </c>
      <c r="AB63" s="1077">
        <f t="shared" si="22"/>
        <v>0</v>
      </c>
      <c r="AC63" s="125"/>
      <c r="AD63" s="68"/>
    </row>
    <row r="64" spans="2:30" x14ac:dyDescent="0.2">
      <c r="B64" s="68"/>
      <c r="C64" s="126"/>
      <c r="D64" s="308"/>
      <c r="E64" s="308"/>
      <c r="F64" s="398"/>
      <c r="G64" s="117"/>
      <c r="H64" s="228"/>
      <c r="I64" s="117"/>
      <c r="J64" s="117"/>
      <c r="K64" s="124"/>
      <c r="L64" s="128">
        <f t="shared" si="7"/>
        <v>0</v>
      </c>
      <c r="M64" s="1077">
        <f t="shared" si="14"/>
        <v>0</v>
      </c>
      <c r="N64" s="1077">
        <f t="shared" si="15"/>
        <v>0</v>
      </c>
      <c r="O64" s="1165" t="str">
        <f t="shared" si="16"/>
        <v>-</v>
      </c>
      <c r="P64" s="1077">
        <f t="shared" si="9"/>
        <v>0</v>
      </c>
      <c r="Q64" s="124"/>
      <c r="R64" s="1077">
        <f t="shared" si="17"/>
        <v>0</v>
      </c>
      <c r="S64" s="1077">
        <f t="shared" si="18"/>
        <v>0</v>
      </c>
      <c r="T64" s="1077">
        <f t="shared" si="19"/>
        <v>0</v>
      </c>
      <c r="U64" s="1077">
        <f t="shared" si="20"/>
        <v>0</v>
      </c>
      <c r="V64" s="1077">
        <f t="shared" si="20"/>
        <v>0</v>
      </c>
      <c r="W64" s="124"/>
      <c r="X64" s="1077">
        <f t="shared" si="22"/>
        <v>0</v>
      </c>
      <c r="Y64" s="1077">
        <f t="shared" si="22"/>
        <v>0</v>
      </c>
      <c r="Z64" s="1077">
        <f t="shared" si="22"/>
        <v>0</v>
      </c>
      <c r="AA64" s="1077">
        <f t="shared" si="22"/>
        <v>0</v>
      </c>
      <c r="AB64" s="1077">
        <f t="shared" si="22"/>
        <v>0</v>
      </c>
      <c r="AC64" s="125"/>
      <c r="AD64" s="68"/>
    </row>
    <row r="65" spans="2:30" x14ac:dyDescent="0.2">
      <c r="B65" s="68"/>
      <c r="C65" s="126"/>
      <c r="D65" s="308"/>
      <c r="E65" s="308"/>
      <c r="F65" s="398"/>
      <c r="G65" s="117"/>
      <c r="H65" s="228"/>
      <c r="I65" s="117"/>
      <c r="J65" s="117"/>
      <c r="K65" s="124"/>
      <c r="L65" s="128">
        <f t="shared" si="7"/>
        <v>0</v>
      </c>
      <c r="M65" s="1077">
        <f t="shared" si="14"/>
        <v>0</v>
      </c>
      <c r="N65" s="1077">
        <f t="shared" si="15"/>
        <v>0</v>
      </c>
      <c r="O65" s="1165" t="str">
        <f t="shared" si="16"/>
        <v>-</v>
      </c>
      <c r="P65" s="1077">
        <f t="shared" si="9"/>
        <v>0</v>
      </c>
      <c r="Q65" s="124"/>
      <c r="R65" s="1077">
        <f t="shared" si="17"/>
        <v>0</v>
      </c>
      <c r="S65" s="1077">
        <f t="shared" si="18"/>
        <v>0</v>
      </c>
      <c r="T65" s="1077">
        <f t="shared" si="19"/>
        <v>0</v>
      </c>
      <c r="U65" s="1077">
        <f t="shared" si="20"/>
        <v>0</v>
      </c>
      <c r="V65" s="1077">
        <f t="shared" si="20"/>
        <v>0</v>
      </c>
      <c r="W65" s="124"/>
      <c r="X65" s="1077">
        <f t="shared" si="22"/>
        <v>0</v>
      </c>
      <c r="Y65" s="1077">
        <f t="shared" si="22"/>
        <v>0</v>
      </c>
      <c r="Z65" s="1077">
        <f t="shared" si="22"/>
        <v>0</v>
      </c>
      <c r="AA65" s="1077">
        <f t="shared" si="22"/>
        <v>0</v>
      </c>
      <c r="AB65" s="1077">
        <f t="shared" si="22"/>
        <v>0</v>
      </c>
      <c r="AC65" s="125"/>
      <c r="AD65" s="68"/>
    </row>
    <row r="66" spans="2:30" x14ac:dyDescent="0.2">
      <c r="B66" s="68"/>
      <c r="C66" s="126"/>
      <c r="D66" s="308"/>
      <c r="E66" s="308"/>
      <c r="F66" s="398"/>
      <c r="G66" s="117"/>
      <c r="H66" s="228"/>
      <c r="I66" s="117"/>
      <c r="J66" s="117"/>
      <c r="K66" s="124"/>
      <c r="L66" s="128">
        <f t="shared" si="7"/>
        <v>0</v>
      </c>
      <c r="M66" s="1077">
        <f t="shared" si="14"/>
        <v>0</v>
      </c>
      <c r="N66" s="1077">
        <f t="shared" si="15"/>
        <v>0</v>
      </c>
      <c r="O66" s="1165" t="str">
        <f t="shared" si="16"/>
        <v>-</v>
      </c>
      <c r="P66" s="1077">
        <f t="shared" si="9"/>
        <v>0</v>
      </c>
      <c r="Q66" s="124"/>
      <c r="R66" s="1077">
        <f t="shared" si="17"/>
        <v>0</v>
      </c>
      <c r="S66" s="1077">
        <f t="shared" si="18"/>
        <v>0</v>
      </c>
      <c r="T66" s="1077">
        <f t="shared" si="19"/>
        <v>0</v>
      </c>
      <c r="U66" s="1077">
        <f t="shared" si="20"/>
        <v>0</v>
      </c>
      <c r="V66" s="1077">
        <f t="shared" si="20"/>
        <v>0</v>
      </c>
      <c r="W66" s="124"/>
      <c r="X66" s="1077">
        <f t="shared" si="22"/>
        <v>0</v>
      </c>
      <c r="Y66" s="1077">
        <f t="shared" si="22"/>
        <v>0</v>
      </c>
      <c r="Z66" s="1077">
        <f t="shared" si="22"/>
        <v>0</v>
      </c>
      <c r="AA66" s="1077">
        <f t="shared" si="22"/>
        <v>0</v>
      </c>
      <c r="AB66" s="1077">
        <f t="shared" si="22"/>
        <v>0</v>
      </c>
      <c r="AC66" s="125"/>
      <c r="AD66" s="68"/>
    </row>
    <row r="67" spans="2:30" x14ac:dyDescent="0.2">
      <c r="B67" s="68"/>
      <c r="C67" s="126"/>
      <c r="D67" s="308"/>
      <c r="E67" s="308"/>
      <c r="F67" s="398"/>
      <c r="G67" s="117"/>
      <c r="H67" s="228"/>
      <c r="I67" s="117"/>
      <c r="J67" s="117"/>
      <c r="K67" s="124"/>
      <c r="L67" s="128">
        <f t="shared" ref="L67:L97" si="23">IF(J67="geen",9999999999,J67)</f>
        <v>0</v>
      </c>
      <c r="M67" s="1077">
        <f t="shared" ref="M67:M97" si="24">G67*H67</f>
        <v>0</v>
      </c>
      <c r="N67" s="1077">
        <f t="shared" ref="N67:N97" si="25">IF(G67=0,0,(G67*H67)/L67)</f>
        <v>0</v>
      </c>
      <c r="O67" s="1165" t="str">
        <f t="shared" ref="O67:O97" si="26">IF(L67=0,"-",(IF(L67&gt;3000,"-",I67+L67-1)))</f>
        <v>-</v>
      </c>
      <c r="P67" s="1077">
        <f t="shared" si="9"/>
        <v>0</v>
      </c>
      <c r="Q67" s="124"/>
      <c r="R67" s="1077">
        <f t="shared" si="17"/>
        <v>0</v>
      </c>
      <c r="S67" s="1077">
        <f t="shared" si="18"/>
        <v>0</v>
      </c>
      <c r="T67" s="1077">
        <f t="shared" si="19"/>
        <v>0</v>
      </c>
      <c r="U67" s="1077">
        <f t="shared" si="20"/>
        <v>0</v>
      </c>
      <c r="V67" s="1077">
        <f t="shared" si="20"/>
        <v>0</v>
      </c>
      <c r="W67" s="124"/>
      <c r="X67" s="1077">
        <f t="shared" si="22"/>
        <v>0</v>
      </c>
      <c r="Y67" s="1077">
        <f t="shared" si="22"/>
        <v>0</v>
      </c>
      <c r="Z67" s="1077">
        <f t="shared" si="22"/>
        <v>0</v>
      </c>
      <c r="AA67" s="1077">
        <f t="shared" si="22"/>
        <v>0</v>
      </c>
      <c r="AB67" s="1077">
        <f t="shared" si="22"/>
        <v>0</v>
      </c>
      <c r="AC67" s="125"/>
      <c r="AD67" s="68"/>
    </row>
    <row r="68" spans="2:30" x14ac:dyDescent="0.2">
      <c r="B68" s="68"/>
      <c r="C68" s="126"/>
      <c r="D68" s="308"/>
      <c r="E68" s="308"/>
      <c r="F68" s="398"/>
      <c r="G68" s="117"/>
      <c r="H68" s="228"/>
      <c r="I68" s="117"/>
      <c r="J68" s="117"/>
      <c r="K68" s="124"/>
      <c r="L68" s="128">
        <f t="shared" si="23"/>
        <v>0</v>
      </c>
      <c r="M68" s="1077">
        <f t="shared" si="24"/>
        <v>0</v>
      </c>
      <c r="N68" s="1077">
        <f t="shared" si="25"/>
        <v>0</v>
      </c>
      <c r="O68" s="1165" t="str">
        <f t="shared" si="26"/>
        <v>-</v>
      </c>
      <c r="P68" s="1077">
        <f t="shared" si="9"/>
        <v>0</v>
      </c>
      <c r="Q68" s="124"/>
      <c r="R68" s="1077">
        <f t="shared" si="17"/>
        <v>0</v>
      </c>
      <c r="S68" s="1077">
        <f t="shared" si="18"/>
        <v>0</v>
      </c>
      <c r="T68" s="1077">
        <f t="shared" si="19"/>
        <v>0</v>
      </c>
      <c r="U68" s="1077">
        <f t="shared" si="20"/>
        <v>0</v>
      </c>
      <c r="V68" s="1077">
        <f t="shared" si="20"/>
        <v>0</v>
      </c>
      <c r="W68" s="124"/>
      <c r="X68" s="1077">
        <f t="shared" si="22"/>
        <v>0</v>
      </c>
      <c r="Y68" s="1077">
        <f t="shared" si="22"/>
        <v>0</v>
      </c>
      <c r="Z68" s="1077">
        <f t="shared" si="22"/>
        <v>0</v>
      </c>
      <c r="AA68" s="1077">
        <f t="shared" si="22"/>
        <v>0</v>
      </c>
      <c r="AB68" s="1077">
        <f t="shared" si="22"/>
        <v>0</v>
      </c>
      <c r="AC68" s="125"/>
      <c r="AD68" s="68"/>
    </row>
    <row r="69" spans="2:30" x14ac:dyDescent="0.2">
      <c r="B69" s="68"/>
      <c r="C69" s="126"/>
      <c r="D69" s="308"/>
      <c r="E69" s="308"/>
      <c r="F69" s="398"/>
      <c r="G69" s="117"/>
      <c r="H69" s="228"/>
      <c r="I69" s="117"/>
      <c r="J69" s="117"/>
      <c r="K69" s="124"/>
      <c r="L69" s="128">
        <f t="shared" si="23"/>
        <v>0</v>
      </c>
      <c r="M69" s="1077">
        <f t="shared" si="24"/>
        <v>0</v>
      </c>
      <c r="N69" s="1077">
        <f t="shared" si="25"/>
        <v>0</v>
      </c>
      <c r="O69" s="1165" t="str">
        <f t="shared" si="26"/>
        <v>-</v>
      </c>
      <c r="P69" s="1077">
        <f t="shared" si="9"/>
        <v>0</v>
      </c>
      <c r="Q69" s="124"/>
      <c r="R69" s="1077">
        <f t="shared" si="17"/>
        <v>0</v>
      </c>
      <c r="S69" s="1077">
        <f t="shared" si="18"/>
        <v>0</v>
      </c>
      <c r="T69" s="1077">
        <f t="shared" si="19"/>
        <v>0</v>
      </c>
      <c r="U69" s="1077">
        <f t="shared" si="20"/>
        <v>0</v>
      </c>
      <c r="V69" s="1077">
        <f t="shared" si="20"/>
        <v>0</v>
      </c>
      <c r="W69" s="124"/>
      <c r="X69" s="1077">
        <f t="shared" si="22"/>
        <v>0</v>
      </c>
      <c r="Y69" s="1077">
        <f t="shared" si="22"/>
        <v>0</v>
      </c>
      <c r="Z69" s="1077">
        <f t="shared" si="22"/>
        <v>0</v>
      </c>
      <c r="AA69" s="1077">
        <f t="shared" si="22"/>
        <v>0</v>
      </c>
      <c r="AB69" s="1077">
        <f t="shared" si="22"/>
        <v>0</v>
      </c>
      <c r="AC69" s="125"/>
      <c r="AD69" s="68"/>
    </row>
    <row r="70" spans="2:30" x14ac:dyDescent="0.2">
      <c r="B70" s="68"/>
      <c r="C70" s="126"/>
      <c r="D70" s="308"/>
      <c r="E70" s="308"/>
      <c r="F70" s="398"/>
      <c r="G70" s="117"/>
      <c r="H70" s="228"/>
      <c r="I70" s="117"/>
      <c r="J70" s="117"/>
      <c r="K70" s="124"/>
      <c r="L70" s="128">
        <f t="shared" si="23"/>
        <v>0</v>
      </c>
      <c r="M70" s="1077">
        <f t="shared" si="24"/>
        <v>0</v>
      </c>
      <c r="N70" s="1077">
        <f t="shared" si="25"/>
        <v>0</v>
      </c>
      <c r="O70" s="1165" t="str">
        <f t="shared" si="26"/>
        <v>-</v>
      </c>
      <c r="P70" s="1077">
        <f t="shared" si="9"/>
        <v>0</v>
      </c>
      <c r="Q70" s="124"/>
      <c r="R70" s="1077">
        <f t="shared" si="17"/>
        <v>0</v>
      </c>
      <c r="S70" s="1077">
        <f t="shared" si="18"/>
        <v>0</v>
      </c>
      <c r="T70" s="1077">
        <f t="shared" si="19"/>
        <v>0</v>
      </c>
      <c r="U70" s="1077">
        <f t="shared" si="20"/>
        <v>0</v>
      </c>
      <c r="V70" s="1077">
        <f t="shared" si="20"/>
        <v>0</v>
      </c>
      <c r="W70" s="124"/>
      <c r="X70" s="1077">
        <f t="shared" si="22"/>
        <v>0</v>
      </c>
      <c r="Y70" s="1077">
        <f t="shared" si="22"/>
        <v>0</v>
      </c>
      <c r="Z70" s="1077">
        <f t="shared" si="22"/>
        <v>0</v>
      </c>
      <c r="AA70" s="1077">
        <f t="shared" si="22"/>
        <v>0</v>
      </c>
      <c r="AB70" s="1077">
        <f t="shared" si="22"/>
        <v>0</v>
      </c>
      <c r="AC70" s="125"/>
      <c r="AD70" s="68"/>
    </row>
    <row r="71" spans="2:30" x14ac:dyDescent="0.2">
      <c r="B71" s="68"/>
      <c r="C71" s="126"/>
      <c r="D71" s="308"/>
      <c r="E71" s="308"/>
      <c r="F71" s="398"/>
      <c r="G71" s="117"/>
      <c r="H71" s="228"/>
      <c r="I71" s="117"/>
      <c r="J71" s="117"/>
      <c r="K71" s="124"/>
      <c r="L71" s="128">
        <f t="shared" si="23"/>
        <v>0</v>
      </c>
      <c r="M71" s="1077">
        <f t="shared" si="24"/>
        <v>0</v>
      </c>
      <c r="N71" s="1077">
        <f t="shared" si="25"/>
        <v>0</v>
      </c>
      <c r="O71" s="1165" t="str">
        <f t="shared" si="26"/>
        <v>-</v>
      </c>
      <c r="P71" s="1077">
        <f t="shared" si="9"/>
        <v>0</v>
      </c>
      <c r="Q71" s="124"/>
      <c r="R71" s="1077">
        <f t="shared" si="17"/>
        <v>0</v>
      </c>
      <c r="S71" s="1077">
        <f t="shared" si="18"/>
        <v>0</v>
      </c>
      <c r="T71" s="1077">
        <f t="shared" si="19"/>
        <v>0</v>
      </c>
      <c r="U71" s="1077">
        <f t="shared" si="20"/>
        <v>0</v>
      </c>
      <c r="V71" s="1077">
        <f t="shared" si="20"/>
        <v>0</v>
      </c>
      <c r="W71" s="124"/>
      <c r="X71" s="1077">
        <f t="shared" si="22"/>
        <v>0</v>
      </c>
      <c r="Y71" s="1077">
        <f t="shared" si="22"/>
        <v>0</v>
      </c>
      <c r="Z71" s="1077">
        <f t="shared" si="22"/>
        <v>0</v>
      </c>
      <c r="AA71" s="1077">
        <f t="shared" si="22"/>
        <v>0</v>
      </c>
      <c r="AB71" s="1077">
        <f t="shared" si="22"/>
        <v>0</v>
      </c>
      <c r="AC71" s="125"/>
      <c r="AD71" s="68"/>
    </row>
    <row r="72" spans="2:30" x14ac:dyDescent="0.2">
      <c r="B72" s="68"/>
      <c r="C72" s="126"/>
      <c r="D72" s="308"/>
      <c r="E72" s="308"/>
      <c r="F72" s="398"/>
      <c r="G72" s="117"/>
      <c r="H72" s="228"/>
      <c r="I72" s="117"/>
      <c r="J72" s="117"/>
      <c r="K72" s="124"/>
      <c r="L72" s="128">
        <f t="shared" si="23"/>
        <v>0</v>
      </c>
      <c r="M72" s="1077">
        <f t="shared" si="24"/>
        <v>0</v>
      </c>
      <c r="N72" s="1077">
        <f t="shared" si="25"/>
        <v>0</v>
      </c>
      <c r="O72" s="1165" t="str">
        <f t="shared" si="26"/>
        <v>-</v>
      </c>
      <c r="P72" s="1077">
        <f t="shared" si="9"/>
        <v>0</v>
      </c>
      <c r="Q72" s="124"/>
      <c r="R72" s="1077">
        <f t="shared" si="17"/>
        <v>0</v>
      </c>
      <c r="S72" s="1077">
        <f t="shared" si="18"/>
        <v>0</v>
      </c>
      <c r="T72" s="1077">
        <f t="shared" si="19"/>
        <v>0</v>
      </c>
      <c r="U72" s="1077">
        <f t="shared" si="20"/>
        <v>0</v>
      </c>
      <c r="V72" s="1077">
        <f t="shared" si="20"/>
        <v>0</v>
      </c>
      <c r="W72" s="124"/>
      <c r="X72" s="1077">
        <f t="shared" si="22"/>
        <v>0</v>
      </c>
      <c r="Y72" s="1077">
        <f t="shared" si="22"/>
        <v>0</v>
      </c>
      <c r="Z72" s="1077">
        <f t="shared" si="22"/>
        <v>0</v>
      </c>
      <c r="AA72" s="1077">
        <f t="shared" si="22"/>
        <v>0</v>
      </c>
      <c r="AB72" s="1077">
        <f t="shared" si="22"/>
        <v>0</v>
      </c>
      <c r="AC72" s="125"/>
      <c r="AD72" s="68"/>
    </row>
    <row r="73" spans="2:30" x14ac:dyDescent="0.2">
      <c r="B73" s="68"/>
      <c r="C73" s="126"/>
      <c r="D73" s="308"/>
      <c r="E73" s="308"/>
      <c r="F73" s="398"/>
      <c r="G73" s="117"/>
      <c r="H73" s="228"/>
      <c r="I73" s="117"/>
      <c r="J73" s="117"/>
      <c r="K73" s="124"/>
      <c r="L73" s="128">
        <f t="shared" si="23"/>
        <v>0</v>
      </c>
      <c r="M73" s="1077">
        <f t="shared" si="24"/>
        <v>0</v>
      </c>
      <c r="N73" s="1077">
        <f t="shared" si="25"/>
        <v>0</v>
      </c>
      <c r="O73" s="1165" t="str">
        <f t="shared" si="26"/>
        <v>-</v>
      </c>
      <c r="P73" s="1077">
        <f t="shared" si="9"/>
        <v>0</v>
      </c>
      <c r="Q73" s="124"/>
      <c r="R73" s="1077">
        <f t="shared" si="17"/>
        <v>0</v>
      </c>
      <c r="S73" s="1077">
        <f t="shared" si="18"/>
        <v>0</v>
      </c>
      <c r="T73" s="1077">
        <f t="shared" si="19"/>
        <v>0</v>
      </c>
      <c r="U73" s="1077">
        <f t="shared" ref="U73:V92" si="27">(IF(U$7&lt;$I73,0,IF($O73&lt;=U$7-1,0,$N73)))</f>
        <v>0</v>
      </c>
      <c r="V73" s="1077">
        <f t="shared" si="27"/>
        <v>0</v>
      </c>
      <c r="W73" s="124"/>
      <c r="X73" s="1077">
        <f t="shared" ref="X73:AB82" si="28">IF(X$7=$I73,($G73*$H73),0)</f>
        <v>0</v>
      </c>
      <c r="Y73" s="1077">
        <f t="shared" si="28"/>
        <v>0</v>
      </c>
      <c r="Z73" s="1077">
        <f t="shared" si="28"/>
        <v>0</v>
      </c>
      <c r="AA73" s="1077">
        <f t="shared" si="28"/>
        <v>0</v>
      </c>
      <c r="AB73" s="1077">
        <f t="shared" si="28"/>
        <v>0</v>
      </c>
      <c r="AC73" s="125"/>
      <c r="AD73" s="68"/>
    </row>
    <row r="74" spans="2:30" x14ac:dyDescent="0.2">
      <c r="B74" s="68"/>
      <c r="C74" s="126"/>
      <c r="D74" s="308"/>
      <c r="E74" s="308"/>
      <c r="F74" s="398"/>
      <c r="G74" s="117"/>
      <c r="H74" s="228"/>
      <c r="I74" s="117"/>
      <c r="J74" s="117"/>
      <c r="K74" s="124"/>
      <c r="L74" s="128">
        <f t="shared" si="23"/>
        <v>0</v>
      </c>
      <c r="M74" s="1077">
        <f t="shared" si="24"/>
        <v>0</v>
      </c>
      <c r="N74" s="1077">
        <f t="shared" si="25"/>
        <v>0</v>
      </c>
      <c r="O74" s="1165" t="str">
        <f t="shared" si="26"/>
        <v>-</v>
      </c>
      <c r="P74" s="1077">
        <f t="shared" si="9"/>
        <v>0</v>
      </c>
      <c r="Q74" s="124"/>
      <c r="R74" s="1077">
        <f t="shared" si="17"/>
        <v>0</v>
      </c>
      <c r="S74" s="1077">
        <f t="shared" si="18"/>
        <v>0</v>
      </c>
      <c r="T74" s="1077">
        <f t="shared" si="19"/>
        <v>0</v>
      </c>
      <c r="U74" s="1077">
        <f t="shared" si="27"/>
        <v>0</v>
      </c>
      <c r="V74" s="1077">
        <f t="shared" si="27"/>
        <v>0</v>
      </c>
      <c r="W74" s="124"/>
      <c r="X74" s="1077">
        <f t="shared" si="28"/>
        <v>0</v>
      </c>
      <c r="Y74" s="1077">
        <f t="shared" si="28"/>
        <v>0</v>
      </c>
      <c r="Z74" s="1077">
        <f t="shared" si="28"/>
        <v>0</v>
      </c>
      <c r="AA74" s="1077">
        <f t="shared" si="28"/>
        <v>0</v>
      </c>
      <c r="AB74" s="1077">
        <f t="shared" si="28"/>
        <v>0</v>
      </c>
      <c r="AC74" s="125"/>
      <c r="AD74" s="68"/>
    </row>
    <row r="75" spans="2:30" x14ac:dyDescent="0.2">
      <c r="B75" s="68"/>
      <c r="C75" s="126"/>
      <c r="D75" s="308"/>
      <c r="E75" s="308"/>
      <c r="F75" s="398"/>
      <c r="G75" s="117"/>
      <c r="H75" s="228"/>
      <c r="I75" s="117"/>
      <c r="J75" s="117"/>
      <c r="K75" s="124"/>
      <c r="L75" s="128">
        <f t="shared" si="23"/>
        <v>0</v>
      </c>
      <c r="M75" s="1077">
        <f t="shared" si="24"/>
        <v>0</v>
      </c>
      <c r="N75" s="1077">
        <f t="shared" si="25"/>
        <v>0</v>
      </c>
      <c r="O75" s="1165" t="str">
        <f t="shared" si="26"/>
        <v>-</v>
      </c>
      <c r="P75" s="1077">
        <f t="shared" si="9"/>
        <v>0</v>
      </c>
      <c r="Q75" s="124"/>
      <c r="R75" s="1077">
        <f t="shared" si="17"/>
        <v>0</v>
      </c>
      <c r="S75" s="1077">
        <f t="shared" si="18"/>
        <v>0</v>
      </c>
      <c r="T75" s="1077">
        <f t="shared" si="19"/>
        <v>0</v>
      </c>
      <c r="U75" s="1077">
        <f t="shared" si="27"/>
        <v>0</v>
      </c>
      <c r="V75" s="1077">
        <f t="shared" si="27"/>
        <v>0</v>
      </c>
      <c r="W75" s="124"/>
      <c r="X75" s="1077">
        <f t="shared" si="28"/>
        <v>0</v>
      </c>
      <c r="Y75" s="1077">
        <f t="shared" si="28"/>
        <v>0</v>
      </c>
      <c r="Z75" s="1077">
        <f t="shared" si="28"/>
        <v>0</v>
      </c>
      <c r="AA75" s="1077">
        <f t="shared" si="28"/>
        <v>0</v>
      </c>
      <c r="AB75" s="1077">
        <f t="shared" si="28"/>
        <v>0</v>
      </c>
      <c r="AC75" s="125"/>
      <c r="AD75" s="68"/>
    </row>
    <row r="76" spans="2:30" x14ac:dyDescent="0.2">
      <c r="B76" s="68"/>
      <c r="C76" s="126"/>
      <c r="D76" s="308"/>
      <c r="E76" s="308"/>
      <c r="F76" s="398"/>
      <c r="G76" s="117"/>
      <c r="H76" s="228"/>
      <c r="I76" s="117"/>
      <c r="J76" s="117"/>
      <c r="K76" s="124"/>
      <c r="L76" s="128">
        <f t="shared" si="23"/>
        <v>0</v>
      </c>
      <c r="M76" s="1077">
        <f t="shared" si="24"/>
        <v>0</v>
      </c>
      <c r="N76" s="1077">
        <f t="shared" si="25"/>
        <v>0</v>
      </c>
      <c r="O76" s="1165" t="str">
        <f t="shared" si="26"/>
        <v>-</v>
      </c>
      <c r="P76" s="1077">
        <f t="shared" si="9"/>
        <v>0</v>
      </c>
      <c r="Q76" s="124"/>
      <c r="R76" s="1077">
        <f t="shared" si="17"/>
        <v>0</v>
      </c>
      <c r="S76" s="1077">
        <f t="shared" si="18"/>
        <v>0</v>
      </c>
      <c r="T76" s="1077">
        <f t="shared" si="19"/>
        <v>0</v>
      </c>
      <c r="U76" s="1077">
        <f t="shared" si="27"/>
        <v>0</v>
      </c>
      <c r="V76" s="1077">
        <f t="shared" si="27"/>
        <v>0</v>
      </c>
      <c r="W76" s="124"/>
      <c r="X76" s="1077">
        <f t="shared" si="28"/>
        <v>0</v>
      </c>
      <c r="Y76" s="1077">
        <f t="shared" si="28"/>
        <v>0</v>
      </c>
      <c r="Z76" s="1077">
        <f t="shared" si="28"/>
        <v>0</v>
      </c>
      <c r="AA76" s="1077">
        <f t="shared" si="28"/>
        <v>0</v>
      </c>
      <c r="AB76" s="1077">
        <f t="shared" si="28"/>
        <v>0</v>
      </c>
      <c r="AC76" s="125"/>
      <c r="AD76" s="68"/>
    </row>
    <row r="77" spans="2:30" x14ac:dyDescent="0.2">
      <c r="B77" s="68"/>
      <c r="C77" s="126"/>
      <c r="D77" s="308"/>
      <c r="E77" s="308"/>
      <c r="F77" s="398"/>
      <c r="G77" s="117"/>
      <c r="H77" s="228"/>
      <c r="I77" s="117"/>
      <c r="J77" s="117"/>
      <c r="K77" s="124"/>
      <c r="L77" s="128">
        <f t="shared" si="23"/>
        <v>0</v>
      </c>
      <c r="M77" s="1077">
        <f t="shared" si="24"/>
        <v>0</v>
      </c>
      <c r="N77" s="1077">
        <f t="shared" si="25"/>
        <v>0</v>
      </c>
      <c r="O77" s="1165" t="str">
        <f t="shared" si="26"/>
        <v>-</v>
      </c>
      <c r="P77" s="1077">
        <f t="shared" si="9"/>
        <v>0</v>
      </c>
      <c r="Q77" s="124"/>
      <c r="R77" s="1077">
        <f t="shared" si="17"/>
        <v>0</v>
      </c>
      <c r="S77" s="1077">
        <f t="shared" si="18"/>
        <v>0</v>
      </c>
      <c r="T77" s="1077">
        <f t="shared" si="19"/>
        <v>0</v>
      </c>
      <c r="U77" s="1077">
        <f t="shared" si="27"/>
        <v>0</v>
      </c>
      <c r="V77" s="1077">
        <f t="shared" si="27"/>
        <v>0</v>
      </c>
      <c r="W77" s="124"/>
      <c r="X77" s="1077">
        <f t="shared" si="28"/>
        <v>0</v>
      </c>
      <c r="Y77" s="1077">
        <f t="shared" si="28"/>
        <v>0</v>
      </c>
      <c r="Z77" s="1077">
        <f t="shared" si="28"/>
        <v>0</v>
      </c>
      <c r="AA77" s="1077">
        <f t="shared" si="28"/>
        <v>0</v>
      </c>
      <c r="AB77" s="1077">
        <f t="shared" si="28"/>
        <v>0</v>
      </c>
      <c r="AC77" s="125"/>
      <c r="AD77" s="68"/>
    </row>
    <row r="78" spans="2:30" x14ac:dyDescent="0.2">
      <c r="B78" s="68"/>
      <c r="C78" s="126"/>
      <c r="D78" s="308"/>
      <c r="E78" s="308"/>
      <c r="F78" s="398"/>
      <c r="G78" s="117"/>
      <c r="H78" s="228"/>
      <c r="I78" s="117"/>
      <c r="J78" s="117"/>
      <c r="K78" s="124"/>
      <c r="L78" s="128">
        <f t="shared" si="23"/>
        <v>0</v>
      </c>
      <c r="M78" s="1077">
        <f t="shared" si="24"/>
        <v>0</v>
      </c>
      <c r="N78" s="1077">
        <f t="shared" si="25"/>
        <v>0</v>
      </c>
      <c r="O78" s="1165" t="str">
        <f t="shared" si="26"/>
        <v>-</v>
      </c>
      <c r="P78" s="1077">
        <f t="shared" ref="P78:P141" si="29">IF(J78="geen",IF(I78&lt;$R$7,G78*H78,0),IF(I78&gt;=$R$7,0,IF((H78*G78-(R$7-I78)*N78)&lt;0,0,H78*G78-(R$7-I78)*N78)))</f>
        <v>0</v>
      </c>
      <c r="Q78" s="124"/>
      <c r="R78" s="1077">
        <f t="shared" si="17"/>
        <v>0</v>
      </c>
      <c r="S78" s="1077">
        <f t="shared" si="18"/>
        <v>0</v>
      </c>
      <c r="T78" s="1077">
        <f t="shared" si="19"/>
        <v>0</v>
      </c>
      <c r="U78" s="1077">
        <f t="shared" si="27"/>
        <v>0</v>
      </c>
      <c r="V78" s="1077">
        <f t="shared" si="27"/>
        <v>0</v>
      </c>
      <c r="W78" s="124"/>
      <c r="X78" s="1077">
        <f t="shared" si="28"/>
        <v>0</v>
      </c>
      <c r="Y78" s="1077">
        <f t="shared" si="28"/>
        <v>0</v>
      </c>
      <c r="Z78" s="1077">
        <f t="shared" si="28"/>
        <v>0</v>
      </c>
      <c r="AA78" s="1077">
        <f t="shared" si="28"/>
        <v>0</v>
      </c>
      <c r="AB78" s="1077">
        <f t="shared" si="28"/>
        <v>0</v>
      </c>
      <c r="AC78" s="125"/>
      <c r="AD78" s="68"/>
    </row>
    <row r="79" spans="2:30" x14ac:dyDescent="0.2">
      <c r="B79" s="68"/>
      <c r="C79" s="126"/>
      <c r="D79" s="308"/>
      <c r="E79" s="308"/>
      <c r="F79" s="398"/>
      <c r="G79" s="117"/>
      <c r="H79" s="228"/>
      <c r="I79" s="117"/>
      <c r="J79" s="117"/>
      <c r="K79" s="124"/>
      <c r="L79" s="128">
        <f t="shared" si="23"/>
        <v>0</v>
      </c>
      <c r="M79" s="1077">
        <f t="shared" si="24"/>
        <v>0</v>
      </c>
      <c r="N79" s="1077">
        <f t="shared" si="25"/>
        <v>0</v>
      </c>
      <c r="O79" s="1165" t="str">
        <f t="shared" si="26"/>
        <v>-</v>
      </c>
      <c r="P79" s="1077">
        <f t="shared" si="29"/>
        <v>0</v>
      </c>
      <c r="Q79" s="124"/>
      <c r="R79" s="1077">
        <f t="shared" si="17"/>
        <v>0</v>
      </c>
      <c r="S79" s="1077">
        <f t="shared" si="18"/>
        <v>0</v>
      </c>
      <c r="T79" s="1077">
        <f t="shared" si="19"/>
        <v>0</v>
      </c>
      <c r="U79" s="1077">
        <f t="shared" si="27"/>
        <v>0</v>
      </c>
      <c r="V79" s="1077">
        <f t="shared" si="27"/>
        <v>0</v>
      </c>
      <c r="W79" s="124"/>
      <c r="X79" s="1077">
        <f t="shared" si="28"/>
        <v>0</v>
      </c>
      <c r="Y79" s="1077">
        <f t="shared" si="28"/>
        <v>0</v>
      </c>
      <c r="Z79" s="1077">
        <f t="shared" si="28"/>
        <v>0</v>
      </c>
      <c r="AA79" s="1077">
        <f t="shared" si="28"/>
        <v>0</v>
      </c>
      <c r="AB79" s="1077">
        <f t="shared" si="28"/>
        <v>0</v>
      </c>
      <c r="AC79" s="125"/>
      <c r="AD79" s="68"/>
    </row>
    <row r="80" spans="2:30" x14ac:dyDescent="0.2">
      <c r="B80" s="68"/>
      <c r="C80" s="126"/>
      <c r="D80" s="308"/>
      <c r="E80" s="308"/>
      <c r="F80" s="398"/>
      <c r="G80" s="117"/>
      <c r="H80" s="228"/>
      <c r="I80" s="117"/>
      <c r="J80" s="117"/>
      <c r="K80" s="124"/>
      <c r="L80" s="128">
        <f t="shared" si="23"/>
        <v>0</v>
      </c>
      <c r="M80" s="1077">
        <f t="shared" si="24"/>
        <v>0</v>
      </c>
      <c r="N80" s="1077">
        <f t="shared" si="25"/>
        <v>0</v>
      </c>
      <c r="O80" s="1165" t="str">
        <f t="shared" si="26"/>
        <v>-</v>
      </c>
      <c r="P80" s="1077">
        <f t="shared" si="29"/>
        <v>0</v>
      </c>
      <c r="Q80" s="124"/>
      <c r="R80" s="1077">
        <f t="shared" si="17"/>
        <v>0</v>
      </c>
      <c r="S80" s="1077">
        <f t="shared" si="18"/>
        <v>0</v>
      </c>
      <c r="T80" s="1077">
        <f t="shared" si="19"/>
        <v>0</v>
      </c>
      <c r="U80" s="1077">
        <f t="shared" si="27"/>
        <v>0</v>
      </c>
      <c r="V80" s="1077">
        <f t="shared" si="27"/>
        <v>0</v>
      </c>
      <c r="W80" s="124"/>
      <c r="X80" s="1077">
        <f t="shared" si="28"/>
        <v>0</v>
      </c>
      <c r="Y80" s="1077">
        <f t="shared" si="28"/>
        <v>0</v>
      </c>
      <c r="Z80" s="1077">
        <f t="shared" si="28"/>
        <v>0</v>
      </c>
      <c r="AA80" s="1077">
        <f t="shared" si="28"/>
        <v>0</v>
      </c>
      <c r="AB80" s="1077">
        <f t="shared" si="28"/>
        <v>0</v>
      </c>
      <c r="AC80" s="125"/>
      <c r="AD80" s="68"/>
    </row>
    <row r="81" spans="2:30" x14ac:dyDescent="0.2">
      <c r="B81" s="68"/>
      <c r="C81" s="126"/>
      <c r="D81" s="308"/>
      <c r="E81" s="308"/>
      <c r="F81" s="398"/>
      <c r="G81" s="117"/>
      <c r="H81" s="228"/>
      <c r="I81" s="117"/>
      <c r="J81" s="117"/>
      <c r="K81" s="124"/>
      <c r="L81" s="128">
        <f t="shared" si="23"/>
        <v>0</v>
      </c>
      <c r="M81" s="1077">
        <f t="shared" si="24"/>
        <v>0</v>
      </c>
      <c r="N81" s="1077">
        <f t="shared" si="25"/>
        <v>0</v>
      </c>
      <c r="O81" s="1165" t="str">
        <f t="shared" si="26"/>
        <v>-</v>
      </c>
      <c r="P81" s="1077">
        <f t="shared" si="29"/>
        <v>0</v>
      </c>
      <c r="Q81" s="124"/>
      <c r="R81" s="1077">
        <f t="shared" si="17"/>
        <v>0</v>
      </c>
      <c r="S81" s="1077">
        <f t="shared" si="18"/>
        <v>0</v>
      </c>
      <c r="T81" s="1077">
        <f t="shared" si="19"/>
        <v>0</v>
      </c>
      <c r="U81" s="1077">
        <f t="shared" si="27"/>
        <v>0</v>
      </c>
      <c r="V81" s="1077">
        <f t="shared" si="27"/>
        <v>0</v>
      </c>
      <c r="W81" s="124"/>
      <c r="X81" s="1077">
        <f t="shared" si="28"/>
        <v>0</v>
      </c>
      <c r="Y81" s="1077">
        <f t="shared" si="28"/>
        <v>0</v>
      </c>
      <c r="Z81" s="1077">
        <f t="shared" si="28"/>
        <v>0</v>
      </c>
      <c r="AA81" s="1077">
        <f t="shared" si="28"/>
        <v>0</v>
      </c>
      <c r="AB81" s="1077">
        <f t="shared" si="28"/>
        <v>0</v>
      </c>
      <c r="AC81" s="125"/>
      <c r="AD81" s="68"/>
    </row>
    <row r="82" spans="2:30" x14ac:dyDescent="0.2">
      <c r="B82" s="68"/>
      <c r="C82" s="126"/>
      <c r="D82" s="308"/>
      <c r="E82" s="308"/>
      <c r="F82" s="398"/>
      <c r="G82" s="117"/>
      <c r="H82" s="228"/>
      <c r="I82" s="117"/>
      <c r="J82" s="117"/>
      <c r="K82" s="124"/>
      <c r="L82" s="128">
        <f t="shared" si="23"/>
        <v>0</v>
      </c>
      <c r="M82" s="1077">
        <f t="shared" si="24"/>
        <v>0</v>
      </c>
      <c r="N82" s="1077">
        <f t="shared" si="25"/>
        <v>0</v>
      </c>
      <c r="O82" s="1165" t="str">
        <f t="shared" si="26"/>
        <v>-</v>
      </c>
      <c r="P82" s="1077">
        <f t="shared" si="29"/>
        <v>0</v>
      </c>
      <c r="Q82" s="124"/>
      <c r="R82" s="1077">
        <f t="shared" si="17"/>
        <v>0</v>
      </c>
      <c r="S82" s="1077">
        <f t="shared" si="18"/>
        <v>0</v>
      </c>
      <c r="T82" s="1077">
        <f t="shared" si="19"/>
        <v>0</v>
      </c>
      <c r="U82" s="1077">
        <f t="shared" si="27"/>
        <v>0</v>
      </c>
      <c r="V82" s="1077">
        <f t="shared" si="27"/>
        <v>0</v>
      </c>
      <c r="W82" s="124"/>
      <c r="X82" s="1077">
        <f t="shared" si="28"/>
        <v>0</v>
      </c>
      <c r="Y82" s="1077">
        <f t="shared" si="28"/>
        <v>0</v>
      </c>
      <c r="Z82" s="1077">
        <f t="shared" si="28"/>
        <v>0</v>
      </c>
      <c r="AA82" s="1077">
        <f t="shared" si="28"/>
        <v>0</v>
      </c>
      <c r="AB82" s="1077">
        <f t="shared" si="28"/>
        <v>0</v>
      </c>
      <c r="AC82" s="125"/>
      <c r="AD82" s="68"/>
    </row>
    <row r="83" spans="2:30" x14ac:dyDescent="0.2">
      <c r="B83" s="68"/>
      <c r="C83" s="126"/>
      <c r="D83" s="308"/>
      <c r="E83" s="308"/>
      <c r="F83" s="398"/>
      <c r="G83" s="117"/>
      <c r="H83" s="228"/>
      <c r="I83" s="117"/>
      <c r="J83" s="117"/>
      <c r="K83" s="124"/>
      <c r="L83" s="128">
        <f t="shared" si="23"/>
        <v>0</v>
      </c>
      <c r="M83" s="1077">
        <f t="shared" si="24"/>
        <v>0</v>
      </c>
      <c r="N83" s="1077">
        <f t="shared" si="25"/>
        <v>0</v>
      </c>
      <c r="O83" s="1165" t="str">
        <f t="shared" si="26"/>
        <v>-</v>
      </c>
      <c r="P83" s="1077">
        <f t="shared" si="29"/>
        <v>0</v>
      </c>
      <c r="Q83" s="124"/>
      <c r="R83" s="1077">
        <f t="shared" si="17"/>
        <v>0</v>
      </c>
      <c r="S83" s="1077">
        <f t="shared" si="18"/>
        <v>0</v>
      </c>
      <c r="T83" s="1077">
        <f t="shared" si="19"/>
        <v>0</v>
      </c>
      <c r="U83" s="1077">
        <f t="shared" si="27"/>
        <v>0</v>
      </c>
      <c r="V83" s="1077">
        <f t="shared" si="27"/>
        <v>0</v>
      </c>
      <c r="W83" s="124"/>
      <c r="X83" s="1077">
        <f t="shared" ref="X83:AB95" si="30">IF(X$7=$I83,($G83*$H83),0)</f>
        <v>0</v>
      </c>
      <c r="Y83" s="1077">
        <f t="shared" si="30"/>
        <v>0</v>
      </c>
      <c r="Z83" s="1077">
        <f t="shared" si="30"/>
        <v>0</v>
      </c>
      <c r="AA83" s="1077">
        <f t="shared" si="30"/>
        <v>0</v>
      </c>
      <c r="AB83" s="1077">
        <f t="shared" si="30"/>
        <v>0</v>
      </c>
      <c r="AC83" s="125"/>
      <c r="AD83" s="68"/>
    </row>
    <row r="84" spans="2:30" x14ac:dyDescent="0.2">
      <c r="B84" s="68"/>
      <c r="C84" s="126"/>
      <c r="D84" s="308"/>
      <c r="E84" s="308"/>
      <c r="F84" s="398"/>
      <c r="G84" s="117"/>
      <c r="H84" s="228"/>
      <c r="I84" s="117"/>
      <c r="J84" s="117"/>
      <c r="K84" s="124"/>
      <c r="L84" s="128">
        <f t="shared" si="23"/>
        <v>0</v>
      </c>
      <c r="M84" s="1077">
        <f t="shared" si="24"/>
        <v>0</v>
      </c>
      <c r="N84" s="1077">
        <f t="shared" si="25"/>
        <v>0</v>
      </c>
      <c r="O84" s="1165" t="str">
        <f t="shared" si="26"/>
        <v>-</v>
      </c>
      <c r="P84" s="1077">
        <f t="shared" si="29"/>
        <v>0</v>
      </c>
      <c r="Q84" s="124"/>
      <c r="R84" s="1077">
        <f t="shared" si="17"/>
        <v>0</v>
      </c>
      <c r="S84" s="1077">
        <f t="shared" si="18"/>
        <v>0</v>
      </c>
      <c r="T84" s="1077">
        <f t="shared" si="19"/>
        <v>0</v>
      </c>
      <c r="U84" s="1077">
        <f t="shared" si="27"/>
        <v>0</v>
      </c>
      <c r="V84" s="1077">
        <f t="shared" si="27"/>
        <v>0</v>
      </c>
      <c r="W84" s="124"/>
      <c r="X84" s="1077">
        <f t="shared" si="30"/>
        <v>0</v>
      </c>
      <c r="Y84" s="1077">
        <f t="shared" si="30"/>
        <v>0</v>
      </c>
      <c r="Z84" s="1077">
        <f t="shared" si="30"/>
        <v>0</v>
      </c>
      <c r="AA84" s="1077">
        <f t="shared" si="30"/>
        <v>0</v>
      </c>
      <c r="AB84" s="1077">
        <f t="shared" si="30"/>
        <v>0</v>
      </c>
      <c r="AC84" s="125"/>
      <c r="AD84" s="68"/>
    </row>
    <row r="85" spans="2:30" x14ac:dyDescent="0.2">
      <c r="B85" s="68"/>
      <c r="C85" s="126"/>
      <c r="D85" s="308"/>
      <c r="E85" s="308"/>
      <c r="F85" s="398"/>
      <c r="G85" s="117"/>
      <c r="H85" s="228"/>
      <c r="I85" s="117"/>
      <c r="J85" s="117"/>
      <c r="K85" s="124"/>
      <c r="L85" s="128">
        <f t="shared" si="23"/>
        <v>0</v>
      </c>
      <c r="M85" s="1077">
        <f t="shared" si="24"/>
        <v>0</v>
      </c>
      <c r="N85" s="1077">
        <f t="shared" si="25"/>
        <v>0</v>
      </c>
      <c r="O85" s="1165" t="str">
        <f t="shared" si="26"/>
        <v>-</v>
      </c>
      <c r="P85" s="1077">
        <f t="shared" si="29"/>
        <v>0</v>
      </c>
      <c r="Q85" s="124"/>
      <c r="R85" s="1077">
        <f t="shared" si="17"/>
        <v>0</v>
      </c>
      <c r="S85" s="1077">
        <f t="shared" si="18"/>
        <v>0</v>
      </c>
      <c r="T85" s="1077">
        <f t="shared" si="19"/>
        <v>0</v>
      </c>
      <c r="U85" s="1077">
        <f t="shared" si="27"/>
        <v>0</v>
      </c>
      <c r="V85" s="1077">
        <f t="shared" si="27"/>
        <v>0</v>
      </c>
      <c r="W85" s="124"/>
      <c r="X85" s="1077">
        <f t="shared" si="30"/>
        <v>0</v>
      </c>
      <c r="Y85" s="1077">
        <f t="shared" si="30"/>
        <v>0</v>
      </c>
      <c r="Z85" s="1077">
        <f t="shared" si="30"/>
        <v>0</v>
      </c>
      <c r="AA85" s="1077">
        <f t="shared" si="30"/>
        <v>0</v>
      </c>
      <c r="AB85" s="1077">
        <f t="shared" si="30"/>
        <v>0</v>
      </c>
      <c r="AC85" s="125"/>
      <c r="AD85" s="68"/>
    </row>
    <row r="86" spans="2:30" x14ac:dyDescent="0.2">
      <c r="B86" s="68"/>
      <c r="C86" s="126"/>
      <c r="D86" s="308"/>
      <c r="E86" s="308"/>
      <c r="F86" s="398"/>
      <c r="G86" s="117"/>
      <c r="H86" s="228"/>
      <c r="I86" s="117"/>
      <c r="J86" s="117"/>
      <c r="K86" s="124"/>
      <c r="L86" s="128">
        <f t="shared" si="23"/>
        <v>0</v>
      </c>
      <c r="M86" s="1077">
        <f t="shared" si="24"/>
        <v>0</v>
      </c>
      <c r="N86" s="1077">
        <f t="shared" si="25"/>
        <v>0</v>
      </c>
      <c r="O86" s="1165" t="str">
        <f t="shared" si="26"/>
        <v>-</v>
      </c>
      <c r="P86" s="1077">
        <f t="shared" si="29"/>
        <v>0</v>
      </c>
      <c r="Q86" s="124"/>
      <c r="R86" s="1077">
        <f t="shared" si="17"/>
        <v>0</v>
      </c>
      <c r="S86" s="1077">
        <f t="shared" si="18"/>
        <v>0</v>
      </c>
      <c r="T86" s="1077">
        <f t="shared" si="19"/>
        <v>0</v>
      </c>
      <c r="U86" s="1077">
        <f t="shared" si="27"/>
        <v>0</v>
      </c>
      <c r="V86" s="1077">
        <f t="shared" si="27"/>
        <v>0</v>
      </c>
      <c r="W86" s="124"/>
      <c r="X86" s="1077">
        <f t="shared" si="30"/>
        <v>0</v>
      </c>
      <c r="Y86" s="1077">
        <f t="shared" si="30"/>
        <v>0</v>
      </c>
      <c r="Z86" s="1077">
        <f t="shared" si="30"/>
        <v>0</v>
      </c>
      <c r="AA86" s="1077">
        <f t="shared" si="30"/>
        <v>0</v>
      </c>
      <c r="AB86" s="1077">
        <f t="shared" si="30"/>
        <v>0</v>
      </c>
      <c r="AC86" s="125"/>
      <c r="AD86" s="68"/>
    </row>
    <row r="87" spans="2:30" x14ac:dyDescent="0.2">
      <c r="B87" s="68"/>
      <c r="C87" s="126"/>
      <c r="D87" s="308"/>
      <c r="E87" s="308"/>
      <c r="F87" s="398"/>
      <c r="G87" s="117"/>
      <c r="H87" s="228"/>
      <c r="I87" s="117"/>
      <c r="J87" s="117"/>
      <c r="K87" s="124"/>
      <c r="L87" s="128">
        <f t="shared" si="23"/>
        <v>0</v>
      </c>
      <c r="M87" s="1077">
        <f t="shared" si="24"/>
        <v>0</v>
      </c>
      <c r="N87" s="1077">
        <f t="shared" si="25"/>
        <v>0</v>
      </c>
      <c r="O87" s="1165" t="str">
        <f t="shared" si="26"/>
        <v>-</v>
      </c>
      <c r="P87" s="1077">
        <f t="shared" si="29"/>
        <v>0</v>
      </c>
      <c r="Q87" s="124"/>
      <c r="R87" s="1077">
        <f t="shared" si="17"/>
        <v>0</v>
      </c>
      <c r="S87" s="1077">
        <f t="shared" si="18"/>
        <v>0</v>
      </c>
      <c r="T87" s="1077">
        <f t="shared" si="19"/>
        <v>0</v>
      </c>
      <c r="U87" s="1077">
        <f t="shared" si="27"/>
        <v>0</v>
      </c>
      <c r="V87" s="1077">
        <f t="shared" si="27"/>
        <v>0</v>
      </c>
      <c r="W87" s="124"/>
      <c r="X87" s="1077">
        <f t="shared" si="30"/>
        <v>0</v>
      </c>
      <c r="Y87" s="1077">
        <f t="shared" si="30"/>
        <v>0</v>
      </c>
      <c r="Z87" s="1077">
        <f t="shared" si="30"/>
        <v>0</v>
      </c>
      <c r="AA87" s="1077">
        <f t="shared" si="30"/>
        <v>0</v>
      </c>
      <c r="AB87" s="1077">
        <f t="shared" si="30"/>
        <v>0</v>
      </c>
      <c r="AC87" s="125"/>
      <c r="AD87" s="68"/>
    </row>
    <row r="88" spans="2:30" x14ac:dyDescent="0.2">
      <c r="B88" s="68"/>
      <c r="C88" s="126"/>
      <c r="D88" s="308"/>
      <c r="E88" s="308"/>
      <c r="F88" s="398"/>
      <c r="G88" s="117"/>
      <c r="H88" s="228"/>
      <c r="I88" s="117"/>
      <c r="J88" s="117"/>
      <c r="K88" s="124"/>
      <c r="L88" s="128">
        <f t="shared" si="23"/>
        <v>0</v>
      </c>
      <c r="M88" s="1077">
        <f t="shared" si="24"/>
        <v>0</v>
      </c>
      <c r="N88" s="1077">
        <f t="shared" si="25"/>
        <v>0</v>
      </c>
      <c r="O88" s="1165" t="str">
        <f t="shared" si="26"/>
        <v>-</v>
      </c>
      <c r="P88" s="1077">
        <f t="shared" si="29"/>
        <v>0</v>
      </c>
      <c r="Q88" s="124"/>
      <c r="R88" s="1077">
        <f t="shared" si="17"/>
        <v>0</v>
      </c>
      <c r="S88" s="1077">
        <f t="shared" si="18"/>
        <v>0</v>
      </c>
      <c r="T88" s="1077">
        <f t="shared" si="19"/>
        <v>0</v>
      </c>
      <c r="U88" s="1077">
        <f t="shared" si="27"/>
        <v>0</v>
      </c>
      <c r="V88" s="1077">
        <f t="shared" si="27"/>
        <v>0</v>
      </c>
      <c r="W88" s="124"/>
      <c r="X88" s="1077">
        <f t="shared" si="30"/>
        <v>0</v>
      </c>
      <c r="Y88" s="1077">
        <f t="shared" si="30"/>
        <v>0</v>
      </c>
      <c r="Z88" s="1077">
        <f t="shared" si="30"/>
        <v>0</v>
      </c>
      <c r="AA88" s="1077">
        <f t="shared" si="30"/>
        <v>0</v>
      </c>
      <c r="AB88" s="1077">
        <f t="shared" si="30"/>
        <v>0</v>
      </c>
      <c r="AC88" s="125"/>
      <c r="AD88" s="68"/>
    </row>
    <row r="89" spans="2:30" x14ac:dyDescent="0.2">
      <c r="B89" s="68"/>
      <c r="C89" s="126"/>
      <c r="D89" s="308"/>
      <c r="E89" s="308"/>
      <c r="F89" s="398"/>
      <c r="G89" s="117"/>
      <c r="H89" s="228"/>
      <c r="I89" s="117"/>
      <c r="J89" s="117"/>
      <c r="K89" s="124"/>
      <c r="L89" s="128">
        <f>IF(J89="geen",9999999999,J89)</f>
        <v>0</v>
      </c>
      <c r="M89" s="1077">
        <f>G89*H89</f>
        <v>0</v>
      </c>
      <c r="N89" s="1077">
        <f>IF(G89=0,0,(G89*H89)/L89)</f>
        <v>0</v>
      </c>
      <c r="O89" s="1165" t="str">
        <f>IF(L89=0,"-",(IF(L89&gt;3000,"-",I89+L89-1)))</f>
        <v>-</v>
      </c>
      <c r="P89" s="1077">
        <f t="shared" si="29"/>
        <v>0</v>
      </c>
      <c r="Q89" s="124"/>
      <c r="R89" s="1077">
        <f t="shared" si="17"/>
        <v>0</v>
      </c>
      <c r="S89" s="1077">
        <f t="shared" si="18"/>
        <v>0</v>
      </c>
      <c r="T89" s="1077">
        <f t="shared" si="19"/>
        <v>0</v>
      </c>
      <c r="U89" s="1077">
        <f t="shared" si="27"/>
        <v>0</v>
      </c>
      <c r="V89" s="1077">
        <f t="shared" si="27"/>
        <v>0</v>
      </c>
      <c r="W89" s="124"/>
      <c r="X89" s="1077">
        <f t="shared" si="30"/>
        <v>0</v>
      </c>
      <c r="Y89" s="1077">
        <f t="shared" si="30"/>
        <v>0</v>
      </c>
      <c r="Z89" s="1077">
        <f t="shared" si="30"/>
        <v>0</v>
      </c>
      <c r="AA89" s="1077">
        <f t="shared" si="30"/>
        <v>0</v>
      </c>
      <c r="AB89" s="1077">
        <f t="shared" si="30"/>
        <v>0</v>
      </c>
      <c r="AC89" s="125"/>
      <c r="AD89" s="68"/>
    </row>
    <row r="90" spans="2:30" x14ac:dyDescent="0.2">
      <c r="B90" s="68"/>
      <c r="C90" s="126"/>
      <c r="D90" s="308"/>
      <c r="E90" s="308"/>
      <c r="F90" s="398"/>
      <c r="G90" s="117"/>
      <c r="H90" s="228"/>
      <c r="I90" s="117"/>
      <c r="J90" s="117"/>
      <c r="K90" s="124"/>
      <c r="L90" s="128">
        <f>IF(J90="geen",9999999999,J90)</f>
        <v>0</v>
      </c>
      <c r="M90" s="1077">
        <f>G90*H90</f>
        <v>0</v>
      </c>
      <c r="N90" s="1077">
        <f>IF(G90=0,0,(G90*H90)/L90)</f>
        <v>0</v>
      </c>
      <c r="O90" s="1165" t="str">
        <f>IF(L90=0,"-",(IF(L90&gt;3000,"-",I90+L90-1)))</f>
        <v>-</v>
      </c>
      <c r="P90" s="1077">
        <f t="shared" si="29"/>
        <v>0</v>
      </c>
      <c r="Q90" s="124"/>
      <c r="R90" s="1077">
        <f t="shared" si="17"/>
        <v>0</v>
      </c>
      <c r="S90" s="1077">
        <f t="shared" si="18"/>
        <v>0</v>
      </c>
      <c r="T90" s="1077">
        <f t="shared" si="19"/>
        <v>0</v>
      </c>
      <c r="U90" s="1077">
        <f t="shared" si="27"/>
        <v>0</v>
      </c>
      <c r="V90" s="1077">
        <f t="shared" si="27"/>
        <v>0</v>
      </c>
      <c r="W90" s="124"/>
      <c r="X90" s="1077">
        <f t="shared" si="30"/>
        <v>0</v>
      </c>
      <c r="Y90" s="1077">
        <f t="shared" si="30"/>
        <v>0</v>
      </c>
      <c r="Z90" s="1077">
        <f t="shared" si="30"/>
        <v>0</v>
      </c>
      <c r="AA90" s="1077">
        <f t="shared" si="30"/>
        <v>0</v>
      </c>
      <c r="AB90" s="1077">
        <f t="shared" si="30"/>
        <v>0</v>
      </c>
      <c r="AC90" s="125"/>
      <c r="AD90" s="68"/>
    </row>
    <row r="91" spans="2:30" x14ac:dyDescent="0.2">
      <c r="B91" s="68"/>
      <c r="C91" s="126"/>
      <c r="D91" s="308"/>
      <c r="E91" s="308"/>
      <c r="F91" s="398"/>
      <c r="G91" s="117"/>
      <c r="H91" s="228"/>
      <c r="I91" s="117"/>
      <c r="J91" s="117"/>
      <c r="K91" s="124"/>
      <c r="L91" s="128">
        <f>IF(J91="geen",9999999999,J91)</f>
        <v>0</v>
      </c>
      <c r="M91" s="1077">
        <f>G91*H91</f>
        <v>0</v>
      </c>
      <c r="N91" s="1077">
        <f>IF(G91=0,0,(G91*H91)/L91)</f>
        <v>0</v>
      </c>
      <c r="O91" s="1165" t="str">
        <f>IF(L91=0,"-",(IF(L91&gt;3000,"-",I91+L91-1)))</f>
        <v>-</v>
      </c>
      <c r="P91" s="1077">
        <f t="shared" si="29"/>
        <v>0</v>
      </c>
      <c r="Q91" s="124"/>
      <c r="R91" s="1077">
        <f t="shared" si="17"/>
        <v>0</v>
      </c>
      <c r="S91" s="1077">
        <f t="shared" si="18"/>
        <v>0</v>
      </c>
      <c r="T91" s="1077">
        <f t="shared" si="19"/>
        <v>0</v>
      </c>
      <c r="U91" s="1077">
        <f t="shared" si="27"/>
        <v>0</v>
      </c>
      <c r="V91" s="1077">
        <f t="shared" si="27"/>
        <v>0</v>
      </c>
      <c r="W91" s="124"/>
      <c r="X91" s="1077">
        <f t="shared" si="30"/>
        <v>0</v>
      </c>
      <c r="Y91" s="1077">
        <f t="shared" si="30"/>
        <v>0</v>
      </c>
      <c r="Z91" s="1077">
        <f t="shared" si="30"/>
        <v>0</v>
      </c>
      <c r="AA91" s="1077">
        <f t="shared" si="30"/>
        <v>0</v>
      </c>
      <c r="AB91" s="1077">
        <f t="shared" si="30"/>
        <v>0</v>
      </c>
      <c r="AC91" s="125"/>
      <c r="AD91" s="68"/>
    </row>
    <row r="92" spans="2:30" x14ac:dyDescent="0.2">
      <c r="B92" s="68"/>
      <c r="C92" s="126"/>
      <c r="D92" s="308"/>
      <c r="E92" s="308"/>
      <c r="F92" s="398"/>
      <c r="G92" s="117"/>
      <c r="H92" s="228"/>
      <c r="I92" s="117"/>
      <c r="J92" s="117"/>
      <c r="K92" s="124"/>
      <c r="L92" s="128">
        <f t="shared" si="23"/>
        <v>0</v>
      </c>
      <c r="M92" s="1077">
        <f t="shared" si="24"/>
        <v>0</v>
      </c>
      <c r="N92" s="1077">
        <f t="shared" si="25"/>
        <v>0</v>
      </c>
      <c r="O92" s="1165" t="str">
        <f t="shared" si="26"/>
        <v>-</v>
      </c>
      <c r="P92" s="1077">
        <f t="shared" si="29"/>
        <v>0</v>
      </c>
      <c r="Q92" s="124"/>
      <c r="R92" s="1077">
        <f t="shared" si="17"/>
        <v>0</v>
      </c>
      <c r="S92" s="1077">
        <f t="shared" si="18"/>
        <v>0</v>
      </c>
      <c r="T92" s="1077">
        <f t="shared" si="19"/>
        <v>0</v>
      </c>
      <c r="U92" s="1077">
        <f t="shared" si="27"/>
        <v>0</v>
      </c>
      <c r="V92" s="1077">
        <f t="shared" si="27"/>
        <v>0</v>
      </c>
      <c r="W92" s="124"/>
      <c r="X92" s="1077">
        <f t="shared" si="30"/>
        <v>0</v>
      </c>
      <c r="Y92" s="1077">
        <f t="shared" si="30"/>
        <v>0</v>
      </c>
      <c r="Z92" s="1077">
        <f t="shared" si="30"/>
        <v>0</v>
      </c>
      <c r="AA92" s="1077">
        <f t="shared" si="30"/>
        <v>0</v>
      </c>
      <c r="AB92" s="1077">
        <f t="shared" si="30"/>
        <v>0</v>
      </c>
      <c r="AC92" s="125"/>
      <c r="AD92" s="68"/>
    </row>
    <row r="93" spans="2:30" x14ac:dyDescent="0.2">
      <c r="B93" s="68"/>
      <c r="C93" s="126"/>
      <c r="D93" s="308"/>
      <c r="E93" s="308"/>
      <c r="F93" s="398"/>
      <c r="G93" s="117"/>
      <c r="H93" s="228"/>
      <c r="I93" s="117"/>
      <c r="J93" s="117"/>
      <c r="K93" s="124"/>
      <c r="L93" s="128">
        <f t="shared" si="23"/>
        <v>0</v>
      </c>
      <c r="M93" s="1077">
        <f t="shared" si="24"/>
        <v>0</v>
      </c>
      <c r="N93" s="1077">
        <f t="shared" si="25"/>
        <v>0</v>
      </c>
      <c r="O93" s="1165" t="str">
        <f t="shared" si="26"/>
        <v>-</v>
      </c>
      <c r="P93" s="1077">
        <f t="shared" si="29"/>
        <v>0</v>
      </c>
      <c r="Q93" s="124"/>
      <c r="R93" s="1077">
        <f t="shared" si="17"/>
        <v>0</v>
      </c>
      <c r="S93" s="1077">
        <f t="shared" si="18"/>
        <v>0</v>
      </c>
      <c r="T93" s="1077">
        <f t="shared" si="19"/>
        <v>0</v>
      </c>
      <c r="U93" s="1077">
        <f t="shared" ref="U93:V112" si="31">(IF(U$7&lt;$I93,0,IF($O93&lt;=U$7-1,0,$N93)))</f>
        <v>0</v>
      </c>
      <c r="V93" s="1077">
        <f t="shared" si="31"/>
        <v>0</v>
      </c>
      <c r="W93" s="124"/>
      <c r="X93" s="1077">
        <f t="shared" si="30"/>
        <v>0</v>
      </c>
      <c r="Y93" s="1077">
        <f t="shared" si="30"/>
        <v>0</v>
      </c>
      <c r="Z93" s="1077">
        <f t="shared" si="30"/>
        <v>0</v>
      </c>
      <c r="AA93" s="1077">
        <f t="shared" si="30"/>
        <v>0</v>
      </c>
      <c r="AB93" s="1077">
        <f t="shared" si="30"/>
        <v>0</v>
      </c>
      <c r="AC93" s="125"/>
      <c r="AD93" s="68"/>
    </row>
    <row r="94" spans="2:30" x14ac:dyDescent="0.2">
      <c r="B94" s="68"/>
      <c r="C94" s="126"/>
      <c r="D94" s="308"/>
      <c r="E94" s="308"/>
      <c r="F94" s="398"/>
      <c r="G94" s="117"/>
      <c r="H94" s="228"/>
      <c r="I94" s="117"/>
      <c r="J94" s="117"/>
      <c r="K94" s="124"/>
      <c r="L94" s="128">
        <f t="shared" si="23"/>
        <v>0</v>
      </c>
      <c r="M94" s="1077">
        <f t="shared" si="24"/>
        <v>0</v>
      </c>
      <c r="N94" s="1077">
        <f t="shared" si="25"/>
        <v>0</v>
      </c>
      <c r="O94" s="1165" t="str">
        <f t="shared" si="26"/>
        <v>-</v>
      </c>
      <c r="P94" s="1077">
        <f t="shared" si="29"/>
        <v>0</v>
      </c>
      <c r="Q94" s="124"/>
      <c r="R94" s="1077">
        <f t="shared" si="17"/>
        <v>0</v>
      </c>
      <c r="S94" s="1077">
        <f t="shared" si="18"/>
        <v>0</v>
      </c>
      <c r="T94" s="1077">
        <f t="shared" si="19"/>
        <v>0</v>
      </c>
      <c r="U94" s="1077">
        <f t="shared" si="31"/>
        <v>0</v>
      </c>
      <c r="V94" s="1077">
        <f t="shared" si="31"/>
        <v>0</v>
      </c>
      <c r="W94" s="124"/>
      <c r="X94" s="1077">
        <f t="shared" si="30"/>
        <v>0</v>
      </c>
      <c r="Y94" s="1077">
        <f t="shared" si="30"/>
        <v>0</v>
      </c>
      <c r="Z94" s="1077">
        <f t="shared" si="30"/>
        <v>0</v>
      </c>
      <c r="AA94" s="1077">
        <f t="shared" si="30"/>
        <v>0</v>
      </c>
      <c r="AB94" s="1077">
        <f t="shared" si="30"/>
        <v>0</v>
      </c>
      <c r="AC94" s="125"/>
      <c r="AD94" s="68"/>
    </row>
    <row r="95" spans="2:30" x14ac:dyDescent="0.2">
      <c r="B95" s="68"/>
      <c r="C95" s="126"/>
      <c r="D95" s="308"/>
      <c r="E95" s="308"/>
      <c r="F95" s="398"/>
      <c r="G95" s="117"/>
      <c r="H95" s="228"/>
      <c r="I95" s="117"/>
      <c r="J95" s="117"/>
      <c r="K95" s="124"/>
      <c r="L95" s="128">
        <f t="shared" si="23"/>
        <v>0</v>
      </c>
      <c r="M95" s="1077">
        <f t="shared" si="24"/>
        <v>0</v>
      </c>
      <c r="N95" s="1077">
        <f t="shared" si="25"/>
        <v>0</v>
      </c>
      <c r="O95" s="1165" t="str">
        <f t="shared" si="26"/>
        <v>-</v>
      </c>
      <c r="P95" s="1077">
        <f t="shared" si="29"/>
        <v>0</v>
      </c>
      <c r="Q95" s="124"/>
      <c r="R95" s="1077">
        <f t="shared" si="17"/>
        <v>0</v>
      </c>
      <c r="S95" s="1077">
        <f t="shared" si="18"/>
        <v>0</v>
      </c>
      <c r="T95" s="1077">
        <f t="shared" si="19"/>
        <v>0</v>
      </c>
      <c r="U95" s="1077">
        <f t="shared" si="31"/>
        <v>0</v>
      </c>
      <c r="V95" s="1077">
        <f t="shared" si="31"/>
        <v>0</v>
      </c>
      <c r="W95" s="124"/>
      <c r="X95" s="1077">
        <f t="shared" si="30"/>
        <v>0</v>
      </c>
      <c r="Y95" s="1077">
        <f t="shared" si="30"/>
        <v>0</v>
      </c>
      <c r="Z95" s="1077">
        <f t="shared" si="30"/>
        <v>0</v>
      </c>
      <c r="AA95" s="1077">
        <f t="shared" si="30"/>
        <v>0</v>
      </c>
      <c r="AB95" s="1077">
        <f t="shared" si="30"/>
        <v>0</v>
      </c>
      <c r="AC95" s="125"/>
      <c r="AD95" s="68"/>
    </row>
    <row r="96" spans="2:30" x14ac:dyDescent="0.2">
      <c r="B96" s="68"/>
      <c r="C96" s="126"/>
      <c r="D96" s="308"/>
      <c r="E96" s="308"/>
      <c r="F96" s="398"/>
      <c r="G96" s="117"/>
      <c r="H96" s="228"/>
      <c r="I96" s="117"/>
      <c r="J96" s="117"/>
      <c r="K96" s="124"/>
      <c r="L96" s="128">
        <f t="shared" si="23"/>
        <v>0</v>
      </c>
      <c r="M96" s="1077">
        <f t="shared" si="24"/>
        <v>0</v>
      </c>
      <c r="N96" s="1077">
        <f t="shared" si="25"/>
        <v>0</v>
      </c>
      <c r="O96" s="1165" t="str">
        <f t="shared" si="26"/>
        <v>-</v>
      </c>
      <c r="P96" s="1077">
        <f t="shared" si="29"/>
        <v>0</v>
      </c>
      <c r="Q96" s="124"/>
      <c r="R96" s="1077">
        <f t="shared" si="17"/>
        <v>0</v>
      </c>
      <c r="S96" s="1077">
        <f t="shared" si="18"/>
        <v>0</v>
      </c>
      <c r="T96" s="1077">
        <f t="shared" si="19"/>
        <v>0</v>
      </c>
      <c r="U96" s="1077">
        <f t="shared" si="31"/>
        <v>0</v>
      </c>
      <c r="V96" s="1077">
        <f t="shared" si="31"/>
        <v>0</v>
      </c>
      <c r="W96" s="124"/>
      <c r="X96" s="1077">
        <f t="shared" ref="X96:AB97" si="32">IF(X$7=$I96,($G96*$H96),0)</f>
        <v>0</v>
      </c>
      <c r="Y96" s="1077">
        <f t="shared" si="32"/>
        <v>0</v>
      </c>
      <c r="Z96" s="1077">
        <f t="shared" si="32"/>
        <v>0</v>
      </c>
      <c r="AA96" s="1077">
        <f t="shared" si="32"/>
        <v>0</v>
      </c>
      <c r="AB96" s="1077">
        <f t="shared" si="32"/>
        <v>0</v>
      </c>
      <c r="AC96" s="125"/>
      <c r="AD96" s="68"/>
    </row>
    <row r="97" spans="2:30" x14ac:dyDescent="0.2">
      <c r="B97" s="68"/>
      <c r="C97" s="126"/>
      <c r="D97" s="308"/>
      <c r="E97" s="308"/>
      <c r="F97" s="398"/>
      <c r="G97" s="117"/>
      <c r="H97" s="228"/>
      <c r="I97" s="117"/>
      <c r="J97" s="117"/>
      <c r="K97" s="124"/>
      <c r="L97" s="128">
        <f t="shared" si="23"/>
        <v>0</v>
      </c>
      <c r="M97" s="1077">
        <f t="shared" si="24"/>
        <v>0</v>
      </c>
      <c r="N97" s="1077">
        <f t="shared" si="25"/>
        <v>0</v>
      </c>
      <c r="O97" s="1165" t="str">
        <f t="shared" si="26"/>
        <v>-</v>
      </c>
      <c r="P97" s="1077">
        <f t="shared" si="29"/>
        <v>0</v>
      </c>
      <c r="Q97" s="124"/>
      <c r="R97" s="1077">
        <f t="shared" si="17"/>
        <v>0</v>
      </c>
      <c r="S97" s="1077">
        <f t="shared" si="18"/>
        <v>0</v>
      </c>
      <c r="T97" s="1077">
        <f t="shared" si="19"/>
        <v>0</v>
      </c>
      <c r="U97" s="1077">
        <f t="shared" si="31"/>
        <v>0</v>
      </c>
      <c r="V97" s="1077">
        <f t="shared" si="31"/>
        <v>0</v>
      </c>
      <c r="W97" s="124"/>
      <c r="X97" s="1077">
        <f t="shared" si="32"/>
        <v>0</v>
      </c>
      <c r="Y97" s="1077">
        <f t="shared" si="32"/>
        <v>0</v>
      </c>
      <c r="Z97" s="1077">
        <f t="shared" si="32"/>
        <v>0</v>
      </c>
      <c r="AA97" s="1077">
        <f t="shared" si="32"/>
        <v>0</v>
      </c>
      <c r="AB97" s="1077">
        <f t="shared" si="32"/>
        <v>0</v>
      </c>
      <c r="AC97" s="125"/>
      <c r="AD97" s="68"/>
    </row>
    <row r="98" spans="2:30" x14ac:dyDescent="0.2">
      <c r="B98" s="68"/>
      <c r="C98" s="126"/>
      <c r="D98" s="308"/>
      <c r="E98" s="308"/>
      <c r="F98" s="398"/>
      <c r="G98" s="117"/>
      <c r="H98" s="228"/>
      <c r="I98" s="117"/>
      <c r="J98" s="117"/>
      <c r="K98" s="124"/>
      <c r="L98" s="128">
        <f t="shared" si="7"/>
        <v>0</v>
      </c>
      <c r="M98" s="1077">
        <f t="shared" si="14"/>
        <v>0</v>
      </c>
      <c r="N98" s="1077">
        <f t="shared" si="15"/>
        <v>0</v>
      </c>
      <c r="O98" s="1165" t="str">
        <f t="shared" si="16"/>
        <v>-</v>
      </c>
      <c r="P98" s="1077">
        <f t="shared" si="29"/>
        <v>0</v>
      </c>
      <c r="Q98" s="124"/>
      <c r="R98" s="1077">
        <f t="shared" si="17"/>
        <v>0</v>
      </c>
      <c r="S98" s="1077">
        <f t="shared" si="18"/>
        <v>0</v>
      </c>
      <c r="T98" s="1077">
        <f t="shared" si="19"/>
        <v>0</v>
      </c>
      <c r="U98" s="1077">
        <f t="shared" si="31"/>
        <v>0</v>
      </c>
      <c r="V98" s="1077">
        <f t="shared" si="31"/>
        <v>0</v>
      </c>
      <c r="W98" s="124"/>
      <c r="X98" s="1077">
        <f t="shared" ref="X98:AB107" si="33">IF(X$7=$I98,($G98*$H98),0)</f>
        <v>0</v>
      </c>
      <c r="Y98" s="1077">
        <f t="shared" si="33"/>
        <v>0</v>
      </c>
      <c r="Z98" s="1077">
        <f t="shared" si="33"/>
        <v>0</v>
      </c>
      <c r="AA98" s="1077">
        <f t="shared" si="33"/>
        <v>0</v>
      </c>
      <c r="AB98" s="1077">
        <f t="shared" si="33"/>
        <v>0</v>
      </c>
      <c r="AC98" s="125"/>
      <c r="AD98" s="68"/>
    </row>
    <row r="99" spans="2:30" x14ac:dyDescent="0.2">
      <c r="B99" s="68"/>
      <c r="C99" s="126"/>
      <c r="D99" s="308"/>
      <c r="E99" s="308"/>
      <c r="F99" s="398"/>
      <c r="G99" s="117"/>
      <c r="H99" s="228"/>
      <c r="I99" s="117"/>
      <c r="J99" s="117"/>
      <c r="K99" s="124"/>
      <c r="L99" s="128">
        <f t="shared" si="7"/>
        <v>0</v>
      </c>
      <c r="M99" s="1077">
        <f t="shared" si="14"/>
        <v>0</v>
      </c>
      <c r="N99" s="1077">
        <f t="shared" si="15"/>
        <v>0</v>
      </c>
      <c r="O99" s="1165" t="str">
        <f t="shared" si="16"/>
        <v>-</v>
      </c>
      <c r="P99" s="1077">
        <f t="shared" si="29"/>
        <v>0</v>
      </c>
      <c r="Q99" s="124"/>
      <c r="R99" s="1077">
        <f t="shared" si="17"/>
        <v>0</v>
      </c>
      <c r="S99" s="1077">
        <f t="shared" si="18"/>
        <v>0</v>
      </c>
      <c r="T99" s="1077">
        <f t="shared" si="19"/>
        <v>0</v>
      </c>
      <c r="U99" s="1077">
        <f t="shared" si="31"/>
        <v>0</v>
      </c>
      <c r="V99" s="1077">
        <f t="shared" si="31"/>
        <v>0</v>
      </c>
      <c r="W99" s="124"/>
      <c r="X99" s="1077">
        <f t="shared" si="33"/>
        <v>0</v>
      </c>
      <c r="Y99" s="1077">
        <f t="shared" si="33"/>
        <v>0</v>
      </c>
      <c r="Z99" s="1077">
        <f t="shared" si="33"/>
        <v>0</v>
      </c>
      <c r="AA99" s="1077">
        <f t="shared" si="33"/>
        <v>0</v>
      </c>
      <c r="AB99" s="1077">
        <f t="shared" si="33"/>
        <v>0</v>
      </c>
      <c r="AC99" s="125"/>
      <c r="AD99" s="68"/>
    </row>
    <row r="100" spans="2:30" x14ac:dyDescent="0.2">
      <c r="B100" s="68"/>
      <c r="C100" s="126"/>
      <c r="D100" s="308"/>
      <c r="E100" s="308"/>
      <c r="F100" s="398"/>
      <c r="G100" s="117"/>
      <c r="H100" s="228"/>
      <c r="I100" s="117"/>
      <c r="J100" s="117"/>
      <c r="K100" s="124"/>
      <c r="L100" s="128">
        <f t="shared" si="7"/>
        <v>0</v>
      </c>
      <c r="M100" s="1077">
        <f t="shared" si="14"/>
        <v>0</v>
      </c>
      <c r="N100" s="1077">
        <f t="shared" si="15"/>
        <v>0</v>
      </c>
      <c r="O100" s="1165" t="str">
        <f t="shared" si="16"/>
        <v>-</v>
      </c>
      <c r="P100" s="1077">
        <f t="shared" si="29"/>
        <v>0</v>
      </c>
      <c r="Q100" s="124"/>
      <c r="R100" s="1077">
        <f t="shared" si="17"/>
        <v>0</v>
      </c>
      <c r="S100" s="1077">
        <f t="shared" si="18"/>
        <v>0</v>
      </c>
      <c r="T100" s="1077">
        <f t="shared" si="19"/>
        <v>0</v>
      </c>
      <c r="U100" s="1077">
        <f t="shared" si="31"/>
        <v>0</v>
      </c>
      <c r="V100" s="1077">
        <f t="shared" si="31"/>
        <v>0</v>
      </c>
      <c r="W100" s="124"/>
      <c r="X100" s="1077">
        <f t="shared" si="33"/>
        <v>0</v>
      </c>
      <c r="Y100" s="1077">
        <f t="shared" si="33"/>
        <v>0</v>
      </c>
      <c r="Z100" s="1077">
        <f t="shared" si="33"/>
        <v>0</v>
      </c>
      <c r="AA100" s="1077">
        <f t="shared" si="33"/>
        <v>0</v>
      </c>
      <c r="AB100" s="1077">
        <f t="shared" si="33"/>
        <v>0</v>
      </c>
      <c r="AC100" s="125"/>
      <c r="AD100" s="68"/>
    </row>
    <row r="101" spans="2:30" x14ac:dyDescent="0.2">
      <c r="B101" s="68"/>
      <c r="C101" s="126"/>
      <c r="D101" s="308"/>
      <c r="E101" s="308"/>
      <c r="F101" s="398"/>
      <c r="G101" s="117"/>
      <c r="H101" s="228"/>
      <c r="I101" s="117"/>
      <c r="J101" s="117"/>
      <c r="K101" s="124"/>
      <c r="L101" s="128">
        <f t="shared" si="7"/>
        <v>0</v>
      </c>
      <c r="M101" s="1077">
        <f t="shared" si="14"/>
        <v>0</v>
      </c>
      <c r="N101" s="1077">
        <f t="shared" si="15"/>
        <v>0</v>
      </c>
      <c r="O101" s="1165" t="str">
        <f t="shared" si="16"/>
        <v>-</v>
      </c>
      <c r="P101" s="1077">
        <f t="shared" si="29"/>
        <v>0</v>
      </c>
      <c r="Q101" s="124"/>
      <c r="R101" s="1077">
        <f t="shared" si="17"/>
        <v>0</v>
      </c>
      <c r="S101" s="1077">
        <f t="shared" si="18"/>
        <v>0</v>
      </c>
      <c r="T101" s="1077">
        <f t="shared" si="19"/>
        <v>0</v>
      </c>
      <c r="U101" s="1077">
        <f t="shared" si="31"/>
        <v>0</v>
      </c>
      <c r="V101" s="1077">
        <f t="shared" si="31"/>
        <v>0</v>
      </c>
      <c r="W101" s="124"/>
      <c r="X101" s="1077">
        <f t="shared" si="33"/>
        <v>0</v>
      </c>
      <c r="Y101" s="1077">
        <f t="shared" si="33"/>
        <v>0</v>
      </c>
      <c r="Z101" s="1077">
        <f t="shared" si="33"/>
        <v>0</v>
      </c>
      <c r="AA101" s="1077">
        <f t="shared" si="33"/>
        <v>0</v>
      </c>
      <c r="AB101" s="1077">
        <f t="shared" si="33"/>
        <v>0</v>
      </c>
      <c r="AC101" s="125"/>
      <c r="AD101" s="68"/>
    </row>
    <row r="102" spans="2:30" x14ac:dyDescent="0.2">
      <c r="B102" s="68"/>
      <c r="C102" s="126"/>
      <c r="D102" s="308"/>
      <c r="E102" s="308"/>
      <c r="F102" s="398"/>
      <c r="G102" s="117"/>
      <c r="H102" s="228"/>
      <c r="I102" s="117"/>
      <c r="J102" s="117"/>
      <c r="K102" s="124"/>
      <c r="L102" s="128">
        <f t="shared" si="7"/>
        <v>0</v>
      </c>
      <c r="M102" s="1077">
        <f t="shared" si="14"/>
        <v>0</v>
      </c>
      <c r="N102" s="1077">
        <f t="shared" si="15"/>
        <v>0</v>
      </c>
      <c r="O102" s="1165" t="str">
        <f t="shared" si="16"/>
        <v>-</v>
      </c>
      <c r="P102" s="1077">
        <f t="shared" si="29"/>
        <v>0</v>
      </c>
      <c r="Q102" s="124"/>
      <c r="R102" s="1077">
        <f t="shared" si="17"/>
        <v>0</v>
      </c>
      <c r="S102" s="1077">
        <f t="shared" si="18"/>
        <v>0</v>
      </c>
      <c r="T102" s="1077">
        <f t="shared" si="19"/>
        <v>0</v>
      </c>
      <c r="U102" s="1077">
        <f t="shared" si="31"/>
        <v>0</v>
      </c>
      <c r="V102" s="1077">
        <f t="shared" si="31"/>
        <v>0</v>
      </c>
      <c r="W102" s="124"/>
      <c r="X102" s="1077">
        <f t="shared" si="33"/>
        <v>0</v>
      </c>
      <c r="Y102" s="1077">
        <f t="shared" si="33"/>
        <v>0</v>
      </c>
      <c r="Z102" s="1077">
        <f t="shared" si="33"/>
        <v>0</v>
      </c>
      <c r="AA102" s="1077">
        <f t="shared" si="33"/>
        <v>0</v>
      </c>
      <c r="AB102" s="1077">
        <f t="shared" si="33"/>
        <v>0</v>
      </c>
      <c r="AC102" s="125"/>
      <c r="AD102" s="68"/>
    </row>
    <row r="103" spans="2:30" x14ac:dyDescent="0.2">
      <c r="B103" s="68"/>
      <c r="C103" s="126"/>
      <c r="D103" s="308"/>
      <c r="E103" s="308"/>
      <c r="F103" s="398"/>
      <c r="G103" s="117"/>
      <c r="H103" s="228"/>
      <c r="I103" s="117"/>
      <c r="J103" s="117"/>
      <c r="K103" s="124"/>
      <c r="L103" s="128">
        <f t="shared" si="7"/>
        <v>0</v>
      </c>
      <c r="M103" s="1077">
        <f t="shared" si="14"/>
        <v>0</v>
      </c>
      <c r="N103" s="1077">
        <f t="shared" si="15"/>
        <v>0</v>
      </c>
      <c r="O103" s="1165" t="str">
        <f t="shared" si="16"/>
        <v>-</v>
      </c>
      <c r="P103" s="1077">
        <f t="shared" si="29"/>
        <v>0</v>
      </c>
      <c r="Q103" s="124"/>
      <c r="R103" s="1077">
        <f t="shared" si="17"/>
        <v>0</v>
      </c>
      <c r="S103" s="1077">
        <f t="shared" si="18"/>
        <v>0</v>
      </c>
      <c r="T103" s="1077">
        <f t="shared" si="19"/>
        <v>0</v>
      </c>
      <c r="U103" s="1077">
        <f t="shared" si="31"/>
        <v>0</v>
      </c>
      <c r="V103" s="1077">
        <f t="shared" si="31"/>
        <v>0</v>
      </c>
      <c r="W103" s="124"/>
      <c r="X103" s="1077">
        <f t="shared" si="33"/>
        <v>0</v>
      </c>
      <c r="Y103" s="1077">
        <f t="shared" si="33"/>
        <v>0</v>
      </c>
      <c r="Z103" s="1077">
        <f t="shared" si="33"/>
        <v>0</v>
      </c>
      <c r="AA103" s="1077">
        <f t="shared" si="33"/>
        <v>0</v>
      </c>
      <c r="AB103" s="1077">
        <f t="shared" si="33"/>
        <v>0</v>
      </c>
      <c r="AC103" s="125"/>
      <c r="AD103" s="68"/>
    </row>
    <row r="104" spans="2:30" x14ac:dyDescent="0.2">
      <c r="B104" s="68"/>
      <c r="C104" s="126"/>
      <c r="D104" s="308"/>
      <c r="E104" s="308"/>
      <c r="F104" s="398"/>
      <c r="G104" s="117"/>
      <c r="H104" s="228"/>
      <c r="I104" s="117"/>
      <c r="J104" s="117"/>
      <c r="K104" s="124"/>
      <c r="L104" s="128">
        <f t="shared" si="7"/>
        <v>0</v>
      </c>
      <c r="M104" s="1077">
        <f t="shared" si="14"/>
        <v>0</v>
      </c>
      <c r="N104" s="1077">
        <f t="shared" si="15"/>
        <v>0</v>
      </c>
      <c r="O104" s="1165" t="str">
        <f t="shared" si="16"/>
        <v>-</v>
      </c>
      <c r="P104" s="1077">
        <f t="shared" si="29"/>
        <v>0</v>
      </c>
      <c r="Q104" s="124"/>
      <c r="R104" s="1077">
        <f t="shared" si="17"/>
        <v>0</v>
      </c>
      <c r="S104" s="1077">
        <f t="shared" si="18"/>
        <v>0</v>
      </c>
      <c r="T104" s="1077">
        <f t="shared" si="19"/>
        <v>0</v>
      </c>
      <c r="U104" s="1077">
        <f t="shared" si="31"/>
        <v>0</v>
      </c>
      <c r="V104" s="1077">
        <f t="shared" si="31"/>
        <v>0</v>
      </c>
      <c r="W104" s="124"/>
      <c r="X104" s="1077">
        <f t="shared" si="33"/>
        <v>0</v>
      </c>
      <c r="Y104" s="1077">
        <f t="shared" si="33"/>
        <v>0</v>
      </c>
      <c r="Z104" s="1077">
        <f t="shared" si="33"/>
        <v>0</v>
      </c>
      <c r="AA104" s="1077">
        <f t="shared" si="33"/>
        <v>0</v>
      </c>
      <c r="AB104" s="1077">
        <f t="shared" si="33"/>
        <v>0</v>
      </c>
      <c r="AC104" s="125"/>
      <c r="AD104" s="68"/>
    </row>
    <row r="105" spans="2:30" x14ac:dyDescent="0.2">
      <c r="B105" s="68"/>
      <c r="C105" s="126"/>
      <c r="D105" s="308"/>
      <c r="E105" s="308"/>
      <c r="F105" s="398"/>
      <c r="G105" s="117"/>
      <c r="H105" s="228"/>
      <c r="I105" s="117"/>
      <c r="J105" s="117"/>
      <c r="K105" s="124"/>
      <c r="L105" s="128">
        <f t="shared" si="7"/>
        <v>0</v>
      </c>
      <c r="M105" s="1077">
        <f t="shared" si="14"/>
        <v>0</v>
      </c>
      <c r="N105" s="1077">
        <f t="shared" si="15"/>
        <v>0</v>
      </c>
      <c r="O105" s="1165" t="str">
        <f t="shared" si="16"/>
        <v>-</v>
      </c>
      <c r="P105" s="1077">
        <f t="shared" si="29"/>
        <v>0</v>
      </c>
      <c r="Q105" s="124"/>
      <c r="R105" s="1077">
        <f t="shared" si="17"/>
        <v>0</v>
      </c>
      <c r="S105" s="1077">
        <f t="shared" si="18"/>
        <v>0</v>
      </c>
      <c r="T105" s="1077">
        <f t="shared" si="19"/>
        <v>0</v>
      </c>
      <c r="U105" s="1077">
        <f t="shared" si="31"/>
        <v>0</v>
      </c>
      <c r="V105" s="1077">
        <f t="shared" si="31"/>
        <v>0</v>
      </c>
      <c r="W105" s="124"/>
      <c r="X105" s="1077">
        <f t="shared" si="33"/>
        <v>0</v>
      </c>
      <c r="Y105" s="1077">
        <f t="shared" si="33"/>
        <v>0</v>
      </c>
      <c r="Z105" s="1077">
        <f t="shared" si="33"/>
        <v>0</v>
      </c>
      <c r="AA105" s="1077">
        <f t="shared" si="33"/>
        <v>0</v>
      </c>
      <c r="AB105" s="1077">
        <f t="shared" si="33"/>
        <v>0</v>
      </c>
      <c r="AC105" s="125"/>
      <c r="AD105" s="68"/>
    </row>
    <row r="106" spans="2:30" x14ac:dyDescent="0.2">
      <c r="B106" s="68"/>
      <c r="C106" s="126"/>
      <c r="D106" s="308"/>
      <c r="E106" s="308"/>
      <c r="F106" s="398"/>
      <c r="G106" s="117"/>
      <c r="H106" s="228"/>
      <c r="I106" s="117"/>
      <c r="J106" s="117"/>
      <c r="K106" s="124"/>
      <c r="L106" s="128">
        <f t="shared" si="7"/>
        <v>0</v>
      </c>
      <c r="M106" s="1077">
        <f t="shared" si="14"/>
        <v>0</v>
      </c>
      <c r="N106" s="1077">
        <f t="shared" si="15"/>
        <v>0</v>
      </c>
      <c r="O106" s="1165" t="str">
        <f t="shared" si="16"/>
        <v>-</v>
      </c>
      <c r="P106" s="1077">
        <f t="shared" si="29"/>
        <v>0</v>
      </c>
      <c r="Q106" s="124"/>
      <c r="R106" s="1077">
        <f t="shared" si="17"/>
        <v>0</v>
      </c>
      <c r="S106" s="1077">
        <f t="shared" si="18"/>
        <v>0</v>
      </c>
      <c r="T106" s="1077">
        <f t="shared" si="19"/>
        <v>0</v>
      </c>
      <c r="U106" s="1077">
        <f t="shared" si="31"/>
        <v>0</v>
      </c>
      <c r="V106" s="1077">
        <f t="shared" si="31"/>
        <v>0</v>
      </c>
      <c r="W106" s="124"/>
      <c r="X106" s="1077">
        <f t="shared" si="33"/>
        <v>0</v>
      </c>
      <c r="Y106" s="1077">
        <f t="shared" si="33"/>
        <v>0</v>
      </c>
      <c r="Z106" s="1077">
        <f t="shared" si="33"/>
        <v>0</v>
      </c>
      <c r="AA106" s="1077">
        <f t="shared" si="33"/>
        <v>0</v>
      </c>
      <c r="AB106" s="1077">
        <f t="shared" si="33"/>
        <v>0</v>
      </c>
      <c r="AC106" s="125"/>
      <c r="AD106" s="68"/>
    </row>
    <row r="107" spans="2:30" x14ac:dyDescent="0.2">
      <c r="B107" s="68"/>
      <c r="C107" s="126"/>
      <c r="D107" s="308"/>
      <c r="E107" s="308"/>
      <c r="F107" s="398"/>
      <c r="G107" s="117"/>
      <c r="H107" s="228"/>
      <c r="I107" s="117"/>
      <c r="J107" s="117"/>
      <c r="K107" s="124"/>
      <c r="L107" s="128">
        <f t="shared" si="7"/>
        <v>0</v>
      </c>
      <c r="M107" s="1077">
        <f t="shared" ref="M107:M138" si="34">G107*H107</f>
        <v>0</v>
      </c>
      <c r="N107" s="1077">
        <f t="shared" ref="N107:N138" si="35">IF(G107=0,0,(G107*H107)/L107)</f>
        <v>0</v>
      </c>
      <c r="O107" s="1165" t="str">
        <f t="shared" ref="O107:O138" si="36">IF(L107=0,"-",(IF(L107&gt;3000,"-",I107+L107-1)))</f>
        <v>-</v>
      </c>
      <c r="P107" s="1077">
        <f t="shared" si="29"/>
        <v>0</v>
      </c>
      <c r="Q107" s="124"/>
      <c r="R107" s="1077">
        <f t="shared" ref="R107:R138" si="37">(IF(R$7&lt;$I107,0,IF($O107&lt;=R$7-1,0,$N107)))</f>
        <v>0</v>
      </c>
      <c r="S107" s="1077">
        <f t="shared" ref="S107:S138" si="38">(IF(S$7&lt;$I107,0,IF($O107&lt;=S$7-1,0,$N107)))</f>
        <v>0</v>
      </c>
      <c r="T107" s="1077">
        <f t="shared" ref="T107:T138" si="39">(IF(T$7&lt;$I107,0,IF($O107&lt;=T$7-1,0,$N107)))</f>
        <v>0</v>
      </c>
      <c r="U107" s="1077">
        <f t="shared" si="31"/>
        <v>0</v>
      </c>
      <c r="V107" s="1077">
        <f t="shared" si="31"/>
        <v>0</v>
      </c>
      <c r="W107" s="124"/>
      <c r="X107" s="1077">
        <f t="shared" si="33"/>
        <v>0</v>
      </c>
      <c r="Y107" s="1077">
        <f t="shared" si="33"/>
        <v>0</v>
      </c>
      <c r="Z107" s="1077">
        <f t="shared" si="33"/>
        <v>0</v>
      </c>
      <c r="AA107" s="1077">
        <f t="shared" si="33"/>
        <v>0</v>
      </c>
      <c r="AB107" s="1077">
        <f t="shared" si="33"/>
        <v>0</v>
      </c>
      <c r="AC107" s="125"/>
      <c r="AD107" s="68"/>
    </row>
    <row r="108" spans="2:30" x14ac:dyDescent="0.2">
      <c r="B108" s="68"/>
      <c r="C108" s="126"/>
      <c r="D108" s="308"/>
      <c r="E108" s="308"/>
      <c r="F108" s="398"/>
      <c r="G108" s="117"/>
      <c r="H108" s="228"/>
      <c r="I108" s="117"/>
      <c r="J108" s="117"/>
      <c r="K108" s="124"/>
      <c r="L108" s="128">
        <f t="shared" ref="L108:L145" si="40">IF(J108="geen",9999999999,J108)</f>
        <v>0</v>
      </c>
      <c r="M108" s="1077">
        <f t="shared" si="34"/>
        <v>0</v>
      </c>
      <c r="N108" s="1077">
        <f t="shared" si="35"/>
        <v>0</v>
      </c>
      <c r="O108" s="1165" t="str">
        <f t="shared" si="36"/>
        <v>-</v>
      </c>
      <c r="P108" s="1077">
        <f t="shared" si="29"/>
        <v>0</v>
      </c>
      <c r="Q108" s="124"/>
      <c r="R108" s="1077">
        <f t="shared" si="37"/>
        <v>0</v>
      </c>
      <c r="S108" s="1077">
        <f t="shared" si="38"/>
        <v>0</v>
      </c>
      <c r="T108" s="1077">
        <f t="shared" si="39"/>
        <v>0</v>
      </c>
      <c r="U108" s="1077">
        <f t="shared" si="31"/>
        <v>0</v>
      </c>
      <c r="V108" s="1077">
        <f t="shared" si="31"/>
        <v>0</v>
      </c>
      <c r="W108" s="124"/>
      <c r="X108" s="1077">
        <f t="shared" ref="X108:AB117" si="41">IF(X$7=$I108,($G108*$H108),0)</f>
        <v>0</v>
      </c>
      <c r="Y108" s="1077">
        <f t="shared" si="41"/>
        <v>0</v>
      </c>
      <c r="Z108" s="1077">
        <f t="shared" si="41"/>
        <v>0</v>
      </c>
      <c r="AA108" s="1077">
        <f t="shared" si="41"/>
        <v>0</v>
      </c>
      <c r="AB108" s="1077">
        <f t="shared" si="41"/>
        <v>0</v>
      </c>
      <c r="AC108" s="125"/>
      <c r="AD108" s="68"/>
    </row>
    <row r="109" spans="2:30" x14ac:dyDescent="0.2">
      <c r="B109" s="68"/>
      <c r="C109" s="126"/>
      <c r="D109" s="308"/>
      <c r="E109" s="308"/>
      <c r="F109" s="398"/>
      <c r="G109" s="117"/>
      <c r="H109" s="228"/>
      <c r="I109" s="117"/>
      <c r="J109" s="117"/>
      <c r="K109" s="124"/>
      <c r="L109" s="128">
        <f t="shared" si="40"/>
        <v>0</v>
      </c>
      <c r="M109" s="1077">
        <f t="shared" si="34"/>
        <v>0</v>
      </c>
      <c r="N109" s="1077">
        <f t="shared" si="35"/>
        <v>0</v>
      </c>
      <c r="O109" s="1165" t="str">
        <f t="shared" si="36"/>
        <v>-</v>
      </c>
      <c r="P109" s="1077">
        <f t="shared" si="29"/>
        <v>0</v>
      </c>
      <c r="Q109" s="124"/>
      <c r="R109" s="1077">
        <f t="shared" si="37"/>
        <v>0</v>
      </c>
      <c r="S109" s="1077">
        <f t="shared" si="38"/>
        <v>0</v>
      </c>
      <c r="T109" s="1077">
        <f t="shared" si="39"/>
        <v>0</v>
      </c>
      <c r="U109" s="1077">
        <f t="shared" si="31"/>
        <v>0</v>
      </c>
      <c r="V109" s="1077">
        <f t="shared" si="31"/>
        <v>0</v>
      </c>
      <c r="W109" s="124"/>
      <c r="X109" s="1077">
        <f t="shared" si="41"/>
        <v>0</v>
      </c>
      <c r="Y109" s="1077">
        <f t="shared" si="41"/>
        <v>0</v>
      </c>
      <c r="Z109" s="1077">
        <f t="shared" si="41"/>
        <v>0</v>
      </c>
      <c r="AA109" s="1077">
        <f t="shared" si="41"/>
        <v>0</v>
      </c>
      <c r="AB109" s="1077">
        <f t="shared" si="41"/>
        <v>0</v>
      </c>
      <c r="AC109" s="125"/>
      <c r="AD109" s="68"/>
    </row>
    <row r="110" spans="2:30" x14ac:dyDescent="0.2">
      <c r="B110" s="68"/>
      <c r="C110" s="126"/>
      <c r="D110" s="308"/>
      <c r="E110" s="308"/>
      <c r="F110" s="398"/>
      <c r="G110" s="117"/>
      <c r="H110" s="228"/>
      <c r="I110" s="117"/>
      <c r="J110" s="117"/>
      <c r="K110" s="124"/>
      <c r="L110" s="128">
        <f t="shared" si="40"/>
        <v>0</v>
      </c>
      <c r="M110" s="1077">
        <f t="shared" si="34"/>
        <v>0</v>
      </c>
      <c r="N110" s="1077">
        <f t="shared" si="35"/>
        <v>0</v>
      </c>
      <c r="O110" s="1165" t="str">
        <f t="shared" si="36"/>
        <v>-</v>
      </c>
      <c r="P110" s="1077">
        <f t="shared" si="29"/>
        <v>0</v>
      </c>
      <c r="Q110" s="124"/>
      <c r="R110" s="1077">
        <f t="shared" si="37"/>
        <v>0</v>
      </c>
      <c r="S110" s="1077">
        <f t="shared" si="38"/>
        <v>0</v>
      </c>
      <c r="T110" s="1077">
        <f t="shared" si="39"/>
        <v>0</v>
      </c>
      <c r="U110" s="1077">
        <f t="shared" si="31"/>
        <v>0</v>
      </c>
      <c r="V110" s="1077">
        <f t="shared" si="31"/>
        <v>0</v>
      </c>
      <c r="W110" s="124"/>
      <c r="X110" s="1077">
        <f t="shared" si="41"/>
        <v>0</v>
      </c>
      <c r="Y110" s="1077">
        <f t="shared" si="41"/>
        <v>0</v>
      </c>
      <c r="Z110" s="1077">
        <f t="shared" si="41"/>
        <v>0</v>
      </c>
      <c r="AA110" s="1077">
        <f t="shared" si="41"/>
        <v>0</v>
      </c>
      <c r="AB110" s="1077">
        <f t="shared" si="41"/>
        <v>0</v>
      </c>
      <c r="AC110" s="125"/>
      <c r="AD110" s="68"/>
    </row>
    <row r="111" spans="2:30" x14ac:dyDescent="0.2">
      <c r="B111" s="68"/>
      <c r="C111" s="126"/>
      <c r="D111" s="308"/>
      <c r="E111" s="308"/>
      <c r="F111" s="398"/>
      <c r="G111" s="117"/>
      <c r="H111" s="228"/>
      <c r="I111" s="117"/>
      <c r="J111" s="117"/>
      <c r="K111" s="124"/>
      <c r="L111" s="128">
        <f t="shared" si="40"/>
        <v>0</v>
      </c>
      <c r="M111" s="1077">
        <f t="shared" si="34"/>
        <v>0</v>
      </c>
      <c r="N111" s="1077">
        <f t="shared" si="35"/>
        <v>0</v>
      </c>
      <c r="O111" s="1165" t="str">
        <f t="shared" si="36"/>
        <v>-</v>
      </c>
      <c r="P111" s="1077">
        <f t="shared" si="29"/>
        <v>0</v>
      </c>
      <c r="Q111" s="124"/>
      <c r="R111" s="1077">
        <f t="shared" si="37"/>
        <v>0</v>
      </c>
      <c r="S111" s="1077">
        <f t="shared" si="38"/>
        <v>0</v>
      </c>
      <c r="T111" s="1077">
        <f t="shared" si="39"/>
        <v>0</v>
      </c>
      <c r="U111" s="1077">
        <f t="shared" si="31"/>
        <v>0</v>
      </c>
      <c r="V111" s="1077">
        <f t="shared" si="31"/>
        <v>0</v>
      </c>
      <c r="W111" s="124"/>
      <c r="X111" s="1077">
        <f t="shared" si="41"/>
        <v>0</v>
      </c>
      <c r="Y111" s="1077">
        <f t="shared" si="41"/>
        <v>0</v>
      </c>
      <c r="Z111" s="1077">
        <f t="shared" si="41"/>
        <v>0</v>
      </c>
      <c r="AA111" s="1077">
        <f t="shared" si="41"/>
        <v>0</v>
      </c>
      <c r="AB111" s="1077">
        <f t="shared" si="41"/>
        <v>0</v>
      </c>
      <c r="AC111" s="125"/>
      <c r="AD111" s="68"/>
    </row>
    <row r="112" spans="2:30" x14ac:dyDescent="0.2">
      <c r="B112" s="68"/>
      <c r="C112" s="126"/>
      <c r="D112" s="308"/>
      <c r="E112" s="308"/>
      <c r="F112" s="398"/>
      <c r="G112" s="117"/>
      <c r="H112" s="228"/>
      <c r="I112" s="117"/>
      <c r="J112" s="117"/>
      <c r="K112" s="124"/>
      <c r="L112" s="128">
        <f t="shared" si="40"/>
        <v>0</v>
      </c>
      <c r="M112" s="1077">
        <f t="shared" si="34"/>
        <v>0</v>
      </c>
      <c r="N112" s="1077">
        <f t="shared" si="35"/>
        <v>0</v>
      </c>
      <c r="O112" s="1165" t="str">
        <f t="shared" si="36"/>
        <v>-</v>
      </c>
      <c r="P112" s="1077">
        <f t="shared" si="29"/>
        <v>0</v>
      </c>
      <c r="Q112" s="124"/>
      <c r="R112" s="1077">
        <f t="shared" si="37"/>
        <v>0</v>
      </c>
      <c r="S112" s="1077">
        <f t="shared" si="38"/>
        <v>0</v>
      </c>
      <c r="T112" s="1077">
        <f t="shared" si="39"/>
        <v>0</v>
      </c>
      <c r="U112" s="1077">
        <f t="shared" si="31"/>
        <v>0</v>
      </c>
      <c r="V112" s="1077">
        <f t="shared" si="31"/>
        <v>0</v>
      </c>
      <c r="W112" s="124"/>
      <c r="X112" s="1077">
        <f t="shared" si="41"/>
        <v>0</v>
      </c>
      <c r="Y112" s="1077">
        <f t="shared" si="41"/>
        <v>0</v>
      </c>
      <c r="Z112" s="1077">
        <f t="shared" si="41"/>
        <v>0</v>
      </c>
      <c r="AA112" s="1077">
        <f t="shared" si="41"/>
        <v>0</v>
      </c>
      <c r="AB112" s="1077">
        <f t="shared" si="41"/>
        <v>0</v>
      </c>
      <c r="AC112" s="125"/>
      <c r="AD112" s="68"/>
    </row>
    <row r="113" spans="2:30" x14ac:dyDescent="0.2">
      <c r="B113" s="68"/>
      <c r="C113" s="126"/>
      <c r="D113" s="308"/>
      <c r="E113" s="308"/>
      <c r="F113" s="398"/>
      <c r="G113" s="117"/>
      <c r="H113" s="228"/>
      <c r="I113" s="117"/>
      <c r="J113" s="117"/>
      <c r="K113" s="124"/>
      <c r="L113" s="128">
        <f t="shared" si="40"/>
        <v>0</v>
      </c>
      <c r="M113" s="1077">
        <f t="shared" si="34"/>
        <v>0</v>
      </c>
      <c r="N113" s="1077">
        <f t="shared" si="35"/>
        <v>0</v>
      </c>
      <c r="O113" s="1165" t="str">
        <f t="shared" si="36"/>
        <v>-</v>
      </c>
      <c r="P113" s="1077">
        <f t="shared" si="29"/>
        <v>0</v>
      </c>
      <c r="Q113" s="124"/>
      <c r="R113" s="1077">
        <f t="shared" si="37"/>
        <v>0</v>
      </c>
      <c r="S113" s="1077">
        <f t="shared" si="38"/>
        <v>0</v>
      </c>
      <c r="T113" s="1077">
        <f t="shared" si="39"/>
        <v>0</v>
      </c>
      <c r="U113" s="1077">
        <f t="shared" ref="U113:V132" si="42">(IF(U$7&lt;$I113,0,IF($O113&lt;=U$7-1,0,$N113)))</f>
        <v>0</v>
      </c>
      <c r="V113" s="1077">
        <f t="shared" si="42"/>
        <v>0</v>
      </c>
      <c r="W113" s="124"/>
      <c r="X113" s="1077">
        <f t="shared" si="41"/>
        <v>0</v>
      </c>
      <c r="Y113" s="1077">
        <f t="shared" si="41"/>
        <v>0</v>
      </c>
      <c r="Z113" s="1077">
        <f t="shared" si="41"/>
        <v>0</v>
      </c>
      <c r="AA113" s="1077">
        <f t="shared" si="41"/>
        <v>0</v>
      </c>
      <c r="AB113" s="1077">
        <f t="shared" si="41"/>
        <v>0</v>
      </c>
      <c r="AC113" s="125"/>
      <c r="AD113" s="68"/>
    </row>
    <row r="114" spans="2:30" x14ac:dyDescent="0.2">
      <c r="B114" s="68"/>
      <c r="C114" s="126"/>
      <c r="D114" s="308"/>
      <c r="E114" s="308"/>
      <c r="F114" s="398"/>
      <c r="G114" s="117"/>
      <c r="H114" s="228"/>
      <c r="I114" s="117"/>
      <c r="J114" s="117"/>
      <c r="K114" s="124"/>
      <c r="L114" s="128">
        <f t="shared" si="40"/>
        <v>0</v>
      </c>
      <c r="M114" s="1077">
        <f t="shared" si="34"/>
        <v>0</v>
      </c>
      <c r="N114" s="1077">
        <f t="shared" si="35"/>
        <v>0</v>
      </c>
      <c r="O114" s="1165" t="str">
        <f t="shared" si="36"/>
        <v>-</v>
      </c>
      <c r="P114" s="1077">
        <f t="shared" si="29"/>
        <v>0</v>
      </c>
      <c r="Q114" s="124"/>
      <c r="R114" s="1077">
        <f t="shared" si="37"/>
        <v>0</v>
      </c>
      <c r="S114" s="1077">
        <f t="shared" si="38"/>
        <v>0</v>
      </c>
      <c r="T114" s="1077">
        <f t="shared" si="39"/>
        <v>0</v>
      </c>
      <c r="U114" s="1077">
        <f t="shared" si="42"/>
        <v>0</v>
      </c>
      <c r="V114" s="1077">
        <f t="shared" si="42"/>
        <v>0</v>
      </c>
      <c r="W114" s="124"/>
      <c r="X114" s="1077">
        <f t="shared" si="41"/>
        <v>0</v>
      </c>
      <c r="Y114" s="1077">
        <f t="shared" si="41"/>
        <v>0</v>
      </c>
      <c r="Z114" s="1077">
        <f t="shared" si="41"/>
        <v>0</v>
      </c>
      <c r="AA114" s="1077">
        <f t="shared" si="41"/>
        <v>0</v>
      </c>
      <c r="AB114" s="1077">
        <f t="shared" si="41"/>
        <v>0</v>
      </c>
      <c r="AC114" s="125"/>
      <c r="AD114" s="68"/>
    </row>
    <row r="115" spans="2:30" x14ac:dyDescent="0.2">
      <c r="B115" s="68"/>
      <c r="C115" s="126"/>
      <c r="D115" s="308"/>
      <c r="E115" s="308"/>
      <c r="F115" s="398"/>
      <c r="G115" s="117"/>
      <c r="H115" s="228"/>
      <c r="I115" s="117"/>
      <c r="J115" s="117"/>
      <c r="K115" s="124"/>
      <c r="L115" s="128">
        <f t="shared" si="40"/>
        <v>0</v>
      </c>
      <c r="M115" s="1077">
        <f t="shared" si="34"/>
        <v>0</v>
      </c>
      <c r="N115" s="1077">
        <f t="shared" si="35"/>
        <v>0</v>
      </c>
      <c r="O115" s="1165" t="str">
        <f t="shared" si="36"/>
        <v>-</v>
      </c>
      <c r="P115" s="1077">
        <f t="shared" si="29"/>
        <v>0</v>
      </c>
      <c r="Q115" s="124"/>
      <c r="R115" s="1077">
        <f t="shared" si="37"/>
        <v>0</v>
      </c>
      <c r="S115" s="1077">
        <f t="shared" si="38"/>
        <v>0</v>
      </c>
      <c r="T115" s="1077">
        <f t="shared" si="39"/>
        <v>0</v>
      </c>
      <c r="U115" s="1077">
        <f t="shared" si="42"/>
        <v>0</v>
      </c>
      <c r="V115" s="1077">
        <f t="shared" si="42"/>
        <v>0</v>
      </c>
      <c r="W115" s="124"/>
      <c r="X115" s="1077">
        <f t="shared" si="41"/>
        <v>0</v>
      </c>
      <c r="Y115" s="1077">
        <f t="shared" si="41"/>
        <v>0</v>
      </c>
      <c r="Z115" s="1077">
        <f t="shared" si="41"/>
        <v>0</v>
      </c>
      <c r="AA115" s="1077">
        <f t="shared" si="41"/>
        <v>0</v>
      </c>
      <c r="AB115" s="1077">
        <f t="shared" si="41"/>
        <v>0</v>
      </c>
      <c r="AC115" s="125"/>
      <c r="AD115" s="68"/>
    </row>
    <row r="116" spans="2:30" x14ac:dyDescent="0.2">
      <c r="B116" s="68"/>
      <c r="C116" s="126"/>
      <c r="D116" s="308"/>
      <c r="E116" s="308"/>
      <c r="F116" s="398"/>
      <c r="G116" s="117"/>
      <c r="H116" s="228"/>
      <c r="I116" s="117"/>
      <c r="J116" s="117"/>
      <c r="K116" s="124"/>
      <c r="L116" s="128">
        <f t="shared" si="40"/>
        <v>0</v>
      </c>
      <c r="M116" s="1077">
        <f t="shared" si="34"/>
        <v>0</v>
      </c>
      <c r="N116" s="1077">
        <f t="shared" si="35"/>
        <v>0</v>
      </c>
      <c r="O116" s="1165" t="str">
        <f t="shared" si="36"/>
        <v>-</v>
      </c>
      <c r="P116" s="1077">
        <f t="shared" si="29"/>
        <v>0</v>
      </c>
      <c r="Q116" s="124"/>
      <c r="R116" s="1077">
        <f t="shared" si="37"/>
        <v>0</v>
      </c>
      <c r="S116" s="1077">
        <f t="shared" si="38"/>
        <v>0</v>
      </c>
      <c r="T116" s="1077">
        <f t="shared" si="39"/>
        <v>0</v>
      </c>
      <c r="U116" s="1077">
        <f t="shared" si="42"/>
        <v>0</v>
      </c>
      <c r="V116" s="1077">
        <f t="shared" si="42"/>
        <v>0</v>
      </c>
      <c r="W116" s="124"/>
      <c r="X116" s="1077">
        <f t="shared" si="41"/>
        <v>0</v>
      </c>
      <c r="Y116" s="1077">
        <f t="shared" si="41"/>
        <v>0</v>
      </c>
      <c r="Z116" s="1077">
        <f t="shared" si="41"/>
        <v>0</v>
      </c>
      <c r="AA116" s="1077">
        <f t="shared" si="41"/>
        <v>0</v>
      </c>
      <c r="AB116" s="1077">
        <f t="shared" si="41"/>
        <v>0</v>
      </c>
      <c r="AC116" s="125"/>
      <c r="AD116" s="68"/>
    </row>
    <row r="117" spans="2:30" x14ac:dyDescent="0.2">
      <c r="B117" s="68"/>
      <c r="C117" s="126"/>
      <c r="D117" s="308"/>
      <c r="E117" s="308"/>
      <c r="F117" s="398"/>
      <c r="G117" s="117"/>
      <c r="H117" s="228"/>
      <c r="I117" s="117"/>
      <c r="J117" s="117"/>
      <c r="K117" s="124"/>
      <c r="L117" s="128">
        <f t="shared" si="40"/>
        <v>0</v>
      </c>
      <c r="M117" s="1077">
        <f t="shared" si="34"/>
        <v>0</v>
      </c>
      <c r="N117" s="1077">
        <f t="shared" si="35"/>
        <v>0</v>
      </c>
      <c r="O117" s="1165" t="str">
        <f t="shared" si="36"/>
        <v>-</v>
      </c>
      <c r="P117" s="1077">
        <f t="shared" si="29"/>
        <v>0</v>
      </c>
      <c r="Q117" s="124"/>
      <c r="R117" s="1077">
        <f t="shared" si="37"/>
        <v>0</v>
      </c>
      <c r="S117" s="1077">
        <f t="shared" si="38"/>
        <v>0</v>
      </c>
      <c r="T117" s="1077">
        <f t="shared" si="39"/>
        <v>0</v>
      </c>
      <c r="U117" s="1077">
        <f t="shared" si="42"/>
        <v>0</v>
      </c>
      <c r="V117" s="1077">
        <f t="shared" si="42"/>
        <v>0</v>
      </c>
      <c r="W117" s="124"/>
      <c r="X117" s="1077">
        <f t="shared" si="41"/>
        <v>0</v>
      </c>
      <c r="Y117" s="1077">
        <f t="shared" si="41"/>
        <v>0</v>
      </c>
      <c r="Z117" s="1077">
        <f t="shared" si="41"/>
        <v>0</v>
      </c>
      <c r="AA117" s="1077">
        <f t="shared" si="41"/>
        <v>0</v>
      </c>
      <c r="AB117" s="1077">
        <f t="shared" si="41"/>
        <v>0</v>
      </c>
      <c r="AC117" s="125"/>
      <c r="AD117" s="68"/>
    </row>
    <row r="118" spans="2:30" x14ac:dyDescent="0.2">
      <c r="B118" s="68"/>
      <c r="C118" s="126"/>
      <c r="D118" s="308"/>
      <c r="E118" s="308"/>
      <c r="F118" s="398"/>
      <c r="G118" s="117"/>
      <c r="H118" s="228"/>
      <c r="I118" s="117"/>
      <c r="J118" s="117"/>
      <c r="K118" s="124"/>
      <c r="L118" s="128">
        <f t="shared" si="40"/>
        <v>0</v>
      </c>
      <c r="M118" s="1077">
        <f t="shared" si="34"/>
        <v>0</v>
      </c>
      <c r="N118" s="1077">
        <f t="shared" si="35"/>
        <v>0</v>
      </c>
      <c r="O118" s="1165" t="str">
        <f t="shared" si="36"/>
        <v>-</v>
      </c>
      <c r="P118" s="1077">
        <f t="shared" si="29"/>
        <v>0</v>
      </c>
      <c r="Q118" s="124"/>
      <c r="R118" s="1077">
        <f t="shared" si="37"/>
        <v>0</v>
      </c>
      <c r="S118" s="1077">
        <f t="shared" si="38"/>
        <v>0</v>
      </c>
      <c r="T118" s="1077">
        <f t="shared" si="39"/>
        <v>0</v>
      </c>
      <c r="U118" s="1077">
        <f t="shared" si="42"/>
        <v>0</v>
      </c>
      <c r="V118" s="1077">
        <f t="shared" si="42"/>
        <v>0</v>
      </c>
      <c r="W118" s="124"/>
      <c r="X118" s="1077">
        <f t="shared" ref="X118:AB127" si="43">IF(X$7=$I118,($G118*$H118),0)</f>
        <v>0</v>
      </c>
      <c r="Y118" s="1077">
        <f t="shared" si="43"/>
        <v>0</v>
      </c>
      <c r="Z118" s="1077">
        <f t="shared" si="43"/>
        <v>0</v>
      </c>
      <c r="AA118" s="1077">
        <f t="shared" si="43"/>
        <v>0</v>
      </c>
      <c r="AB118" s="1077">
        <f t="shared" si="43"/>
        <v>0</v>
      </c>
      <c r="AC118" s="125"/>
      <c r="AD118" s="68"/>
    </row>
    <row r="119" spans="2:30" x14ac:dyDescent="0.2">
      <c r="B119" s="68"/>
      <c r="C119" s="126"/>
      <c r="D119" s="308"/>
      <c r="E119" s="308"/>
      <c r="F119" s="398"/>
      <c r="G119" s="117"/>
      <c r="H119" s="228"/>
      <c r="I119" s="117"/>
      <c r="J119" s="117"/>
      <c r="K119" s="124"/>
      <c r="L119" s="128">
        <f t="shared" si="40"/>
        <v>0</v>
      </c>
      <c r="M119" s="1077">
        <f t="shared" si="34"/>
        <v>0</v>
      </c>
      <c r="N119" s="1077">
        <f t="shared" si="35"/>
        <v>0</v>
      </c>
      <c r="O119" s="1165" t="str">
        <f t="shared" si="36"/>
        <v>-</v>
      </c>
      <c r="P119" s="1077">
        <f t="shared" si="29"/>
        <v>0</v>
      </c>
      <c r="Q119" s="124"/>
      <c r="R119" s="1077">
        <f t="shared" si="37"/>
        <v>0</v>
      </c>
      <c r="S119" s="1077">
        <f t="shared" si="38"/>
        <v>0</v>
      </c>
      <c r="T119" s="1077">
        <f t="shared" si="39"/>
        <v>0</v>
      </c>
      <c r="U119" s="1077">
        <f t="shared" si="42"/>
        <v>0</v>
      </c>
      <c r="V119" s="1077">
        <f t="shared" si="42"/>
        <v>0</v>
      </c>
      <c r="W119" s="124"/>
      <c r="X119" s="1077">
        <f t="shared" si="43"/>
        <v>0</v>
      </c>
      <c r="Y119" s="1077">
        <f t="shared" si="43"/>
        <v>0</v>
      </c>
      <c r="Z119" s="1077">
        <f t="shared" si="43"/>
        <v>0</v>
      </c>
      <c r="AA119" s="1077">
        <f t="shared" si="43"/>
        <v>0</v>
      </c>
      <c r="AB119" s="1077">
        <f t="shared" si="43"/>
        <v>0</v>
      </c>
      <c r="AC119" s="125"/>
      <c r="AD119" s="68"/>
    </row>
    <row r="120" spans="2:30" x14ac:dyDescent="0.2">
      <c r="B120" s="68"/>
      <c r="C120" s="126"/>
      <c r="D120" s="308"/>
      <c r="E120" s="308"/>
      <c r="F120" s="398"/>
      <c r="G120" s="117"/>
      <c r="H120" s="228"/>
      <c r="I120" s="117"/>
      <c r="J120" s="117"/>
      <c r="K120" s="124"/>
      <c r="L120" s="128">
        <f t="shared" si="40"/>
        <v>0</v>
      </c>
      <c r="M120" s="1077">
        <f t="shared" si="34"/>
        <v>0</v>
      </c>
      <c r="N120" s="1077">
        <f t="shared" si="35"/>
        <v>0</v>
      </c>
      <c r="O120" s="1165" t="str">
        <f t="shared" si="36"/>
        <v>-</v>
      </c>
      <c r="P120" s="1077">
        <f t="shared" si="29"/>
        <v>0</v>
      </c>
      <c r="Q120" s="124"/>
      <c r="R120" s="1077">
        <f t="shared" si="37"/>
        <v>0</v>
      </c>
      <c r="S120" s="1077">
        <f t="shared" si="38"/>
        <v>0</v>
      </c>
      <c r="T120" s="1077">
        <f t="shared" si="39"/>
        <v>0</v>
      </c>
      <c r="U120" s="1077">
        <f t="shared" si="42"/>
        <v>0</v>
      </c>
      <c r="V120" s="1077">
        <f t="shared" si="42"/>
        <v>0</v>
      </c>
      <c r="W120" s="124"/>
      <c r="X120" s="1077">
        <f t="shared" si="43"/>
        <v>0</v>
      </c>
      <c r="Y120" s="1077">
        <f t="shared" si="43"/>
        <v>0</v>
      </c>
      <c r="Z120" s="1077">
        <f t="shared" si="43"/>
        <v>0</v>
      </c>
      <c r="AA120" s="1077">
        <f t="shared" si="43"/>
        <v>0</v>
      </c>
      <c r="AB120" s="1077">
        <f t="shared" si="43"/>
        <v>0</v>
      </c>
      <c r="AC120" s="125"/>
      <c r="AD120" s="68"/>
    </row>
    <row r="121" spans="2:30" x14ac:dyDescent="0.2">
      <c r="B121" s="68"/>
      <c r="C121" s="126"/>
      <c r="D121" s="308"/>
      <c r="E121" s="308"/>
      <c r="F121" s="398"/>
      <c r="G121" s="117"/>
      <c r="H121" s="228"/>
      <c r="I121" s="117"/>
      <c r="J121" s="117"/>
      <c r="K121" s="124"/>
      <c r="L121" s="128">
        <f t="shared" si="40"/>
        <v>0</v>
      </c>
      <c r="M121" s="1077">
        <f t="shared" si="34"/>
        <v>0</v>
      </c>
      <c r="N121" s="1077">
        <f t="shared" si="35"/>
        <v>0</v>
      </c>
      <c r="O121" s="1165" t="str">
        <f t="shared" si="36"/>
        <v>-</v>
      </c>
      <c r="P121" s="1077">
        <f t="shared" si="29"/>
        <v>0</v>
      </c>
      <c r="Q121" s="124"/>
      <c r="R121" s="1077">
        <f t="shared" si="37"/>
        <v>0</v>
      </c>
      <c r="S121" s="1077">
        <f t="shared" si="38"/>
        <v>0</v>
      </c>
      <c r="T121" s="1077">
        <f t="shared" si="39"/>
        <v>0</v>
      </c>
      <c r="U121" s="1077">
        <f t="shared" si="42"/>
        <v>0</v>
      </c>
      <c r="V121" s="1077">
        <f t="shared" si="42"/>
        <v>0</v>
      </c>
      <c r="W121" s="124"/>
      <c r="X121" s="1077">
        <f t="shared" si="43"/>
        <v>0</v>
      </c>
      <c r="Y121" s="1077">
        <f t="shared" si="43"/>
        <v>0</v>
      </c>
      <c r="Z121" s="1077">
        <f t="shared" si="43"/>
        <v>0</v>
      </c>
      <c r="AA121" s="1077">
        <f t="shared" si="43"/>
        <v>0</v>
      </c>
      <c r="AB121" s="1077">
        <f t="shared" si="43"/>
        <v>0</v>
      </c>
      <c r="AC121" s="125"/>
      <c r="AD121" s="68"/>
    </row>
    <row r="122" spans="2:30" x14ac:dyDescent="0.2">
      <c r="B122" s="68"/>
      <c r="C122" s="126"/>
      <c r="D122" s="308"/>
      <c r="E122" s="308"/>
      <c r="F122" s="398"/>
      <c r="G122" s="117"/>
      <c r="H122" s="228"/>
      <c r="I122" s="117"/>
      <c r="J122" s="117"/>
      <c r="K122" s="124"/>
      <c r="L122" s="128">
        <f t="shared" si="40"/>
        <v>0</v>
      </c>
      <c r="M122" s="1077">
        <f t="shared" si="34"/>
        <v>0</v>
      </c>
      <c r="N122" s="1077">
        <f t="shared" si="35"/>
        <v>0</v>
      </c>
      <c r="O122" s="1165" t="str">
        <f t="shared" si="36"/>
        <v>-</v>
      </c>
      <c r="P122" s="1077">
        <f t="shared" si="29"/>
        <v>0</v>
      </c>
      <c r="Q122" s="124"/>
      <c r="R122" s="1077">
        <f t="shared" si="37"/>
        <v>0</v>
      </c>
      <c r="S122" s="1077">
        <f t="shared" si="38"/>
        <v>0</v>
      </c>
      <c r="T122" s="1077">
        <f t="shared" si="39"/>
        <v>0</v>
      </c>
      <c r="U122" s="1077">
        <f t="shared" si="42"/>
        <v>0</v>
      </c>
      <c r="V122" s="1077">
        <f t="shared" si="42"/>
        <v>0</v>
      </c>
      <c r="W122" s="124"/>
      <c r="X122" s="1077">
        <f t="shared" si="43"/>
        <v>0</v>
      </c>
      <c r="Y122" s="1077">
        <f t="shared" si="43"/>
        <v>0</v>
      </c>
      <c r="Z122" s="1077">
        <f t="shared" si="43"/>
        <v>0</v>
      </c>
      <c r="AA122" s="1077">
        <f t="shared" si="43"/>
        <v>0</v>
      </c>
      <c r="AB122" s="1077">
        <f t="shared" si="43"/>
        <v>0</v>
      </c>
      <c r="AC122" s="125"/>
      <c r="AD122" s="68"/>
    </row>
    <row r="123" spans="2:30" x14ac:dyDescent="0.2">
      <c r="B123" s="68"/>
      <c r="C123" s="126"/>
      <c r="D123" s="308"/>
      <c r="E123" s="308"/>
      <c r="F123" s="398"/>
      <c r="G123" s="117"/>
      <c r="H123" s="228"/>
      <c r="I123" s="117"/>
      <c r="J123" s="117"/>
      <c r="K123" s="124"/>
      <c r="L123" s="128">
        <f t="shared" si="40"/>
        <v>0</v>
      </c>
      <c r="M123" s="1077">
        <f t="shared" si="34"/>
        <v>0</v>
      </c>
      <c r="N123" s="1077">
        <f t="shared" si="35"/>
        <v>0</v>
      </c>
      <c r="O123" s="1165" t="str">
        <f t="shared" si="36"/>
        <v>-</v>
      </c>
      <c r="P123" s="1077">
        <f t="shared" si="29"/>
        <v>0</v>
      </c>
      <c r="Q123" s="124"/>
      <c r="R123" s="1077">
        <f t="shared" si="37"/>
        <v>0</v>
      </c>
      <c r="S123" s="1077">
        <f t="shared" si="38"/>
        <v>0</v>
      </c>
      <c r="T123" s="1077">
        <f t="shared" si="39"/>
        <v>0</v>
      </c>
      <c r="U123" s="1077">
        <f t="shared" si="42"/>
        <v>0</v>
      </c>
      <c r="V123" s="1077">
        <f t="shared" si="42"/>
        <v>0</v>
      </c>
      <c r="W123" s="124"/>
      <c r="X123" s="1077">
        <f t="shared" si="43"/>
        <v>0</v>
      </c>
      <c r="Y123" s="1077">
        <f t="shared" si="43"/>
        <v>0</v>
      </c>
      <c r="Z123" s="1077">
        <f t="shared" si="43"/>
        <v>0</v>
      </c>
      <c r="AA123" s="1077">
        <f t="shared" si="43"/>
        <v>0</v>
      </c>
      <c r="AB123" s="1077">
        <f t="shared" si="43"/>
        <v>0</v>
      </c>
      <c r="AC123" s="125"/>
      <c r="AD123" s="68"/>
    </row>
    <row r="124" spans="2:30" x14ac:dyDescent="0.2">
      <c r="B124" s="68"/>
      <c r="C124" s="126"/>
      <c r="D124" s="308"/>
      <c r="E124" s="308"/>
      <c r="F124" s="398"/>
      <c r="G124" s="117"/>
      <c r="H124" s="228"/>
      <c r="I124" s="117"/>
      <c r="J124" s="117"/>
      <c r="K124" s="124"/>
      <c r="L124" s="128">
        <f t="shared" si="40"/>
        <v>0</v>
      </c>
      <c r="M124" s="1077">
        <f t="shared" si="34"/>
        <v>0</v>
      </c>
      <c r="N124" s="1077">
        <f t="shared" si="35"/>
        <v>0</v>
      </c>
      <c r="O124" s="1165" t="str">
        <f t="shared" si="36"/>
        <v>-</v>
      </c>
      <c r="P124" s="1077">
        <f t="shared" si="29"/>
        <v>0</v>
      </c>
      <c r="Q124" s="124"/>
      <c r="R124" s="1077">
        <f t="shared" si="37"/>
        <v>0</v>
      </c>
      <c r="S124" s="1077">
        <f t="shared" si="38"/>
        <v>0</v>
      </c>
      <c r="T124" s="1077">
        <f t="shared" si="39"/>
        <v>0</v>
      </c>
      <c r="U124" s="1077">
        <f t="shared" si="42"/>
        <v>0</v>
      </c>
      <c r="V124" s="1077">
        <f t="shared" si="42"/>
        <v>0</v>
      </c>
      <c r="W124" s="124"/>
      <c r="X124" s="1077">
        <f t="shared" si="43"/>
        <v>0</v>
      </c>
      <c r="Y124" s="1077">
        <f t="shared" si="43"/>
        <v>0</v>
      </c>
      <c r="Z124" s="1077">
        <f t="shared" si="43"/>
        <v>0</v>
      </c>
      <c r="AA124" s="1077">
        <f t="shared" si="43"/>
        <v>0</v>
      </c>
      <c r="AB124" s="1077">
        <f t="shared" si="43"/>
        <v>0</v>
      </c>
      <c r="AC124" s="125"/>
      <c r="AD124" s="68"/>
    </row>
    <row r="125" spans="2:30" x14ac:dyDescent="0.2">
      <c r="B125" s="68"/>
      <c r="C125" s="126"/>
      <c r="D125" s="308"/>
      <c r="E125" s="308"/>
      <c r="F125" s="398"/>
      <c r="G125" s="117"/>
      <c r="H125" s="228"/>
      <c r="I125" s="117"/>
      <c r="J125" s="117"/>
      <c r="K125" s="124"/>
      <c r="L125" s="128">
        <f t="shared" si="40"/>
        <v>0</v>
      </c>
      <c r="M125" s="1077">
        <f t="shared" si="34"/>
        <v>0</v>
      </c>
      <c r="N125" s="1077">
        <f t="shared" si="35"/>
        <v>0</v>
      </c>
      <c r="O125" s="1165" t="str">
        <f t="shared" si="36"/>
        <v>-</v>
      </c>
      <c r="P125" s="1077">
        <f t="shared" si="29"/>
        <v>0</v>
      </c>
      <c r="Q125" s="124"/>
      <c r="R125" s="1077">
        <f t="shared" si="37"/>
        <v>0</v>
      </c>
      <c r="S125" s="1077">
        <f t="shared" si="38"/>
        <v>0</v>
      </c>
      <c r="T125" s="1077">
        <f t="shared" si="39"/>
        <v>0</v>
      </c>
      <c r="U125" s="1077">
        <f t="shared" si="42"/>
        <v>0</v>
      </c>
      <c r="V125" s="1077">
        <f t="shared" si="42"/>
        <v>0</v>
      </c>
      <c r="W125" s="124"/>
      <c r="X125" s="1077">
        <f t="shared" si="43"/>
        <v>0</v>
      </c>
      <c r="Y125" s="1077">
        <f t="shared" si="43"/>
        <v>0</v>
      </c>
      <c r="Z125" s="1077">
        <f t="shared" si="43"/>
        <v>0</v>
      </c>
      <c r="AA125" s="1077">
        <f t="shared" si="43"/>
        <v>0</v>
      </c>
      <c r="AB125" s="1077">
        <f t="shared" si="43"/>
        <v>0</v>
      </c>
      <c r="AC125" s="125"/>
      <c r="AD125" s="68"/>
    </row>
    <row r="126" spans="2:30" x14ac:dyDescent="0.2">
      <c r="B126" s="68"/>
      <c r="C126" s="126"/>
      <c r="D126" s="308"/>
      <c r="E126" s="308"/>
      <c r="F126" s="398"/>
      <c r="G126" s="117"/>
      <c r="H126" s="228"/>
      <c r="I126" s="117"/>
      <c r="J126" s="117"/>
      <c r="K126" s="124"/>
      <c r="L126" s="128">
        <f t="shared" si="40"/>
        <v>0</v>
      </c>
      <c r="M126" s="1077">
        <f t="shared" si="34"/>
        <v>0</v>
      </c>
      <c r="N126" s="1077">
        <f t="shared" si="35"/>
        <v>0</v>
      </c>
      <c r="O126" s="1165" t="str">
        <f t="shared" si="36"/>
        <v>-</v>
      </c>
      <c r="P126" s="1077">
        <f t="shared" si="29"/>
        <v>0</v>
      </c>
      <c r="Q126" s="124"/>
      <c r="R126" s="1077">
        <f t="shared" si="37"/>
        <v>0</v>
      </c>
      <c r="S126" s="1077">
        <f t="shared" si="38"/>
        <v>0</v>
      </c>
      <c r="T126" s="1077">
        <f t="shared" si="39"/>
        <v>0</v>
      </c>
      <c r="U126" s="1077">
        <f t="shared" si="42"/>
        <v>0</v>
      </c>
      <c r="V126" s="1077">
        <f t="shared" si="42"/>
        <v>0</v>
      </c>
      <c r="W126" s="124"/>
      <c r="X126" s="1077">
        <f t="shared" si="43"/>
        <v>0</v>
      </c>
      <c r="Y126" s="1077">
        <f t="shared" si="43"/>
        <v>0</v>
      </c>
      <c r="Z126" s="1077">
        <f t="shared" si="43"/>
        <v>0</v>
      </c>
      <c r="AA126" s="1077">
        <f t="shared" si="43"/>
        <v>0</v>
      </c>
      <c r="AB126" s="1077">
        <f t="shared" si="43"/>
        <v>0</v>
      </c>
      <c r="AC126" s="125"/>
      <c r="AD126" s="68"/>
    </row>
    <row r="127" spans="2:30" x14ac:dyDescent="0.2">
      <c r="B127" s="68"/>
      <c r="C127" s="126"/>
      <c r="D127" s="308"/>
      <c r="E127" s="308"/>
      <c r="F127" s="398"/>
      <c r="G127" s="117"/>
      <c r="H127" s="228"/>
      <c r="I127" s="117"/>
      <c r="J127" s="117"/>
      <c r="K127" s="124"/>
      <c r="L127" s="128">
        <f t="shared" si="40"/>
        <v>0</v>
      </c>
      <c r="M127" s="1077">
        <f t="shared" si="34"/>
        <v>0</v>
      </c>
      <c r="N127" s="1077">
        <f t="shared" si="35"/>
        <v>0</v>
      </c>
      <c r="O127" s="1165" t="str">
        <f t="shared" si="36"/>
        <v>-</v>
      </c>
      <c r="P127" s="1077">
        <f t="shared" si="29"/>
        <v>0</v>
      </c>
      <c r="Q127" s="124"/>
      <c r="R127" s="1077">
        <f t="shared" si="37"/>
        <v>0</v>
      </c>
      <c r="S127" s="1077">
        <f t="shared" si="38"/>
        <v>0</v>
      </c>
      <c r="T127" s="1077">
        <f t="shared" si="39"/>
        <v>0</v>
      </c>
      <c r="U127" s="1077">
        <f t="shared" si="42"/>
        <v>0</v>
      </c>
      <c r="V127" s="1077">
        <f t="shared" si="42"/>
        <v>0</v>
      </c>
      <c r="W127" s="124"/>
      <c r="X127" s="1077">
        <f t="shared" si="43"/>
        <v>0</v>
      </c>
      <c r="Y127" s="1077">
        <f t="shared" si="43"/>
        <v>0</v>
      </c>
      <c r="Z127" s="1077">
        <f t="shared" si="43"/>
        <v>0</v>
      </c>
      <c r="AA127" s="1077">
        <f t="shared" si="43"/>
        <v>0</v>
      </c>
      <c r="AB127" s="1077">
        <f t="shared" si="43"/>
        <v>0</v>
      </c>
      <c r="AC127" s="125"/>
      <c r="AD127" s="68"/>
    </row>
    <row r="128" spans="2:30" x14ac:dyDescent="0.2">
      <c r="B128" s="68"/>
      <c r="C128" s="126"/>
      <c r="D128" s="308"/>
      <c r="E128" s="308"/>
      <c r="F128" s="398"/>
      <c r="G128" s="117"/>
      <c r="H128" s="228"/>
      <c r="I128" s="117"/>
      <c r="J128" s="117"/>
      <c r="K128" s="124"/>
      <c r="L128" s="128">
        <f t="shared" si="40"/>
        <v>0</v>
      </c>
      <c r="M128" s="1077">
        <f t="shared" si="34"/>
        <v>0</v>
      </c>
      <c r="N128" s="1077">
        <f t="shared" si="35"/>
        <v>0</v>
      </c>
      <c r="O128" s="1165" t="str">
        <f t="shared" si="36"/>
        <v>-</v>
      </c>
      <c r="P128" s="1077">
        <f t="shared" si="29"/>
        <v>0</v>
      </c>
      <c r="Q128" s="124"/>
      <c r="R128" s="1077">
        <f t="shared" si="37"/>
        <v>0</v>
      </c>
      <c r="S128" s="1077">
        <f t="shared" si="38"/>
        <v>0</v>
      </c>
      <c r="T128" s="1077">
        <f t="shared" si="39"/>
        <v>0</v>
      </c>
      <c r="U128" s="1077">
        <f t="shared" si="42"/>
        <v>0</v>
      </c>
      <c r="V128" s="1077">
        <f t="shared" si="42"/>
        <v>0</v>
      </c>
      <c r="W128" s="124"/>
      <c r="X128" s="1077">
        <f t="shared" ref="X128:AB137" si="44">IF(X$7=$I128,($G128*$H128),0)</f>
        <v>0</v>
      </c>
      <c r="Y128" s="1077">
        <f t="shared" si="44"/>
        <v>0</v>
      </c>
      <c r="Z128" s="1077">
        <f t="shared" si="44"/>
        <v>0</v>
      </c>
      <c r="AA128" s="1077">
        <f t="shared" si="44"/>
        <v>0</v>
      </c>
      <c r="AB128" s="1077">
        <f t="shared" si="44"/>
        <v>0</v>
      </c>
      <c r="AC128" s="125"/>
      <c r="AD128" s="68"/>
    </row>
    <row r="129" spans="2:30" x14ac:dyDescent="0.2">
      <c r="B129" s="68"/>
      <c r="C129" s="126"/>
      <c r="D129" s="308"/>
      <c r="E129" s="308"/>
      <c r="F129" s="398"/>
      <c r="G129" s="117"/>
      <c r="H129" s="228"/>
      <c r="I129" s="117"/>
      <c r="J129" s="117"/>
      <c r="K129" s="124"/>
      <c r="L129" s="128">
        <f t="shared" si="40"/>
        <v>0</v>
      </c>
      <c r="M129" s="1077">
        <f t="shared" si="34"/>
        <v>0</v>
      </c>
      <c r="N129" s="1077">
        <f t="shared" si="35"/>
        <v>0</v>
      </c>
      <c r="O129" s="1165" t="str">
        <f t="shared" si="36"/>
        <v>-</v>
      </c>
      <c r="P129" s="1077">
        <f t="shared" si="29"/>
        <v>0</v>
      </c>
      <c r="Q129" s="124"/>
      <c r="R129" s="1077">
        <f t="shared" si="37"/>
        <v>0</v>
      </c>
      <c r="S129" s="1077">
        <f t="shared" si="38"/>
        <v>0</v>
      </c>
      <c r="T129" s="1077">
        <f t="shared" si="39"/>
        <v>0</v>
      </c>
      <c r="U129" s="1077">
        <f t="shared" si="42"/>
        <v>0</v>
      </c>
      <c r="V129" s="1077">
        <f t="shared" si="42"/>
        <v>0</v>
      </c>
      <c r="W129" s="124"/>
      <c r="X129" s="1077">
        <f t="shared" si="44"/>
        <v>0</v>
      </c>
      <c r="Y129" s="1077">
        <f t="shared" si="44"/>
        <v>0</v>
      </c>
      <c r="Z129" s="1077">
        <f t="shared" si="44"/>
        <v>0</v>
      </c>
      <c r="AA129" s="1077">
        <f t="shared" si="44"/>
        <v>0</v>
      </c>
      <c r="AB129" s="1077">
        <f t="shared" si="44"/>
        <v>0</v>
      </c>
      <c r="AC129" s="125"/>
      <c r="AD129" s="68"/>
    </row>
    <row r="130" spans="2:30" x14ac:dyDescent="0.2">
      <c r="B130" s="68"/>
      <c r="C130" s="126"/>
      <c r="D130" s="308"/>
      <c r="E130" s="308"/>
      <c r="F130" s="398"/>
      <c r="G130" s="117"/>
      <c r="H130" s="228"/>
      <c r="I130" s="117"/>
      <c r="J130" s="117"/>
      <c r="K130" s="124"/>
      <c r="L130" s="128">
        <f t="shared" si="40"/>
        <v>0</v>
      </c>
      <c r="M130" s="1077">
        <f t="shared" si="34"/>
        <v>0</v>
      </c>
      <c r="N130" s="1077">
        <f t="shared" si="35"/>
        <v>0</v>
      </c>
      <c r="O130" s="1165" t="str">
        <f t="shared" si="36"/>
        <v>-</v>
      </c>
      <c r="P130" s="1077">
        <f t="shared" si="29"/>
        <v>0</v>
      </c>
      <c r="Q130" s="124"/>
      <c r="R130" s="1077">
        <f t="shared" si="37"/>
        <v>0</v>
      </c>
      <c r="S130" s="1077">
        <f t="shared" si="38"/>
        <v>0</v>
      </c>
      <c r="T130" s="1077">
        <f t="shared" si="39"/>
        <v>0</v>
      </c>
      <c r="U130" s="1077">
        <f t="shared" si="42"/>
        <v>0</v>
      </c>
      <c r="V130" s="1077">
        <f t="shared" si="42"/>
        <v>0</v>
      </c>
      <c r="W130" s="124"/>
      <c r="X130" s="1077">
        <f t="shared" si="44"/>
        <v>0</v>
      </c>
      <c r="Y130" s="1077">
        <f t="shared" si="44"/>
        <v>0</v>
      </c>
      <c r="Z130" s="1077">
        <f t="shared" si="44"/>
        <v>0</v>
      </c>
      <c r="AA130" s="1077">
        <f t="shared" si="44"/>
        <v>0</v>
      </c>
      <c r="AB130" s="1077">
        <f t="shared" si="44"/>
        <v>0</v>
      </c>
      <c r="AC130" s="125"/>
      <c r="AD130" s="68"/>
    </row>
    <row r="131" spans="2:30" x14ac:dyDescent="0.2">
      <c r="B131" s="68"/>
      <c r="C131" s="126"/>
      <c r="D131" s="308"/>
      <c r="E131" s="308"/>
      <c r="F131" s="398"/>
      <c r="G131" s="117"/>
      <c r="H131" s="228"/>
      <c r="I131" s="117"/>
      <c r="J131" s="117"/>
      <c r="K131" s="124"/>
      <c r="L131" s="128">
        <f t="shared" si="40"/>
        <v>0</v>
      </c>
      <c r="M131" s="1077">
        <f t="shared" si="34"/>
        <v>0</v>
      </c>
      <c r="N131" s="1077">
        <f t="shared" si="35"/>
        <v>0</v>
      </c>
      <c r="O131" s="1165" t="str">
        <f t="shared" si="36"/>
        <v>-</v>
      </c>
      <c r="P131" s="1077">
        <f t="shared" si="29"/>
        <v>0</v>
      </c>
      <c r="Q131" s="124"/>
      <c r="R131" s="1077">
        <f t="shared" si="37"/>
        <v>0</v>
      </c>
      <c r="S131" s="1077">
        <f t="shared" si="38"/>
        <v>0</v>
      </c>
      <c r="T131" s="1077">
        <f t="shared" si="39"/>
        <v>0</v>
      </c>
      <c r="U131" s="1077">
        <f t="shared" si="42"/>
        <v>0</v>
      </c>
      <c r="V131" s="1077">
        <f t="shared" si="42"/>
        <v>0</v>
      </c>
      <c r="W131" s="124"/>
      <c r="X131" s="1077">
        <f t="shared" si="44"/>
        <v>0</v>
      </c>
      <c r="Y131" s="1077">
        <f t="shared" si="44"/>
        <v>0</v>
      </c>
      <c r="Z131" s="1077">
        <f t="shared" si="44"/>
        <v>0</v>
      </c>
      <c r="AA131" s="1077">
        <f t="shared" si="44"/>
        <v>0</v>
      </c>
      <c r="AB131" s="1077">
        <f t="shared" si="44"/>
        <v>0</v>
      </c>
      <c r="AC131" s="125"/>
      <c r="AD131" s="68"/>
    </row>
    <row r="132" spans="2:30" x14ac:dyDescent="0.2">
      <c r="B132" s="68"/>
      <c r="C132" s="126"/>
      <c r="D132" s="308"/>
      <c r="E132" s="308"/>
      <c r="F132" s="398"/>
      <c r="G132" s="117"/>
      <c r="H132" s="228"/>
      <c r="I132" s="117"/>
      <c r="J132" s="117"/>
      <c r="K132" s="124"/>
      <c r="L132" s="128">
        <f t="shared" si="40"/>
        <v>0</v>
      </c>
      <c r="M132" s="1077">
        <f t="shared" si="34"/>
        <v>0</v>
      </c>
      <c r="N132" s="1077">
        <f t="shared" si="35"/>
        <v>0</v>
      </c>
      <c r="O132" s="1165" t="str">
        <f t="shared" si="36"/>
        <v>-</v>
      </c>
      <c r="P132" s="1077">
        <f t="shared" si="29"/>
        <v>0</v>
      </c>
      <c r="Q132" s="124"/>
      <c r="R132" s="1077">
        <f t="shared" si="37"/>
        <v>0</v>
      </c>
      <c r="S132" s="1077">
        <f t="shared" si="38"/>
        <v>0</v>
      </c>
      <c r="T132" s="1077">
        <f t="shared" si="39"/>
        <v>0</v>
      </c>
      <c r="U132" s="1077">
        <f t="shared" si="42"/>
        <v>0</v>
      </c>
      <c r="V132" s="1077">
        <f t="shared" si="42"/>
        <v>0</v>
      </c>
      <c r="W132" s="124"/>
      <c r="X132" s="1077">
        <f t="shared" si="44"/>
        <v>0</v>
      </c>
      <c r="Y132" s="1077">
        <f t="shared" si="44"/>
        <v>0</v>
      </c>
      <c r="Z132" s="1077">
        <f t="shared" si="44"/>
        <v>0</v>
      </c>
      <c r="AA132" s="1077">
        <f t="shared" si="44"/>
        <v>0</v>
      </c>
      <c r="AB132" s="1077">
        <f t="shared" si="44"/>
        <v>0</v>
      </c>
      <c r="AC132" s="125"/>
      <c r="AD132" s="68"/>
    </row>
    <row r="133" spans="2:30" x14ac:dyDescent="0.2">
      <c r="B133" s="68"/>
      <c r="C133" s="126"/>
      <c r="D133" s="308"/>
      <c r="E133" s="308"/>
      <c r="F133" s="398"/>
      <c r="G133" s="117"/>
      <c r="H133" s="228"/>
      <c r="I133" s="117"/>
      <c r="J133" s="117"/>
      <c r="K133" s="124"/>
      <c r="L133" s="128">
        <f t="shared" si="40"/>
        <v>0</v>
      </c>
      <c r="M133" s="1077">
        <f t="shared" si="34"/>
        <v>0</v>
      </c>
      <c r="N133" s="1077">
        <f t="shared" si="35"/>
        <v>0</v>
      </c>
      <c r="O133" s="1165" t="str">
        <f t="shared" si="36"/>
        <v>-</v>
      </c>
      <c r="P133" s="1077">
        <f t="shared" si="29"/>
        <v>0</v>
      </c>
      <c r="Q133" s="124"/>
      <c r="R133" s="1077">
        <f t="shared" si="37"/>
        <v>0</v>
      </c>
      <c r="S133" s="1077">
        <f t="shared" si="38"/>
        <v>0</v>
      </c>
      <c r="T133" s="1077">
        <f t="shared" si="39"/>
        <v>0</v>
      </c>
      <c r="U133" s="1077">
        <f t="shared" ref="U133:V145" si="45">(IF(U$7&lt;$I133,0,IF($O133&lt;=U$7-1,0,$N133)))</f>
        <v>0</v>
      </c>
      <c r="V133" s="1077">
        <f t="shared" si="45"/>
        <v>0</v>
      </c>
      <c r="W133" s="124"/>
      <c r="X133" s="1077">
        <f t="shared" si="44"/>
        <v>0</v>
      </c>
      <c r="Y133" s="1077">
        <f t="shared" si="44"/>
        <v>0</v>
      </c>
      <c r="Z133" s="1077">
        <f t="shared" si="44"/>
        <v>0</v>
      </c>
      <c r="AA133" s="1077">
        <f t="shared" si="44"/>
        <v>0</v>
      </c>
      <c r="AB133" s="1077">
        <f t="shared" si="44"/>
        <v>0</v>
      </c>
      <c r="AC133" s="125"/>
      <c r="AD133" s="68"/>
    </row>
    <row r="134" spans="2:30" x14ac:dyDescent="0.2">
      <c r="B134" s="68"/>
      <c r="C134" s="126"/>
      <c r="D134" s="308"/>
      <c r="E134" s="308"/>
      <c r="F134" s="398"/>
      <c r="G134" s="117"/>
      <c r="H134" s="228"/>
      <c r="I134" s="117"/>
      <c r="J134" s="117"/>
      <c r="K134" s="124"/>
      <c r="L134" s="128">
        <f t="shared" si="40"/>
        <v>0</v>
      </c>
      <c r="M134" s="1077">
        <f t="shared" si="34"/>
        <v>0</v>
      </c>
      <c r="N134" s="1077">
        <f t="shared" si="35"/>
        <v>0</v>
      </c>
      <c r="O134" s="1165" t="str">
        <f t="shared" si="36"/>
        <v>-</v>
      </c>
      <c r="P134" s="1077">
        <f t="shared" si="29"/>
        <v>0</v>
      </c>
      <c r="Q134" s="124"/>
      <c r="R134" s="1077">
        <f t="shared" si="37"/>
        <v>0</v>
      </c>
      <c r="S134" s="1077">
        <f t="shared" si="38"/>
        <v>0</v>
      </c>
      <c r="T134" s="1077">
        <f t="shared" si="39"/>
        <v>0</v>
      </c>
      <c r="U134" s="1077">
        <f t="shared" si="45"/>
        <v>0</v>
      </c>
      <c r="V134" s="1077">
        <f t="shared" si="45"/>
        <v>0</v>
      </c>
      <c r="W134" s="124"/>
      <c r="X134" s="1077">
        <f t="shared" si="44"/>
        <v>0</v>
      </c>
      <c r="Y134" s="1077">
        <f t="shared" si="44"/>
        <v>0</v>
      </c>
      <c r="Z134" s="1077">
        <f t="shared" si="44"/>
        <v>0</v>
      </c>
      <c r="AA134" s="1077">
        <f t="shared" si="44"/>
        <v>0</v>
      </c>
      <c r="AB134" s="1077">
        <f t="shared" si="44"/>
        <v>0</v>
      </c>
      <c r="AC134" s="125"/>
      <c r="AD134" s="68"/>
    </row>
    <row r="135" spans="2:30" x14ac:dyDescent="0.2">
      <c r="B135" s="68"/>
      <c r="C135" s="126"/>
      <c r="D135" s="308"/>
      <c r="E135" s="308"/>
      <c r="F135" s="398"/>
      <c r="G135" s="117"/>
      <c r="H135" s="228"/>
      <c r="I135" s="117"/>
      <c r="J135" s="117"/>
      <c r="K135" s="124"/>
      <c r="L135" s="128">
        <f t="shared" si="40"/>
        <v>0</v>
      </c>
      <c r="M135" s="1077">
        <f t="shared" si="34"/>
        <v>0</v>
      </c>
      <c r="N135" s="1077">
        <f t="shared" si="35"/>
        <v>0</v>
      </c>
      <c r="O135" s="1165" t="str">
        <f t="shared" si="36"/>
        <v>-</v>
      </c>
      <c r="P135" s="1077">
        <f t="shared" si="29"/>
        <v>0</v>
      </c>
      <c r="Q135" s="124"/>
      <c r="R135" s="1077">
        <f t="shared" si="37"/>
        <v>0</v>
      </c>
      <c r="S135" s="1077">
        <f t="shared" si="38"/>
        <v>0</v>
      </c>
      <c r="T135" s="1077">
        <f t="shared" si="39"/>
        <v>0</v>
      </c>
      <c r="U135" s="1077">
        <f t="shared" si="45"/>
        <v>0</v>
      </c>
      <c r="V135" s="1077">
        <f t="shared" si="45"/>
        <v>0</v>
      </c>
      <c r="W135" s="124"/>
      <c r="X135" s="1077">
        <f t="shared" si="44"/>
        <v>0</v>
      </c>
      <c r="Y135" s="1077">
        <f t="shared" si="44"/>
        <v>0</v>
      </c>
      <c r="Z135" s="1077">
        <f t="shared" si="44"/>
        <v>0</v>
      </c>
      <c r="AA135" s="1077">
        <f t="shared" si="44"/>
        <v>0</v>
      </c>
      <c r="AB135" s="1077">
        <f t="shared" si="44"/>
        <v>0</v>
      </c>
      <c r="AC135" s="125"/>
      <c r="AD135" s="68"/>
    </row>
    <row r="136" spans="2:30" x14ac:dyDescent="0.2">
      <c r="B136" s="68"/>
      <c r="C136" s="126"/>
      <c r="D136" s="308"/>
      <c r="E136" s="308"/>
      <c r="F136" s="398"/>
      <c r="G136" s="117"/>
      <c r="H136" s="228"/>
      <c r="I136" s="117"/>
      <c r="J136" s="117"/>
      <c r="K136" s="124"/>
      <c r="L136" s="128">
        <f t="shared" si="40"/>
        <v>0</v>
      </c>
      <c r="M136" s="1077">
        <f t="shared" si="34"/>
        <v>0</v>
      </c>
      <c r="N136" s="1077">
        <f t="shared" si="35"/>
        <v>0</v>
      </c>
      <c r="O136" s="1165" t="str">
        <f t="shared" si="36"/>
        <v>-</v>
      </c>
      <c r="P136" s="1077">
        <f t="shared" si="29"/>
        <v>0</v>
      </c>
      <c r="Q136" s="124"/>
      <c r="R136" s="1077">
        <f t="shared" si="37"/>
        <v>0</v>
      </c>
      <c r="S136" s="1077">
        <f t="shared" si="38"/>
        <v>0</v>
      </c>
      <c r="T136" s="1077">
        <f t="shared" si="39"/>
        <v>0</v>
      </c>
      <c r="U136" s="1077">
        <f t="shared" si="45"/>
        <v>0</v>
      </c>
      <c r="V136" s="1077">
        <f t="shared" si="45"/>
        <v>0</v>
      </c>
      <c r="W136" s="124"/>
      <c r="X136" s="1077">
        <f t="shared" si="44"/>
        <v>0</v>
      </c>
      <c r="Y136" s="1077">
        <f t="shared" si="44"/>
        <v>0</v>
      </c>
      <c r="Z136" s="1077">
        <f t="shared" si="44"/>
        <v>0</v>
      </c>
      <c r="AA136" s="1077">
        <f t="shared" si="44"/>
        <v>0</v>
      </c>
      <c r="AB136" s="1077">
        <f t="shared" si="44"/>
        <v>0</v>
      </c>
      <c r="AC136" s="125"/>
      <c r="AD136" s="68"/>
    </row>
    <row r="137" spans="2:30" x14ac:dyDescent="0.2">
      <c r="B137" s="68"/>
      <c r="C137" s="126"/>
      <c r="D137" s="308"/>
      <c r="E137" s="308"/>
      <c r="F137" s="398"/>
      <c r="G137" s="117"/>
      <c r="H137" s="228"/>
      <c r="I137" s="117"/>
      <c r="J137" s="117"/>
      <c r="K137" s="124"/>
      <c r="L137" s="128">
        <f t="shared" si="40"/>
        <v>0</v>
      </c>
      <c r="M137" s="1077">
        <f t="shared" si="34"/>
        <v>0</v>
      </c>
      <c r="N137" s="1077">
        <f t="shared" si="35"/>
        <v>0</v>
      </c>
      <c r="O137" s="1165" t="str">
        <f t="shared" si="36"/>
        <v>-</v>
      </c>
      <c r="P137" s="1077">
        <f t="shared" si="29"/>
        <v>0</v>
      </c>
      <c r="Q137" s="124"/>
      <c r="R137" s="1077">
        <f t="shared" si="37"/>
        <v>0</v>
      </c>
      <c r="S137" s="1077">
        <f t="shared" si="38"/>
        <v>0</v>
      </c>
      <c r="T137" s="1077">
        <f t="shared" si="39"/>
        <v>0</v>
      </c>
      <c r="U137" s="1077">
        <f t="shared" si="45"/>
        <v>0</v>
      </c>
      <c r="V137" s="1077">
        <f t="shared" si="45"/>
        <v>0</v>
      </c>
      <c r="W137" s="124"/>
      <c r="X137" s="1077">
        <f t="shared" si="44"/>
        <v>0</v>
      </c>
      <c r="Y137" s="1077">
        <f t="shared" si="44"/>
        <v>0</v>
      </c>
      <c r="Z137" s="1077">
        <f t="shared" si="44"/>
        <v>0</v>
      </c>
      <c r="AA137" s="1077">
        <f t="shared" si="44"/>
        <v>0</v>
      </c>
      <c r="AB137" s="1077">
        <f t="shared" si="44"/>
        <v>0</v>
      </c>
      <c r="AC137" s="125"/>
      <c r="AD137" s="68"/>
    </row>
    <row r="138" spans="2:30" x14ac:dyDescent="0.2">
      <c r="B138" s="68"/>
      <c r="C138" s="126"/>
      <c r="D138" s="308"/>
      <c r="E138" s="308"/>
      <c r="F138" s="398"/>
      <c r="G138" s="117"/>
      <c r="H138" s="228"/>
      <c r="I138" s="117"/>
      <c r="J138" s="117"/>
      <c r="K138" s="124"/>
      <c r="L138" s="128">
        <f t="shared" si="40"/>
        <v>0</v>
      </c>
      <c r="M138" s="1077">
        <f t="shared" si="34"/>
        <v>0</v>
      </c>
      <c r="N138" s="1077">
        <f t="shared" si="35"/>
        <v>0</v>
      </c>
      <c r="O138" s="1165" t="str">
        <f t="shared" si="36"/>
        <v>-</v>
      </c>
      <c r="P138" s="1077">
        <f t="shared" si="29"/>
        <v>0</v>
      </c>
      <c r="Q138" s="124"/>
      <c r="R138" s="1077">
        <f t="shared" si="37"/>
        <v>0</v>
      </c>
      <c r="S138" s="1077">
        <f t="shared" si="38"/>
        <v>0</v>
      </c>
      <c r="T138" s="1077">
        <f t="shared" si="39"/>
        <v>0</v>
      </c>
      <c r="U138" s="1077">
        <f t="shared" si="45"/>
        <v>0</v>
      </c>
      <c r="V138" s="1077">
        <f t="shared" si="45"/>
        <v>0</v>
      </c>
      <c r="W138" s="124"/>
      <c r="X138" s="1077">
        <f t="shared" ref="X138:AB145" si="46">IF(X$7=$I138,($G138*$H138),0)</f>
        <v>0</v>
      </c>
      <c r="Y138" s="1077">
        <f t="shared" si="46"/>
        <v>0</v>
      </c>
      <c r="Z138" s="1077">
        <f t="shared" si="46"/>
        <v>0</v>
      </c>
      <c r="AA138" s="1077">
        <f t="shared" si="46"/>
        <v>0</v>
      </c>
      <c r="AB138" s="1077">
        <f t="shared" si="46"/>
        <v>0</v>
      </c>
      <c r="AC138" s="125"/>
      <c r="AD138" s="68"/>
    </row>
    <row r="139" spans="2:30" x14ac:dyDescent="0.2">
      <c r="B139" s="68"/>
      <c r="C139" s="126"/>
      <c r="D139" s="308"/>
      <c r="E139" s="308"/>
      <c r="F139" s="398"/>
      <c r="G139" s="117"/>
      <c r="H139" s="228"/>
      <c r="I139" s="117"/>
      <c r="J139" s="117"/>
      <c r="K139" s="124"/>
      <c r="L139" s="128">
        <f t="shared" si="40"/>
        <v>0</v>
      </c>
      <c r="M139" s="1077">
        <f t="shared" ref="M139:M145" si="47">G139*H139</f>
        <v>0</v>
      </c>
      <c r="N139" s="1077">
        <f t="shared" ref="N139:N145" si="48">IF(G139=0,0,(G139*H139)/L139)</f>
        <v>0</v>
      </c>
      <c r="O139" s="1165" t="str">
        <f t="shared" ref="O139:O145" si="49">IF(L139=0,"-",(IF(L139&gt;3000,"-",I139+L139-1)))</f>
        <v>-</v>
      </c>
      <c r="P139" s="1077">
        <f t="shared" si="29"/>
        <v>0</v>
      </c>
      <c r="Q139" s="124"/>
      <c r="R139" s="1077">
        <f t="shared" ref="R139:R146" si="50">(IF(R$7&lt;$I139,0,IF($O139&lt;=R$7-1,0,$N139)))</f>
        <v>0</v>
      </c>
      <c r="S139" s="1077">
        <f t="shared" ref="S139:S146" si="51">(IF(S$7&lt;$I139,0,IF($O139&lt;=S$7-1,0,$N139)))</f>
        <v>0</v>
      </c>
      <c r="T139" s="1077">
        <f t="shared" ref="T139:T146" si="52">(IF(T$7&lt;$I139,0,IF($O139&lt;=T$7-1,0,$N139)))</f>
        <v>0</v>
      </c>
      <c r="U139" s="1077">
        <f t="shared" si="45"/>
        <v>0</v>
      </c>
      <c r="V139" s="1077">
        <f t="shared" si="45"/>
        <v>0</v>
      </c>
      <c r="W139" s="124"/>
      <c r="X139" s="1077">
        <f t="shared" si="46"/>
        <v>0</v>
      </c>
      <c r="Y139" s="1077">
        <f t="shared" si="46"/>
        <v>0</v>
      </c>
      <c r="Z139" s="1077">
        <f t="shared" si="46"/>
        <v>0</v>
      </c>
      <c r="AA139" s="1077">
        <f t="shared" si="46"/>
        <v>0</v>
      </c>
      <c r="AB139" s="1077">
        <f t="shared" si="46"/>
        <v>0</v>
      </c>
      <c r="AC139" s="125"/>
      <c r="AD139" s="68"/>
    </row>
    <row r="140" spans="2:30" x14ac:dyDescent="0.2">
      <c r="B140" s="68"/>
      <c r="C140" s="126"/>
      <c r="D140" s="308"/>
      <c r="E140" s="308"/>
      <c r="F140" s="398"/>
      <c r="G140" s="117"/>
      <c r="H140" s="228"/>
      <c r="I140" s="117"/>
      <c r="J140" s="117"/>
      <c r="K140" s="124"/>
      <c r="L140" s="128">
        <f t="shared" si="40"/>
        <v>0</v>
      </c>
      <c r="M140" s="1077">
        <f t="shared" si="47"/>
        <v>0</v>
      </c>
      <c r="N140" s="1077">
        <f t="shared" si="48"/>
        <v>0</v>
      </c>
      <c r="O140" s="1165" t="str">
        <f t="shared" si="49"/>
        <v>-</v>
      </c>
      <c r="P140" s="1077">
        <f t="shared" si="29"/>
        <v>0</v>
      </c>
      <c r="Q140" s="124"/>
      <c r="R140" s="1077">
        <f t="shared" si="50"/>
        <v>0</v>
      </c>
      <c r="S140" s="1077">
        <f t="shared" si="51"/>
        <v>0</v>
      </c>
      <c r="T140" s="1077">
        <f t="shared" si="52"/>
        <v>0</v>
      </c>
      <c r="U140" s="1077">
        <f t="shared" si="45"/>
        <v>0</v>
      </c>
      <c r="V140" s="1077">
        <f t="shared" si="45"/>
        <v>0</v>
      </c>
      <c r="W140" s="124"/>
      <c r="X140" s="1077">
        <f t="shared" si="46"/>
        <v>0</v>
      </c>
      <c r="Y140" s="1077">
        <f t="shared" si="46"/>
        <v>0</v>
      </c>
      <c r="Z140" s="1077">
        <f t="shared" si="46"/>
        <v>0</v>
      </c>
      <c r="AA140" s="1077">
        <f t="shared" si="46"/>
        <v>0</v>
      </c>
      <c r="AB140" s="1077">
        <f t="shared" si="46"/>
        <v>0</v>
      </c>
      <c r="AC140" s="125"/>
      <c r="AD140" s="68"/>
    </row>
    <row r="141" spans="2:30" x14ac:dyDescent="0.2">
      <c r="B141" s="68"/>
      <c r="C141" s="126"/>
      <c r="D141" s="308"/>
      <c r="E141" s="308"/>
      <c r="F141" s="398"/>
      <c r="G141" s="117"/>
      <c r="H141" s="228"/>
      <c r="I141" s="117"/>
      <c r="J141" s="117"/>
      <c r="K141" s="124"/>
      <c r="L141" s="128">
        <f t="shared" si="40"/>
        <v>0</v>
      </c>
      <c r="M141" s="1077">
        <f t="shared" si="47"/>
        <v>0</v>
      </c>
      <c r="N141" s="1077">
        <f t="shared" si="48"/>
        <v>0</v>
      </c>
      <c r="O141" s="1165" t="str">
        <f t="shared" si="49"/>
        <v>-</v>
      </c>
      <c r="P141" s="1077">
        <f t="shared" si="29"/>
        <v>0</v>
      </c>
      <c r="Q141" s="124"/>
      <c r="R141" s="1077">
        <f t="shared" si="50"/>
        <v>0</v>
      </c>
      <c r="S141" s="1077">
        <f t="shared" si="51"/>
        <v>0</v>
      </c>
      <c r="T141" s="1077">
        <f t="shared" si="52"/>
        <v>0</v>
      </c>
      <c r="U141" s="1077">
        <f t="shared" si="45"/>
        <v>0</v>
      </c>
      <c r="V141" s="1077">
        <f t="shared" si="45"/>
        <v>0</v>
      </c>
      <c r="W141" s="124"/>
      <c r="X141" s="1077">
        <f t="shared" si="46"/>
        <v>0</v>
      </c>
      <c r="Y141" s="1077">
        <f t="shared" si="46"/>
        <v>0</v>
      </c>
      <c r="Z141" s="1077">
        <f t="shared" si="46"/>
        <v>0</v>
      </c>
      <c r="AA141" s="1077">
        <f t="shared" si="46"/>
        <v>0</v>
      </c>
      <c r="AB141" s="1077">
        <f t="shared" si="46"/>
        <v>0</v>
      </c>
      <c r="AC141" s="125"/>
      <c r="AD141" s="68"/>
    </row>
    <row r="142" spans="2:30" x14ac:dyDescent="0.2">
      <c r="B142" s="68"/>
      <c r="C142" s="126"/>
      <c r="D142" s="308"/>
      <c r="E142" s="308"/>
      <c r="F142" s="398"/>
      <c r="G142" s="117"/>
      <c r="H142" s="228"/>
      <c r="I142" s="117"/>
      <c r="J142" s="117"/>
      <c r="K142" s="124"/>
      <c r="L142" s="128">
        <f t="shared" si="40"/>
        <v>0</v>
      </c>
      <c r="M142" s="1077">
        <f t="shared" si="47"/>
        <v>0</v>
      </c>
      <c r="N142" s="1077">
        <f t="shared" si="48"/>
        <v>0</v>
      </c>
      <c r="O142" s="1165" t="str">
        <f t="shared" si="49"/>
        <v>-</v>
      </c>
      <c r="P142" s="1077">
        <f t="shared" ref="P142:P146" si="53">IF(J142="geen",IF(I142&lt;$R$7,G142*H142,0),IF(I142&gt;=$R$7,0,IF((H142*G142-(R$7-I142)*N142)&lt;0,0,H142*G142-(R$7-I142)*N142)))</f>
        <v>0</v>
      </c>
      <c r="Q142" s="124"/>
      <c r="R142" s="1077">
        <f t="shared" si="50"/>
        <v>0</v>
      </c>
      <c r="S142" s="1077">
        <f t="shared" si="51"/>
        <v>0</v>
      </c>
      <c r="T142" s="1077">
        <f t="shared" si="52"/>
        <v>0</v>
      </c>
      <c r="U142" s="1077">
        <f t="shared" si="45"/>
        <v>0</v>
      </c>
      <c r="V142" s="1077">
        <f t="shared" si="45"/>
        <v>0</v>
      </c>
      <c r="W142" s="124"/>
      <c r="X142" s="1077">
        <f t="shared" si="46"/>
        <v>0</v>
      </c>
      <c r="Y142" s="1077">
        <f t="shared" si="46"/>
        <v>0</v>
      </c>
      <c r="Z142" s="1077">
        <f t="shared" si="46"/>
        <v>0</v>
      </c>
      <c r="AA142" s="1077">
        <f t="shared" si="46"/>
        <v>0</v>
      </c>
      <c r="AB142" s="1077">
        <f t="shared" si="46"/>
        <v>0</v>
      </c>
      <c r="AC142" s="125"/>
      <c r="AD142" s="68"/>
    </row>
    <row r="143" spans="2:30" x14ac:dyDescent="0.2">
      <c r="B143" s="68"/>
      <c r="C143" s="126"/>
      <c r="D143" s="308"/>
      <c r="E143" s="308"/>
      <c r="F143" s="398"/>
      <c r="G143" s="117"/>
      <c r="H143" s="228"/>
      <c r="I143" s="117"/>
      <c r="J143" s="117"/>
      <c r="K143" s="124"/>
      <c r="L143" s="128">
        <f t="shared" si="40"/>
        <v>0</v>
      </c>
      <c r="M143" s="1077">
        <f t="shared" si="47"/>
        <v>0</v>
      </c>
      <c r="N143" s="1077">
        <f t="shared" si="48"/>
        <v>0</v>
      </c>
      <c r="O143" s="1165" t="str">
        <f t="shared" si="49"/>
        <v>-</v>
      </c>
      <c r="P143" s="1077">
        <f t="shared" si="53"/>
        <v>0</v>
      </c>
      <c r="Q143" s="124"/>
      <c r="R143" s="1077">
        <f t="shared" si="50"/>
        <v>0</v>
      </c>
      <c r="S143" s="1077">
        <f t="shared" si="51"/>
        <v>0</v>
      </c>
      <c r="T143" s="1077">
        <f t="shared" si="52"/>
        <v>0</v>
      </c>
      <c r="U143" s="1077">
        <f t="shared" si="45"/>
        <v>0</v>
      </c>
      <c r="V143" s="1077">
        <f t="shared" si="45"/>
        <v>0</v>
      </c>
      <c r="W143" s="124"/>
      <c r="X143" s="1077">
        <f t="shared" si="46"/>
        <v>0</v>
      </c>
      <c r="Y143" s="1077">
        <f t="shared" si="46"/>
        <v>0</v>
      </c>
      <c r="Z143" s="1077">
        <f t="shared" si="46"/>
        <v>0</v>
      </c>
      <c r="AA143" s="1077">
        <f t="shared" si="46"/>
        <v>0</v>
      </c>
      <c r="AB143" s="1077">
        <f t="shared" si="46"/>
        <v>0</v>
      </c>
      <c r="AC143" s="125"/>
      <c r="AD143" s="68"/>
    </row>
    <row r="144" spans="2:30" x14ac:dyDescent="0.2">
      <c r="B144" s="68"/>
      <c r="C144" s="126"/>
      <c r="D144" s="308"/>
      <c r="E144" s="308"/>
      <c r="F144" s="398"/>
      <c r="G144" s="117"/>
      <c r="H144" s="228"/>
      <c r="I144" s="117"/>
      <c r="J144" s="117"/>
      <c r="K144" s="124"/>
      <c r="L144" s="128">
        <f t="shared" si="40"/>
        <v>0</v>
      </c>
      <c r="M144" s="1077">
        <f t="shared" si="47"/>
        <v>0</v>
      </c>
      <c r="N144" s="1077">
        <f t="shared" si="48"/>
        <v>0</v>
      </c>
      <c r="O144" s="1165" t="str">
        <f t="shared" si="49"/>
        <v>-</v>
      </c>
      <c r="P144" s="1077">
        <f t="shared" si="53"/>
        <v>0</v>
      </c>
      <c r="Q144" s="124"/>
      <c r="R144" s="1077">
        <f t="shared" si="50"/>
        <v>0</v>
      </c>
      <c r="S144" s="1077">
        <f t="shared" si="51"/>
        <v>0</v>
      </c>
      <c r="T144" s="1077">
        <f t="shared" si="52"/>
        <v>0</v>
      </c>
      <c r="U144" s="1077">
        <f t="shared" si="45"/>
        <v>0</v>
      </c>
      <c r="V144" s="1077">
        <f t="shared" si="45"/>
        <v>0</v>
      </c>
      <c r="W144" s="124"/>
      <c r="X144" s="1077">
        <f t="shared" si="46"/>
        <v>0</v>
      </c>
      <c r="Y144" s="1077">
        <f t="shared" si="46"/>
        <v>0</v>
      </c>
      <c r="Z144" s="1077">
        <f t="shared" si="46"/>
        <v>0</v>
      </c>
      <c r="AA144" s="1077">
        <f t="shared" si="46"/>
        <v>0</v>
      </c>
      <c r="AB144" s="1077">
        <f t="shared" si="46"/>
        <v>0</v>
      </c>
      <c r="AC144" s="125"/>
      <c r="AD144" s="68"/>
    </row>
    <row r="145" spans="2:30" x14ac:dyDescent="0.2">
      <c r="B145" s="68"/>
      <c r="C145" s="126"/>
      <c r="D145" s="308"/>
      <c r="E145" s="308"/>
      <c r="F145" s="398"/>
      <c r="G145" s="117"/>
      <c r="H145" s="228"/>
      <c r="I145" s="117"/>
      <c r="J145" s="117"/>
      <c r="K145" s="124"/>
      <c r="L145" s="128">
        <f t="shared" si="40"/>
        <v>0</v>
      </c>
      <c r="M145" s="1077">
        <f t="shared" si="47"/>
        <v>0</v>
      </c>
      <c r="N145" s="1077">
        <f t="shared" si="48"/>
        <v>0</v>
      </c>
      <c r="O145" s="1165" t="str">
        <f t="shared" si="49"/>
        <v>-</v>
      </c>
      <c r="P145" s="1077">
        <f t="shared" si="53"/>
        <v>0</v>
      </c>
      <c r="Q145" s="124"/>
      <c r="R145" s="1077">
        <f t="shared" si="50"/>
        <v>0</v>
      </c>
      <c r="S145" s="1077">
        <f t="shared" si="51"/>
        <v>0</v>
      </c>
      <c r="T145" s="1077">
        <f t="shared" si="52"/>
        <v>0</v>
      </c>
      <c r="U145" s="1077">
        <f t="shared" si="45"/>
        <v>0</v>
      </c>
      <c r="V145" s="1077">
        <f t="shared" si="45"/>
        <v>0</v>
      </c>
      <c r="W145" s="124"/>
      <c r="X145" s="1077">
        <f t="shared" si="46"/>
        <v>0</v>
      </c>
      <c r="Y145" s="1077">
        <f t="shared" si="46"/>
        <v>0</v>
      </c>
      <c r="Z145" s="1077">
        <f t="shared" si="46"/>
        <v>0</v>
      </c>
      <c r="AA145" s="1077">
        <f t="shared" si="46"/>
        <v>0</v>
      </c>
      <c r="AB145" s="1077">
        <f t="shared" si="46"/>
        <v>0</v>
      </c>
      <c r="AC145" s="125"/>
      <c r="AD145" s="68"/>
    </row>
    <row r="146" spans="2:30" x14ac:dyDescent="0.2">
      <c r="B146" s="68"/>
      <c r="C146" s="126"/>
      <c r="D146" s="308"/>
      <c r="E146" s="308"/>
      <c r="F146" s="398"/>
      <c r="G146" s="117"/>
      <c r="H146" s="228"/>
      <c r="I146" s="117"/>
      <c r="J146" s="117"/>
      <c r="K146" s="124"/>
      <c r="L146" s="128">
        <f>IF(J146="geen",9999999999,J146)</f>
        <v>0</v>
      </c>
      <c r="M146" s="1077">
        <f>G146*H146</f>
        <v>0</v>
      </c>
      <c r="N146" s="1077">
        <f>IF(G146=0,0,(G146*H146)/L146)</f>
        <v>0</v>
      </c>
      <c r="O146" s="1165" t="str">
        <f>IF(L146=0,"-",(IF(L146&gt;3000,"-",I146+L146-1)))</f>
        <v>-</v>
      </c>
      <c r="P146" s="1077">
        <f t="shared" si="53"/>
        <v>0</v>
      </c>
      <c r="Q146" s="124"/>
      <c r="R146" s="1077">
        <f t="shared" si="50"/>
        <v>0</v>
      </c>
      <c r="S146" s="1077">
        <f t="shared" si="51"/>
        <v>0</v>
      </c>
      <c r="T146" s="1077">
        <f t="shared" si="52"/>
        <v>0</v>
      </c>
      <c r="U146" s="1077">
        <f>(IF(U$7&lt;$I146,0,IF($O146&lt;=U$7-1,0,$N146)))</f>
        <v>0</v>
      </c>
      <c r="V146" s="1077">
        <f>(IF(V$7&lt;$I146,0,IF($O146&lt;=V$7-1,0,$N146)))</f>
        <v>0</v>
      </c>
      <c r="W146" s="124"/>
      <c r="X146" s="1077">
        <f>IF(X$7=$I146,($G146*$H146),0)</f>
        <v>0</v>
      </c>
      <c r="Y146" s="1077">
        <f>IF(Y$7=$I146,($G146*$H146),0)</f>
        <v>0</v>
      </c>
      <c r="Z146" s="1077">
        <f>IF(Z$7=$I146,($G146*$H146),0)</f>
        <v>0</v>
      </c>
      <c r="AA146" s="1077">
        <f>IF(AA$7=$I146,($G146*$H146),0)</f>
        <v>0</v>
      </c>
      <c r="AB146" s="1077">
        <f>IF(AB$7=$I146,($G146*$H146),0)</f>
        <v>0</v>
      </c>
      <c r="AC146" s="125"/>
      <c r="AD146" s="68"/>
    </row>
    <row r="147" spans="2:30" x14ac:dyDescent="0.2">
      <c r="B147" s="68"/>
      <c r="C147" s="191"/>
      <c r="D147" s="287"/>
      <c r="E147" s="287"/>
      <c r="F147" s="192"/>
      <c r="G147" s="192"/>
      <c r="H147" s="192"/>
      <c r="I147" s="192"/>
      <c r="J147" s="192"/>
      <c r="K147" s="133"/>
      <c r="L147" s="133"/>
      <c r="M147" s="133"/>
      <c r="N147" s="133"/>
      <c r="O147" s="133"/>
      <c r="P147" s="133"/>
      <c r="Q147" s="133"/>
      <c r="R147" s="133"/>
      <c r="S147" s="133"/>
      <c r="T147" s="133"/>
      <c r="U147" s="133"/>
      <c r="V147" s="133"/>
      <c r="W147" s="133"/>
      <c r="X147" s="133"/>
      <c r="Y147" s="133"/>
      <c r="Z147" s="133"/>
      <c r="AA147" s="133"/>
      <c r="AB147" s="133"/>
      <c r="AC147" s="134"/>
      <c r="AD147" s="68"/>
    </row>
    <row r="148" spans="2:30" x14ac:dyDescent="0.2">
      <c r="B148" s="68"/>
      <c r="C148" s="68"/>
      <c r="D148" s="84"/>
      <c r="E148" s="84"/>
      <c r="F148" s="85"/>
      <c r="G148" s="85"/>
      <c r="H148" s="85"/>
      <c r="I148" s="85"/>
      <c r="J148" s="85"/>
      <c r="K148" s="68"/>
      <c r="L148" s="68"/>
      <c r="M148" s="68"/>
      <c r="N148" s="68"/>
      <c r="O148" s="68"/>
      <c r="P148" s="68"/>
      <c r="Q148" s="68"/>
      <c r="R148" s="68"/>
      <c r="S148" s="68"/>
      <c r="T148" s="68"/>
      <c r="U148" s="68"/>
      <c r="V148" s="68"/>
      <c r="W148" s="68"/>
      <c r="X148" s="68"/>
      <c r="Y148" s="68"/>
      <c r="Z148" s="68"/>
      <c r="AA148" s="68"/>
      <c r="AB148" s="68"/>
      <c r="AC148" s="68"/>
      <c r="AD148" s="68"/>
    </row>
    <row r="149" spans="2:30" x14ac:dyDescent="0.2">
      <c r="B149" s="68"/>
      <c r="C149" s="68"/>
      <c r="D149" s="84"/>
      <c r="E149" s="84"/>
      <c r="F149" s="85"/>
      <c r="G149" s="85"/>
      <c r="H149" s="85"/>
      <c r="I149" s="85"/>
      <c r="J149" s="85"/>
      <c r="K149" s="68"/>
      <c r="L149" s="68"/>
      <c r="M149" s="68"/>
      <c r="N149" s="68"/>
      <c r="O149" s="68"/>
      <c r="P149" s="68"/>
      <c r="Q149" s="68"/>
      <c r="R149" s="68"/>
      <c r="S149" s="68"/>
      <c r="T149" s="68"/>
      <c r="U149" s="68"/>
      <c r="V149" s="68"/>
      <c r="W149" s="68"/>
      <c r="X149" s="68"/>
      <c r="Y149" s="68"/>
      <c r="Z149" s="68"/>
      <c r="AA149" s="68"/>
      <c r="AB149" s="68"/>
      <c r="AC149" s="68"/>
      <c r="AD149" s="68"/>
    </row>
    <row r="150" spans="2:30" x14ac:dyDescent="0.2">
      <c r="B150" s="68"/>
      <c r="C150" s="68"/>
      <c r="D150" s="84"/>
      <c r="E150" s="84"/>
      <c r="F150" s="85"/>
      <c r="G150" s="85"/>
      <c r="H150" s="85"/>
      <c r="I150" s="85"/>
      <c r="J150" s="85"/>
      <c r="K150" s="68"/>
      <c r="L150" s="68"/>
      <c r="M150" s="68"/>
      <c r="N150" s="68"/>
      <c r="O150" s="68"/>
      <c r="P150" s="68"/>
      <c r="Q150" s="68"/>
      <c r="R150" s="68"/>
      <c r="S150" s="68"/>
      <c r="T150" s="68"/>
      <c r="U150" s="68"/>
      <c r="V150" s="68"/>
      <c r="W150" s="68"/>
      <c r="X150" s="68"/>
      <c r="Y150" s="68"/>
      <c r="Z150" s="68"/>
      <c r="AA150" s="68"/>
      <c r="AB150" s="68"/>
      <c r="AC150" s="68"/>
      <c r="AD150" s="68"/>
    </row>
  </sheetData>
  <sheetProtection algorithmName="SHA-512" hashValue="iJlPvJbke9OeKQDl+4GyG7apFPOECfUKg+W3IwxbEWhtD2tlHLI5D15zv5/7QMG9UsvUF/3PU4/mVgRUiHVIUA==" saltValue="vqaUQjm5tz7v4H0Gcwm0Cg==" spinCount="100000" sheet="1" objects="1" scenarios="1"/>
  <phoneticPr fontId="0" type="noConversion"/>
  <dataValidations count="2">
    <dataValidation type="list" allowBlank="1" showInputMessage="1" showErrorMessage="1" sqref="J13:J146">
      <formula1>"geen,1,2,3,4,5,6,7,8,9,10,11,12,13,14,15,16,17,18,19,20,21,22,23,24,25,26,27,28,29,30,31,32,33,34,35,36,37,38,39,40,41,42,43,44,45,46,47,48,49,50"</formula1>
    </dataValidation>
    <dataValidation type="list" allowBlank="1" showInputMessage="1" showErrorMessage="1" sqref="D13:D146">
      <formula1>$AM$13:$AM$18</formula1>
    </dataValidation>
  </dataValidations>
  <pageMargins left="0.78740157480314965" right="0.78740157480314965" top="0.98425196850393704" bottom="0.98425196850393704" header="0.51181102362204722" footer="0.51181102362204722"/>
  <pageSetup paperSize="9" scale="48" orientation="landscape" r:id="rId1"/>
  <headerFooter alignWithMargins="0">
    <oddHeader>&amp;L&amp;"Arial,Vet"&amp;F&amp;R&amp;"Arial,Vet"&amp;A</oddHeader>
    <oddFooter>&amp;L&amp;"Arial,Vet"PO-Raad&amp;C&amp;"Arial,Vet"&amp;D&amp;R&amp;"Arial,Vet"pagina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22</vt:i4>
      </vt:variant>
    </vt:vector>
  </HeadingPairs>
  <TitlesOfParts>
    <vt:vector size="40" baseType="lpstr">
      <vt:lpstr>toel</vt:lpstr>
      <vt:lpstr>geg</vt:lpstr>
      <vt:lpstr>pers</vt:lpstr>
      <vt:lpstr>dir</vt:lpstr>
      <vt:lpstr>op</vt:lpstr>
      <vt:lpstr>obp</vt:lpstr>
      <vt:lpstr>mat</vt:lpstr>
      <vt:lpstr>mop</vt:lpstr>
      <vt:lpstr>mip</vt:lpstr>
      <vt:lpstr>act</vt:lpstr>
      <vt:lpstr>beleid</vt:lpstr>
      <vt:lpstr>begr</vt:lpstr>
      <vt:lpstr>bal</vt:lpstr>
      <vt:lpstr>liq</vt:lpstr>
      <vt:lpstr>ken</vt:lpstr>
      <vt:lpstr>graf</vt:lpstr>
      <vt:lpstr>som</vt:lpstr>
      <vt:lpstr>tab</vt:lpstr>
      <vt:lpstr>act!Afdrukbereik</vt:lpstr>
      <vt:lpstr>bal!Afdrukbereik</vt:lpstr>
      <vt:lpstr>begr!Afdrukbereik</vt:lpstr>
      <vt:lpstr>beleid!Afdrukbereik</vt:lpstr>
      <vt:lpstr>dir!Afdrukbereik</vt:lpstr>
      <vt:lpstr>geg!Afdrukbereik</vt:lpstr>
      <vt:lpstr>graf!Afdrukbereik</vt:lpstr>
      <vt:lpstr>ken!Afdrukbereik</vt:lpstr>
      <vt:lpstr>liq!Afdrukbereik</vt:lpstr>
      <vt:lpstr>mat!Afdrukbereik</vt:lpstr>
      <vt:lpstr>mip!Afdrukbereik</vt:lpstr>
      <vt:lpstr>mop!Afdrukbereik</vt:lpstr>
      <vt:lpstr>obp!Afdrukbereik</vt:lpstr>
      <vt:lpstr>op!Afdrukbereik</vt:lpstr>
      <vt:lpstr>pers!Afdrukbereik</vt:lpstr>
      <vt:lpstr>som!Afdrukbereik</vt:lpstr>
      <vt:lpstr>tab!Afdrukbereik</vt:lpstr>
      <vt:lpstr>toel!Afdrukbereik</vt:lpstr>
      <vt:lpstr>groepenleerlingennu</vt:lpstr>
      <vt:lpstr>regels2013</vt:lpstr>
      <vt:lpstr>schaal2013</vt:lpstr>
      <vt:lpstr>vloeroppervlaknu</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MJB SBO geld 2007</dc:title>
  <dc:creator>Reinier Goedhart / Bé Keizer</dc:creator>
  <cp:lastModifiedBy>B. Keizer</cp:lastModifiedBy>
  <cp:lastPrinted>2015-08-21T14:45:13Z</cp:lastPrinted>
  <dcterms:created xsi:type="dcterms:W3CDTF">2002-03-02T17:48:17Z</dcterms:created>
  <dcterms:modified xsi:type="dcterms:W3CDTF">2015-10-06T12:35:19Z</dcterms:modified>
</cp:coreProperties>
</file>