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B. Keizer\Documents\Instrumenten\toolbox 2015\po\"/>
    </mc:Choice>
  </mc:AlternateContent>
  <bookViews>
    <workbookView xWindow="0" yWindow="0" windowWidth="19200" windowHeight="11595" tabRatio="762" activeTab="1"/>
  </bookViews>
  <sheets>
    <sheet name="toel" sheetId="10" r:id="rId1"/>
    <sheet name="wgl" sheetId="1" r:id="rId2"/>
    <sheet name="Ouderschapsverlof" sheetId="9" state="hidden" r:id="rId3"/>
    <sheet name="Functiedifferentiatie" sheetId="8" state="hidden" r:id="rId4"/>
    <sheet name="Extra periodieken" sheetId="7" state="hidden" r:id="rId5"/>
    <sheet name="wgl tot" sheetId="12" r:id="rId6"/>
    <sheet name="tabellen" sheetId="3" r:id="rId7"/>
  </sheets>
  <definedNames>
    <definedName name="_xlnm._FilterDatabase" localSheetId="1" hidden="1">wgl!#REF!</definedName>
    <definedName name="_xlnm.Print_Area" localSheetId="4">'Extra periodieken'!$B$2:$J$52</definedName>
    <definedName name="_xlnm.Print_Area" localSheetId="3">Functiedifferentiatie!$B$2:$J$52</definedName>
    <definedName name="_xlnm.Print_Area" localSheetId="2">Ouderschapsverlof!$B$2:$L$66</definedName>
    <definedName name="_xlnm.Print_Area" localSheetId="6">tabellen!$A$55:$V$118</definedName>
    <definedName name="_xlnm.Print_Area" localSheetId="0">toel!$B$2:$N$123</definedName>
    <definedName name="_xlnm.Print_Area" localSheetId="1">wgl!$B$2:$V$61</definedName>
    <definedName name="_xlnm.Print_Area" localSheetId="5">'wgl tot'!$B$2:$BD$73</definedName>
    <definedName name="arbeidskorting">tabellen!$B$115:$D$118</definedName>
    <definedName name="bindingstoelage">tabellen!$B$80:$D$83</definedName>
    <definedName name="eindejaarsuitkering_OOP">tabellen!$C$91:$D$94</definedName>
    <definedName name="premies">tabellen!$B$57:$G$69</definedName>
    <definedName name="salaristabellen">tabellen!$A$6:$V$51</definedName>
    <definedName name="uitlooptoeslag">tabellen!$B$72:$C$75</definedName>
  </definedNames>
  <calcPr calcId="152511"/>
</workbook>
</file>

<file path=xl/calcChain.xml><?xml version="1.0" encoding="utf-8"?>
<calcChain xmlns="http://schemas.openxmlformats.org/spreadsheetml/2006/main">
  <c r="AQ18" i="12" l="1"/>
  <c r="AQ19" i="12"/>
  <c r="AQ20" i="12"/>
  <c r="AQ21" i="12"/>
  <c r="AQ22" i="12"/>
  <c r="AQ23" i="12"/>
  <c r="AQ24" i="12"/>
  <c r="AQ25" i="12"/>
  <c r="AQ26" i="12"/>
  <c r="AQ27" i="12"/>
  <c r="AQ28" i="12"/>
  <c r="AQ29" i="12"/>
  <c r="AQ30" i="12"/>
  <c r="AQ31" i="12"/>
  <c r="AQ32" i="12"/>
  <c r="AQ33" i="12"/>
  <c r="AQ34" i="12"/>
  <c r="AQ35" i="12"/>
  <c r="AQ36" i="12"/>
  <c r="AQ37" i="12"/>
  <c r="AQ38" i="12"/>
  <c r="AQ39" i="12"/>
  <c r="AQ40" i="12"/>
  <c r="AQ41" i="12"/>
  <c r="AQ42" i="12"/>
  <c r="AQ43" i="12"/>
  <c r="AQ44" i="12"/>
  <c r="AQ45" i="12"/>
  <c r="AQ46" i="12"/>
  <c r="AQ47" i="12"/>
  <c r="AQ48" i="12"/>
  <c r="AQ49" i="12"/>
  <c r="AQ50" i="12"/>
  <c r="AQ51" i="12"/>
  <c r="AQ52" i="12"/>
  <c r="AQ53" i="12"/>
  <c r="AQ54" i="12"/>
  <c r="AQ55" i="12"/>
  <c r="AQ56" i="12"/>
  <c r="AQ57" i="12"/>
  <c r="AQ58" i="12"/>
  <c r="AQ59" i="12"/>
  <c r="AQ60" i="12"/>
  <c r="AQ61" i="12"/>
  <c r="AQ62" i="12"/>
  <c r="AQ63" i="12"/>
  <c r="AQ64" i="12"/>
  <c r="AQ65" i="12"/>
  <c r="AQ66" i="12"/>
  <c r="AQ67" i="12"/>
  <c r="AQ68" i="12"/>
  <c r="AQ69" i="12"/>
  <c r="AE16" i="12"/>
  <c r="AE17" i="12"/>
  <c r="AE18" i="12"/>
  <c r="AE19" i="12"/>
  <c r="AE20" i="12"/>
  <c r="AE21" i="12"/>
  <c r="AE22" i="12"/>
  <c r="AE23" i="12"/>
  <c r="AE24" i="12"/>
  <c r="AE25" i="12"/>
  <c r="AE26" i="12"/>
  <c r="AE27" i="12"/>
  <c r="AE28" i="12"/>
  <c r="AE29" i="12"/>
  <c r="AE30" i="12"/>
  <c r="AE31" i="12"/>
  <c r="AE32" i="12"/>
  <c r="AE33" i="12"/>
  <c r="AE34" i="12"/>
  <c r="AE35" i="12"/>
  <c r="AE36" i="12"/>
  <c r="AE37" i="12"/>
  <c r="AE38" i="12"/>
  <c r="AE39" i="12"/>
  <c r="AE40" i="12"/>
  <c r="AE41" i="12"/>
  <c r="AE42" i="12"/>
  <c r="AE43" i="12"/>
  <c r="AE44" i="12"/>
  <c r="AE45" i="12"/>
  <c r="AE46" i="12"/>
  <c r="AE47" i="12"/>
  <c r="AE48" i="12"/>
  <c r="AE49" i="12"/>
  <c r="AE50" i="12"/>
  <c r="AE51" i="12"/>
  <c r="AE52" i="12"/>
  <c r="AE53" i="12"/>
  <c r="AE54" i="12"/>
  <c r="AE55" i="12"/>
  <c r="AE56" i="12"/>
  <c r="AE57" i="12"/>
  <c r="AE58" i="12"/>
  <c r="AE59" i="12"/>
  <c r="AE60" i="12"/>
  <c r="AE61" i="12"/>
  <c r="AE62" i="12"/>
  <c r="AE63" i="12"/>
  <c r="AE64" i="12"/>
  <c r="AE65" i="12"/>
  <c r="AE66" i="12"/>
  <c r="AE67" i="12"/>
  <c r="AE68" i="12"/>
  <c r="AE69" i="12"/>
  <c r="AE15" i="12"/>
  <c r="AD15" i="12"/>
  <c r="BG10" i="12" l="1"/>
  <c r="CB16" i="12" l="1"/>
  <c r="CC16" i="12"/>
  <c r="CD16" i="12"/>
  <c r="CF16" i="12"/>
  <c r="CB17" i="12"/>
  <c r="CC17" i="12"/>
  <c r="CD17" i="12"/>
  <c r="CE17" i="12"/>
  <c r="CF17" i="12"/>
  <c r="CB18" i="12"/>
  <c r="CC18" i="12"/>
  <c r="CD18" i="12"/>
  <c r="CF18" i="12"/>
  <c r="CB19" i="12"/>
  <c r="CC19" i="12"/>
  <c r="CD19" i="12"/>
  <c r="CF19" i="12"/>
  <c r="CB20" i="12"/>
  <c r="CC20" i="12"/>
  <c r="CD20" i="12"/>
  <c r="CF20" i="12"/>
  <c r="CB21" i="12"/>
  <c r="CC21" i="12"/>
  <c r="CD21" i="12"/>
  <c r="CE21" i="12" s="1"/>
  <c r="CF21" i="12"/>
  <c r="CB22" i="12"/>
  <c r="CC22" i="12"/>
  <c r="CD22" i="12"/>
  <c r="CF22" i="12"/>
  <c r="CB23" i="12"/>
  <c r="CC23" i="12"/>
  <c r="CD23" i="12"/>
  <c r="CF23" i="12"/>
  <c r="CB24" i="12"/>
  <c r="CC24" i="12"/>
  <c r="CD24" i="12"/>
  <c r="CF24" i="12"/>
  <c r="CB25" i="12"/>
  <c r="CC25" i="12"/>
  <c r="CD25" i="12"/>
  <c r="CF25" i="12"/>
  <c r="CB26" i="12"/>
  <c r="CC26" i="12"/>
  <c r="CD26" i="12"/>
  <c r="CF26" i="12"/>
  <c r="CB27" i="12"/>
  <c r="CC27" i="12"/>
  <c r="CD27" i="12"/>
  <c r="CF27" i="12"/>
  <c r="CB28" i="12"/>
  <c r="CC28" i="12"/>
  <c r="CD28" i="12"/>
  <c r="CF28" i="12"/>
  <c r="CB29" i="12"/>
  <c r="CC29" i="12"/>
  <c r="CD29" i="12"/>
  <c r="CF29" i="12"/>
  <c r="CB30" i="12"/>
  <c r="CC30" i="12"/>
  <c r="CD30" i="12"/>
  <c r="CF30" i="12"/>
  <c r="CB31" i="12"/>
  <c r="CC31" i="12"/>
  <c r="CD31" i="12"/>
  <c r="CF31" i="12"/>
  <c r="CB32" i="12"/>
  <c r="CC32" i="12"/>
  <c r="CD32" i="12"/>
  <c r="CF32" i="12"/>
  <c r="CB33" i="12"/>
  <c r="CC33" i="12"/>
  <c r="CD33" i="12"/>
  <c r="CF33" i="12"/>
  <c r="CB34" i="12"/>
  <c r="CC34" i="12"/>
  <c r="CD34" i="12"/>
  <c r="CF34" i="12"/>
  <c r="CB35" i="12"/>
  <c r="CC35" i="12"/>
  <c r="CD35" i="12"/>
  <c r="CF35" i="12"/>
  <c r="CB36" i="12"/>
  <c r="CC36" i="12"/>
  <c r="CD36" i="12"/>
  <c r="CF36" i="12"/>
  <c r="CB37" i="12"/>
  <c r="CC37" i="12"/>
  <c r="CD37" i="12"/>
  <c r="CF37" i="12"/>
  <c r="CB38" i="12"/>
  <c r="CC38" i="12"/>
  <c r="CD38" i="12"/>
  <c r="CF38" i="12"/>
  <c r="CB39" i="12"/>
  <c r="CC39" i="12"/>
  <c r="CD39" i="12"/>
  <c r="CF39" i="12"/>
  <c r="CB40" i="12"/>
  <c r="CC40" i="12"/>
  <c r="CD40" i="12"/>
  <c r="CF40" i="12"/>
  <c r="CB41" i="12"/>
  <c r="CC41" i="12"/>
  <c r="CD41" i="12"/>
  <c r="CF41" i="12"/>
  <c r="CB42" i="12"/>
  <c r="CC42" i="12"/>
  <c r="CD42" i="12"/>
  <c r="CF42" i="12"/>
  <c r="CB43" i="12"/>
  <c r="CC43" i="12"/>
  <c r="CD43" i="12"/>
  <c r="CF43" i="12"/>
  <c r="CB44" i="12"/>
  <c r="CC44" i="12"/>
  <c r="CD44" i="12"/>
  <c r="CF44" i="12"/>
  <c r="CB45" i="12"/>
  <c r="CC45" i="12"/>
  <c r="CD45" i="12"/>
  <c r="CF45" i="12"/>
  <c r="CB46" i="12"/>
  <c r="CC46" i="12"/>
  <c r="CD46" i="12"/>
  <c r="CF46" i="12"/>
  <c r="CB47" i="12"/>
  <c r="CC47" i="12"/>
  <c r="CD47" i="12"/>
  <c r="CF47" i="12"/>
  <c r="CB48" i="12"/>
  <c r="CC48" i="12"/>
  <c r="CD48" i="12"/>
  <c r="CF48" i="12"/>
  <c r="CB49" i="12"/>
  <c r="CC49" i="12"/>
  <c r="CD49" i="12"/>
  <c r="CF49" i="12"/>
  <c r="CB50" i="12"/>
  <c r="CC50" i="12"/>
  <c r="CD50" i="12"/>
  <c r="CF50" i="12"/>
  <c r="CB51" i="12"/>
  <c r="CC51" i="12"/>
  <c r="CD51" i="12"/>
  <c r="CF51" i="12"/>
  <c r="CB52" i="12"/>
  <c r="CC52" i="12"/>
  <c r="CD52" i="12"/>
  <c r="CF52" i="12"/>
  <c r="CB53" i="12"/>
  <c r="CC53" i="12"/>
  <c r="CD53" i="12"/>
  <c r="CF53" i="12"/>
  <c r="CB54" i="12"/>
  <c r="CC54" i="12"/>
  <c r="CD54" i="12"/>
  <c r="CF54" i="12"/>
  <c r="CB55" i="12"/>
  <c r="CC55" i="12"/>
  <c r="CD55" i="12"/>
  <c r="CF55" i="12"/>
  <c r="CB56" i="12"/>
  <c r="CC56" i="12"/>
  <c r="CD56" i="12"/>
  <c r="CF56" i="12"/>
  <c r="CB57" i="12"/>
  <c r="CC57" i="12"/>
  <c r="CD57" i="12"/>
  <c r="CF57" i="12"/>
  <c r="CB58" i="12"/>
  <c r="CC58" i="12"/>
  <c r="CD58" i="12"/>
  <c r="CF58" i="12"/>
  <c r="CB59" i="12"/>
  <c r="CC59" i="12"/>
  <c r="CD59" i="12"/>
  <c r="CF59" i="12"/>
  <c r="CB60" i="12"/>
  <c r="CC60" i="12"/>
  <c r="CD60" i="12"/>
  <c r="CF60" i="12"/>
  <c r="CB61" i="12"/>
  <c r="CC61" i="12"/>
  <c r="CD61" i="12"/>
  <c r="CF61" i="12"/>
  <c r="CB62" i="12"/>
  <c r="CC62" i="12"/>
  <c r="CD62" i="12"/>
  <c r="CF62" i="12"/>
  <c r="CB63" i="12"/>
  <c r="CC63" i="12"/>
  <c r="CD63" i="12"/>
  <c r="CF63" i="12"/>
  <c r="CB64" i="12"/>
  <c r="CC64" i="12"/>
  <c r="CD64" i="12"/>
  <c r="CF64" i="12"/>
  <c r="CB65" i="12"/>
  <c r="CC65" i="12"/>
  <c r="CD65" i="12"/>
  <c r="CF65" i="12"/>
  <c r="CB66" i="12"/>
  <c r="CC66" i="12"/>
  <c r="CD66" i="12"/>
  <c r="CF66" i="12"/>
  <c r="CB67" i="12"/>
  <c r="CC67" i="12"/>
  <c r="CD67" i="12"/>
  <c r="CF67" i="12"/>
  <c r="CB68" i="12"/>
  <c r="CC68" i="12"/>
  <c r="CD68" i="12"/>
  <c r="CF68" i="12"/>
  <c r="CB69" i="12"/>
  <c r="CC69" i="12"/>
  <c r="CD69" i="12"/>
  <c r="CF69" i="12"/>
  <c r="CF15" i="12"/>
  <c r="CD15" i="12"/>
  <c r="CC15" i="12"/>
  <c r="CB15" i="12"/>
  <c r="CE33" i="12" l="1"/>
  <c r="CE69" i="12"/>
  <c r="CE53" i="12"/>
  <c r="CE37" i="12"/>
  <c r="CE41" i="12"/>
  <c r="CE65" i="12"/>
  <c r="CE64" i="12"/>
  <c r="CE63" i="12"/>
  <c r="CE61" i="12"/>
  <c r="CE60" i="12"/>
  <c r="CE49" i="12"/>
  <c r="CE16" i="12"/>
  <c r="CE59" i="12"/>
  <c r="CE57" i="12"/>
  <c r="CE38" i="12"/>
  <c r="CE48" i="12"/>
  <c r="CE47" i="12"/>
  <c r="CE45" i="12"/>
  <c r="CE44" i="12"/>
  <c r="CE43" i="12"/>
  <c r="CE25" i="12"/>
  <c r="CE22" i="12"/>
  <c r="CE32" i="12"/>
  <c r="CE31" i="12"/>
  <c r="CE29" i="12"/>
  <c r="CE28" i="12"/>
  <c r="CE27" i="12"/>
  <c r="CE54" i="12"/>
  <c r="CE66" i="12"/>
  <c r="CE56" i="12"/>
  <c r="CE55" i="12"/>
  <c r="CE50" i="12"/>
  <c r="CE40" i="12"/>
  <c r="CE39" i="12"/>
  <c r="CE34" i="12"/>
  <c r="CE24" i="12"/>
  <c r="CE23" i="12"/>
  <c r="CE18" i="12"/>
  <c r="CE68" i="12"/>
  <c r="CE67" i="12"/>
  <c r="CE62" i="12"/>
  <c r="CE52" i="12"/>
  <c r="CE51" i="12"/>
  <c r="CE46" i="12"/>
  <c r="CE36" i="12"/>
  <c r="CE35" i="12"/>
  <c r="CE30" i="12"/>
  <c r="CE20" i="12"/>
  <c r="CE19" i="12"/>
  <c r="CE58" i="12"/>
  <c r="CE42" i="12"/>
  <c r="CE26" i="12"/>
  <c r="CE15" i="12"/>
  <c r="I22" i="1"/>
  <c r="C5" i="1"/>
  <c r="D132" i="12" l="1"/>
  <c r="H60" i="3"/>
  <c r="C4" i="12"/>
  <c r="Q32" i="1" l="1"/>
  <c r="G61" i="3" l="1"/>
  <c r="H61" i="3" s="1"/>
  <c r="F58" i="3" l="1"/>
  <c r="F57" i="3"/>
  <c r="V46" i="3"/>
  <c r="V45" i="3"/>
  <c r="AT18" i="12" l="1"/>
  <c r="AT19" i="12"/>
  <c r="AT20" i="12"/>
  <c r="AT21" i="12"/>
  <c r="AT22" i="12"/>
  <c r="AT23" i="12"/>
  <c r="AT24" i="12"/>
  <c r="AT25" i="12"/>
  <c r="AT26" i="12"/>
  <c r="AT27" i="12"/>
  <c r="AT28" i="12"/>
  <c r="AT29" i="12"/>
  <c r="AT30" i="12"/>
  <c r="AT31" i="12"/>
  <c r="AT32" i="12"/>
  <c r="AT33" i="12"/>
  <c r="AT34" i="12"/>
  <c r="AT35" i="12"/>
  <c r="AT36" i="12"/>
  <c r="AT37" i="12"/>
  <c r="AT38" i="12"/>
  <c r="AT39" i="12"/>
  <c r="AT40" i="12"/>
  <c r="AT41" i="12"/>
  <c r="AT42" i="12"/>
  <c r="AT43" i="12"/>
  <c r="AT44" i="12"/>
  <c r="AT45" i="12"/>
  <c r="AT46" i="12"/>
  <c r="AT47" i="12"/>
  <c r="AT48" i="12"/>
  <c r="AT49" i="12"/>
  <c r="AT50" i="12"/>
  <c r="AT51" i="12"/>
  <c r="AT52" i="12"/>
  <c r="AT53" i="12"/>
  <c r="AT54" i="12"/>
  <c r="AT55" i="12"/>
  <c r="AT56" i="12"/>
  <c r="AT57" i="12"/>
  <c r="AT58" i="12"/>
  <c r="AT59" i="12"/>
  <c r="AT60" i="12"/>
  <c r="AT61" i="12"/>
  <c r="AT62" i="12"/>
  <c r="AT63" i="12"/>
  <c r="AT64" i="12"/>
  <c r="AT65" i="12"/>
  <c r="AT66" i="12"/>
  <c r="AT67" i="12"/>
  <c r="AT68" i="12"/>
  <c r="AT69" i="12"/>
  <c r="J56" i="1" l="1"/>
  <c r="BR69" i="12" l="1"/>
  <c r="BR68" i="12"/>
  <c r="BR67" i="12"/>
  <c r="BR66" i="12"/>
  <c r="BR65" i="12"/>
  <c r="BR64" i="12"/>
  <c r="BR63" i="12"/>
  <c r="BR62" i="12"/>
  <c r="BR61" i="12"/>
  <c r="BR60" i="12"/>
  <c r="BR59" i="12"/>
  <c r="BR58" i="12"/>
  <c r="BR57" i="12"/>
  <c r="BR56" i="12"/>
  <c r="BR55" i="12"/>
  <c r="BR54" i="12"/>
  <c r="BR53" i="12"/>
  <c r="BR52" i="12"/>
  <c r="BR51" i="12"/>
  <c r="BR50" i="12"/>
  <c r="BR49" i="12"/>
  <c r="BR48" i="12"/>
  <c r="BR47" i="12"/>
  <c r="BR46" i="12"/>
  <c r="BR45" i="12"/>
  <c r="BR44" i="12"/>
  <c r="BR43" i="12"/>
  <c r="BR42" i="12"/>
  <c r="BR41" i="12"/>
  <c r="BR40" i="12"/>
  <c r="BR39" i="12"/>
  <c r="BR38" i="12"/>
  <c r="BR37" i="12"/>
  <c r="BR36" i="12"/>
  <c r="BR35" i="12"/>
  <c r="BR34" i="12"/>
  <c r="BR33" i="12"/>
  <c r="BR32" i="12"/>
  <c r="BR31" i="12"/>
  <c r="BR30" i="12"/>
  <c r="BR29" i="12"/>
  <c r="BR28" i="12"/>
  <c r="BR27" i="12"/>
  <c r="BR26" i="12"/>
  <c r="BR25" i="12"/>
  <c r="BR24" i="12"/>
  <c r="BR23" i="12"/>
  <c r="BR22" i="12"/>
  <c r="BR21" i="12"/>
  <c r="BR20" i="12"/>
  <c r="BR19" i="12"/>
  <c r="BR18" i="12"/>
  <c r="BR17" i="12"/>
  <c r="BR16" i="12"/>
  <c r="BN69" i="12"/>
  <c r="BM69" i="12"/>
  <c r="BN68" i="12"/>
  <c r="BM68" i="12"/>
  <c r="BN67" i="12"/>
  <c r="BM67" i="12"/>
  <c r="BN66" i="12"/>
  <c r="BM66" i="12"/>
  <c r="BN65" i="12"/>
  <c r="BM65" i="12"/>
  <c r="BN64" i="12"/>
  <c r="BM64" i="12"/>
  <c r="BN63" i="12"/>
  <c r="BM63" i="12"/>
  <c r="BN62" i="12"/>
  <c r="BM62" i="12"/>
  <c r="BN61" i="12"/>
  <c r="BM61" i="12"/>
  <c r="BN60" i="12"/>
  <c r="BM60" i="12"/>
  <c r="BN59" i="12"/>
  <c r="BM59" i="12"/>
  <c r="BN58" i="12"/>
  <c r="BM58" i="12"/>
  <c r="BN57" i="12"/>
  <c r="BM57" i="12"/>
  <c r="BN56" i="12"/>
  <c r="BM56" i="12"/>
  <c r="BN55" i="12"/>
  <c r="BM55" i="12"/>
  <c r="BN54" i="12"/>
  <c r="BM54" i="12"/>
  <c r="BN53" i="12"/>
  <c r="BM53" i="12"/>
  <c r="BN52" i="12"/>
  <c r="BM52" i="12"/>
  <c r="BN51" i="12"/>
  <c r="BM51" i="12"/>
  <c r="BN50" i="12"/>
  <c r="BM50" i="12"/>
  <c r="BN49" i="12"/>
  <c r="BM49" i="12"/>
  <c r="BN48" i="12"/>
  <c r="BM48" i="12"/>
  <c r="BN47" i="12"/>
  <c r="BM47" i="12"/>
  <c r="BN46" i="12"/>
  <c r="BM46" i="12"/>
  <c r="BN45" i="12"/>
  <c r="BM45" i="12"/>
  <c r="BN44" i="12"/>
  <c r="BM44" i="12"/>
  <c r="BN43" i="12"/>
  <c r="BM43" i="12"/>
  <c r="BN42" i="12"/>
  <c r="BM42" i="12"/>
  <c r="BN41" i="12"/>
  <c r="BM41" i="12"/>
  <c r="BN40" i="12"/>
  <c r="BM40" i="12"/>
  <c r="BN39" i="12"/>
  <c r="BM39" i="12"/>
  <c r="BN38" i="12"/>
  <c r="BM38" i="12"/>
  <c r="BN37" i="12"/>
  <c r="BM37" i="12"/>
  <c r="BN36" i="12"/>
  <c r="BM36" i="12"/>
  <c r="BN35" i="12"/>
  <c r="BM35" i="12"/>
  <c r="BN34" i="12"/>
  <c r="BM34" i="12"/>
  <c r="BN33" i="12"/>
  <c r="BM33" i="12"/>
  <c r="BN32" i="12"/>
  <c r="BM32" i="12"/>
  <c r="BN31" i="12"/>
  <c r="BM31" i="12"/>
  <c r="BN30" i="12"/>
  <c r="BM30" i="12"/>
  <c r="BN29" i="12"/>
  <c r="BM29" i="12"/>
  <c r="BN28" i="12"/>
  <c r="BM28" i="12"/>
  <c r="BN27" i="12"/>
  <c r="BM27" i="12"/>
  <c r="BN26" i="12"/>
  <c r="BM26" i="12"/>
  <c r="BN25" i="12"/>
  <c r="BM25" i="12"/>
  <c r="BN24" i="12"/>
  <c r="BM24" i="12"/>
  <c r="BN23" i="12"/>
  <c r="BM23" i="12"/>
  <c r="BN22" i="12"/>
  <c r="BM22" i="12"/>
  <c r="BN21" i="12"/>
  <c r="BM21" i="12"/>
  <c r="BN20" i="12"/>
  <c r="BM20" i="12"/>
  <c r="BN19" i="12"/>
  <c r="BM19" i="12"/>
  <c r="BN18" i="12"/>
  <c r="BM18" i="12"/>
  <c r="BN17" i="12"/>
  <c r="BM17" i="12"/>
  <c r="BN16" i="12"/>
  <c r="BM16" i="12"/>
  <c r="O68" i="12"/>
  <c r="P68" i="12" s="1"/>
  <c r="R68" i="12"/>
  <c r="S68" i="12"/>
  <c r="V68" i="12"/>
  <c r="AC68" i="12"/>
  <c r="AI68" i="12"/>
  <c r="AK68" i="12"/>
  <c r="AV68" i="12" s="1"/>
  <c r="AN68" i="12"/>
  <c r="AO68" i="12"/>
  <c r="AR68" i="12"/>
  <c r="AS68" i="12"/>
  <c r="AU68" i="12"/>
  <c r="BJ68" i="12"/>
  <c r="BP68" i="12" s="1"/>
  <c r="W68" i="12" s="1"/>
  <c r="BK68" i="12"/>
  <c r="BL68" i="12"/>
  <c r="BO68" i="12"/>
  <c r="BQ68" i="12"/>
  <c r="X68" i="12" s="1"/>
  <c r="S69" i="12"/>
  <c r="S67" i="12"/>
  <c r="S66" i="12"/>
  <c r="S65" i="12"/>
  <c r="S64" i="12"/>
  <c r="S63" i="12"/>
  <c r="S62" i="12"/>
  <c r="S61" i="12"/>
  <c r="S60" i="12"/>
  <c r="S59" i="12"/>
  <c r="S58" i="12"/>
  <c r="S57" i="12"/>
  <c r="S56" i="12"/>
  <c r="S55" i="12"/>
  <c r="S54" i="12"/>
  <c r="S53" i="12"/>
  <c r="S52" i="12"/>
  <c r="S51" i="12"/>
  <c r="S50" i="12"/>
  <c r="S49" i="12"/>
  <c r="S48" i="12"/>
  <c r="S47" i="12"/>
  <c r="S46" i="12"/>
  <c r="S45" i="12"/>
  <c r="S44" i="12"/>
  <c r="S43" i="12"/>
  <c r="S42" i="12"/>
  <c r="S41" i="12"/>
  <c r="S40" i="12"/>
  <c r="S39" i="12"/>
  <c r="S38" i="12"/>
  <c r="S37" i="12"/>
  <c r="S36" i="12"/>
  <c r="S35" i="12"/>
  <c r="S34" i="12"/>
  <c r="S33" i="12"/>
  <c r="S32" i="12"/>
  <c r="S31" i="12"/>
  <c r="S30" i="12"/>
  <c r="S29" i="12"/>
  <c r="S28" i="12"/>
  <c r="S27" i="12"/>
  <c r="S26" i="12"/>
  <c r="S25" i="12"/>
  <c r="S24" i="12"/>
  <c r="S23" i="12"/>
  <c r="S22" i="12"/>
  <c r="S21" i="12"/>
  <c r="S20" i="12"/>
  <c r="S19" i="12"/>
  <c r="S18" i="12"/>
  <c r="S17" i="12"/>
  <c r="S16" i="12"/>
  <c r="S15" i="12"/>
  <c r="BL15" i="12"/>
  <c r="R15" i="12"/>
  <c r="BQ17" i="12"/>
  <c r="X17" i="12" s="1"/>
  <c r="BO17" i="12"/>
  <c r="BK18" i="12"/>
  <c r="BJ18" i="12"/>
  <c r="BL18" i="12"/>
  <c r="BL17" i="12"/>
  <c r="C5" i="12"/>
  <c r="BL69" i="12"/>
  <c r="BL67" i="12"/>
  <c r="BL66" i="12"/>
  <c r="BL65" i="12"/>
  <c r="BL64" i="12"/>
  <c r="BL63" i="12"/>
  <c r="BL62" i="12"/>
  <c r="BL61" i="12"/>
  <c r="BL60" i="12"/>
  <c r="BL59" i="12"/>
  <c r="BL58" i="12"/>
  <c r="BL57" i="12"/>
  <c r="BL56" i="12"/>
  <c r="BL55" i="12"/>
  <c r="BL54" i="12"/>
  <c r="BL53" i="12"/>
  <c r="BL52" i="12"/>
  <c r="BL51" i="12"/>
  <c r="BL50" i="12"/>
  <c r="BL49" i="12"/>
  <c r="BL48" i="12"/>
  <c r="BL47" i="12"/>
  <c r="BL46" i="12"/>
  <c r="BL45" i="12"/>
  <c r="BL44" i="12"/>
  <c r="BL43" i="12"/>
  <c r="BL42" i="12"/>
  <c r="BL41" i="12"/>
  <c r="BL40" i="12"/>
  <c r="BL39" i="12"/>
  <c r="BL38" i="12"/>
  <c r="BL37" i="12"/>
  <c r="BL36" i="12"/>
  <c r="BL35" i="12"/>
  <c r="BL34" i="12"/>
  <c r="BL33" i="12"/>
  <c r="BL32" i="12"/>
  <c r="BL31" i="12"/>
  <c r="BL30" i="12"/>
  <c r="BL29" i="12"/>
  <c r="BL28" i="12"/>
  <c r="BL27" i="12"/>
  <c r="BL26" i="12"/>
  <c r="BL25" i="12"/>
  <c r="BL24" i="12"/>
  <c r="BL23" i="12"/>
  <c r="BL22" i="12"/>
  <c r="BL21" i="12"/>
  <c r="BL20" i="12"/>
  <c r="BL19" i="12"/>
  <c r="AU69" i="12"/>
  <c r="AU67" i="12"/>
  <c r="AU66" i="12"/>
  <c r="AU65" i="12"/>
  <c r="AU64" i="12"/>
  <c r="AU63" i="12"/>
  <c r="AU62" i="12"/>
  <c r="AU61" i="12"/>
  <c r="AU60" i="12"/>
  <c r="AU59" i="12"/>
  <c r="AU58" i="12"/>
  <c r="AU57" i="12"/>
  <c r="AU56" i="12"/>
  <c r="AU55" i="12"/>
  <c r="AU54" i="12"/>
  <c r="AU53" i="12"/>
  <c r="AU52" i="12"/>
  <c r="AU51" i="12"/>
  <c r="AU50" i="12"/>
  <c r="AU49" i="12"/>
  <c r="AU48" i="12"/>
  <c r="AU47" i="12"/>
  <c r="AU46" i="12"/>
  <c r="AU45" i="12"/>
  <c r="AU44" i="12"/>
  <c r="AU43" i="12"/>
  <c r="AU42" i="12"/>
  <c r="AU41" i="12"/>
  <c r="AU40" i="12"/>
  <c r="AU39" i="12"/>
  <c r="AU38" i="12"/>
  <c r="AU37" i="12"/>
  <c r="AU36" i="12"/>
  <c r="AU35" i="12"/>
  <c r="AU34" i="12"/>
  <c r="AU33" i="12"/>
  <c r="AU32" i="12"/>
  <c r="AU31" i="12"/>
  <c r="AU30" i="12"/>
  <c r="AU29" i="12"/>
  <c r="AU28" i="12"/>
  <c r="AU27" i="12"/>
  <c r="AU26" i="12"/>
  <c r="AU25" i="12"/>
  <c r="AU24" i="12"/>
  <c r="AU23" i="12"/>
  <c r="AU22" i="12"/>
  <c r="AU21" i="12"/>
  <c r="AU20" i="12"/>
  <c r="AU19" i="12"/>
  <c r="AU18" i="12"/>
  <c r="AS69" i="12"/>
  <c r="AS67" i="12"/>
  <c r="AS66" i="12"/>
  <c r="AS65" i="12"/>
  <c r="AS64" i="12"/>
  <c r="AS63" i="12"/>
  <c r="AS62" i="12"/>
  <c r="AS61" i="12"/>
  <c r="AS60" i="12"/>
  <c r="AS59" i="12"/>
  <c r="AS58" i="12"/>
  <c r="AS57" i="12"/>
  <c r="AS56" i="12"/>
  <c r="AS55" i="12"/>
  <c r="AS54" i="12"/>
  <c r="AS53" i="12"/>
  <c r="AS52" i="12"/>
  <c r="AS51" i="12"/>
  <c r="AS50" i="12"/>
  <c r="AS49" i="12"/>
  <c r="AS48" i="12"/>
  <c r="AS47" i="12"/>
  <c r="AS46" i="12"/>
  <c r="AS45" i="12"/>
  <c r="AS44" i="12"/>
  <c r="AS43" i="12"/>
  <c r="AS42" i="12"/>
  <c r="AS41" i="12"/>
  <c r="AS40" i="12"/>
  <c r="AS39" i="12"/>
  <c r="AS38" i="12"/>
  <c r="AS37" i="12"/>
  <c r="AS36" i="12"/>
  <c r="AS35" i="12"/>
  <c r="AS34" i="12"/>
  <c r="AS33" i="12"/>
  <c r="AS32" i="12"/>
  <c r="AS31" i="12"/>
  <c r="AS30" i="12"/>
  <c r="AS29" i="12"/>
  <c r="AS28" i="12"/>
  <c r="AS27" i="12"/>
  <c r="AS26" i="12"/>
  <c r="AS25" i="12"/>
  <c r="AS24" i="12"/>
  <c r="AS23" i="12"/>
  <c r="AS22" i="12"/>
  <c r="AS21" i="12"/>
  <c r="AS20" i="12"/>
  <c r="AS19" i="12"/>
  <c r="AS18" i="12"/>
  <c r="AR69" i="12"/>
  <c r="AR67" i="12"/>
  <c r="AR66" i="12"/>
  <c r="AR65" i="12"/>
  <c r="AR64" i="12"/>
  <c r="AR63" i="12"/>
  <c r="AR62" i="12"/>
  <c r="AR61" i="12"/>
  <c r="AR60" i="12"/>
  <c r="AR59" i="12"/>
  <c r="AR58" i="12"/>
  <c r="AR57" i="12"/>
  <c r="AR56" i="12"/>
  <c r="AR55" i="12"/>
  <c r="AR54" i="12"/>
  <c r="AR53" i="12"/>
  <c r="AR52" i="12"/>
  <c r="AR51" i="12"/>
  <c r="AR50" i="12"/>
  <c r="AR49" i="12"/>
  <c r="AR48" i="12"/>
  <c r="AR47" i="12"/>
  <c r="AR46" i="12"/>
  <c r="AR45" i="12"/>
  <c r="AR44" i="12"/>
  <c r="AR43" i="12"/>
  <c r="AR42" i="12"/>
  <c r="AR41" i="12"/>
  <c r="AR40" i="12"/>
  <c r="AR39" i="12"/>
  <c r="AR38" i="12"/>
  <c r="AR37" i="12"/>
  <c r="AR36" i="12"/>
  <c r="AR35" i="12"/>
  <c r="AR34" i="12"/>
  <c r="AR33" i="12"/>
  <c r="AR32" i="12"/>
  <c r="AR31" i="12"/>
  <c r="AR30" i="12"/>
  <c r="AR29" i="12"/>
  <c r="AR28" i="12"/>
  <c r="AR27" i="12"/>
  <c r="AR26" i="12"/>
  <c r="AR25" i="12"/>
  <c r="AR24" i="12"/>
  <c r="AR23" i="12"/>
  <c r="AR22" i="12"/>
  <c r="AR21" i="12"/>
  <c r="AR20" i="12"/>
  <c r="AR19" i="12"/>
  <c r="AR18" i="12"/>
  <c r="AO69" i="12"/>
  <c r="AO67" i="12"/>
  <c r="AO66" i="12"/>
  <c r="AO65" i="12"/>
  <c r="AO64" i="12"/>
  <c r="AO63" i="12"/>
  <c r="AO62" i="12"/>
  <c r="AO61" i="12"/>
  <c r="AO60" i="12"/>
  <c r="AO59" i="12"/>
  <c r="AO58" i="12"/>
  <c r="AO57" i="12"/>
  <c r="AO56" i="12"/>
  <c r="AO55" i="12"/>
  <c r="AO54" i="12"/>
  <c r="AO53" i="12"/>
  <c r="AO52" i="12"/>
  <c r="AO51" i="12"/>
  <c r="AO50" i="12"/>
  <c r="AO49" i="12"/>
  <c r="AO48" i="12"/>
  <c r="AO47" i="12"/>
  <c r="AO46" i="12"/>
  <c r="AO45" i="12"/>
  <c r="AO44" i="12"/>
  <c r="AO43" i="12"/>
  <c r="AO42" i="12"/>
  <c r="AO41" i="12"/>
  <c r="AO40" i="12"/>
  <c r="AO39" i="12"/>
  <c r="AO38" i="12"/>
  <c r="AO37" i="12"/>
  <c r="AO36" i="12"/>
  <c r="AO35" i="12"/>
  <c r="AO34" i="12"/>
  <c r="AO33" i="12"/>
  <c r="AO32" i="12"/>
  <c r="AO31" i="12"/>
  <c r="AO30" i="12"/>
  <c r="AO29" i="12"/>
  <c r="AO28" i="12"/>
  <c r="AO27" i="12"/>
  <c r="AO26" i="12"/>
  <c r="AO25" i="12"/>
  <c r="AO24" i="12"/>
  <c r="AO23" i="12"/>
  <c r="AO22" i="12"/>
  <c r="AO21" i="12"/>
  <c r="AO20" i="12"/>
  <c r="AO19" i="12"/>
  <c r="AO18" i="12"/>
  <c r="AN69" i="12"/>
  <c r="AN67" i="12"/>
  <c r="AN66" i="12"/>
  <c r="AN65" i="12"/>
  <c r="AN64" i="12"/>
  <c r="AN63" i="12"/>
  <c r="AN62" i="12"/>
  <c r="AN61" i="12"/>
  <c r="AN60" i="12"/>
  <c r="AN59" i="12"/>
  <c r="AN58" i="12"/>
  <c r="AN57" i="12"/>
  <c r="AN56" i="12"/>
  <c r="AN55" i="12"/>
  <c r="AN54" i="12"/>
  <c r="AN53" i="12"/>
  <c r="AN52" i="12"/>
  <c r="AN51" i="12"/>
  <c r="AN50" i="12"/>
  <c r="AN49" i="12"/>
  <c r="AN48" i="12"/>
  <c r="AN47" i="12"/>
  <c r="AN46" i="12"/>
  <c r="AN45" i="12"/>
  <c r="AN44" i="12"/>
  <c r="AN43" i="12"/>
  <c r="AN42" i="12"/>
  <c r="AN41" i="12"/>
  <c r="AN40" i="12"/>
  <c r="AN39" i="12"/>
  <c r="AN38" i="12"/>
  <c r="AN37" i="12"/>
  <c r="AN36" i="12"/>
  <c r="AN35" i="12"/>
  <c r="AN34" i="12"/>
  <c r="AN33" i="12"/>
  <c r="AN32" i="12"/>
  <c r="AN31" i="12"/>
  <c r="AN30" i="12"/>
  <c r="AN29" i="12"/>
  <c r="AN28" i="12"/>
  <c r="AN27" i="12"/>
  <c r="AN26" i="12"/>
  <c r="AN25" i="12"/>
  <c r="AN24" i="12"/>
  <c r="AN23" i="12"/>
  <c r="AN22" i="12"/>
  <c r="AN21" i="12"/>
  <c r="AN20" i="12"/>
  <c r="AN19" i="12"/>
  <c r="AN18" i="12"/>
  <c r="AI69" i="12"/>
  <c r="AI67" i="12"/>
  <c r="AI66" i="12"/>
  <c r="AI65" i="12"/>
  <c r="AI64" i="12"/>
  <c r="AI63" i="12"/>
  <c r="AI62" i="12"/>
  <c r="AI61" i="12"/>
  <c r="AI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I35" i="12"/>
  <c r="AI34" i="12"/>
  <c r="AI33" i="12"/>
  <c r="AI32" i="12"/>
  <c r="AI31" i="12"/>
  <c r="AI30" i="12"/>
  <c r="AI29" i="12"/>
  <c r="AI28" i="12"/>
  <c r="AI27" i="12"/>
  <c r="AI26" i="12"/>
  <c r="AI25" i="12"/>
  <c r="AI24" i="12"/>
  <c r="AI23" i="12"/>
  <c r="AI22" i="12"/>
  <c r="AI21" i="12"/>
  <c r="AI20" i="12"/>
  <c r="AI19" i="12"/>
  <c r="AI18" i="12"/>
  <c r="AI17" i="12"/>
  <c r="AI16" i="12"/>
  <c r="AI15" i="12"/>
  <c r="O69" i="12"/>
  <c r="P69" i="12" s="1"/>
  <c r="O67" i="12"/>
  <c r="P67" i="12" s="1"/>
  <c r="O66" i="12"/>
  <c r="P66" i="12" s="1"/>
  <c r="O65" i="12"/>
  <c r="P65" i="12" s="1"/>
  <c r="O64" i="12"/>
  <c r="P64" i="12" s="1"/>
  <c r="O63" i="12"/>
  <c r="P63" i="12" s="1"/>
  <c r="O62" i="12"/>
  <c r="P62" i="12" s="1"/>
  <c r="O61" i="12"/>
  <c r="P61" i="12" s="1"/>
  <c r="O60" i="12"/>
  <c r="P60" i="12" s="1"/>
  <c r="O59" i="12"/>
  <c r="P59" i="12" s="1"/>
  <c r="O58" i="12"/>
  <c r="P58" i="12" s="1"/>
  <c r="O57" i="12"/>
  <c r="P57" i="12" s="1"/>
  <c r="O56" i="12"/>
  <c r="P56" i="12" s="1"/>
  <c r="O55" i="12"/>
  <c r="P55" i="12" s="1"/>
  <c r="O54" i="12"/>
  <c r="P54" i="12" s="1"/>
  <c r="O53" i="12"/>
  <c r="P53" i="12" s="1"/>
  <c r="O52" i="12"/>
  <c r="P52" i="12" s="1"/>
  <c r="O51" i="12"/>
  <c r="P51" i="12" s="1"/>
  <c r="O50" i="12"/>
  <c r="P50" i="12" s="1"/>
  <c r="O49" i="12"/>
  <c r="P49" i="12" s="1"/>
  <c r="O48" i="12"/>
  <c r="P48" i="12" s="1"/>
  <c r="O47" i="12"/>
  <c r="P47" i="12" s="1"/>
  <c r="O46" i="12"/>
  <c r="P46" i="12" s="1"/>
  <c r="O45" i="12"/>
  <c r="P45" i="12" s="1"/>
  <c r="O44" i="12"/>
  <c r="P44" i="12" s="1"/>
  <c r="O43" i="12"/>
  <c r="P43" i="12" s="1"/>
  <c r="O42" i="12"/>
  <c r="P42" i="12" s="1"/>
  <c r="O41" i="12"/>
  <c r="P41" i="12" s="1"/>
  <c r="O40" i="12"/>
  <c r="P40" i="12" s="1"/>
  <c r="O39" i="12"/>
  <c r="P39" i="12" s="1"/>
  <c r="O38" i="12"/>
  <c r="P38" i="12" s="1"/>
  <c r="O37" i="12"/>
  <c r="P37" i="12" s="1"/>
  <c r="O36" i="12"/>
  <c r="P36" i="12" s="1"/>
  <c r="O35" i="12"/>
  <c r="P35" i="12" s="1"/>
  <c r="O34" i="12"/>
  <c r="P34" i="12" s="1"/>
  <c r="O33" i="12"/>
  <c r="P33" i="12" s="1"/>
  <c r="O32" i="12"/>
  <c r="P32" i="12" s="1"/>
  <c r="O31" i="12"/>
  <c r="P31" i="12" s="1"/>
  <c r="O30" i="12"/>
  <c r="P30" i="12" s="1"/>
  <c r="O29" i="12"/>
  <c r="P29" i="12" s="1"/>
  <c r="O28" i="12"/>
  <c r="P28" i="12" s="1"/>
  <c r="O27" i="12"/>
  <c r="P27" i="12" s="1"/>
  <c r="O26" i="12"/>
  <c r="P26" i="12" s="1"/>
  <c r="O25" i="12"/>
  <c r="P25" i="12" s="1"/>
  <c r="O24" i="12"/>
  <c r="P24" i="12" s="1"/>
  <c r="O23" i="12"/>
  <c r="P23" i="12" s="1"/>
  <c r="O22" i="12"/>
  <c r="P22" i="12" s="1"/>
  <c r="O21" i="12"/>
  <c r="P21" i="12" s="1"/>
  <c r="O20" i="12"/>
  <c r="P20" i="12" s="1"/>
  <c r="O19" i="12"/>
  <c r="P19" i="12" s="1"/>
  <c r="O18" i="12"/>
  <c r="P18" i="12" s="1"/>
  <c r="O17" i="12"/>
  <c r="P17" i="12" s="1"/>
  <c r="BL16" i="12"/>
  <c r="J14" i="1"/>
  <c r="G27" i="1" s="1"/>
  <c r="I27" i="1" s="1"/>
  <c r="BJ15" i="12"/>
  <c r="BP15" i="12" s="1"/>
  <c r="W15" i="12" s="1"/>
  <c r="BQ63" i="12"/>
  <c r="X63" i="12" s="1"/>
  <c r="BO63" i="12"/>
  <c r="BJ63" i="12"/>
  <c r="BP63" i="12" s="1"/>
  <c r="W63" i="12" s="1"/>
  <c r="AC63" i="12"/>
  <c r="V63" i="12"/>
  <c r="R63" i="12"/>
  <c r="BQ62" i="12"/>
  <c r="X62" i="12" s="1"/>
  <c r="BO62" i="12"/>
  <c r="BJ62" i="12"/>
  <c r="BP62" i="12" s="1"/>
  <c r="W62" i="12" s="1"/>
  <c r="AC62" i="12"/>
  <c r="V62" i="12"/>
  <c r="R62" i="12"/>
  <c r="BQ61" i="12"/>
  <c r="X61" i="12" s="1"/>
  <c r="BO61" i="12"/>
  <c r="BJ61" i="12"/>
  <c r="BP61" i="12" s="1"/>
  <c r="W61" i="12" s="1"/>
  <c r="AC61" i="12"/>
  <c r="V61" i="12"/>
  <c r="R61" i="12"/>
  <c r="BQ60" i="12"/>
  <c r="X60" i="12" s="1"/>
  <c r="BO60" i="12"/>
  <c r="BJ60" i="12"/>
  <c r="BP60" i="12" s="1"/>
  <c r="W60" i="12" s="1"/>
  <c r="AC60" i="12"/>
  <c r="V60" i="12"/>
  <c r="R60" i="12"/>
  <c r="BQ59" i="12"/>
  <c r="X59" i="12" s="1"/>
  <c r="BO59" i="12"/>
  <c r="BJ59" i="12"/>
  <c r="BP59" i="12" s="1"/>
  <c r="W59" i="12" s="1"/>
  <c r="AC59" i="12"/>
  <c r="V59" i="12"/>
  <c r="R59" i="12"/>
  <c r="C4" i="1"/>
  <c r="BQ69" i="12"/>
  <c r="X69" i="12" s="1"/>
  <c r="BO69" i="12"/>
  <c r="BJ69" i="12"/>
  <c r="BP69" i="12" s="1"/>
  <c r="W69" i="12" s="1"/>
  <c r="AC69" i="12"/>
  <c r="V69" i="12"/>
  <c r="R69" i="12"/>
  <c r="BQ67" i="12"/>
  <c r="X67" i="12" s="1"/>
  <c r="BO67" i="12"/>
  <c r="BJ67" i="12"/>
  <c r="BP67" i="12" s="1"/>
  <c r="W67" i="12" s="1"/>
  <c r="AC67" i="12"/>
  <c r="V67" i="12"/>
  <c r="R67" i="12"/>
  <c r="BQ66" i="12"/>
  <c r="X66" i="12" s="1"/>
  <c r="BO66" i="12"/>
  <c r="BJ66" i="12"/>
  <c r="BP66" i="12" s="1"/>
  <c r="W66" i="12" s="1"/>
  <c r="AC66" i="12"/>
  <c r="V66" i="12"/>
  <c r="R66" i="12"/>
  <c r="BQ65" i="12"/>
  <c r="X65" i="12" s="1"/>
  <c r="BO65" i="12"/>
  <c r="BJ65" i="12"/>
  <c r="BP65" i="12" s="1"/>
  <c r="W65" i="12" s="1"/>
  <c r="AC65" i="12"/>
  <c r="V65" i="12"/>
  <c r="R65" i="12"/>
  <c r="BQ64" i="12"/>
  <c r="X64" i="12" s="1"/>
  <c r="BO64" i="12"/>
  <c r="BJ64" i="12"/>
  <c r="BP64" i="12" s="1"/>
  <c r="W64" i="12" s="1"/>
  <c r="AC64" i="12"/>
  <c r="V64" i="12"/>
  <c r="R64" i="12"/>
  <c r="BQ58" i="12"/>
  <c r="X58" i="12" s="1"/>
  <c r="BO58" i="12"/>
  <c r="BJ58" i="12"/>
  <c r="BP58" i="12" s="1"/>
  <c r="W58" i="12" s="1"/>
  <c r="AC58" i="12"/>
  <c r="V58" i="12"/>
  <c r="R58" i="12"/>
  <c r="BQ57" i="12"/>
  <c r="X57" i="12" s="1"/>
  <c r="BO57" i="12"/>
  <c r="BJ57" i="12"/>
  <c r="BP57" i="12" s="1"/>
  <c r="W57" i="12" s="1"/>
  <c r="AC57" i="12"/>
  <c r="V57" i="12"/>
  <c r="R57" i="12"/>
  <c r="BQ56" i="12"/>
  <c r="X56" i="12" s="1"/>
  <c r="BO56" i="12"/>
  <c r="BJ56" i="12"/>
  <c r="BP56" i="12" s="1"/>
  <c r="W56" i="12" s="1"/>
  <c r="AC56" i="12"/>
  <c r="V56" i="12"/>
  <c r="R56" i="12"/>
  <c r="BQ55" i="12"/>
  <c r="X55" i="12" s="1"/>
  <c r="BO55" i="12"/>
  <c r="BJ55" i="12"/>
  <c r="BP55" i="12" s="1"/>
  <c r="W55" i="12" s="1"/>
  <c r="AC55" i="12"/>
  <c r="V55" i="12"/>
  <c r="R55" i="12"/>
  <c r="BQ54" i="12"/>
  <c r="X54" i="12" s="1"/>
  <c r="BO54" i="12"/>
  <c r="BJ54" i="12"/>
  <c r="BP54" i="12" s="1"/>
  <c r="W54" i="12" s="1"/>
  <c r="AC54" i="12"/>
  <c r="V54" i="12"/>
  <c r="R54" i="12"/>
  <c r="BQ53" i="12"/>
  <c r="X53" i="12" s="1"/>
  <c r="BO53" i="12"/>
  <c r="BJ53" i="12"/>
  <c r="BP53" i="12" s="1"/>
  <c r="W53" i="12" s="1"/>
  <c r="AC53" i="12"/>
  <c r="V53" i="12"/>
  <c r="R53" i="12"/>
  <c r="BQ52" i="12"/>
  <c r="X52" i="12" s="1"/>
  <c r="BO52" i="12"/>
  <c r="BJ52" i="12"/>
  <c r="BP52" i="12" s="1"/>
  <c r="W52" i="12" s="1"/>
  <c r="AC52" i="12"/>
  <c r="V52" i="12"/>
  <c r="R52" i="12"/>
  <c r="BQ51" i="12"/>
  <c r="X51" i="12" s="1"/>
  <c r="BO51" i="12"/>
  <c r="BJ51" i="12"/>
  <c r="BP51" i="12" s="1"/>
  <c r="W51" i="12" s="1"/>
  <c r="AC51" i="12"/>
  <c r="V51" i="12"/>
  <c r="R51" i="12"/>
  <c r="BQ50" i="12"/>
  <c r="X50" i="12" s="1"/>
  <c r="BO50" i="12"/>
  <c r="BJ50" i="12"/>
  <c r="BP50" i="12" s="1"/>
  <c r="W50" i="12" s="1"/>
  <c r="AC50" i="12"/>
  <c r="V50" i="12"/>
  <c r="R50" i="12"/>
  <c r="BQ49" i="12"/>
  <c r="X49" i="12" s="1"/>
  <c r="BO49" i="12"/>
  <c r="BJ49" i="12"/>
  <c r="BP49" i="12" s="1"/>
  <c r="W49" i="12" s="1"/>
  <c r="AC49" i="12"/>
  <c r="V49" i="12"/>
  <c r="R49" i="12"/>
  <c r="BQ48" i="12"/>
  <c r="X48" i="12" s="1"/>
  <c r="BO48" i="12"/>
  <c r="BJ48" i="12"/>
  <c r="BP48" i="12" s="1"/>
  <c r="W48" i="12" s="1"/>
  <c r="AC48" i="12"/>
  <c r="V48" i="12"/>
  <c r="R48" i="12"/>
  <c r="BQ47" i="12"/>
  <c r="X47" i="12" s="1"/>
  <c r="BO47" i="12"/>
  <c r="BJ47" i="12"/>
  <c r="BP47" i="12" s="1"/>
  <c r="W47" i="12" s="1"/>
  <c r="AC47" i="12"/>
  <c r="V47" i="12"/>
  <c r="R47" i="12"/>
  <c r="BQ46" i="12"/>
  <c r="X46" i="12" s="1"/>
  <c r="BO46" i="12"/>
  <c r="BJ46" i="12"/>
  <c r="BP46" i="12" s="1"/>
  <c r="W46" i="12" s="1"/>
  <c r="AC46" i="12"/>
  <c r="V46" i="12"/>
  <c r="R46" i="12"/>
  <c r="BQ45" i="12"/>
  <c r="X45" i="12" s="1"/>
  <c r="BO45" i="12"/>
  <c r="BJ45" i="12"/>
  <c r="BP45" i="12" s="1"/>
  <c r="W45" i="12" s="1"/>
  <c r="AC45" i="12"/>
  <c r="V45" i="12"/>
  <c r="R45" i="12"/>
  <c r="BQ44" i="12"/>
  <c r="X44" i="12" s="1"/>
  <c r="BO44" i="12"/>
  <c r="BJ44" i="12"/>
  <c r="BP44" i="12" s="1"/>
  <c r="W44" i="12" s="1"/>
  <c r="AC44" i="12"/>
  <c r="V44" i="12"/>
  <c r="R44" i="12"/>
  <c r="BQ43" i="12"/>
  <c r="X43" i="12" s="1"/>
  <c r="BO43" i="12"/>
  <c r="BJ43" i="12"/>
  <c r="BP43" i="12" s="1"/>
  <c r="W43" i="12" s="1"/>
  <c r="AC43" i="12"/>
  <c r="V43" i="12"/>
  <c r="R43" i="12"/>
  <c r="BQ42" i="12"/>
  <c r="X42" i="12" s="1"/>
  <c r="BO42" i="12"/>
  <c r="BJ42" i="12"/>
  <c r="BP42" i="12" s="1"/>
  <c r="W42" i="12" s="1"/>
  <c r="AC42" i="12"/>
  <c r="V42" i="12"/>
  <c r="R42" i="12"/>
  <c r="BQ41" i="12"/>
  <c r="X41" i="12" s="1"/>
  <c r="BO41" i="12"/>
  <c r="BJ41" i="12"/>
  <c r="BP41" i="12" s="1"/>
  <c r="W41" i="12" s="1"/>
  <c r="AC41" i="12"/>
  <c r="V41" i="12"/>
  <c r="R41" i="12"/>
  <c r="BQ40" i="12"/>
  <c r="X40" i="12" s="1"/>
  <c r="BO40" i="12"/>
  <c r="BJ40" i="12"/>
  <c r="BP40" i="12" s="1"/>
  <c r="W40" i="12" s="1"/>
  <c r="AC40" i="12"/>
  <c r="V40" i="12"/>
  <c r="R40" i="12"/>
  <c r="BQ39" i="12"/>
  <c r="X39" i="12" s="1"/>
  <c r="BO39" i="12"/>
  <c r="BJ39" i="12"/>
  <c r="BP39" i="12" s="1"/>
  <c r="W39" i="12" s="1"/>
  <c r="AC39" i="12"/>
  <c r="V39" i="12"/>
  <c r="R39" i="12"/>
  <c r="BQ38" i="12"/>
  <c r="X38" i="12" s="1"/>
  <c r="BO38" i="12"/>
  <c r="BJ38" i="12"/>
  <c r="BP38" i="12" s="1"/>
  <c r="W38" i="12" s="1"/>
  <c r="AC38" i="12"/>
  <c r="V38" i="12"/>
  <c r="R38" i="12"/>
  <c r="BQ37" i="12"/>
  <c r="X37" i="12" s="1"/>
  <c r="BO37" i="12"/>
  <c r="BJ37" i="12"/>
  <c r="BP37" i="12" s="1"/>
  <c r="W37" i="12" s="1"/>
  <c r="AC37" i="12"/>
  <c r="V37" i="12"/>
  <c r="R37" i="12"/>
  <c r="BQ36" i="12"/>
  <c r="X36" i="12" s="1"/>
  <c r="BO36" i="12"/>
  <c r="BJ36" i="12"/>
  <c r="BP36" i="12" s="1"/>
  <c r="W36" i="12" s="1"/>
  <c r="AC36" i="12"/>
  <c r="V36" i="12"/>
  <c r="R36" i="12"/>
  <c r="BQ35" i="12"/>
  <c r="X35" i="12" s="1"/>
  <c r="BO35" i="12"/>
  <c r="BJ35" i="12"/>
  <c r="BP35" i="12" s="1"/>
  <c r="W35" i="12" s="1"/>
  <c r="AC35" i="12"/>
  <c r="V35" i="12"/>
  <c r="R35" i="12"/>
  <c r="BQ34" i="12"/>
  <c r="X34" i="12" s="1"/>
  <c r="BO34" i="12"/>
  <c r="BJ34" i="12"/>
  <c r="BP34" i="12" s="1"/>
  <c r="W34" i="12" s="1"/>
  <c r="AC34" i="12"/>
  <c r="V34" i="12"/>
  <c r="R34" i="12"/>
  <c r="BQ33" i="12"/>
  <c r="X33" i="12" s="1"/>
  <c r="BO33" i="12"/>
  <c r="BJ33" i="12"/>
  <c r="BP33" i="12" s="1"/>
  <c r="W33" i="12" s="1"/>
  <c r="AC33" i="12"/>
  <c r="V33" i="12"/>
  <c r="R33" i="12"/>
  <c r="BQ32" i="12"/>
  <c r="X32" i="12" s="1"/>
  <c r="BO32" i="12"/>
  <c r="BJ32" i="12"/>
  <c r="BP32" i="12" s="1"/>
  <c r="W32" i="12" s="1"/>
  <c r="AC32" i="12"/>
  <c r="V32" i="12"/>
  <c r="R32" i="12"/>
  <c r="BQ31" i="12"/>
  <c r="X31" i="12" s="1"/>
  <c r="BO31" i="12"/>
  <c r="BJ31" i="12"/>
  <c r="BP31" i="12" s="1"/>
  <c r="W31" i="12" s="1"/>
  <c r="AC31" i="12"/>
  <c r="V31" i="12"/>
  <c r="R31" i="12"/>
  <c r="BQ30" i="12"/>
  <c r="X30" i="12" s="1"/>
  <c r="BO30" i="12"/>
  <c r="BJ30" i="12"/>
  <c r="BP30" i="12" s="1"/>
  <c r="W30" i="12" s="1"/>
  <c r="AC30" i="12"/>
  <c r="V30" i="12"/>
  <c r="R30" i="12"/>
  <c r="BQ29" i="12"/>
  <c r="X29" i="12" s="1"/>
  <c r="BO29" i="12"/>
  <c r="BJ29" i="12"/>
  <c r="BP29" i="12" s="1"/>
  <c r="W29" i="12" s="1"/>
  <c r="AC29" i="12"/>
  <c r="V29" i="12"/>
  <c r="R29" i="12"/>
  <c r="BQ28" i="12"/>
  <c r="X28" i="12" s="1"/>
  <c r="BO28" i="12"/>
  <c r="BJ28" i="12"/>
  <c r="BP28" i="12" s="1"/>
  <c r="W28" i="12" s="1"/>
  <c r="AC28" i="12"/>
  <c r="V28" i="12"/>
  <c r="R28" i="12"/>
  <c r="BQ27" i="12"/>
  <c r="X27" i="12" s="1"/>
  <c r="BO27" i="12"/>
  <c r="BJ27" i="12"/>
  <c r="BP27" i="12" s="1"/>
  <c r="W27" i="12" s="1"/>
  <c r="AC27" i="12"/>
  <c r="V27" i="12"/>
  <c r="R27" i="12"/>
  <c r="BQ26" i="12"/>
  <c r="X26" i="12" s="1"/>
  <c r="BO26" i="12"/>
  <c r="BJ26" i="12"/>
  <c r="BP26" i="12" s="1"/>
  <c r="W26" i="12" s="1"/>
  <c r="AC26" i="12"/>
  <c r="V26" i="12"/>
  <c r="R26" i="12"/>
  <c r="BQ25" i="12"/>
  <c r="X25" i="12" s="1"/>
  <c r="BO25" i="12"/>
  <c r="BJ25" i="12"/>
  <c r="BP25" i="12" s="1"/>
  <c r="W25" i="12" s="1"/>
  <c r="AC25" i="12"/>
  <c r="V25" i="12"/>
  <c r="R25" i="12"/>
  <c r="BQ24" i="12"/>
  <c r="X24" i="12" s="1"/>
  <c r="BO24" i="12"/>
  <c r="BJ24" i="12"/>
  <c r="BP24" i="12" s="1"/>
  <c r="W24" i="12" s="1"/>
  <c r="AC24" i="12"/>
  <c r="V24" i="12"/>
  <c r="R24" i="12"/>
  <c r="BQ23" i="12"/>
  <c r="X23" i="12" s="1"/>
  <c r="BO23" i="12"/>
  <c r="BJ23" i="12"/>
  <c r="BP23" i="12" s="1"/>
  <c r="W23" i="12" s="1"/>
  <c r="AC23" i="12"/>
  <c r="V23" i="12"/>
  <c r="R23" i="12"/>
  <c r="BQ22" i="12"/>
  <c r="X22" i="12" s="1"/>
  <c r="BO22" i="12"/>
  <c r="BJ22" i="12"/>
  <c r="BP22" i="12" s="1"/>
  <c r="W22" i="12" s="1"/>
  <c r="AC22" i="12"/>
  <c r="V22" i="12"/>
  <c r="R22" i="12"/>
  <c r="BQ21" i="12"/>
  <c r="X21" i="12" s="1"/>
  <c r="BO21" i="12"/>
  <c r="BJ21" i="12"/>
  <c r="BP21" i="12" s="1"/>
  <c r="W21" i="12" s="1"/>
  <c r="AC21" i="12"/>
  <c r="V21" i="12"/>
  <c r="R21" i="12"/>
  <c r="BQ20" i="12"/>
  <c r="X20" i="12" s="1"/>
  <c r="BO20" i="12"/>
  <c r="BJ20" i="12"/>
  <c r="BP20" i="12" s="1"/>
  <c r="W20" i="12" s="1"/>
  <c r="AC20" i="12"/>
  <c r="V20" i="12"/>
  <c r="R20" i="12"/>
  <c r="BQ19" i="12"/>
  <c r="X19" i="12" s="1"/>
  <c r="BO19" i="12"/>
  <c r="BJ19" i="12"/>
  <c r="BP19" i="12" s="1"/>
  <c r="W19" i="12" s="1"/>
  <c r="AC19" i="12"/>
  <c r="V19" i="12"/>
  <c r="R19" i="12"/>
  <c r="BQ18" i="12"/>
  <c r="X18" i="12" s="1"/>
  <c r="BO18" i="12"/>
  <c r="BP18" i="12"/>
  <c r="W18" i="12" s="1"/>
  <c r="AC18" i="12"/>
  <c r="V18" i="12"/>
  <c r="R18" i="12"/>
  <c r="BJ17" i="12"/>
  <c r="BP17" i="12" s="1"/>
  <c r="W17" i="12" s="1"/>
  <c r="AC17" i="12"/>
  <c r="V17" i="12"/>
  <c r="R17" i="12"/>
  <c r="V16" i="12"/>
  <c r="V15" i="12"/>
  <c r="BQ16" i="12"/>
  <c r="X16" i="12" s="1"/>
  <c r="BO16" i="12"/>
  <c r="BO15" i="12"/>
  <c r="R16" i="12"/>
  <c r="BJ16" i="12"/>
  <c r="BP16" i="12" s="1"/>
  <c r="W16" i="12" s="1"/>
  <c r="BQ15" i="12"/>
  <c r="X15" i="12" s="1"/>
  <c r="C70" i="3"/>
  <c r="I23" i="1"/>
  <c r="G28" i="1"/>
  <c r="I28" i="1" s="1"/>
  <c r="G63" i="3"/>
  <c r="H63" i="3" s="1"/>
  <c r="G25" i="1"/>
  <c r="I26" i="1"/>
  <c r="D70" i="3"/>
  <c r="D83" i="3"/>
  <c r="D81" i="3"/>
  <c r="F32" i="8"/>
  <c r="F36" i="8" s="1"/>
  <c r="V48" i="3"/>
  <c r="F15" i="7"/>
  <c r="F17" i="7" s="1"/>
  <c r="H15" i="9"/>
  <c r="V47" i="3"/>
  <c r="AD68" i="12"/>
  <c r="Q33" i="1"/>
  <c r="Q34" i="1"/>
  <c r="Q35" i="1"/>
  <c r="G9" i="1"/>
  <c r="F4" i="7"/>
  <c r="F4" i="8"/>
  <c r="G4" i="9"/>
  <c r="D80" i="3"/>
  <c r="H31" i="9"/>
  <c r="H34" i="9"/>
  <c r="O57" i="7"/>
  <c r="H58" i="9"/>
  <c r="H60" i="9" s="1"/>
  <c r="H62" i="9" s="1"/>
  <c r="I25" i="9"/>
  <c r="I27" i="9"/>
  <c r="H33" i="9" s="1"/>
  <c r="H35" i="9" s="1"/>
  <c r="G64" i="3"/>
  <c r="H64" i="3" s="1"/>
  <c r="V6" i="3"/>
  <c r="V7" i="3"/>
  <c r="V8" i="3"/>
  <c r="V9" i="3"/>
  <c r="V10" i="3"/>
  <c r="V11" i="3"/>
  <c r="V12" i="3"/>
  <c r="V13" i="3"/>
  <c r="V14" i="3"/>
  <c r="V15" i="3"/>
  <c r="V16" i="3"/>
  <c r="V17" i="3"/>
  <c r="V18" i="3"/>
  <c r="V19" i="3"/>
  <c r="V20" i="3"/>
  <c r="V21" i="3"/>
  <c r="V22" i="3"/>
  <c r="V23" i="3"/>
  <c r="V24" i="3"/>
  <c r="V25" i="3"/>
  <c r="P72" i="7"/>
  <c r="V31" i="3"/>
  <c r="V32" i="3"/>
  <c r="V33" i="3"/>
  <c r="V34" i="3"/>
  <c r="V35" i="3"/>
  <c r="V36" i="3"/>
  <c r="V37" i="3"/>
  <c r="V38" i="3"/>
  <c r="V39" i="3"/>
  <c r="V40" i="3"/>
  <c r="V41" i="3"/>
  <c r="V42" i="3"/>
  <c r="V43" i="3"/>
  <c r="V44" i="3"/>
  <c r="C82" i="3"/>
  <c r="D82" i="3" s="1"/>
  <c r="N57" i="7"/>
  <c r="P57" i="7"/>
  <c r="O58" i="7"/>
  <c r="N58" i="7"/>
  <c r="P58" i="7"/>
  <c r="O59" i="7"/>
  <c r="N59" i="7"/>
  <c r="P59" i="7"/>
  <c r="O60" i="7"/>
  <c r="N60" i="7"/>
  <c r="P60" i="7"/>
  <c r="O61" i="7"/>
  <c r="N61" i="7"/>
  <c r="P61" i="7"/>
  <c r="O62" i="7"/>
  <c r="N62" i="7"/>
  <c r="P62" i="7"/>
  <c r="O63" i="7"/>
  <c r="N63" i="7"/>
  <c r="P63" i="7"/>
  <c r="O64" i="7"/>
  <c r="N64" i="7"/>
  <c r="P64" i="7"/>
  <c r="O65" i="7"/>
  <c r="N65" i="7"/>
  <c r="P65" i="7"/>
  <c r="O66" i="7"/>
  <c r="N66" i="7"/>
  <c r="P66" i="7"/>
  <c r="O67" i="7"/>
  <c r="N67" i="7"/>
  <c r="P67" i="7"/>
  <c r="O68" i="7"/>
  <c r="N68" i="7"/>
  <c r="P68" i="7"/>
  <c r="O69" i="7"/>
  <c r="N69" i="7"/>
  <c r="P69" i="7"/>
  <c r="O70" i="7"/>
  <c r="N70" i="7"/>
  <c r="P70" i="7"/>
  <c r="O71" i="7"/>
  <c r="N71" i="7"/>
  <c r="P71" i="7"/>
  <c r="O72" i="7"/>
  <c r="N72" i="7"/>
  <c r="O73" i="7"/>
  <c r="N73" i="7"/>
  <c r="P73" i="7"/>
  <c r="O74" i="7"/>
  <c r="N74" i="7"/>
  <c r="P74" i="7"/>
  <c r="O75" i="7"/>
  <c r="N75" i="7"/>
  <c r="P75" i="7"/>
  <c r="O76" i="7"/>
  <c r="N76" i="7"/>
  <c r="P76" i="7"/>
  <c r="F42" i="7"/>
  <c r="F45" i="7" s="1"/>
  <c r="F48" i="7" s="1"/>
  <c r="F45" i="8"/>
  <c r="R26" i="8"/>
  <c r="L4" i="8"/>
  <c r="M4" i="8"/>
  <c r="P4" i="8"/>
  <c r="O4" i="8"/>
  <c r="L5" i="8"/>
  <c r="M5" i="8"/>
  <c r="P5" i="8"/>
  <c r="O5" i="8"/>
  <c r="L6" i="8"/>
  <c r="M6" i="8"/>
  <c r="P6" i="8"/>
  <c r="O6" i="8"/>
  <c r="L7" i="8"/>
  <c r="M7" i="8"/>
  <c r="P7" i="8"/>
  <c r="O7" i="8"/>
  <c r="L8" i="8"/>
  <c r="M8" i="8"/>
  <c r="P8" i="8"/>
  <c r="O8" i="8"/>
  <c r="L9" i="8"/>
  <c r="M9" i="8"/>
  <c r="P9" i="8"/>
  <c r="O9" i="8"/>
  <c r="L10" i="8"/>
  <c r="M10" i="8"/>
  <c r="P10" i="8"/>
  <c r="O10" i="8"/>
  <c r="L11" i="8"/>
  <c r="M11" i="8"/>
  <c r="P11" i="8"/>
  <c r="O11" i="8"/>
  <c r="L12" i="8"/>
  <c r="M12" i="8"/>
  <c r="P12" i="8"/>
  <c r="O12" i="8"/>
  <c r="L13" i="8"/>
  <c r="M13" i="8"/>
  <c r="P13" i="8"/>
  <c r="O13" i="8"/>
  <c r="L14" i="8"/>
  <c r="M14" i="8"/>
  <c r="P14" i="8"/>
  <c r="O14" i="8"/>
  <c r="L15" i="8"/>
  <c r="M15" i="8"/>
  <c r="P15" i="8"/>
  <c r="O15" i="8"/>
  <c r="L16" i="8"/>
  <c r="M16" i="8"/>
  <c r="P16" i="8"/>
  <c r="O16" i="8"/>
  <c r="L17" i="8"/>
  <c r="M17" i="8"/>
  <c r="P17" i="8"/>
  <c r="O17" i="8"/>
  <c r="L18" i="8"/>
  <c r="M18" i="8"/>
  <c r="P18" i="8"/>
  <c r="O18" i="8"/>
  <c r="L19" i="8"/>
  <c r="M19" i="8"/>
  <c r="P19" i="8"/>
  <c r="O19" i="8"/>
  <c r="L20" i="8"/>
  <c r="M20" i="8"/>
  <c r="P20" i="8"/>
  <c r="O20" i="8"/>
  <c r="L21" i="8"/>
  <c r="M21" i="8"/>
  <c r="P21" i="8"/>
  <c r="O21" i="8"/>
  <c r="L22" i="8"/>
  <c r="M22" i="8"/>
  <c r="P22" i="8"/>
  <c r="O22" i="8"/>
  <c r="L23" i="8"/>
  <c r="M23" i="8"/>
  <c r="P23" i="8"/>
  <c r="O23" i="8"/>
  <c r="L24" i="8"/>
  <c r="M24" i="8"/>
  <c r="P24" i="8"/>
  <c r="O24" i="8"/>
  <c r="L25" i="8"/>
  <c r="M25" i="8"/>
  <c r="P25" i="8"/>
  <c r="O25" i="8"/>
  <c r="L26" i="8"/>
  <c r="M26" i="8"/>
  <c r="P26" i="8"/>
  <c r="O26" i="8"/>
  <c r="L27" i="8"/>
  <c r="M27" i="8"/>
  <c r="P27" i="8"/>
  <c r="O27" i="8"/>
  <c r="L28" i="8"/>
  <c r="M28" i="8"/>
  <c r="P28" i="8"/>
  <c r="O28" i="8"/>
  <c r="L29" i="8"/>
  <c r="M29" i="8"/>
  <c r="P29" i="8"/>
  <c r="L30" i="8"/>
  <c r="M30" i="8"/>
  <c r="P30" i="8"/>
  <c r="M31" i="8"/>
  <c r="P31" i="8"/>
  <c r="S31" i="8"/>
  <c r="M32" i="8"/>
  <c r="P32" i="8"/>
  <c r="M33" i="8"/>
  <c r="P33" i="8"/>
  <c r="M34" i="8"/>
  <c r="P34" i="8"/>
  <c r="S34" i="8"/>
  <c r="M35" i="8"/>
  <c r="P35" i="8"/>
  <c r="M36" i="8"/>
  <c r="P36" i="8"/>
  <c r="M37" i="8"/>
  <c r="P37" i="8"/>
  <c r="M38" i="8"/>
  <c r="P38" i="8"/>
  <c r="S38" i="8"/>
  <c r="S46" i="8"/>
  <c r="O29" i="8"/>
  <c r="O30" i="8"/>
  <c r="L31" i="8"/>
  <c r="O31" i="8"/>
  <c r="L32" i="8"/>
  <c r="O32" i="8"/>
  <c r="L33" i="8"/>
  <c r="O33" i="8"/>
  <c r="L34" i="8"/>
  <c r="O34" i="8"/>
  <c r="L35" i="8"/>
  <c r="O35" i="8"/>
  <c r="L36" i="8"/>
  <c r="O36" i="8"/>
  <c r="L37" i="8"/>
  <c r="O37" i="8"/>
  <c r="L38" i="8"/>
  <c r="O38" i="8"/>
  <c r="L39" i="8"/>
  <c r="M39" i="8"/>
  <c r="O39" i="8"/>
  <c r="P39" i="8"/>
  <c r="L40" i="8"/>
  <c r="M40" i="8"/>
  <c r="O40" i="8"/>
  <c r="P40" i="8"/>
  <c r="L41" i="8"/>
  <c r="M41" i="8"/>
  <c r="O41" i="8"/>
  <c r="P41" i="8"/>
  <c r="L42" i="8"/>
  <c r="M42" i="8"/>
  <c r="O42" i="8"/>
  <c r="P42" i="8"/>
  <c r="L43" i="8"/>
  <c r="M43" i="8"/>
  <c r="O43" i="8"/>
  <c r="P43" i="8"/>
  <c r="L44" i="8"/>
  <c r="M44" i="8"/>
  <c r="O44" i="8"/>
  <c r="P44" i="8"/>
  <c r="L45" i="8"/>
  <c r="M45" i="8"/>
  <c r="O45" i="8"/>
  <c r="P45" i="8"/>
  <c r="L46" i="8"/>
  <c r="M46" i="8"/>
  <c r="O46" i="8"/>
  <c r="P46" i="8"/>
  <c r="L47" i="8"/>
  <c r="M47" i="8"/>
  <c r="O47" i="8"/>
  <c r="P47" i="8"/>
  <c r="L48" i="8"/>
  <c r="M48" i="8"/>
  <c r="O48" i="8"/>
  <c r="P48" i="8"/>
  <c r="L49" i="8"/>
  <c r="M49" i="8"/>
  <c r="O49" i="8"/>
  <c r="P49" i="8"/>
  <c r="H25" i="9"/>
  <c r="H30" i="9" s="1"/>
  <c r="I28" i="9"/>
  <c r="R39" i="8"/>
  <c r="S49" i="8"/>
  <c r="S41" i="8"/>
  <c r="S26" i="8"/>
  <c r="R44" i="8"/>
  <c r="BK62" i="12"/>
  <c r="BK59" i="12"/>
  <c r="BK69" i="12"/>
  <c r="BK67" i="12"/>
  <c r="BK65" i="12"/>
  <c r="BK58" i="12"/>
  <c r="BK56" i="12"/>
  <c r="BK54" i="12"/>
  <c r="BK52" i="12"/>
  <c r="BK50" i="12"/>
  <c r="BK48" i="12"/>
  <c r="BK46" i="12"/>
  <c r="BK44" i="12"/>
  <c r="BK42" i="12"/>
  <c r="BK40" i="12"/>
  <c r="BK38" i="12"/>
  <c r="BK36" i="12"/>
  <c r="BK34" i="12"/>
  <c r="BK32" i="12"/>
  <c r="BK30" i="12"/>
  <c r="BK28" i="12"/>
  <c r="BK26" i="12"/>
  <c r="BK24" i="12"/>
  <c r="BK22" i="12"/>
  <c r="BK20" i="12"/>
  <c r="BK63" i="12"/>
  <c r="BK61" i="12"/>
  <c r="BK60" i="12"/>
  <c r="BK66" i="12"/>
  <c r="BK64" i="12"/>
  <c r="BK57" i="12"/>
  <c r="BK55" i="12"/>
  <c r="BK53" i="12"/>
  <c r="BK51" i="12"/>
  <c r="BK49" i="12"/>
  <c r="BK47" i="12"/>
  <c r="BK45" i="12"/>
  <c r="BK43" i="12"/>
  <c r="BK41" i="12"/>
  <c r="BK39" i="12"/>
  <c r="BK37" i="12"/>
  <c r="BK35" i="12"/>
  <c r="BK33" i="12"/>
  <c r="BK31" i="12"/>
  <c r="BK29" i="12"/>
  <c r="BK27" i="12"/>
  <c r="BK25" i="12"/>
  <c r="BK23" i="12"/>
  <c r="BK21" i="12"/>
  <c r="BK19" i="12"/>
  <c r="BK17" i="12"/>
  <c r="AK65" i="12"/>
  <c r="AV65" i="12" s="1"/>
  <c r="AK62" i="12"/>
  <c r="AV62" i="12" s="1"/>
  <c r="AK59" i="12"/>
  <c r="AV59" i="12" s="1"/>
  <c r="AK63" i="12"/>
  <c r="AV63" i="12" s="1"/>
  <c r="AK60" i="12"/>
  <c r="AV60" i="12" s="1"/>
  <c r="AK61" i="12"/>
  <c r="AV61" i="12" s="1"/>
  <c r="AK56" i="12"/>
  <c r="AV56" i="12" s="1"/>
  <c r="AK54" i="12"/>
  <c r="AV54" i="12" s="1"/>
  <c r="AK32" i="12"/>
  <c r="AV32" i="12" s="1"/>
  <c r="AK38" i="12"/>
  <c r="AV38" i="12" s="1"/>
  <c r="AK30" i="12"/>
  <c r="AV30" i="12" s="1"/>
  <c r="AK28" i="12"/>
  <c r="AV28" i="12" s="1"/>
  <c r="AK67" i="12"/>
  <c r="AV67" i="12" s="1"/>
  <c r="AK52" i="12"/>
  <c r="AV52" i="12" s="1"/>
  <c r="AK58" i="12"/>
  <c r="AV58" i="12" s="1"/>
  <c r="AK46" i="12"/>
  <c r="AV46" i="12" s="1"/>
  <c r="AK50" i="12"/>
  <c r="AV50" i="12" s="1"/>
  <c r="AK48" i="12"/>
  <c r="AV48" i="12" s="1"/>
  <c r="AK31" i="12"/>
  <c r="AV31" i="12" s="1"/>
  <c r="AK33" i="12"/>
  <c r="AV33" i="12" s="1"/>
  <c r="AK29" i="12"/>
  <c r="AV29" i="12" s="1"/>
  <c r="AK36" i="12"/>
  <c r="AV36" i="12" s="1"/>
  <c r="AK44" i="12"/>
  <c r="AV44" i="12" s="1"/>
  <c r="AK45" i="12"/>
  <c r="AV45" i="12" s="1"/>
  <c r="AK51" i="12"/>
  <c r="AV51" i="12" s="1"/>
  <c r="AK42" i="12"/>
  <c r="AV42" i="12" s="1"/>
  <c r="AK43" i="12"/>
  <c r="AV43" i="12" s="1"/>
  <c r="AK57" i="12"/>
  <c r="AV57" i="12" s="1"/>
  <c r="AK66" i="12"/>
  <c r="AV66" i="12" s="1"/>
  <c r="AK34" i="12"/>
  <c r="AV34" i="12" s="1"/>
  <c r="AK35" i="12"/>
  <c r="AV35" i="12" s="1"/>
  <c r="AK37" i="12"/>
  <c r="AV37" i="12" s="1"/>
  <c r="AK40" i="12"/>
  <c r="AV40" i="12" s="1"/>
  <c r="AK41" i="12"/>
  <c r="AV41" i="12" s="1"/>
  <c r="AK47" i="12"/>
  <c r="AV47" i="12" s="1"/>
  <c r="AK55" i="12"/>
  <c r="AV55" i="12" s="1"/>
  <c r="AK64" i="12"/>
  <c r="AV64" i="12" s="1"/>
  <c r="AK39" i="12"/>
  <c r="AV39" i="12" s="1"/>
  <c r="AK49" i="12"/>
  <c r="AV49" i="12" s="1"/>
  <c r="AK53" i="12"/>
  <c r="AV53" i="12" s="1"/>
  <c r="AK27" i="12"/>
  <c r="AV27" i="12" s="1"/>
  <c r="AK26" i="12"/>
  <c r="AV26" i="12" s="1"/>
  <c r="AK25" i="12"/>
  <c r="AV25" i="12" s="1"/>
  <c r="AK24" i="12"/>
  <c r="AV24" i="12" s="1"/>
  <c r="AK23" i="12"/>
  <c r="AV23" i="12" s="1"/>
  <c r="AK22" i="12"/>
  <c r="AV22" i="12" s="1"/>
  <c r="AK21" i="12"/>
  <c r="AV21" i="12" s="1"/>
  <c r="AK20" i="12"/>
  <c r="AV20" i="12" s="1"/>
  <c r="AK19" i="12"/>
  <c r="AV19" i="12" s="1"/>
  <c r="AK18" i="12"/>
  <c r="AV18" i="12" s="1"/>
  <c r="AK17" i="12"/>
  <c r="AV17" i="12" s="1"/>
  <c r="R28" i="8"/>
  <c r="R42" i="8"/>
  <c r="R48" i="8"/>
  <c r="R32" i="8"/>
  <c r="R35" i="8"/>
  <c r="R38" i="8"/>
  <c r="S43" i="8"/>
  <c r="R27" i="8"/>
  <c r="R43" i="8"/>
  <c r="R47" i="8"/>
  <c r="S42" i="8"/>
  <c r="S36" i="8"/>
  <c r="S33" i="8"/>
  <c r="R40" i="8"/>
  <c r="R46" i="8"/>
  <c r="S28" i="8"/>
  <c r="R31" i="8"/>
  <c r="R34" i="8"/>
  <c r="R37" i="8"/>
  <c r="R25" i="8"/>
  <c r="R41" i="8"/>
  <c r="S47" i="8"/>
  <c r="U47" i="8" s="1"/>
  <c r="S44" i="8"/>
  <c r="S35" i="8"/>
  <c r="S32" i="8"/>
  <c r="S27" i="8"/>
  <c r="S25" i="8"/>
  <c r="R24" i="8"/>
  <c r="S29" i="8"/>
  <c r="S24" i="8"/>
  <c r="R30" i="8"/>
  <c r="R33" i="8"/>
  <c r="R36" i="8"/>
  <c r="S39" i="8"/>
  <c r="S45" i="8"/>
  <c r="R29" i="8"/>
  <c r="R45" i="8"/>
  <c r="R49" i="8"/>
  <c r="S48" i="8"/>
  <c r="S40" i="8"/>
  <c r="S37" i="8"/>
  <c r="S30" i="8"/>
  <c r="AK69" i="12"/>
  <c r="AV69" i="12" s="1"/>
  <c r="U38" i="8" l="1"/>
  <c r="U40" i="8"/>
  <c r="AD69" i="12"/>
  <c r="AD56" i="12"/>
  <c r="AD43" i="12"/>
  <c r="AD32" i="12"/>
  <c r="AD35" i="12"/>
  <c r="AD24" i="12"/>
  <c r="I16" i="1"/>
  <c r="I18" i="1" s="1"/>
  <c r="I40" i="1" s="1"/>
  <c r="I55" i="1" s="1"/>
  <c r="J55" i="1" s="1"/>
  <c r="U39" i="8"/>
  <c r="AD64" i="12"/>
  <c r="AD27" i="12"/>
  <c r="AD48" i="12"/>
  <c r="AD16" i="12"/>
  <c r="O16" i="12"/>
  <c r="AD51" i="12"/>
  <c r="AD19" i="12"/>
  <c r="AD40" i="12"/>
  <c r="T19" i="12"/>
  <c r="U21" i="12"/>
  <c r="U23" i="12"/>
  <c r="T25" i="12"/>
  <c r="T51" i="12"/>
  <c r="AD60" i="12"/>
  <c r="AD55" i="12"/>
  <c r="AD47" i="12"/>
  <c r="AD39" i="12"/>
  <c r="AD31" i="12"/>
  <c r="AD23" i="12"/>
  <c r="AD62" i="12"/>
  <c r="AD65" i="12"/>
  <c r="AD52" i="12"/>
  <c r="AD44" i="12"/>
  <c r="AD36" i="12"/>
  <c r="AD28" i="12"/>
  <c r="AD20" i="12"/>
  <c r="T23" i="12"/>
  <c r="AD61" i="12"/>
  <c r="AD66" i="12"/>
  <c r="AD57" i="12"/>
  <c r="AD53" i="12"/>
  <c r="AD49" i="12"/>
  <c r="AD45" i="12"/>
  <c r="AD41" i="12"/>
  <c r="AD37" i="12"/>
  <c r="AD33" i="12"/>
  <c r="AD29" i="12"/>
  <c r="AD25" i="12"/>
  <c r="AD21" i="12"/>
  <c r="AD17" i="12"/>
  <c r="AD59" i="12"/>
  <c r="AD67" i="12"/>
  <c r="AD58" i="12"/>
  <c r="AD54" i="12"/>
  <c r="AD50" i="12"/>
  <c r="AD46" i="12"/>
  <c r="AD42" i="12"/>
  <c r="AD38" i="12"/>
  <c r="AD34" i="12"/>
  <c r="AD30" i="12"/>
  <c r="AD26" i="12"/>
  <c r="AD22" i="12"/>
  <c r="AD18" i="12"/>
  <c r="I33" i="1"/>
  <c r="V26" i="3"/>
  <c r="H14" i="7" s="1"/>
  <c r="S72" i="7" s="1"/>
  <c r="U45" i="8"/>
  <c r="U43" i="8"/>
  <c r="U27" i="8"/>
  <c r="BG68" i="12"/>
  <c r="I9" i="1"/>
  <c r="O15" i="12"/>
  <c r="V27" i="3"/>
  <c r="H31" i="8" s="1"/>
  <c r="U29" i="12"/>
  <c r="U53" i="12"/>
  <c r="U65" i="12"/>
  <c r="T27" i="12"/>
  <c r="T39" i="12"/>
  <c r="T50" i="12"/>
  <c r="U49" i="8"/>
  <c r="U34" i="8"/>
  <c r="T54" i="12"/>
  <c r="T46" i="12"/>
  <c r="T38" i="12"/>
  <c r="T61" i="12"/>
  <c r="V29" i="3"/>
  <c r="AC15" i="12"/>
  <c r="U48" i="8"/>
  <c r="AC16" i="12"/>
  <c r="V49" i="3"/>
  <c r="I32" i="1"/>
  <c r="T20" i="12"/>
  <c r="U28" i="12"/>
  <c r="T36" i="12"/>
  <c r="T44" i="12"/>
  <c r="T31" i="12"/>
  <c r="T45" i="12"/>
  <c r="U49" i="12"/>
  <c r="T67" i="12"/>
  <c r="U35" i="8"/>
  <c r="U38" i="12"/>
  <c r="T18" i="12"/>
  <c r="U31" i="8"/>
  <c r="U27" i="12"/>
  <c r="U30" i="8"/>
  <c r="U29" i="8"/>
  <c r="U33" i="8"/>
  <c r="U25" i="8"/>
  <c r="U28" i="8"/>
  <c r="U32" i="8"/>
  <c r="U42" i="8"/>
  <c r="U24" i="8"/>
  <c r="V28" i="3"/>
  <c r="V30" i="3"/>
  <c r="U56" i="12"/>
  <c r="U36" i="8"/>
  <c r="U26" i="8"/>
  <c r="V51" i="3"/>
  <c r="K33" i="9"/>
  <c r="H17" i="9"/>
  <c r="K31" i="9"/>
  <c r="U44" i="8"/>
  <c r="U41" i="8"/>
  <c r="U37" i="8"/>
  <c r="U46" i="8"/>
  <c r="F18" i="8"/>
  <c r="E70" i="3"/>
  <c r="V50" i="3"/>
  <c r="U18" i="12"/>
  <c r="U26" i="12"/>
  <c r="T28" i="12"/>
  <c r="U50" i="12"/>
  <c r="T64" i="12"/>
  <c r="U22" i="12"/>
  <c r="U40" i="12"/>
  <c r="T21" i="12"/>
  <c r="U25" i="12"/>
  <c r="T29" i="12"/>
  <c r="Y29" i="12" s="1"/>
  <c r="AB29" i="12" s="1"/>
  <c r="T26" i="12"/>
  <c r="T30" i="12"/>
  <c r="T60" i="12"/>
  <c r="U69" i="12"/>
  <c r="T17" i="12"/>
  <c r="U17" i="12"/>
  <c r="T69" i="12"/>
  <c r="U31" i="12"/>
  <c r="U62" i="12"/>
  <c r="T62" i="12"/>
  <c r="U58" i="12"/>
  <c r="T58" i="12"/>
  <c r="T42" i="12"/>
  <c r="U42" i="12"/>
  <c r="U36" i="12"/>
  <c r="T24" i="12"/>
  <c r="U24" i="12"/>
  <c r="U20" i="12"/>
  <c r="T66" i="12"/>
  <c r="U48" i="12"/>
  <c r="T48" i="12"/>
  <c r="T55" i="12"/>
  <c r="U52" i="12"/>
  <c r="T52" i="12"/>
  <c r="U19" i="12"/>
  <c r="U35" i="12"/>
  <c r="U37" i="12"/>
  <c r="T37" i="12"/>
  <c r="U41" i="12"/>
  <c r="T41" i="12"/>
  <c r="T43" i="12"/>
  <c r="T49" i="12"/>
  <c r="Y49" i="12" s="1"/>
  <c r="AB49" i="12" s="1"/>
  <c r="AF49" i="12" s="1"/>
  <c r="T57" i="12"/>
  <c r="U57" i="12"/>
  <c r="U59" i="12"/>
  <c r="T59" i="12"/>
  <c r="T65" i="12"/>
  <c r="U34" i="12"/>
  <c r="T34" i="12"/>
  <c r="T40" i="12"/>
  <c r="T56" i="12"/>
  <c r="Y56" i="12" s="1"/>
  <c r="AB56" i="12" s="1"/>
  <c r="U60" i="12"/>
  <c r="U64" i="12"/>
  <c r="U66" i="12"/>
  <c r="U39" i="12"/>
  <c r="T53" i="12"/>
  <c r="U45" i="12"/>
  <c r="U54" i="12"/>
  <c r="U46" i="12"/>
  <c r="U32" i="12"/>
  <c r="T32" i="12"/>
  <c r="U63" i="12"/>
  <c r="T63" i="12"/>
  <c r="T35" i="12"/>
  <c r="Y35" i="12" s="1"/>
  <c r="AB35" i="12" s="1"/>
  <c r="AF35" i="12" s="1"/>
  <c r="U33" i="12"/>
  <c r="T33" i="12"/>
  <c r="U43" i="12"/>
  <c r="U47" i="12"/>
  <c r="T47" i="12"/>
  <c r="U51" i="12"/>
  <c r="U55" i="12"/>
  <c r="U61" i="12"/>
  <c r="U67" i="12"/>
  <c r="U44" i="12"/>
  <c r="U30" i="12"/>
  <c r="T22" i="12"/>
  <c r="J9" i="1"/>
  <c r="BG67" i="12"/>
  <c r="BH33" i="12"/>
  <c r="BH31" i="12"/>
  <c r="BG51" i="12"/>
  <c r="BI16" i="12"/>
  <c r="BG46" i="12"/>
  <c r="BG35" i="12"/>
  <c r="BH42" i="12"/>
  <c r="BH25" i="12"/>
  <c r="BG38" i="12"/>
  <c r="BG54" i="12"/>
  <c r="BH49" i="12"/>
  <c r="BG43" i="12"/>
  <c r="BG64" i="12"/>
  <c r="BH58" i="12"/>
  <c r="BG29" i="12"/>
  <c r="BI59" i="12"/>
  <c r="BG15" i="12"/>
  <c r="BG24" i="12"/>
  <c r="BI26" i="12"/>
  <c r="BI29" i="12"/>
  <c r="BG34" i="12"/>
  <c r="BH32" i="12"/>
  <c r="BG42" i="12"/>
  <c r="BG50" i="12"/>
  <c r="BG58" i="12"/>
  <c r="BH41" i="12"/>
  <c r="BH57" i="12"/>
  <c r="BG39" i="12"/>
  <c r="BG47" i="12"/>
  <c r="BG55" i="12"/>
  <c r="BI69" i="12"/>
  <c r="BH50" i="12"/>
  <c r="BH15" i="12"/>
  <c r="BG33" i="12"/>
  <c r="BH60" i="12"/>
  <c r="BI60" i="12"/>
  <c r="BH34" i="12"/>
  <c r="BH16" i="12"/>
  <c r="BH17" i="12"/>
  <c r="BH18" i="12"/>
  <c r="BH19" i="12"/>
  <c r="BH20" i="12"/>
  <c r="BH21" i="12"/>
  <c r="BH22" i="12"/>
  <c r="BH23" i="12"/>
  <c r="BI24" i="12"/>
  <c r="BG26" i="12"/>
  <c r="BH27" i="12"/>
  <c r="BG36" i="12"/>
  <c r="BG32" i="12"/>
  <c r="BI31" i="12"/>
  <c r="BH28" i="12"/>
  <c r="BG40" i="12"/>
  <c r="BG44" i="12"/>
  <c r="BG48" i="12"/>
  <c r="BG52" i="12"/>
  <c r="BG56" i="12"/>
  <c r="BG65" i="12"/>
  <c r="BH37" i="12"/>
  <c r="BH45" i="12"/>
  <c r="BH53" i="12"/>
  <c r="BH66" i="12"/>
  <c r="BG37" i="12"/>
  <c r="BG41" i="12"/>
  <c r="BG45" i="12"/>
  <c r="BG49" i="12"/>
  <c r="BG53" i="12"/>
  <c r="BG57" i="12"/>
  <c r="BG66" i="12"/>
  <c r="BH38" i="12"/>
  <c r="BH46" i="12"/>
  <c r="BH54" i="12"/>
  <c r="BH67" i="12"/>
  <c r="BG31" i="12"/>
  <c r="BH63" i="12"/>
  <c r="BI63" i="12"/>
  <c r="BH62" i="12"/>
  <c r="BI62" i="12"/>
  <c r="BI61" i="12"/>
  <c r="BI68" i="12"/>
  <c r="BG16" i="12"/>
  <c r="BI15" i="12"/>
  <c r="BG17" i="12"/>
  <c r="BI17" i="12"/>
  <c r="BG18" i="12"/>
  <c r="BI18" i="12"/>
  <c r="BG19" i="12"/>
  <c r="BI19" i="12"/>
  <c r="BG20" i="12"/>
  <c r="BI20" i="12"/>
  <c r="BG21" i="12"/>
  <c r="BI21" i="12"/>
  <c r="BG22" i="12"/>
  <c r="BI22" i="12"/>
  <c r="BG23" i="12"/>
  <c r="BI23" i="12"/>
  <c r="BH24" i="12"/>
  <c r="BG25" i="12"/>
  <c r="BI25" i="12"/>
  <c r="BH26" i="12"/>
  <c r="BG27" i="12"/>
  <c r="BI27" i="12"/>
  <c r="BH29" i="12"/>
  <c r="BH35" i="12"/>
  <c r="BI33" i="12"/>
  <c r="BG30" i="12"/>
  <c r="BG28" i="12"/>
  <c r="BI35" i="12"/>
  <c r="BH30" i="12"/>
  <c r="BI37" i="12"/>
  <c r="BI39" i="12"/>
  <c r="BI41" i="12"/>
  <c r="BI43" i="12"/>
  <c r="BI45" i="12"/>
  <c r="BI47" i="12"/>
  <c r="BI49" i="12"/>
  <c r="BI51" i="12"/>
  <c r="BI53" i="12"/>
  <c r="BI55" i="12"/>
  <c r="BI57" i="12"/>
  <c r="BI64" i="12"/>
  <c r="BI66" i="12"/>
  <c r="BG69" i="12"/>
  <c r="BH39" i="12"/>
  <c r="BH43" i="12"/>
  <c r="BH47" i="12"/>
  <c r="BH51" i="12"/>
  <c r="BH55" i="12"/>
  <c r="BH64" i="12"/>
  <c r="BI34" i="12"/>
  <c r="BI36" i="12"/>
  <c r="BI38" i="12"/>
  <c r="BI40" i="12"/>
  <c r="BI42" i="12"/>
  <c r="BI44" i="12"/>
  <c r="BI46" i="12"/>
  <c r="BI48" i="12"/>
  <c r="BI50" i="12"/>
  <c r="BI52" i="12"/>
  <c r="BI54" i="12"/>
  <c r="BI56" i="12"/>
  <c r="BI58" i="12"/>
  <c r="BI65" i="12"/>
  <c r="BI67" i="12"/>
  <c r="BH36" i="12"/>
  <c r="BH40" i="12"/>
  <c r="BH44" i="12"/>
  <c r="BH48" i="12"/>
  <c r="BH52" i="12"/>
  <c r="BH56" i="12"/>
  <c r="BH65" i="12"/>
  <c r="BH69" i="12"/>
  <c r="BI32" i="12"/>
  <c r="BI30" i="12"/>
  <c r="BI28" i="12"/>
  <c r="BG62" i="12"/>
  <c r="BG59" i="12"/>
  <c r="BG61" i="12"/>
  <c r="BH59" i="12"/>
  <c r="BH61" i="12"/>
  <c r="BG63" i="12"/>
  <c r="BG60" i="12"/>
  <c r="BH68" i="12"/>
  <c r="U68" i="12"/>
  <c r="T68" i="12"/>
  <c r="H27" i="9"/>
  <c r="AD63" i="12"/>
  <c r="AF29" i="12" l="1"/>
  <c r="Y21" i="12"/>
  <c r="AB21" i="12" s="1"/>
  <c r="AF21" i="12" s="1"/>
  <c r="AF56" i="12"/>
  <c r="Y69" i="12"/>
  <c r="AB69" i="12" s="1"/>
  <c r="AF69" i="12" s="1"/>
  <c r="Y22" i="12"/>
  <c r="AB22" i="12" s="1"/>
  <c r="AF22" i="12" s="1"/>
  <c r="AM22" i="12" s="1"/>
  <c r="Y53" i="12"/>
  <c r="AB53" i="12" s="1"/>
  <c r="AF53" i="12" s="1"/>
  <c r="Y41" i="12"/>
  <c r="AB41" i="12" s="1"/>
  <c r="AF41" i="12" s="1"/>
  <c r="Y62" i="12"/>
  <c r="AB62" i="12" s="1"/>
  <c r="AF62" i="12" s="1"/>
  <c r="Y33" i="12"/>
  <c r="AB33" i="12" s="1"/>
  <c r="AF33" i="12" s="1"/>
  <c r="AM33" i="12" s="1"/>
  <c r="Y59" i="12"/>
  <c r="AB59" i="12" s="1"/>
  <c r="AF59" i="12" s="1"/>
  <c r="Y37" i="12"/>
  <c r="AB37" i="12" s="1"/>
  <c r="AF37" i="12" s="1"/>
  <c r="AM37" i="12" s="1"/>
  <c r="Y25" i="12"/>
  <c r="AB25" i="12" s="1"/>
  <c r="AF25" i="12" s="1"/>
  <c r="Y55" i="12"/>
  <c r="AB55" i="12" s="1"/>
  <c r="AF55" i="12" s="1"/>
  <c r="AM55" i="12" s="1"/>
  <c r="Y30" i="12"/>
  <c r="AB30" i="12" s="1"/>
  <c r="AF30" i="12" s="1"/>
  <c r="Y31" i="12"/>
  <c r="AB31" i="12" s="1"/>
  <c r="Y38" i="12"/>
  <c r="AB38" i="12" s="1"/>
  <c r="AF38" i="12" s="1"/>
  <c r="P15" i="12"/>
  <c r="AK15" i="12" s="1"/>
  <c r="AV15" i="12" s="1"/>
  <c r="Y68" i="12"/>
  <c r="AB68" i="12" s="1"/>
  <c r="Y63" i="12"/>
  <c r="AB63" i="12" s="1"/>
  <c r="AF63" i="12" s="1"/>
  <c r="Y48" i="12"/>
  <c r="AB48" i="12" s="1"/>
  <c r="AF48" i="12" s="1"/>
  <c r="Y26" i="12"/>
  <c r="AB26" i="12" s="1"/>
  <c r="Y28" i="12"/>
  <c r="AB28" i="12" s="1"/>
  <c r="Y67" i="12"/>
  <c r="AB67" i="12" s="1"/>
  <c r="AF67" i="12" s="1"/>
  <c r="Y44" i="12"/>
  <c r="AB44" i="12" s="1"/>
  <c r="AF44" i="12" s="1"/>
  <c r="P16" i="12"/>
  <c r="T16" i="12" s="1"/>
  <c r="Y65" i="12"/>
  <c r="AB65" i="12" s="1"/>
  <c r="AF65" i="12" s="1"/>
  <c r="Y42" i="12"/>
  <c r="AB42" i="12" s="1"/>
  <c r="AF42" i="12" s="1"/>
  <c r="Y46" i="12"/>
  <c r="AB46" i="12" s="1"/>
  <c r="Y23" i="12"/>
  <c r="AB23" i="12" s="1"/>
  <c r="AF23" i="12" s="1"/>
  <c r="Y40" i="12"/>
  <c r="AB40" i="12" s="1"/>
  <c r="Y52" i="12"/>
  <c r="AB52" i="12" s="1"/>
  <c r="Y24" i="12"/>
  <c r="AB24" i="12" s="1"/>
  <c r="Y58" i="12"/>
  <c r="AB58" i="12" s="1"/>
  <c r="Y18" i="12"/>
  <c r="AB18" i="12" s="1"/>
  <c r="Y36" i="12"/>
  <c r="AB36" i="12" s="1"/>
  <c r="AF36" i="12" s="1"/>
  <c r="Y54" i="12"/>
  <c r="AB54" i="12" s="1"/>
  <c r="AF54" i="12" s="1"/>
  <c r="Y39" i="12"/>
  <c r="AB39" i="12" s="1"/>
  <c r="AF39" i="12" s="1"/>
  <c r="Y20" i="12"/>
  <c r="AB20" i="12" s="1"/>
  <c r="AF20" i="12" s="1"/>
  <c r="Y57" i="12"/>
  <c r="AB57" i="12" s="1"/>
  <c r="AF57" i="12" s="1"/>
  <c r="Y17" i="12"/>
  <c r="AB17" i="12" s="1"/>
  <c r="AF17" i="12" s="1"/>
  <c r="Y50" i="12"/>
  <c r="AB50" i="12" s="1"/>
  <c r="Y47" i="12"/>
  <c r="AB47" i="12" s="1"/>
  <c r="AF47" i="12" s="1"/>
  <c r="Y32" i="12"/>
  <c r="AB32" i="12" s="1"/>
  <c r="AF32" i="12" s="1"/>
  <c r="Y34" i="12"/>
  <c r="AB34" i="12" s="1"/>
  <c r="AF34" i="12" s="1"/>
  <c r="AM34" i="12" s="1"/>
  <c r="Y43" i="12"/>
  <c r="AB43" i="12" s="1"/>
  <c r="Y66" i="12"/>
  <c r="AB66" i="12" s="1"/>
  <c r="AF66" i="12" s="1"/>
  <c r="Y60" i="12"/>
  <c r="AB60" i="12" s="1"/>
  <c r="Y64" i="12"/>
  <c r="AB64" i="12" s="1"/>
  <c r="Y45" i="12"/>
  <c r="AB45" i="12" s="1"/>
  <c r="AF45" i="12" s="1"/>
  <c r="AM45" i="12" s="1"/>
  <c r="Y61" i="12"/>
  <c r="AB61" i="12" s="1"/>
  <c r="AF61" i="12" s="1"/>
  <c r="Y27" i="12"/>
  <c r="AB27" i="12" s="1"/>
  <c r="AF27" i="12" s="1"/>
  <c r="Y51" i="12"/>
  <c r="AB51" i="12" s="1"/>
  <c r="Y19" i="12"/>
  <c r="AB19" i="12" s="1"/>
  <c r="I24" i="1"/>
  <c r="I25" i="1"/>
  <c r="J15" i="1"/>
  <c r="BK16" i="12"/>
  <c r="BK15" i="12"/>
  <c r="H17" i="8"/>
  <c r="S23" i="8" s="1"/>
  <c r="AM44" i="12"/>
  <c r="R61" i="7"/>
  <c r="S73" i="7"/>
  <c r="F25" i="7"/>
  <c r="F27" i="7" s="1"/>
  <c r="R59" i="7"/>
  <c r="R64" i="7"/>
  <c r="R65" i="7"/>
  <c r="R60" i="7"/>
  <c r="S57" i="7"/>
  <c r="R70" i="7"/>
  <c r="R63" i="7"/>
  <c r="R68" i="7"/>
  <c r="R67" i="7"/>
  <c r="S63" i="7"/>
  <c r="S61" i="7"/>
  <c r="R66" i="7"/>
  <c r="AM67" i="12"/>
  <c r="R69" i="7"/>
  <c r="R75" i="7"/>
  <c r="S75" i="7"/>
  <c r="S64" i="7"/>
  <c r="S65" i="7"/>
  <c r="R76" i="7"/>
  <c r="S58" i="7"/>
  <c r="S67" i="7"/>
  <c r="S62" i="7"/>
  <c r="R62" i="7"/>
  <c r="S68" i="7"/>
  <c r="F28" i="7"/>
  <c r="AM56" i="12"/>
  <c r="R58" i="7"/>
  <c r="S74" i="7"/>
  <c r="S66" i="7"/>
  <c r="S70" i="7"/>
  <c r="S59" i="7"/>
  <c r="R74" i="7"/>
  <c r="S69" i="7"/>
  <c r="R72" i="7"/>
  <c r="U72" i="7" s="1"/>
  <c r="R57" i="7"/>
  <c r="S71" i="7"/>
  <c r="S76" i="7"/>
  <c r="R71" i="7"/>
  <c r="S60" i="7"/>
  <c r="R73" i="7"/>
  <c r="AM32" i="12"/>
  <c r="R17" i="8"/>
  <c r="R23" i="8"/>
  <c r="R19" i="8"/>
  <c r="R12" i="8"/>
  <c r="R20" i="8"/>
  <c r="R9" i="8"/>
  <c r="R13" i="8"/>
  <c r="R14" i="8"/>
  <c r="R11" i="8"/>
  <c r="R22" i="8"/>
  <c r="R6" i="8"/>
  <c r="R18" i="8"/>
  <c r="R4" i="8"/>
  <c r="R5" i="8"/>
  <c r="R8" i="8"/>
  <c r="R7" i="8"/>
  <c r="R15" i="8"/>
  <c r="R21" i="8"/>
  <c r="R16" i="8"/>
  <c r="R10" i="8"/>
  <c r="AM35" i="12"/>
  <c r="J33" i="9"/>
  <c r="J31" i="9"/>
  <c r="J34" i="9"/>
  <c r="AM59" i="12"/>
  <c r="AM57" i="12"/>
  <c r="AF19" i="12" l="1"/>
  <c r="AM19" i="12" s="1"/>
  <c r="AF43" i="12"/>
  <c r="AM43" i="12" s="1"/>
  <c r="AF58" i="12"/>
  <c r="AM58" i="12" s="1"/>
  <c r="AF26" i="12"/>
  <c r="AH26" i="12" s="1"/>
  <c r="BS26" i="12" s="1"/>
  <c r="AF50" i="12"/>
  <c r="AH50" i="12" s="1"/>
  <c r="BS50" i="12" s="1"/>
  <c r="AF51" i="12"/>
  <c r="AM51" i="12" s="1"/>
  <c r="AF64" i="12"/>
  <c r="AM64" i="12" s="1"/>
  <c r="AF24" i="12"/>
  <c r="AM24" i="12" s="1"/>
  <c r="AF46" i="12"/>
  <c r="AM46" i="12" s="1"/>
  <c r="U15" i="12"/>
  <c r="AF60" i="12"/>
  <c r="AM60" i="12" s="1"/>
  <c r="AF52" i="12"/>
  <c r="AM52" i="12" s="1"/>
  <c r="AF31" i="12"/>
  <c r="AH31" i="12" s="1"/>
  <c r="BS31" i="12" s="1"/>
  <c r="T15" i="12"/>
  <c r="Y15" i="12" s="1"/>
  <c r="AB15" i="12" s="1"/>
  <c r="AF15" i="12" s="1"/>
  <c r="AF18" i="12"/>
  <c r="AM18" i="12" s="1"/>
  <c r="AF40" i="12"/>
  <c r="AH40" i="12" s="1"/>
  <c r="BS40" i="12" s="1"/>
  <c r="AF28" i="12"/>
  <c r="AM28" i="12" s="1"/>
  <c r="AF68" i="12"/>
  <c r="AM68" i="12" s="1"/>
  <c r="P70" i="12"/>
  <c r="P13" i="12" s="1"/>
  <c r="U16" i="12"/>
  <c r="Y16" i="12" s="1"/>
  <c r="AB16" i="12" s="1"/>
  <c r="AF16" i="12" s="1"/>
  <c r="AK16" i="12"/>
  <c r="AV16" i="12" s="1"/>
  <c r="AH54" i="12"/>
  <c r="BS54" i="12" s="1"/>
  <c r="AM54" i="12"/>
  <c r="AH39" i="12"/>
  <c r="BS39" i="12" s="1"/>
  <c r="AM39" i="12"/>
  <c r="AH62" i="12"/>
  <c r="BS62" i="12" s="1"/>
  <c r="AM62" i="12"/>
  <c r="AH23" i="12"/>
  <c r="BS23" i="12" s="1"/>
  <c r="AM23" i="12"/>
  <c r="AH63" i="12"/>
  <c r="BS63" i="12" s="1"/>
  <c r="AM63" i="12"/>
  <c r="AH29" i="12"/>
  <c r="BS29" i="12" s="1"/>
  <c r="AM29" i="12"/>
  <c r="AH25" i="12"/>
  <c r="BS25" i="12" s="1"/>
  <c r="AM25" i="12"/>
  <c r="AH27" i="12"/>
  <c r="AJ27" i="12" s="1"/>
  <c r="BU27" i="12" s="1"/>
  <c r="BX27" i="12" s="1"/>
  <c r="BY27" i="12" s="1"/>
  <c r="AM27" i="12"/>
  <c r="AH21" i="12"/>
  <c r="AJ21" i="12" s="1"/>
  <c r="AM21" i="12"/>
  <c r="AH61" i="12"/>
  <c r="BS61" i="12" s="1"/>
  <c r="AM61" i="12"/>
  <c r="AH17" i="12"/>
  <c r="BS17" i="12" s="1"/>
  <c r="AM17" i="12"/>
  <c r="AH30" i="12"/>
  <c r="BS30" i="12" s="1"/>
  <c r="AM30" i="12"/>
  <c r="AH38" i="12"/>
  <c r="BS38" i="12" s="1"/>
  <c r="AM38" i="12"/>
  <c r="AH36" i="12"/>
  <c r="AJ36" i="12" s="1"/>
  <c r="AP36" i="12" s="1"/>
  <c r="AM36" i="12"/>
  <c r="AH65" i="12"/>
  <c r="BS65" i="12" s="1"/>
  <c r="AM65" i="12"/>
  <c r="AH69" i="12"/>
  <c r="BS69" i="12" s="1"/>
  <c r="AM69" i="12"/>
  <c r="AH42" i="12"/>
  <c r="BS42" i="12" s="1"/>
  <c r="AM42" i="12"/>
  <c r="AH53" i="12"/>
  <c r="BS53" i="12" s="1"/>
  <c r="AM53" i="12"/>
  <c r="AH47" i="12"/>
  <c r="BS47" i="12" s="1"/>
  <c r="AM47" i="12"/>
  <c r="AH66" i="12"/>
  <c r="BS66" i="12" s="1"/>
  <c r="AM66" i="12"/>
  <c r="AH20" i="12"/>
  <c r="BS20" i="12" s="1"/>
  <c r="AM20" i="12"/>
  <c r="AH48" i="12"/>
  <c r="BS48" i="12" s="1"/>
  <c r="AM48" i="12"/>
  <c r="AH41" i="12"/>
  <c r="BS41" i="12" s="1"/>
  <c r="AM41" i="12"/>
  <c r="AH49" i="12"/>
  <c r="AJ49" i="12" s="1"/>
  <c r="BU49" i="12" s="1"/>
  <c r="BX49" i="12" s="1"/>
  <c r="BY49" i="12" s="1"/>
  <c r="AM49" i="12"/>
  <c r="I29" i="1"/>
  <c r="I31" i="1" s="1"/>
  <c r="I35" i="1" s="1"/>
  <c r="AH19" i="12"/>
  <c r="BS19" i="12" s="1"/>
  <c r="U74" i="7"/>
  <c r="S10" i="8"/>
  <c r="U10" i="8" s="1"/>
  <c r="S12" i="8"/>
  <c r="U12" i="8" s="1"/>
  <c r="S14" i="8"/>
  <c r="U14" i="8" s="1"/>
  <c r="S7" i="8"/>
  <c r="U7" i="8" s="1"/>
  <c r="S15" i="8"/>
  <c r="U15" i="8" s="1"/>
  <c r="S22" i="8"/>
  <c r="U22" i="8" s="1"/>
  <c r="S13" i="8"/>
  <c r="U13" i="8" s="1"/>
  <c r="S21" i="8"/>
  <c r="U21" i="8" s="1"/>
  <c r="S11" i="8"/>
  <c r="U11" i="8" s="1"/>
  <c r="S16" i="8"/>
  <c r="U16" i="8" s="1"/>
  <c r="S9" i="8"/>
  <c r="U9" i="8" s="1"/>
  <c r="S4" i="8"/>
  <c r="U4" i="8" s="1"/>
  <c r="F19" i="8"/>
  <c r="F21" i="8" s="1"/>
  <c r="F42" i="8" s="1"/>
  <c r="F44" i="8" s="1"/>
  <c r="U71" i="7"/>
  <c r="S6" i="8"/>
  <c r="U6" i="8" s="1"/>
  <c r="S5" i="8"/>
  <c r="U5" i="8" s="1"/>
  <c r="AH44" i="12"/>
  <c r="BS44" i="12" s="1"/>
  <c r="S18" i="8"/>
  <c r="U18" i="8" s="1"/>
  <c r="S19" i="8"/>
  <c r="U19" i="8" s="1"/>
  <c r="S20" i="8"/>
  <c r="U20" i="8" s="1"/>
  <c r="U64" i="7"/>
  <c r="S8" i="8"/>
  <c r="U8" i="8" s="1"/>
  <c r="S17" i="8"/>
  <c r="U17" i="8" s="1"/>
  <c r="U70" i="7"/>
  <c r="U61" i="7"/>
  <c r="BS27" i="12"/>
  <c r="AH45" i="12"/>
  <c r="BS45" i="12" s="1"/>
  <c r="U73" i="7"/>
  <c r="AH34" i="12"/>
  <c r="AJ34" i="12" s="1"/>
  <c r="BU34" i="12" s="1"/>
  <c r="BX34" i="12" s="1"/>
  <c r="BY34" i="12" s="1"/>
  <c r="U60" i="7"/>
  <c r="U59" i="7"/>
  <c r="AH37" i="12"/>
  <c r="BS37" i="12" s="1"/>
  <c r="U68" i="7"/>
  <c r="AH32" i="12"/>
  <c r="BS32" i="12" s="1"/>
  <c r="AH43" i="12"/>
  <c r="BS43" i="12" s="1"/>
  <c r="U67" i="7"/>
  <c r="U23" i="8"/>
  <c r="U65" i="7"/>
  <c r="AH56" i="12"/>
  <c r="BS56" i="12" s="1"/>
  <c r="U57" i="7"/>
  <c r="U69" i="7"/>
  <c r="U66" i="7"/>
  <c r="U58" i="7"/>
  <c r="U63" i="7"/>
  <c r="AH64" i="12"/>
  <c r="AH28" i="12"/>
  <c r="BS28" i="12" s="1"/>
  <c r="AH67" i="12"/>
  <c r="U62" i="7"/>
  <c r="U75" i="7"/>
  <c r="U76" i="7"/>
  <c r="AH55" i="12"/>
  <c r="J36" i="9"/>
  <c r="J38" i="9" s="1"/>
  <c r="J39" i="9" s="1"/>
  <c r="J35" i="9"/>
  <c r="AH22" i="12"/>
  <c r="BS22" i="12" s="1"/>
  <c r="AJ29" i="12"/>
  <c r="BV29" i="12" s="1"/>
  <c r="AH35" i="12"/>
  <c r="AH57" i="12"/>
  <c r="BS57" i="12" s="1"/>
  <c r="AH59" i="12"/>
  <c r="BS59" i="12" s="1"/>
  <c r="AH33" i="12"/>
  <c r="BS33" i="12" s="1"/>
  <c r="AJ30" i="12"/>
  <c r="AP27" i="12"/>
  <c r="BV36" i="12"/>
  <c r="AH58" i="12" l="1"/>
  <c r="BS58" i="12" s="1"/>
  <c r="AH60" i="12"/>
  <c r="BS60" i="12" s="1"/>
  <c r="AH52" i="12"/>
  <c r="AH46" i="12"/>
  <c r="AH51" i="12"/>
  <c r="BS51" i="12" s="1"/>
  <c r="AJ47" i="12"/>
  <c r="BW47" i="12" s="1"/>
  <c r="AM40" i="12"/>
  <c r="AM31" i="12"/>
  <c r="AM50" i="12"/>
  <c r="AH68" i="12"/>
  <c r="BS68" i="12" s="1"/>
  <c r="AH24" i="12"/>
  <c r="BS24" i="12" s="1"/>
  <c r="AJ41" i="12"/>
  <c r="BU41" i="12" s="1"/>
  <c r="BX41" i="12" s="1"/>
  <c r="BY41" i="12" s="1"/>
  <c r="BZ41" i="12" s="1"/>
  <c r="CA41" i="12" s="1"/>
  <c r="BS21" i="12"/>
  <c r="AJ63" i="12"/>
  <c r="BW63" i="12" s="1"/>
  <c r="AJ54" i="12"/>
  <c r="BW54" i="12" s="1"/>
  <c r="AJ17" i="12"/>
  <c r="BU17" i="12" s="1"/>
  <c r="AJ38" i="12"/>
  <c r="BV38" i="12" s="1"/>
  <c r="AJ62" i="12"/>
  <c r="BV62" i="12" s="1"/>
  <c r="AH18" i="12"/>
  <c r="BS18" i="12" s="1"/>
  <c r="AM26" i="12"/>
  <c r="AJ53" i="12"/>
  <c r="AP53" i="12" s="1"/>
  <c r="AX53" i="12" s="1"/>
  <c r="AJ42" i="12"/>
  <c r="BU42" i="12" s="1"/>
  <c r="BX42" i="12" s="1"/>
  <c r="BY42" i="12" s="1"/>
  <c r="BZ42" i="12" s="1"/>
  <c r="CA42" i="12" s="1"/>
  <c r="AJ65" i="12"/>
  <c r="BU65" i="12" s="1"/>
  <c r="BX65" i="12" s="1"/>
  <c r="BY65" i="12" s="1"/>
  <c r="BW49" i="12"/>
  <c r="AJ20" i="12"/>
  <c r="AP20" i="12" s="1"/>
  <c r="AY20" i="12" s="1"/>
  <c r="AZ20" i="12" s="1"/>
  <c r="AJ39" i="12"/>
  <c r="BV39" i="12" s="1"/>
  <c r="AJ25" i="12"/>
  <c r="BW25" i="12" s="1"/>
  <c r="BU36" i="12"/>
  <c r="BX36" i="12" s="1"/>
  <c r="BY36" i="12" s="1"/>
  <c r="BZ36" i="12" s="1"/>
  <c r="CA36" i="12" s="1"/>
  <c r="AJ48" i="12"/>
  <c r="BU48" i="12" s="1"/>
  <c r="BX48" i="12" s="1"/>
  <c r="BY48" i="12" s="1"/>
  <c r="BZ48" i="12" s="1"/>
  <c r="CA48" i="12" s="1"/>
  <c r="BW36" i="12"/>
  <c r="BW27" i="12"/>
  <c r="BV49" i="12"/>
  <c r="AJ66" i="12"/>
  <c r="BU66" i="12" s="1"/>
  <c r="BX66" i="12" s="1"/>
  <c r="BY66" i="12" s="1"/>
  <c r="BZ66" i="12" s="1"/>
  <c r="CA66" i="12" s="1"/>
  <c r="BV27" i="12"/>
  <c r="AP49" i="12"/>
  <c r="AY49" i="12" s="1"/>
  <c r="BB49" i="12" s="1"/>
  <c r="BS49" i="12"/>
  <c r="AJ61" i="12"/>
  <c r="BW61" i="12" s="1"/>
  <c r="AJ69" i="12"/>
  <c r="BW69" i="12" s="1"/>
  <c r="BS36" i="12"/>
  <c r="AJ23" i="12"/>
  <c r="AH16" i="12"/>
  <c r="BS16" i="12" s="1"/>
  <c r="AM16" i="12"/>
  <c r="AH15" i="12"/>
  <c r="BS15" i="12" s="1"/>
  <c r="AM15" i="12"/>
  <c r="I46" i="1"/>
  <c r="J46" i="1" s="1"/>
  <c r="AJ19" i="12"/>
  <c r="BW19" i="12" s="1"/>
  <c r="I37" i="1"/>
  <c r="J38" i="1" s="1"/>
  <c r="BV65" i="12"/>
  <c r="AX49" i="12"/>
  <c r="AJ51" i="12"/>
  <c r="BV51" i="12" s="1"/>
  <c r="AJ18" i="12"/>
  <c r="BV18" i="12" s="1"/>
  <c r="AJ26" i="12"/>
  <c r="BW26" i="12" s="1"/>
  <c r="BW65" i="12"/>
  <c r="AP65" i="12"/>
  <c r="AY65" i="12" s="1"/>
  <c r="AZ65" i="12" s="1"/>
  <c r="AJ45" i="12"/>
  <c r="AP45" i="12" s="1"/>
  <c r="AX45" i="12" s="1"/>
  <c r="AJ56" i="12"/>
  <c r="BV56" i="12" s="1"/>
  <c r="BW34" i="12"/>
  <c r="AJ50" i="12"/>
  <c r="BV50" i="12" s="1"/>
  <c r="AJ60" i="12"/>
  <c r="BW60" i="12" s="1"/>
  <c r="BU62" i="12"/>
  <c r="BX62" i="12" s="1"/>
  <c r="BY62" i="12" s="1"/>
  <c r="BZ62" i="12" s="1"/>
  <c r="CA62" i="12" s="1"/>
  <c r="AJ44" i="12"/>
  <c r="AP44" i="12" s="1"/>
  <c r="AX44" i="12" s="1"/>
  <c r="AP34" i="12"/>
  <c r="AX34" i="12" s="1"/>
  <c r="AJ58" i="12"/>
  <c r="BW58" i="12" s="1"/>
  <c r="AJ31" i="12"/>
  <c r="BU31" i="12" s="1"/>
  <c r="BX31" i="12" s="1"/>
  <c r="BY31" i="12" s="1"/>
  <c r="BZ31" i="12" s="1"/>
  <c r="CA31" i="12" s="1"/>
  <c r="AX36" i="12"/>
  <c r="BU54" i="12"/>
  <c r="BX54" i="12" s="1"/>
  <c r="BY54" i="12" s="1"/>
  <c r="BZ54" i="12" s="1"/>
  <c r="CA54" i="12" s="1"/>
  <c r="AJ32" i="12"/>
  <c r="BW32" i="12" s="1"/>
  <c r="AJ43" i="12"/>
  <c r="BV43" i="12" s="1"/>
  <c r="U51" i="8"/>
  <c r="U52" i="8" s="1"/>
  <c r="F46" i="8" s="1"/>
  <c r="AJ37" i="12"/>
  <c r="AP37" i="12" s="1"/>
  <c r="BV34" i="12"/>
  <c r="BS34" i="12"/>
  <c r="AX20" i="12"/>
  <c r="AJ24" i="12"/>
  <c r="BV24" i="12" s="1"/>
  <c r="AJ40" i="12"/>
  <c r="AJ46" i="12"/>
  <c r="BS46" i="12"/>
  <c r="AP54" i="12"/>
  <c r="AX54" i="12" s="1"/>
  <c r="AJ22" i="12"/>
  <c r="BW22" i="12" s="1"/>
  <c r="U78" i="7"/>
  <c r="F31" i="7" s="1"/>
  <c r="AJ28" i="12"/>
  <c r="BW28" i="12" s="1"/>
  <c r="BS64" i="12"/>
  <c r="AJ64" i="12"/>
  <c r="BV53" i="12"/>
  <c r="AJ57" i="12"/>
  <c r="BV57" i="12" s="1"/>
  <c r="BS67" i="12"/>
  <c r="AJ67" i="12"/>
  <c r="BS55" i="12"/>
  <c r="AJ55" i="12"/>
  <c r="AJ59" i="12"/>
  <c r="BV59" i="12" s="1"/>
  <c r="BW29" i="12"/>
  <c r="AP29" i="12"/>
  <c r="BV54" i="12"/>
  <c r="BU29" i="12"/>
  <c r="BX29" i="12" s="1"/>
  <c r="BY29" i="12" s="1"/>
  <c r="BZ29" i="12" s="1"/>
  <c r="CA29" i="12" s="1"/>
  <c r="AJ35" i="12"/>
  <c r="BS35" i="12"/>
  <c r="AJ68" i="12"/>
  <c r="AX27" i="12"/>
  <c r="AY27" i="12"/>
  <c r="BB27" i="12" s="1"/>
  <c r="AP48" i="12"/>
  <c r="AY36" i="12"/>
  <c r="BB36" i="12" s="1"/>
  <c r="BW66" i="12"/>
  <c r="BV21" i="12"/>
  <c r="BU21" i="12"/>
  <c r="BX21" i="12" s="1"/>
  <c r="BY21" i="12" s="1"/>
  <c r="BZ21" i="12" s="1"/>
  <c r="CA21" i="12" s="1"/>
  <c r="AP21" i="12"/>
  <c r="BW21" i="12"/>
  <c r="BS52" i="12"/>
  <c r="AJ52" i="12"/>
  <c r="BU61" i="12"/>
  <c r="BX61" i="12" s="1"/>
  <c r="BY61" i="12" s="1"/>
  <c r="BZ61" i="12" s="1"/>
  <c r="CA61" i="12" s="1"/>
  <c r="BZ49" i="12"/>
  <c r="CA49" i="12" s="1"/>
  <c r="AJ33" i="12"/>
  <c r="BZ34" i="12"/>
  <c r="CA34" i="12" s="1"/>
  <c r="BW30" i="12"/>
  <c r="BV30" i="12"/>
  <c r="AP30" i="12"/>
  <c r="BU30" i="12"/>
  <c r="BX30" i="12" s="1"/>
  <c r="BY30" i="12" s="1"/>
  <c r="BZ65" i="12"/>
  <c r="CA65" i="12" s="1"/>
  <c r="BZ27" i="12"/>
  <c r="CA27" i="12" s="1"/>
  <c r="BV17" i="12" l="1"/>
  <c r="BX17" i="12" s="1"/>
  <c r="BY17" i="12" s="1"/>
  <c r="AP17" i="12"/>
  <c r="BW17" i="12"/>
  <c r="AO17" i="12"/>
  <c r="AN17" i="12"/>
  <c r="BU69" i="12"/>
  <c r="BX69" i="12" s="1"/>
  <c r="BY69" i="12" s="1"/>
  <c r="BZ69" i="12" s="1"/>
  <c r="CA69" i="12" s="1"/>
  <c r="BV63" i="12"/>
  <c r="AP63" i="12"/>
  <c r="AX63" i="12" s="1"/>
  <c r="BW62" i="12"/>
  <c r="BV42" i="12"/>
  <c r="AP62" i="12"/>
  <c r="AX62" i="12" s="1"/>
  <c r="BU63" i="12"/>
  <c r="BX63" i="12" s="1"/>
  <c r="BY63" i="12" s="1"/>
  <c r="BZ63" i="12" s="1"/>
  <c r="CA63" i="12" s="1"/>
  <c r="AP47" i="12"/>
  <c r="AX47" i="12" s="1"/>
  <c r="BU47" i="12"/>
  <c r="BX47" i="12" s="1"/>
  <c r="BY47" i="12" s="1"/>
  <c r="BZ47" i="12" s="1"/>
  <c r="CA47" i="12" s="1"/>
  <c r="BV47" i="12"/>
  <c r="BW42" i="12"/>
  <c r="BU20" i="12"/>
  <c r="BX20" i="12" s="1"/>
  <c r="BY20" i="12" s="1"/>
  <c r="BZ20" i="12" s="1"/>
  <c r="CA20" i="12" s="1"/>
  <c r="AP61" i="12"/>
  <c r="BV66" i="12"/>
  <c r="BW48" i="12"/>
  <c r="BW41" i="12"/>
  <c r="BW53" i="12"/>
  <c r="BW38" i="12"/>
  <c r="BV61" i="12"/>
  <c r="AP66" i="12"/>
  <c r="BW20" i="12"/>
  <c r="BU53" i="12"/>
  <c r="BX53" i="12" s="1"/>
  <c r="BY53" i="12" s="1"/>
  <c r="BZ53" i="12" s="1"/>
  <c r="CA53" i="12" s="1"/>
  <c r="BU38" i="12"/>
  <c r="BX38" i="12" s="1"/>
  <c r="BY38" i="12" s="1"/>
  <c r="BZ38" i="12" s="1"/>
  <c r="CA38" i="12" s="1"/>
  <c r="AP38" i="12"/>
  <c r="AY38" i="12" s="1"/>
  <c r="BB38" i="12" s="1"/>
  <c r="AY53" i="12"/>
  <c r="AZ53" i="12" s="1"/>
  <c r="BV48" i="12"/>
  <c r="AP41" i="12"/>
  <c r="AY41" i="12" s="1"/>
  <c r="AZ41" i="12" s="1"/>
  <c r="BV41" i="12"/>
  <c r="BV19" i="12"/>
  <c r="AP39" i="12"/>
  <c r="AX39" i="12" s="1"/>
  <c r="AP69" i="12"/>
  <c r="AP42" i="12"/>
  <c r="AX42" i="12" s="1"/>
  <c r="BU39" i="12"/>
  <c r="BX39" i="12" s="1"/>
  <c r="BY39" i="12" s="1"/>
  <c r="BZ39" i="12" s="1"/>
  <c r="CA39" i="12" s="1"/>
  <c r="BW39" i="12"/>
  <c r="BV20" i="12"/>
  <c r="AJ15" i="12"/>
  <c r="AO15" i="12" s="1"/>
  <c r="BU25" i="12"/>
  <c r="BX25" i="12" s="1"/>
  <c r="BY25" i="12" s="1"/>
  <c r="BZ25" i="12" s="1"/>
  <c r="CA25" i="12" s="1"/>
  <c r="AP25" i="12"/>
  <c r="BV25" i="12"/>
  <c r="AJ16" i="12"/>
  <c r="AO16" i="12" s="1"/>
  <c r="BU18" i="12"/>
  <c r="BX18" i="12" s="1"/>
  <c r="BY18" i="12" s="1"/>
  <c r="BZ18" i="12" s="1"/>
  <c r="CA18" i="12" s="1"/>
  <c r="AP19" i="12"/>
  <c r="AX19" i="12" s="1"/>
  <c r="BU19" i="12"/>
  <c r="BX19" i="12" s="1"/>
  <c r="BY19" i="12" s="1"/>
  <c r="BZ19" i="12" s="1"/>
  <c r="CA19" i="12" s="1"/>
  <c r="BV69" i="12"/>
  <c r="AP26" i="12"/>
  <c r="AX26" i="12" s="1"/>
  <c r="BV26" i="12"/>
  <c r="BV23" i="12"/>
  <c r="BU23" i="12"/>
  <c r="BX23" i="12" s="1"/>
  <c r="BY23" i="12" s="1"/>
  <c r="BZ23" i="12" s="1"/>
  <c r="CA23" i="12" s="1"/>
  <c r="AP23" i="12"/>
  <c r="BW23" i="12"/>
  <c r="I39" i="1"/>
  <c r="S15" i="1" s="1"/>
  <c r="BU51" i="12"/>
  <c r="BX51" i="12" s="1"/>
  <c r="BY51" i="12" s="1"/>
  <c r="BZ51" i="12" s="1"/>
  <c r="CA51" i="12" s="1"/>
  <c r="AP51" i="12"/>
  <c r="AX51" i="12" s="1"/>
  <c r="BW51" i="12"/>
  <c r="BV32" i="12"/>
  <c r="BW18" i="12"/>
  <c r="BU45" i="12"/>
  <c r="BX45" i="12" s="1"/>
  <c r="BY45" i="12" s="1"/>
  <c r="BZ45" i="12" s="1"/>
  <c r="CA45" i="12" s="1"/>
  <c r="AP50" i="12"/>
  <c r="AX50" i="12" s="1"/>
  <c r="BU26" i="12"/>
  <c r="BX26" i="12" s="1"/>
  <c r="BY26" i="12" s="1"/>
  <c r="BZ26" i="12" s="1"/>
  <c r="CA26" i="12" s="1"/>
  <c r="BW50" i="12"/>
  <c r="BV45" i="12"/>
  <c r="AP18" i="12"/>
  <c r="AY18" i="12" s="1"/>
  <c r="BB18" i="12" s="1"/>
  <c r="AY62" i="12"/>
  <c r="BB62" i="12" s="1"/>
  <c r="AX65" i="12"/>
  <c r="BU60" i="12"/>
  <c r="BX60" i="12" s="1"/>
  <c r="BY60" i="12" s="1"/>
  <c r="BZ60" i="12" s="1"/>
  <c r="CA60" i="12" s="1"/>
  <c r="AP60" i="12"/>
  <c r="BV60" i="12"/>
  <c r="AP56" i="12"/>
  <c r="AY56" i="12" s="1"/>
  <c r="BB56" i="12" s="1"/>
  <c r="BU56" i="12"/>
  <c r="BX56" i="12" s="1"/>
  <c r="BY56" i="12" s="1"/>
  <c r="BZ56" i="12" s="1"/>
  <c r="CA56" i="12" s="1"/>
  <c r="AY45" i="12"/>
  <c r="BB45" i="12" s="1"/>
  <c r="BU50" i="12"/>
  <c r="BX50" i="12" s="1"/>
  <c r="BY50" i="12" s="1"/>
  <c r="BZ50" i="12" s="1"/>
  <c r="CA50" i="12" s="1"/>
  <c r="BW56" i="12"/>
  <c r="BV44" i="12"/>
  <c r="AX41" i="12"/>
  <c r="BW43" i="12"/>
  <c r="BW45" i="12"/>
  <c r="AY44" i="12"/>
  <c r="AZ44" i="12" s="1"/>
  <c r="BW37" i="12"/>
  <c r="BU44" i="12"/>
  <c r="BX44" i="12" s="1"/>
  <c r="BY44" i="12" s="1"/>
  <c r="BZ44" i="12" s="1"/>
  <c r="CA44" i="12" s="1"/>
  <c r="BW44" i="12"/>
  <c r="F48" i="8"/>
  <c r="AP31" i="12"/>
  <c r="AX31" i="12" s="1"/>
  <c r="AY34" i="12"/>
  <c r="AZ34" i="12" s="1"/>
  <c r="U79" i="7"/>
  <c r="F29" i="7" s="1"/>
  <c r="BV58" i="12"/>
  <c r="AP58" i="12"/>
  <c r="AX58" i="12" s="1"/>
  <c r="BU32" i="12"/>
  <c r="BX32" i="12" s="1"/>
  <c r="BY32" i="12" s="1"/>
  <c r="BZ32" i="12" s="1"/>
  <c r="CA32" i="12" s="1"/>
  <c r="BU58" i="12"/>
  <c r="BX58" i="12" s="1"/>
  <c r="BY58" i="12" s="1"/>
  <c r="BZ58" i="12" s="1"/>
  <c r="CA58" i="12" s="1"/>
  <c r="BV22" i="12"/>
  <c r="BV31" i="12"/>
  <c r="BW31" i="12"/>
  <c r="BU57" i="12"/>
  <c r="BX57" i="12" s="1"/>
  <c r="BY57" i="12" s="1"/>
  <c r="BZ57" i="12" s="1"/>
  <c r="CA57" i="12" s="1"/>
  <c r="AP32" i="12"/>
  <c r="AX32" i="12" s="1"/>
  <c r="BU37" i="12"/>
  <c r="BX37" i="12" s="1"/>
  <c r="BY37" i="12" s="1"/>
  <c r="BZ37" i="12" s="1"/>
  <c r="CA37" i="12" s="1"/>
  <c r="BV37" i="12"/>
  <c r="AP43" i="12"/>
  <c r="BU43" i="12"/>
  <c r="BX43" i="12" s="1"/>
  <c r="BY43" i="12" s="1"/>
  <c r="BZ43" i="12" s="1"/>
  <c r="CA43" i="12" s="1"/>
  <c r="AP59" i="12"/>
  <c r="AY59" i="12" s="1"/>
  <c r="BB59" i="12" s="1"/>
  <c r="BW24" i="12"/>
  <c r="AP24" i="12"/>
  <c r="BU24" i="12"/>
  <c r="BX24" i="12" s="1"/>
  <c r="BY24" i="12" s="1"/>
  <c r="BZ24" i="12" s="1"/>
  <c r="CA24" i="12" s="1"/>
  <c r="AX37" i="12"/>
  <c r="AY37" i="12"/>
  <c r="BW59" i="12"/>
  <c r="AY54" i="12"/>
  <c r="BB54" i="12" s="1"/>
  <c r="BU22" i="12"/>
  <c r="BX22" i="12" s="1"/>
  <c r="BY22" i="12" s="1"/>
  <c r="BZ22" i="12" s="1"/>
  <c r="CA22" i="12" s="1"/>
  <c r="BU40" i="12"/>
  <c r="BX40" i="12" s="1"/>
  <c r="BY40" i="12" s="1"/>
  <c r="BZ40" i="12" s="1"/>
  <c r="CA40" i="12" s="1"/>
  <c r="BV40" i="12"/>
  <c r="BW40" i="12"/>
  <c r="AP40" i="12"/>
  <c r="BB20" i="12"/>
  <c r="BU28" i="12"/>
  <c r="BX28" i="12" s="1"/>
  <c r="BY28" i="12" s="1"/>
  <c r="BZ28" i="12" s="1"/>
  <c r="CA28" i="12" s="1"/>
  <c r="BW46" i="12"/>
  <c r="BU46" i="12"/>
  <c r="BX46" i="12" s="1"/>
  <c r="BY46" i="12" s="1"/>
  <c r="BZ46" i="12" s="1"/>
  <c r="CA46" i="12" s="1"/>
  <c r="BV46" i="12"/>
  <c r="AP46" i="12"/>
  <c r="AY63" i="12"/>
  <c r="BB63" i="12" s="1"/>
  <c r="AP22" i="12"/>
  <c r="AX22" i="12" s="1"/>
  <c r="AP28" i="12"/>
  <c r="AX28" i="12" s="1"/>
  <c r="BV28" i="12"/>
  <c r="BW64" i="12"/>
  <c r="BV64" i="12"/>
  <c r="AP64" i="12"/>
  <c r="BU64" i="12"/>
  <c r="BX64" i="12" s="1"/>
  <c r="BY64" i="12" s="1"/>
  <c r="BZ64" i="12" s="1"/>
  <c r="CA64" i="12" s="1"/>
  <c r="BV67" i="12"/>
  <c r="BW67" i="12"/>
  <c r="AP67" i="12"/>
  <c r="BU67" i="12"/>
  <c r="BX67" i="12" s="1"/>
  <c r="BY67" i="12" s="1"/>
  <c r="BZ67" i="12" s="1"/>
  <c r="CA67" i="12" s="1"/>
  <c r="BW57" i="12"/>
  <c r="AP57" i="12"/>
  <c r="AY28" i="12"/>
  <c r="BW55" i="12"/>
  <c r="BU55" i="12"/>
  <c r="BX55" i="12" s="1"/>
  <c r="BY55" i="12" s="1"/>
  <c r="BZ55" i="12" s="1"/>
  <c r="CA55" i="12" s="1"/>
  <c r="AP55" i="12"/>
  <c r="BV55" i="12"/>
  <c r="BB53" i="12"/>
  <c r="BU59" i="12"/>
  <c r="BX59" i="12" s="1"/>
  <c r="BY59" i="12" s="1"/>
  <c r="BZ59" i="12" s="1"/>
  <c r="CA59" i="12" s="1"/>
  <c r="AZ49" i="12"/>
  <c r="BV35" i="12"/>
  <c r="BU35" i="12"/>
  <c r="BX35" i="12" s="1"/>
  <c r="BY35" i="12" s="1"/>
  <c r="BZ35" i="12" s="1"/>
  <c r="CA35" i="12" s="1"/>
  <c r="BW35" i="12"/>
  <c r="AP35" i="12"/>
  <c r="AY29" i="12"/>
  <c r="AX29" i="12"/>
  <c r="BB41" i="12"/>
  <c r="BW68" i="12"/>
  <c r="BV68" i="12"/>
  <c r="BU68" i="12"/>
  <c r="BX68" i="12" s="1"/>
  <c r="BY68" i="12" s="1"/>
  <c r="BZ68" i="12" s="1"/>
  <c r="CA68" i="12" s="1"/>
  <c r="AP68" i="12"/>
  <c r="AZ36" i="12"/>
  <c r="BB65" i="12"/>
  <c r="AZ27" i="12"/>
  <c r="AX61" i="12"/>
  <c r="AY61" i="12"/>
  <c r="AZ61" i="12" s="1"/>
  <c r="AX69" i="12"/>
  <c r="AY69" i="12"/>
  <c r="BB69" i="12" s="1"/>
  <c r="AX21" i="12"/>
  <c r="AY21" i="12"/>
  <c r="BB21" i="12" s="1"/>
  <c r="AX30" i="12"/>
  <c r="AY30" i="12"/>
  <c r="BB30" i="12" s="1"/>
  <c r="AY66" i="12"/>
  <c r="AZ66" i="12" s="1"/>
  <c r="AX66" i="12"/>
  <c r="AY48" i="12"/>
  <c r="AX48" i="12"/>
  <c r="AP52" i="12"/>
  <c r="BU52" i="12"/>
  <c r="BX52" i="12" s="1"/>
  <c r="BY52" i="12" s="1"/>
  <c r="BZ52" i="12" s="1"/>
  <c r="CA52" i="12" s="1"/>
  <c r="BW52" i="12"/>
  <c r="BV52" i="12"/>
  <c r="BZ30" i="12"/>
  <c r="CA30" i="12" s="1"/>
  <c r="BW33" i="12"/>
  <c r="AP33" i="12"/>
  <c r="BU33" i="12"/>
  <c r="BX33" i="12" s="1"/>
  <c r="BY33" i="12" s="1"/>
  <c r="BZ33" i="12" s="1"/>
  <c r="CA33" i="12" s="1"/>
  <c r="BV33" i="12"/>
  <c r="AQ17" i="12" l="1"/>
  <c r="AT17" i="12"/>
  <c r="AU17" i="12"/>
  <c r="AS17" i="12"/>
  <c r="BZ17" i="12"/>
  <c r="CA17" i="12" s="1"/>
  <c r="BW15" i="12"/>
  <c r="BU15" i="12"/>
  <c r="AZ38" i="12"/>
  <c r="AX38" i="12"/>
  <c r="AY47" i="12"/>
  <c r="AZ47" i="12" s="1"/>
  <c r="AY39" i="12"/>
  <c r="AZ39" i="12" s="1"/>
  <c r="AY42" i="12"/>
  <c r="AZ42" i="12" s="1"/>
  <c r="AN15" i="12"/>
  <c r="BV15" i="12"/>
  <c r="AN16" i="12"/>
  <c r="AP15" i="12"/>
  <c r="AY19" i="12"/>
  <c r="BB19" i="12" s="1"/>
  <c r="AY51" i="12"/>
  <c r="BB51" i="12" s="1"/>
  <c r="BW16" i="12"/>
  <c r="BV16" i="12"/>
  <c r="AP16" i="12"/>
  <c r="BU16" i="12"/>
  <c r="AY25" i="12"/>
  <c r="AX25" i="12"/>
  <c r="AX23" i="12"/>
  <c r="AY23" i="12"/>
  <c r="AY26" i="12"/>
  <c r="AZ26" i="12" s="1"/>
  <c r="I48" i="1"/>
  <c r="J48" i="1" s="1"/>
  <c r="AX56" i="12"/>
  <c r="I47" i="1"/>
  <c r="J47" i="1" s="1"/>
  <c r="T15" i="1"/>
  <c r="S17" i="1"/>
  <c r="I49" i="1"/>
  <c r="J49" i="1" s="1"/>
  <c r="S19" i="1"/>
  <c r="T17" i="1"/>
  <c r="T18" i="1"/>
  <c r="T19" i="1"/>
  <c r="S18" i="1"/>
  <c r="AZ56" i="12"/>
  <c r="AZ18" i="12"/>
  <c r="AX18" i="12"/>
  <c r="AY50" i="12"/>
  <c r="BB50" i="12" s="1"/>
  <c r="AZ62" i="12"/>
  <c r="AZ45" i="12"/>
  <c r="AX60" i="12"/>
  <c r="AY60" i="12"/>
  <c r="BB39" i="12"/>
  <c r="AZ59" i="12"/>
  <c r="BB44" i="12"/>
  <c r="AY32" i="12"/>
  <c r="BB32" i="12" s="1"/>
  <c r="AY58" i="12"/>
  <c r="BB58" i="12" s="1"/>
  <c r="AY31" i="12"/>
  <c r="BB31" i="12" s="1"/>
  <c r="BB34" i="12"/>
  <c r="AX59" i="12"/>
  <c r="AZ63" i="12"/>
  <c r="AX43" i="12"/>
  <c r="AY43" i="12"/>
  <c r="AX24" i="12"/>
  <c r="AY24" i="12"/>
  <c r="AY22" i="12"/>
  <c r="AZ22" i="12" s="1"/>
  <c r="AZ37" i="12"/>
  <c r="BB37" i="12"/>
  <c r="AY40" i="12"/>
  <c r="AX40" i="12"/>
  <c r="AZ54" i="12"/>
  <c r="AY46" i="12"/>
  <c r="AX46" i="12"/>
  <c r="BB47" i="12"/>
  <c r="AY64" i="12"/>
  <c r="AX64" i="12"/>
  <c r="AX57" i="12"/>
  <c r="AY57" i="12"/>
  <c r="AZ28" i="12"/>
  <c r="BB28" i="12"/>
  <c r="AX67" i="12"/>
  <c r="AY67" i="12"/>
  <c r="AY55" i="12"/>
  <c r="AX55" i="12"/>
  <c r="AZ30" i="12"/>
  <c r="AY35" i="12"/>
  <c r="AX35" i="12"/>
  <c r="AZ21" i="12"/>
  <c r="AX68" i="12"/>
  <c r="AY68" i="12"/>
  <c r="AZ29" i="12"/>
  <c r="BB29" i="12"/>
  <c r="BB61" i="12"/>
  <c r="AZ69" i="12"/>
  <c r="AZ19" i="12"/>
  <c r="BB66" i="12"/>
  <c r="AZ48" i="12"/>
  <c r="BB48" i="12"/>
  <c r="AY33" i="12"/>
  <c r="BB33" i="12" s="1"/>
  <c r="AX33" i="12"/>
  <c r="AY52" i="12"/>
  <c r="AZ52" i="12" s="1"/>
  <c r="AX52" i="12"/>
  <c r="AR17" i="12" l="1"/>
  <c r="AY17" i="12" s="1"/>
  <c r="BX15" i="12"/>
  <c r="BY15" i="12" s="1"/>
  <c r="AQ15" i="12" s="1"/>
  <c r="BB42" i="12"/>
  <c r="AZ51" i="12"/>
  <c r="BX16" i="12"/>
  <c r="BY16" i="12" s="1"/>
  <c r="AQ16" i="12" s="1"/>
  <c r="BB25" i="12"/>
  <c r="AZ25" i="12"/>
  <c r="AZ23" i="12"/>
  <c r="BB23" i="12"/>
  <c r="BB26" i="12"/>
  <c r="AZ50" i="12"/>
  <c r="S20" i="1"/>
  <c r="S22" i="1" s="1"/>
  <c r="T20" i="1"/>
  <c r="T22" i="1" s="1"/>
  <c r="P35" i="1" s="1"/>
  <c r="AZ60" i="12"/>
  <c r="BB60" i="12"/>
  <c r="AZ32" i="12"/>
  <c r="AZ58" i="12"/>
  <c r="AZ31" i="12"/>
  <c r="BB52" i="12"/>
  <c r="BB22" i="12"/>
  <c r="AZ43" i="12"/>
  <c r="BB43" i="12"/>
  <c r="BB24" i="12"/>
  <c r="AZ24" i="12"/>
  <c r="BB40" i="12"/>
  <c r="AZ40" i="12"/>
  <c r="BB46" i="12"/>
  <c r="AZ46" i="12"/>
  <c r="BB64" i="12"/>
  <c r="AZ64" i="12"/>
  <c r="AZ67" i="12"/>
  <c r="BB67" i="12"/>
  <c r="BB57" i="12"/>
  <c r="AZ57" i="12"/>
  <c r="AZ55" i="12"/>
  <c r="BB55" i="12"/>
  <c r="AZ68" i="12"/>
  <c r="BB68" i="12"/>
  <c r="BB35" i="12"/>
  <c r="AZ35" i="12"/>
  <c r="AZ33" i="12"/>
  <c r="AX17" i="12" l="1"/>
  <c r="AZ17" i="12"/>
  <c r="BB17" i="12"/>
  <c r="AS15" i="12"/>
  <c r="AX15" i="12" s="1"/>
  <c r="AU15" i="12"/>
  <c r="AT15" i="12"/>
  <c r="BZ15" i="12"/>
  <c r="AR15" i="12" s="1"/>
  <c r="AY15" i="12" s="1"/>
  <c r="AZ15" i="12" s="1"/>
  <c r="I50" i="1"/>
  <c r="J50" i="1" s="1"/>
  <c r="AU16" i="12"/>
  <c r="BZ16" i="12"/>
  <c r="AT16" i="12"/>
  <c r="AS16" i="12"/>
  <c r="I53" i="1"/>
  <c r="J53" i="1" s="1"/>
  <c r="P34" i="1"/>
  <c r="S34" i="1" s="1"/>
  <c r="S30" i="1"/>
  <c r="I51" i="1"/>
  <c r="J51" i="1" s="1"/>
  <c r="I52" i="1"/>
  <c r="J52" i="1" s="1"/>
  <c r="I54" i="1"/>
  <c r="J54" i="1" s="1"/>
  <c r="P33" i="1"/>
  <c r="S33" i="1" s="1"/>
  <c r="T30" i="1"/>
  <c r="P32" i="1"/>
  <c r="S32" i="1" s="1"/>
  <c r="CA15" i="12"/>
  <c r="S35" i="1"/>
  <c r="T35" i="1"/>
  <c r="BB15" i="12" l="1"/>
  <c r="AR16" i="12"/>
  <c r="AX16" i="12" s="1"/>
  <c r="CA16" i="12"/>
  <c r="T33" i="1"/>
  <c r="T34" i="1"/>
  <c r="I59" i="1"/>
  <c r="S9" i="1" s="1"/>
  <c r="J58" i="1"/>
  <c r="P36" i="1"/>
  <c r="I58" i="1"/>
  <c r="T32" i="1"/>
  <c r="S36" i="1"/>
  <c r="S24" i="1" s="1"/>
  <c r="S26" i="1" s="1"/>
  <c r="AY16" i="12" l="1"/>
  <c r="BB16" i="12" s="1"/>
  <c r="T36" i="1"/>
  <c r="T24" i="1" s="1"/>
  <c r="T26" i="1" s="1"/>
  <c r="J59" i="1"/>
  <c r="AZ16" i="12" l="1"/>
  <c r="AZ70" i="12" s="1"/>
  <c r="AZ13" i="12" s="1"/>
  <c r="AY70" i="12"/>
  <c r="BB70" i="12" s="1"/>
  <c r="BB13" i="12" s="1"/>
  <c r="AY13" i="12" l="1"/>
</calcChain>
</file>

<file path=xl/comments1.xml><?xml version="1.0" encoding="utf-8"?>
<comments xmlns="http://schemas.openxmlformats.org/spreadsheetml/2006/main">
  <authors>
    <author>Bé Keizer</author>
    <author>Keizer</author>
    <author>B. Keizer</author>
  </authors>
  <commentList>
    <comment ref="G14" authorId="0" shapeId="0">
      <text>
        <r>
          <rPr>
            <sz val="8"/>
            <color indexed="81"/>
            <rFont val="Tahoma"/>
            <family val="2"/>
          </rPr>
          <t xml:space="preserve">
Alleen bij de functie ID1 geldt dat er sprake is van een aanloopschaal van twee regels. Deze aanloopschalen zijn in dit instrument buiten beschouwing gelaten, gestart wordt met regel 1. 
Zie de tabellen rij 49.
</t>
        </r>
      </text>
    </comment>
    <comment ref="F23" authorId="0" shapeId="0">
      <text>
        <r>
          <rPr>
            <sz val="9"/>
            <color indexed="81"/>
            <rFont val="Tahoma"/>
            <family val="2"/>
          </rPr>
          <t xml:space="preserve">
Geldt voor de leraren schaal LA op de basisschool resp. LB op de SBO / (V)SO die op 1 juli 2015 op regel 15 van hun schaal zaten.</t>
        </r>
      </text>
    </comment>
    <comment ref="F27" authorId="1" shapeId="0">
      <text>
        <r>
          <rPr>
            <sz val="9"/>
            <color indexed="81"/>
            <rFont val="Tahoma"/>
            <family val="2"/>
          </rPr>
          <t>Deze eindejaarsuitkering wordt toegekend aan de schalen 1  t/m 8. Zie tabellen.</t>
        </r>
      </text>
    </comment>
    <comment ref="F28" authorId="0" shapeId="0">
      <text>
        <r>
          <rPr>
            <sz val="9"/>
            <color indexed="81"/>
            <rFont val="Tahoma"/>
            <family val="2"/>
          </rPr>
          <t xml:space="preserve">
Geldt voor de directeuren verbonden aan een school PO die benoemd zijn in de schalen DA t/m DCuitloop (incl. meerhoofdig).</t>
        </r>
      </text>
    </comment>
    <comment ref="G33" authorId="0" shapeId="0">
      <text>
        <r>
          <rPr>
            <sz val="9"/>
            <color indexed="81"/>
            <rFont val="Tahoma"/>
            <family val="2"/>
          </rPr>
          <t xml:space="preserve">
De uitkering bedraagt bij een normbetrekking 200 euro die in de maanden januari t/m oktober wordt opgebouwd en uitgekeerd in oktober. </t>
        </r>
      </text>
    </comment>
    <comment ref="E34" authorId="2" shapeId="0">
      <text>
        <r>
          <rPr>
            <sz val="9"/>
            <color indexed="81"/>
            <rFont val="Tahoma"/>
            <family val="2"/>
          </rPr>
          <t xml:space="preserve">
Deze toekenning loopt iets vooruit op de aanpassing van de cao. Aanpassing van de salaristabel  zal plaatsvinden zodra de nieuwe cao po bekend is.</t>
        </r>
      </text>
    </comment>
    <comment ref="E39" authorId="1" shapeId="0">
      <text>
        <r>
          <rPr>
            <sz val="9"/>
            <color indexed="81"/>
            <rFont val="Tahoma"/>
            <family val="2"/>
          </rPr>
          <t xml:space="preserve">
Het jaarinkomen ABP wordt in januari van elk jaar bepaald.</t>
        </r>
      </text>
    </comment>
    <comment ref="G40" authorId="1" shapeId="0">
      <text>
        <r>
          <rPr>
            <sz val="9"/>
            <color indexed="81"/>
            <rFont val="Tahoma"/>
            <family val="2"/>
          </rPr>
          <t xml:space="preserve">
De 0,8% wordt berekend over het bruto-loon en de uitlooptoeslag, en is niet pensioengevend. Daarom worden er ook geen pensioenpremies over berekend, wel de andere premies.
Als men onder het overgangsrecht VPL valt komt men niet in aanmerking voor de opslag van 0,8%. De grens ligt bij: geboren voor 1950.</t>
        </r>
      </text>
    </comment>
    <comment ref="G53" authorId="0" shapeId="0">
      <text>
        <r>
          <rPr>
            <sz val="9"/>
            <color indexed="81"/>
            <rFont val="Tahoma"/>
            <family val="2"/>
          </rPr>
          <t xml:space="preserve">
Zie toelichting:
1 = premie verplichte verzekering (6,0%)
2 = premie vrijwillige verzekering (6,0%)
3 = eigenrisicodrager (0,21%)
4 = geen vrijwillige verzekering (0,00%)</t>
        </r>
      </text>
    </comment>
    <comment ref="E56" authorId="1" shapeId="0">
      <text>
        <r>
          <rPr>
            <sz val="9"/>
            <color indexed="81"/>
            <rFont val="Tahoma"/>
            <family val="2"/>
          </rPr>
          <t xml:space="preserve">
Denk hierbij aan reis- en verblijfkosten, een eventuele parkeervergoeding, EHBO- of telefoontoelage etc en vanaf 1 jan. 2015 ook het rechtspositioneel verlof.
Eigenrisicodragers VF: ziektekosten die niet gedeclareerd kunnen worden.</t>
        </r>
      </text>
    </comment>
  </commentList>
</comments>
</file>

<file path=xl/comments2.xml><?xml version="1.0" encoding="utf-8"?>
<comments xmlns="http://schemas.openxmlformats.org/spreadsheetml/2006/main">
  <authors>
    <author>Bé Keizer</author>
    <author>Gebruiker</author>
    <author>Keizer</author>
  </authors>
  <commentList>
    <comment ref="D13" authorId="0" shapeId="0">
      <text>
        <r>
          <rPr>
            <sz val="8"/>
            <color indexed="81"/>
            <rFont val="Tahoma"/>
            <family val="2"/>
          </rPr>
          <t xml:space="preserve">
Alleen bij de functie ID1 geldt dat er sprake is van een aanloopschaal van twee regels. Die eerste twee regels zijn daarom weggelaten en de gehele schaal omvat daarom in dit instrument 7 regels i.p.v. 9. Zie de tabellen rij 48.</t>
        </r>
      </text>
    </comment>
    <comment ref="E28" authorId="1" shapeId="0">
      <text>
        <r>
          <rPr>
            <sz val="8"/>
            <color indexed="81"/>
            <rFont val="Tahoma"/>
            <family val="2"/>
          </rPr>
          <t xml:space="preserve">
</t>
        </r>
        <r>
          <rPr>
            <sz val="10"/>
            <color indexed="81"/>
            <rFont val="Tahoma"/>
            <family val="2"/>
          </rPr>
          <t>delen van een maand als hele maand rekenen</t>
        </r>
      </text>
    </comment>
    <comment ref="J43" authorId="0" shapeId="0">
      <text>
        <r>
          <rPr>
            <sz val="9"/>
            <color indexed="81"/>
            <rFont val="Tahoma"/>
            <family val="2"/>
          </rPr>
          <t xml:space="preserve">
Betreft niveau 2012 en geldt voor 26 weken.De korting is niet meer dan het bedrag dat u in 2012 minder krijgt aan belastbaar loon in vergelijking met 2011. De korting bedraagt € 4,18 per opgenomen uur (Belastingen, inkomstenbelasting 2012).
</t>
        </r>
      </text>
    </comment>
    <comment ref="H45" authorId="2" shapeId="0">
      <text>
        <r>
          <rPr>
            <sz val="8"/>
            <color indexed="81"/>
            <rFont val="Tahoma"/>
            <family val="2"/>
          </rPr>
          <t xml:space="preserve">
Betreft niveau 2012
</t>
        </r>
      </text>
    </comment>
    <comment ref="H54" authorId="2" shapeId="0">
      <text>
        <r>
          <rPr>
            <sz val="8"/>
            <color indexed="81"/>
            <rFont val="Tahoma"/>
            <family val="2"/>
          </rPr>
          <t>Vaststellen op basis van totaal aantal fte gedeeld door het totaal aantal personeelsleden bij het betreffende bestuur. 
De 73,9% is een landelijk cijfer van 2010.</t>
        </r>
      </text>
    </comment>
  </commentList>
</comments>
</file>

<file path=xl/comments3.xml><?xml version="1.0" encoding="utf-8"?>
<comments xmlns="http://schemas.openxmlformats.org/spreadsheetml/2006/main">
  <authors>
    <author>Keizer</author>
  </authors>
  <commentList>
    <comment ref="D10" authorId="0" shapeId="0">
      <text>
        <r>
          <rPr>
            <sz val="9"/>
            <color indexed="81"/>
            <rFont val="Tahoma"/>
            <family val="2"/>
          </rPr>
          <t xml:space="preserve">
Opgave i.v.m. toe(s)lagen.
OOP S9 houdt in inschaling in schaal 9 of hoger voor OOP.</t>
        </r>
      </text>
    </comment>
  </commentList>
</comments>
</file>

<file path=xl/comments4.xml><?xml version="1.0" encoding="utf-8"?>
<comments xmlns="http://schemas.openxmlformats.org/spreadsheetml/2006/main">
  <authors>
    <author>Keizer</author>
  </authors>
  <commentList>
    <comment ref="F40" authorId="0" shapeId="0">
      <text>
        <r>
          <rPr>
            <sz val="8"/>
            <color indexed="81"/>
            <rFont val="Tahoma"/>
            <family val="2"/>
          </rPr>
          <t>Omvang personeelsbestand bestuur in aantal fte.</t>
        </r>
      </text>
    </comment>
    <comment ref="F41" authorId="0" shapeId="0">
      <text>
        <r>
          <rPr>
            <sz val="8"/>
            <color indexed="81"/>
            <rFont val="Tahoma"/>
            <family val="2"/>
          </rPr>
          <t xml:space="preserve">
Vaststellen op basis van totaal aantal fte gedeeld door het totaal aantal personeelsleden bij het betreffende bestuur. 
De 73,9% is een landelijk gegeven (2010).</t>
        </r>
      </text>
    </comment>
    <comment ref="F44" authorId="0" shapeId="0">
      <text>
        <r>
          <rPr>
            <sz val="8"/>
            <color indexed="81"/>
            <rFont val="Tahoma"/>
            <family val="2"/>
          </rPr>
          <t xml:space="preserve">
Aantal herintreders in fte gedeeld door aantal fte.
Landelijke raming ontbreekt. Raming kan per bestuur sterk variëren. Daarom vaststellen op basis van eigen gegevens.</t>
        </r>
      </text>
    </comment>
    <comment ref="F46" authorId="0" shapeId="0">
      <text>
        <r>
          <rPr>
            <sz val="8"/>
            <color indexed="81"/>
            <rFont val="Tahoma"/>
            <family val="2"/>
          </rPr>
          <t>Is mede gebaseerd op de aanname dat even vaak sprake is van 1 als 2 periodieken, gemiddeld dus 1,5 periodiek.</t>
        </r>
      </text>
    </comment>
  </commentList>
</comments>
</file>

<file path=xl/comments5.xml><?xml version="1.0" encoding="utf-8"?>
<comments xmlns="http://schemas.openxmlformats.org/spreadsheetml/2006/main">
  <authors>
    <author>Bé Keizer</author>
    <author>Keizer</author>
  </authors>
  <commentList>
    <comment ref="J9" authorId="0" shapeId="0">
      <text>
        <r>
          <rPr>
            <sz val="9"/>
            <color indexed="81"/>
            <rFont val="Tahoma"/>
            <family val="2"/>
          </rPr>
          <t xml:space="preserve">
Geldt voor de leraren schaal LA op de basisschool resp. LB op de SBO / (V)SO die op 1  januari 2015 op regel 15 van hun schaal zaten.</t>
        </r>
      </text>
    </comment>
    <comment ref="M9" authorId="0" shapeId="0">
      <text>
        <r>
          <rPr>
            <sz val="11"/>
            <color indexed="81"/>
            <rFont val="Tahoma"/>
            <family val="2"/>
          </rPr>
          <t xml:space="preserve">
Zie toelichting:
1 = premie verplichte verzekering (6,5%)
2 = premie vrijwillige verzekering (6,5%)
3= eigenrisicodrager (0,21%)
4 = geen vrijwillige verzekering (0,00%)</t>
        </r>
      </text>
    </comment>
    <comment ref="AW9" authorId="1" shapeId="0">
      <text>
        <r>
          <rPr>
            <sz val="9"/>
            <color indexed="81"/>
            <rFont val="Tahoma"/>
            <family val="2"/>
          </rPr>
          <t xml:space="preserve">
Denk hierbij aan reis- en verblijfkosten, een eventuele parkeervergoeding, EHBO- of telefoontoelage, eigen risico VF: vervangingskosten etc. en vanaf 1 jan. 2015 ook het rechtspositioneel verlof</t>
        </r>
      </text>
    </comment>
    <comment ref="BM15" authorId="0" shapeId="0">
      <text>
        <r>
          <rPr>
            <sz val="9"/>
            <color indexed="81"/>
            <rFont val="Tahoma"/>
            <family val="2"/>
          </rPr>
          <t xml:space="preserve">
Geldt voor de leraren schaal LA op de basisschool resp. LB op de SBO / (V)SO die op 1 januari 2015 op regel 15 van hun schaal zaten.</t>
        </r>
      </text>
    </comment>
    <comment ref="BM16" authorId="0" shapeId="0">
      <text>
        <r>
          <rPr>
            <sz val="9"/>
            <color indexed="81"/>
            <rFont val="Tahoma"/>
            <family val="2"/>
          </rPr>
          <t xml:space="preserve">
Geldt voor de leraren schaal LA op de basisschool resp. LB op de SBO / (V)SO die op 1 januari 2012 op regel 15 van hun schaal zaten.</t>
        </r>
      </text>
    </comment>
    <comment ref="BM17" authorId="0" shapeId="0">
      <text>
        <r>
          <rPr>
            <sz val="9"/>
            <color indexed="81"/>
            <rFont val="Tahoma"/>
            <family val="2"/>
          </rPr>
          <t xml:space="preserve">
Geldt voor de leraren schaal LA op de basisschool resp. LB op de SBO / (V)SO die op 1 januari 2012 op regel 15 van hun schaal zaten.</t>
        </r>
      </text>
    </comment>
    <comment ref="BM18" authorId="0" shapeId="0">
      <text>
        <r>
          <rPr>
            <sz val="9"/>
            <color indexed="81"/>
            <rFont val="Tahoma"/>
            <family val="2"/>
          </rPr>
          <t xml:space="preserve">
Geldt voor de leraren schaal LA op de basisschool resp. LB op de SBO / (V)SO die op 1 januari 2012 op regel 15 van hun schaal zaten.</t>
        </r>
      </text>
    </comment>
    <comment ref="BM19" authorId="0" shapeId="0">
      <text>
        <r>
          <rPr>
            <sz val="9"/>
            <color indexed="81"/>
            <rFont val="Tahoma"/>
            <family val="2"/>
          </rPr>
          <t xml:space="preserve">
Geldt voor de leraren schaal LA op de basisschool resp. LB op de SBO / (V)SO die op 1 januari 2012 op regel 15 van hun schaal zaten.</t>
        </r>
      </text>
    </comment>
    <comment ref="BM20" authorId="0" shapeId="0">
      <text>
        <r>
          <rPr>
            <sz val="9"/>
            <color indexed="81"/>
            <rFont val="Tahoma"/>
            <family val="2"/>
          </rPr>
          <t xml:space="preserve">
Geldt voor de leraren schaal LA op de basisschool resp. LB op de SBO / (V)SO die op 1 januari 2012 op regel 15 van hun schaal zaten.</t>
        </r>
      </text>
    </comment>
    <comment ref="BM21" authorId="0" shapeId="0">
      <text>
        <r>
          <rPr>
            <sz val="9"/>
            <color indexed="81"/>
            <rFont val="Tahoma"/>
            <family val="2"/>
          </rPr>
          <t xml:space="preserve">
Geldt voor de leraren schaal LA op de basisschool resp. LB op de SBO / (V)SO die op 1 januari 2012 op regel 15 van hun schaal zaten.</t>
        </r>
      </text>
    </comment>
    <comment ref="BM22" authorId="0" shapeId="0">
      <text>
        <r>
          <rPr>
            <sz val="9"/>
            <color indexed="81"/>
            <rFont val="Tahoma"/>
            <family val="2"/>
          </rPr>
          <t xml:space="preserve">
Geldt voor de leraren schaal LA op de basisschool resp. LB op de SBO / (V)SO die op 1 januari 2012 op regel 15 van hun schaal zaten.</t>
        </r>
      </text>
    </comment>
    <comment ref="BM23" authorId="0" shapeId="0">
      <text>
        <r>
          <rPr>
            <sz val="9"/>
            <color indexed="81"/>
            <rFont val="Tahoma"/>
            <family val="2"/>
          </rPr>
          <t xml:space="preserve">
Geldt voor de leraren schaal LA op de basisschool resp. LB op de SBO / (V)SO die op 1 januari 2012 op regel 15 van hun schaal zaten.</t>
        </r>
      </text>
    </comment>
    <comment ref="BM24" authorId="0" shapeId="0">
      <text>
        <r>
          <rPr>
            <sz val="9"/>
            <color indexed="81"/>
            <rFont val="Tahoma"/>
            <family val="2"/>
          </rPr>
          <t xml:space="preserve">
Geldt voor de leraren schaal LA op de basisschool resp. LB op de SBO / (V)SO die op 1 januari 2012 op regel 15 van hun schaal zaten.</t>
        </r>
      </text>
    </comment>
    <comment ref="BM25" authorId="0" shapeId="0">
      <text>
        <r>
          <rPr>
            <sz val="9"/>
            <color indexed="81"/>
            <rFont val="Tahoma"/>
            <family val="2"/>
          </rPr>
          <t xml:space="preserve">
Geldt voor de leraren schaal LA op de basisschool resp. LB op de SBO / (V)SO die op 1 januari 2012 op regel 15 van hun schaal zaten.</t>
        </r>
      </text>
    </comment>
    <comment ref="BM26" authorId="0" shapeId="0">
      <text>
        <r>
          <rPr>
            <sz val="9"/>
            <color indexed="81"/>
            <rFont val="Tahoma"/>
            <family val="2"/>
          </rPr>
          <t xml:space="preserve">
Geldt voor de leraren schaal LA op de basisschool resp. LB op de SBO / (V)SO die op 1 januari 2012 op regel 15 van hun schaal zaten.</t>
        </r>
      </text>
    </comment>
    <comment ref="BM27" authorId="0" shapeId="0">
      <text>
        <r>
          <rPr>
            <sz val="9"/>
            <color indexed="81"/>
            <rFont val="Tahoma"/>
            <family val="2"/>
          </rPr>
          <t xml:space="preserve">
Geldt voor de leraren schaal LA op de basisschool resp. LB op de SBO / (V)SO die op 1 januari 2012 op regel 15 van hun schaal zaten.</t>
        </r>
      </text>
    </comment>
    <comment ref="BM28" authorId="0" shapeId="0">
      <text>
        <r>
          <rPr>
            <sz val="9"/>
            <color indexed="81"/>
            <rFont val="Tahoma"/>
            <family val="2"/>
          </rPr>
          <t xml:space="preserve">
Geldt voor de leraren schaal LA op de basisschool resp. LB op de SBO / (V)SO die op 1 januari 2012 op regel 15 van hun schaal zaten.</t>
        </r>
      </text>
    </comment>
    <comment ref="BM29" authorId="0" shapeId="0">
      <text>
        <r>
          <rPr>
            <sz val="9"/>
            <color indexed="81"/>
            <rFont val="Tahoma"/>
            <family val="2"/>
          </rPr>
          <t xml:space="preserve">
Geldt voor de leraren schaal LA op de basisschool resp. LB op de SBO / (V)SO die op 1 januari 2012 op regel 15 van hun schaal zaten.</t>
        </r>
      </text>
    </comment>
    <comment ref="BM30" authorId="0" shapeId="0">
      <text>
        <r>
          <rPr>
            <sz val="9"/>
            <color indexed="81"/>
            <rFont val="Tahoma"/>
            <family val="2"/>
          </rPr>
          <t xml:space="preserve">
Geldt voor de leraren schaal LA op de basisschool resp. LB op de SBO / (V)SO die op 1 januari 2012 op regel 15 van hun schaal zaten.</t>
        </r>
      </text>
    </comment>
    <comment ref="BM31" authorId="0" shapeId="0">
      <text>
        <r>
          <rPr>
            <sz val="9"/>
            <color indexed="81"/>
            <rFont val="Tahoma"/>
            <family val="2"/>
          </rPr>
          <t xml:space="preserve">
Geldt voor de leraren schaal LA op de basisschool resp. LB op de SBO / (V)SO die op 1 januari 2012 op regel 15 van hun schaal zaten.</t>
        </r>
      </text>
    </comment>
    <comment ref="BM32" authorId="0" shapeId="0">
      <text>
        <r>
          <rPr>
            <sz val="9"/>
            <color indexed="81"/>
            <rFont val="Tahoma"/>
            <family val="2"/>
          </rPr>
          <t xml:space="preserve">
Geldt voor de leraren schaal LA op de basisschool resp. LB op de SBO / (V)SO die op 1 januari 2012 op regel 15 van hun schaal zaten.</t>
        </r>
      </text>
    </comment>
    <comment ref="BM33" authorId="0" shapeId="0">
      <text>
        <r>
          <rPr>
            <sz val="9"/>
            <color indexed="81"/>
            <rFont val="Tahoma"/>
            <family val="2"/>
          </rPr>
          <t xml:space="preserve">
Geldt voor de leraren schaal LA op de basisschool resp. LB op de SBO / (V)SO die op 1 januari 2012 op regel 15 van hun schaal zaten.</t>
        </r>
      </text>
    </comment>
    <comment ref="BM34" authorId="0" shapeId="0">
      <text>
        <r>
          <rPr>
            <sz val="9"/>
            <color indexed="81"/>
            <rFont val="Tahoma"/>
            <family val="2"/>
          </rPr>
          <t xml:space="preserve">
Geldt voor de leraren schaal LA op de basisschool resp. LB op de SBO / (V)SO die op 1 januari 2012 op regel 15 van hun schaal zaten.</t>
        </r>
      </text>
    </comment>
    <comment ref="BM35" authorId="0" shapeId="0">
      <text>
        <r>
          <rPr>
            <sz val="9"/>
            <color indexed="81"/>
            <rFont val="Tahoma"/>
            <family val="2"/>
          </rPr>
          <t xml:space="preserve">
Geldt voor de leraren schaal LA op de basisschool resp. LB op de SBO / (V)SO die op 1 januari 2012 op regel 15 van hun schaal zaten.</t>
        </r>
      </text>
    </comment>
    <comment ref="BM36" authorId="0" shapeId="0">
      <text>
        <r>
          <rPr>
            <sz val="9"/>
            <color indexed="81"/>
            <rFont val="Tahoma"/>
            <family val="2"/>
          </rPr>
          <t xml:space="preserve">
Geldt voor de leraren schaal LA op de basisschool resp. LB op de SBO / (V)SO die op 1 januari 2012 op regel 15 van hun schaal zaten.</t>
        </r>
      </text>
    </comment>
    <comment ref="BM37" authorId="0" shapeId="0">
      <text>
        <r>
          <rPr>
            <sz val="9"/>
            <color indexed="81"/>
            <rFont val="Tahoma"/>
            <family val="2"/>
          </rPr>
          <t xml:space="preserve">
Geldt voor de leraren schaal LA op de basisschool resp. LB op de SBO / (V)SO die op 1 januari 2012 op regel 15 van hun schaal zaten.</t>
        </r>
      </text>
    </comment>
    <comment ref="BM38" authorId="0" shapeId="0">
      <text>
        <r>
          <rPr>
            <sz val="9"/>
            <color indexed="81"/>
            <rFont val="Tahoma"/>
            <family val="2"/>
          </rPr>
          <t xml:space="preserve">
Geldt voor de leraren schaal LA op de basisschool resp. LB op de SBO / (V)SO die op 1 januari 2012 op regel 15 van hun schaal zaten.</t>
        </r>
      </text>
    </comment>
    <comment ref="BM39" authorId="0" shapeId="0">
      <text>
        <r>
          <rPr>
            <sz val="9"/>
            <color indexed="81"/>
            <rFont val="Tahoma"/>
            <family val="2"/>
          </rPr>
          <t xml:space="preserve">
Geldt voor de leraren schaal LA op de basisschool resp. LB op de SBO / (V)SO die op 1 januari 2012 op regel 15 van hun schaal zaten.</t>
        </r>
      </text>
    </comment>
    <comment ref="BM40" authorId="0" shapeId="0">
      <text>
        <r>
          <rPr>
            <sz val="9"/>
            <color indexed="81"/>
            <rFont val="Tahoma"/>
            <family val="2"/>
          </rPr>
          <t xml:space="preserve">
Geldt voor de leraren schaal LA op de basisschool resp. LB op de SBO / (V)SO die op 1 januari 2012 op regel 15 van hun schaal zaten.</t>
        </r>
      </text>
    </comment>
    <comment ref="BM41" authorId="0" shapeId="0">
      <text>
        <r>
          <rPr>
            <sz val="9"/>
            <color indexed="81"/>
            <rFont val="Tahoma"/>
            <family val="2"/>
          </rPr>
          <t xml:space="preserve">
Geldt voor de leraren schaal LA op de basisschool resp. LB op de SBO / (V)SO die op 1 januari 2012 op regel 15 van hun schaal zaten.</t>
        </r>
      </text>
    </comment>
    <comment ref="BM42" authorId="0" shapeId="0">
      <text>
        <r>
          <rPr>
            <sz val="9"/>
            <color indexed="81"/>
            <rFont val="Tahoma"/>
            <family val="2"/>
          </rPr>
          <t xml:space="preserve">
Geldt voor de leraren schaal LA op de basisschool resp. LB op de SBO / (V)SO die op 1 januari 2012 op regel 15 van hun schaal zaten.</t>
        </r>
      </text>
    </comment>
    <comment ref="BM43" authorId="0" shapeId="0">
      <text>
        <r>
          <rPr>
            <sz val="9"/>
            <color indexed="81"/>
            <rFont val="Tahoma"/>
            <family val="2"/>
          </rPr>
          <t xml:space="preserve">
Geldt voor de leraren schaal LA op de basisschool resp. LB op de SBO / (V)SO die op 1 januari 2012 op regel 15 van hun schaal zaten.</t>
        </r>
      </text>
    </comment>
    <comment ref="BM44" authorId="0" shapeId="0">
      <text>
        <r>
          <rPr>
            <sz val="9"/>
            <color indexed="81"/>
            <rFont val="Tahoma"/>
            <family val="2"/>
          </rPr>
          <t xml:space="preserve">
Geldt voor de leraren schaal LA op de basisschool resp. LB op de SBO / (V)SO die op 1 januari 2012 op regel 15 van hun schaal zaten.</t>
        </r>
      </text>
    </comment>
    <comment ref="BM45" authorId="0" shapeId="0">
      <text>
        <r>
          <rPr>
            <sz val="9"/>
            <color indexed="81"/>
            <rFont val="Tahoma"/>
            <family val="2"/>
          </rPr>
          <t xml:space="preserve">
Geldt voor de leraren schaal LA op de basisschool resp. LB op de SBO / (V)SO die op 1 januari 2012 op regel 15 van hun schaal zaten.</t>
        </r>
      </text>
    </comment>
    <comment ref="BM46" authorId="0" shapeId="0">
      <text>
        <r>
          <rPr>
            <sz val="9"/>
            <color indexed="81"/>
            <rFont val="Tahoma"/>
            <family val="2"/>
          </rPr>
          <t xml:space="preserve">
Geldt voor de leraren schaal LA op de basisschool resp. LB op de SBO / (V)SO die op 1 januari 2012 op regel 15 van hun schaal zaten.</t>
        </r>
      </text>
    </comment>
    <comment ref="BM47" authorId="0" shapeId="0">
      <text>
        <r>
          <rPr>
            <sz val="9"/>
            <color indexed="81"/>
            <rFont val="Tahoma"/>
            <family val="2"/>
          </rPr>
          <t xml:space="preserve">
Geldt voor de leraren schaal LA op de basisschool resp. LB op de SBO / (V)SO die op 1 januari 2012 op regel 15 van hun schaal zaten.</t>
        </r>
      </text>
    </comment>
    <comment ref="BM48" authorId="0" shapeId="0">
      <text>
        <r>
          <rPr>
            <sz val="9"/>
            <color indexed="81"/>
            <rFont val="Tahoma"/>
            <family val="2"/>
          </rPr>
          <t xml:space="preserve">
Geldt voor de leraren schaal LA op de basisschool resp. LB op de SBO / (V)SO die op 1 januari 2012 op regel 15 van hun schaal zaten.</t>
        </r>
      </text>
    </comment>
    <comment ref="BM49" authorId="0" shapeId="0">
      <text>
        <r>
          <rPr>
            <sz val="9"/>
            <color indexed="81"/>
            <rFont val="Tahoma"/>
            <family val="2"/>
          </rPr>
          <t xml:space="preserve">
Geldt voor de leraren schaal LA op de basisschool resp. LB op de SBO / (V)SO die op 1 januari 2012 op regel 15 van hun schaal zaten.</t>
        </r>
      </text>
    </comment>
    <comment ref="BM50" authorId="0" shapeId="0">
      <text>
        <r>
          <rPr>
            <sz val="9"/>
            <color indexed="81"/>
            <rFont val="Tahoma"/>
            <family val="2"/>
          </rPr>
          <t xml:space="preserve">
Geldt voor de leraren schaal LA op de basisschool resp. LB op de SBO / (V)SO die op 1 januari 2012 op regel 15 van hun schaal zaten.</t>
        </r>
      </text>
    </comment>
    <comment ref="BM51" authorId="0" shapeId="0">
      <text>
        <r>
          <rPr>
            <sz val="9"/>
            <color indexed="81"/>
            <rFont val="Tahoma"/>
            <family val="2"/>
          </rPr>
          <t xml:space="preserve">
Geldt voor de leraren schaal LA op de basisschool resp. LB op de SBO / (V)SO die op 1 januari 2012 op regel 15 van hun schaal zaten.</t>
        </r>
      </text>
    </comment>
    <comment ref="BM52" authorId="0" shapeId="0">
      <text>
        <r>
          <rPr>
            <sz val="9"/>
            <color indexed="81"/>
            <rFont val="Tahoma"/>
            <family val="2"/>
          </rPr>
          <t xml:space="preserve">
Geldt voor de leraren schaal LA op de basisschool resp. LB op de SBO / (V)SO die op 1 januari 2012 op regel 15 van hun schaal zaten.</t>
        </r>
      </text>
    </comment>
    <comment ref="BM53" authorId="0" shapeId="0">
      <text>
        <r>
          <rPr>
            <sz val="9"/>
            <color indexed="81"/>
            <rFont val="Tahoma"/>
            <family val="2"/>
          </rPr>
          <t xml:space="preserve">
Geldt voor de leraren schaal LA op de basisschool resp. LB op de SBO / (V)SO die op 1 januari 2012 op regel 15 van hun schaal zaten.</t>
        </r>
      </text>
    </comment>
    <comment ref="BM54" authorId="0" shapeId="0">
      <text>
        <r>
          <rPr>
            <sz val="9"/>
            <color indexed="81"/>
            <rFont val="Tahoma"/>
            <family val="2"/>
          </rPr>
          <t xml:space="preserve">
Geldt voor de leraren schaal LA op de basisschool resp. LB op de SBO / (V)SO die op 1 januari 2012 op regel 15 van hun schaal zaten.</t>
        </r>
      </text>
    </comment>
    <comment ref="BM55" authorId="0" shapeId="0">
      <text>
        <r>
          <rPr>
            <sz val="9"/>
            <color indexed="81"/>
            <rFont val="Tahoma"/>
            <family val="2"/>
          </rPr>
          <t xml:space="preserve">
Geldt voor de leraren schaal LA op de basisschool resp. LB op de SBO / (V)SO die op 1 januari 2012 op regel 15 van hun schaal zaten.</t>
        </r>
      </text>
    </comment>
    <comment ref="BM56" authorId="0" shapeId="0">
      <text>
        <r>
          <rPr>
            <sz val="9"/>
            <color indexed="81"/>
            <rFont val="Tahoma"/>
            <family val="2"/>
          </rPr>
          <t xml:space="preserve">
Geldt voor de leraren schaal LA op de basisschool resp. LB op de SBO / (V)SO die op 1 januari 2012 op regel 15 van hun schaal zaten.</t>
        </r>
      </text>
    </comment>
    <comment ref="BM57" authorId="0" shapeId="0">
      <text>
        <r>
          <rPr>
            <sz val="9"/>
            <color indexed="81"/>
            <rFont val="Tahoma"/>
            <family val="2"/>
          </rPr>
          <t xml:space="preserve">
Geldt voor de leraren schaal LA op de basisschool resp. LB op de SBO / (V)SO die op 1 januari 2012 op regel 15 van hun schaal zaten.</t>
        </r>
      </text>
    </comment>
    <comment ref="BM58" authorId="0" shapeId="0">
      <text>
        <r>
          <rPr>
            <sz val="9"/>
            <color indexed="81"/>
            <rFont val="Tahoma"/>
            <family val="2"/>
          </rPr>
          <t xml:space="preserve">
Geldt voor de leraren schaal LA op de basisschool resp. LB op de SBO / (V)SO die op 1 januari 2012 op regel 15 van hun schaal zaten.</t>
        </r>
      </text>
    </comment>
    <comment ref="BM59" authorId="0" shapeId="0">
      <text>
        <r>
          <rPr>
            <sz val="9"/>
            <color indexed="81"/>
            <rFont val="Tahoma"/>
            <family val="2"/>
          </rPr>
          <t xml:space="preserve">
Geldt voor de leraren schaal LA op de basisschool resp. LB op de SBO / (V)SO die op 1 januari 2012 op regel 15 van hun schaal zaten.</t>
        </r>
      </text>
    </comment>
    <comment ref="BM60" authorId="0" shapeId="0">
      <text>
        <r>
          <rPr>
            <sz val="9"/>
            <color indexed="81"/>
            <rFont val="Tahoma"/>
            <family val="2"/>
          </rPr>
          <t xml:space="preserve">
Geldt voor de leraren schaal LA op de basisschool resp. LB op de SBO / (V)SO die op 1 januari 2012 op regel 15 van hun schaal zaten.</t>
        </r>
      </text>
    </comment>
    <comment ref="BM61" authorId="0" shapeId="0">
      <text>
        <r>
          <rPr>
            <sz val="9"/>
            <color indexed="81"/>
            <rFont val="Tahoma"/>
            <family val="2"/>
          </rPr>
          <t xml:space="preserve">
Geldt voor de leraren schaal LA op de basisschool resp. LB op de SBO / (V)SO die op 1 januari 2012 op regel 15 van hun schaal zaten.</t>
        </r>
      </text>
    </comment>
    <comment ref="BM62" authorId="0" shapeId="0">
      <text>
        <r>
          <rPr>
            <sz val="9"/>
            <color indexed="81"/>
            <rFont val="Tahoma"/>
            <family val="2"/>
          </rPr>
          <t xml:space="preserve">
Geldt voor de leraren schaal LA op de basisschool resp. LB op de SBO / (V)SO die op 1 januari 2012 op regel 15 van hun schaal zaten.</t>
        </r>
      </text>
    </comment>
    <comment ref="BM63" authorId="0" shapeId="0">
      <text>
        <r>
          <rPr>
            <sz val="9"/>
            <color indexed="81"/>
            <rFont val="Tahoma"/>
            <family val="2"/>
          </rPr>
          <t xml:space="preserve">
Geldt voor de leraren schaal LA op de basisschool resp. LB op de SBO / (V)SO die op 1 januari 2012 op regel 15 van hun schaal zaten.</t>
        </r>
      </text>
    </comment>
    <comment ref="BM64" authorId="0" shapeId="0">
      <text>
        <r>
          <rPr>
            <sz val="9"/>
            <color indexed="81"/>
            <rFont val="Tahoma"/>
            <family val="2"/>
          </rPr>
          <t xml:space="preserve">
Geldt voor de leraren schaal LA op de basisschool resp. LB op de SBO / (V)SO die op 1 januari 2012 op regel 15 van hun schaal zaten.</t>
        </r>
      </text>
    </comment>
    <comment ref="BM65" authorId="0" shapeId="0">
      <text>
        <r>
          <rPr>
            <sz val="9"/>
            <color indexed="81"/>
            <rFont val="Tahoma"/>
            <family val="2"/>
          </rPr>
          <t xml:space="preserve">
Geldt voor de leraren schaal LA op de basisschool resp. LB op de SBO / (V)SO die op 1 januari 2012 op regel 15 van hun schaal zaten.</t>
        </r>
      </text>
    </comment>
    <comment ref="BM66" authorId="0" shapeId="0">
      <text>
        <r>
          <rPr>
            <sz val="9"/>
            <color indexed="81"/>
            <rFont val="Tahoma"/>
            <family val="2"/>
          </rPr>
          <t xml:space="preserve">
Geldt voor de leraren schaal LA op de basisschool resp. LB op de SBO / (V)SO die op 1 januari 2012 op regel 15 van hun schaal zaten.</t>
        </r>
      </text>
    </comment>
    <comment ref="BM67" authorId="0" shapeId="0">
      <text>
        <r>
          <rPr>
            <sz val="9"/>
            <color indexed="81"/>
            <rFont val="Tahoma"/>
            <family val="2"/>
          </rPr>
          <t xml:space="preserve">
Geldt voor de leraren schaal LA op de basisschool resp. LB op de SBO / (V)SO die op 1 januari 2012 op regel 15 van hun schaal zaten.</t>
        </r>
      </text>
    </comment>
    <comment ref="BM68" authorId="0" shapeId="0">
      <text>
        <r>
          <rPr>
            <sz val="9"/>
            <color indexed="81"/>
            <rFont val="Tahoma"/>
            <family val="2"/>
          </rPr>
          <t xml:space="preserve">
Geldt voor de leraren schaal LA op de basisschool resp. LB op de SBO / (V)SO die op 1 januari 2012 op regel 15 van hun schaal zaten.</t>
        </r>
      </text>
    </comment>
    <comment ref="BM69" authorId="0" shapeId="0">
      <text>
        <r>
          <rPr>
            <sz val="9"/>
            <color indexed="81"/>
            <rFont val="Tahoma"/>
            <family val="2"/>
          </rPr>
          <t xml:space="preserve">
Geldt voor de leraren schaal LA op de basisschool resp. LB op de SBO / (V)SO die op 1 januari 2012 op regel 15 van hun schaal zaten.</t>
        </r>
      </text>
    </comment>
  </commentList>
</comments>
</file>

<file path=xl/comments6.xml><?xml version="1.0" encoding="utf-8"?>
<comments xmlns="http://schemas.openxmlformats.org/spreadsheetml/2006/main">
  <authors>
    <author>B. Keizer</author>
    <author>Bé Keizer</author>
    <author>Keizer</author>
  </authors>
  <commentList>
    <comment ref="B4" authorId="0" shapeId="0">
      <text>
        <r>
          <rPr>
            <sz val="9"/>
            <color indexed="81"/>
            <rFont val="Tahoma"/>
            <family val="2"/>
          </rPr>
          <t xml:space="preserve">
In afwachting van nieuwe cao PO vor 15-16.</t>
        </r>
      </text>
    </comment>
    <comment ref="B31" authorId="1" shapeId="0">
      <text>
        <r>
          <rPr>
            <sz val="9"/>
            <color indexed="81"/>
            <rFont val="Tahoma"/>
            <family val="2"/>
          </rPr>
          <t xml:space="preserve">
Bijstelling per 1 jan. 2015 i.v.m. aaanpassing minimumloon naar 1.501,80.</t>
        </r>
      </text>
    </comment>
    <comment ref="A55" authorId="1" shapeId="0">
      <text>
        <r>
          <rPr>
            <sz val="9"/>
            <color indexed="81"/>
            <rFont val="Tahoma"/>
            <family val="2"/>
          </rPr>
          <t xml:space="preserve">
Conform normen per juli 2015. </t>
        </r>
      </text>
    </comment>
    <comment ref="G56" authorId="2" shapeId="0">
      <text>
        <r>
          <rPr>
            <sz val="9"/>
            <color indexed="81"/>
            <rFont val="Tahoma"/>
            <family val="2"/>
          </rPr>
          <t xml:space="preserve">
Belastingdienst, Nieuwsbrief Loonheffingen 2015</t>
        </r>
      </text>
    </comment>
    <comment ref="A57" authorId="2" shapeId="0">
      <text>
        <r>
          <rPr>
            <sz val="9"/>
            <color indexed="81"/>
            <rFont val="Tahoma"/>
            <family val="2"/>
          </rPr>
          <t xml:space="preserve">
Inclusief Anw-compensatie van 0,075% WG en 0,225% WN.</t>
        </r>
      </text>
    </comment>
    <comment ref="A60" authorId="2" shapeId="0">
      <text>
        <r>
          <rPr>
            <sz val="9"/>
            <color indexed="81"/>
            <rFont val="Tahoma"/>
            <family val="2"/>
          </rPr>
          <t xml:space="preserve">
De premie voor KinderOpvang van 0,5% is hier ondergebracht.</t>
        </r>
      </text>
    </comment>
    <comment ref="A61" authorId="2" shapeId="0">
      <text>
        <r>
          <rPr>
            <sz val="9"/>
            <color indexed="81"/>
            <rFont val="Tahoma"/>
            <family val="2"/>
          </rPr>
          <t xml:space="preserve">
De gedifferentieerde premie WGA is opgegaan in gedifferentieerde premie Werkhervattingskas (Whk), die daarnaast bestaat uit premies voor flexwerkers. De gedifferentieerde premie Whk bestaat uit de volgende delen: WGA-vast, WGA-flex en ZW-flex.
De premiepercentages die van toepassing zijn worden door de belastingdienst toegestuurd waarbij onderscheid gemaakt wordt in grote, middelgrote en kleine werkgevers.
De hier opgenomen premie voor WGA-vast, -flex, ZW-flex betreft die voor kleine werkgevers die sectorbreed gelden. Voor grote werkgevers wordt de premie individueel bepaald en voor middelgrote werkgevers wordt de premie bepaald op een gewogen gemiddelde van de sectorale en de individuele premie.</t>
        </r>
      </text>
    </comment>
    <comment ref="A62" authorId="1" shapeId="0">
      <text>
        <r>
          <rPr>
            <sz val="9"/>
            <color indexed="81"/>
            <rFont val="Tahoma"/>
            <family val="2"/>
          </rPr>
          <t xml:space="preserve">
De pseudo-WW premie is per 1 januari 2009 afgeschaft. De compensatie ervoor is geregeld en komt overeen met een opslag van 1,97% op het norm maandloon.
Na de verwerking van de compensatie in juni 2009 is het percentage op 0,0% gesteld.
</t>
        </r>
      </text>
    </comment>
    <comment ref="A63" authorId="2" shapeId="0">
      <text>
        <r>
          <rPr>
            <sz val="9"/>
            <color indexed="81"/>
            <rFont val="Tahoma"/>
            <family val="2"/>
          </rPr>
          <t xml:space="preserve">
Premie is verlaagd met 0,55%.</t>
        </r>
      </text>
    </comment>
    <comment ref="A64" authorId="1" shapeId="0">
      <text>
        <r>
          <rPr>
            <sz val="9"/>
            <color indexed="81"/>
            <rFont val="Tahoma"/>
            <family val="2"/>
          </rPr>
          <t xml:space="preserve">
Betreft: Uitvoering Fonds Overheid. Is exclusief premie kinderopvang van 0,50% die bij de basispremie WAO is opgenomen (Regeling vaststelling premiepercentages werknemersverzekeringen, volksverzekeringen en opslag kinderopvang 2015, art. 4 en 10).</t>
        </r>
      </text>
    </comment>
    <comment ref="A65" authorId="2" shapeId="0">
      <text>
        <r>
          <rPr>
            <sz val="10"/>
            <color indexed="81"/>
            <rFont val="Tahoma"/>
            <family val="2"/>
          </rPr>
          <t xml:space="preserve">
Premie VF vanaf 1 juli 2015. </t>
        </r>
      </text>
    </comment>
    <comment ref="A67" authorId="2" shapeId="0">
      <text>
        <r>
          <rPr>
            <sz val="10"/>
            <color indexed="81"/>
            <rFont val="Tahoma"/>
            <family val="2"/>
          </rPr>
          <t xml:space="preserve">
Premie VF vanaf 1 juli 2015. 
Verplicht  0,21%.</t>
        </r>
      </text>
    </comment>
    <comment ref="A69" authorId="2" shapeId="0">
      <text>
        <r>
          <rPr>
            <sz val="9"/>
            <color indexed="81"/>
            <rFont val="Tahoma"/>
            <family val="2"/>
          </rPr>
          <t xml:space="preserve">
Premie sinds 1 jan. 2015.</t>
        </r>
      </text>
    </comment>
    <comment ref="A77" authorId="1" shapeId="0">
      <text>
        <r>
          <rPr>
            <sz val="9"/>
            <color indexed="81"/>
            <rFont val="Tahoma"/>
            <family val="2"/>
          </rPr>
          <t xml:space="preserve">
Geldt voor de leraren schaal LA basisschool resp. LB SBO / (V)SO die op 1-7-2015 op regel 15 van hun schaal zitten.</t>
        </r>
      </text>
    </comment>
    <comment ref="D96" authorId="0" shapeId="0">
      <text>
        <r>
          <rPr>
            <sz val="9"/>
            <color indexed="81"/>
            <rFont val="Tahoma"/>
            <family val="2"/>
          </rPr>
          <t xml:space="preserve">
Is in 2015 inclusief vrijval pensioenpremie.</t>
        </r>
      </text>
    </comment>
    <comment ref="A97" authorId="0" shapeId="0">
      <text>
        <r>
          <rPr>
            <sz val="9"/>
            <color indexed="81"/>
            <rFont val="Tahoma"/>
            <family val="2"/>
          </rPr>
          <t xml:space="preserve">
Deze toekenning loopt iets vooruit op de aanpassing van de cao. Aanpassing van de salaristabel  zal plaatsvinden zodra de nieuwe cao po bekend is.</t>
        </r>
      </text>
    </comment>
    <comment ref="A99" authorId="1" shapeId="0">
      <text>
        <r>
          <rPr>
            <sz val="9"/>
            <color indexed="81"/>
            <rFont val="Tahoma"/>
            <family val="2"/>
          </rPr>
          <t xml:space="preserve">
Geldt voor de directeuren verbonden aan een school PO die benoemd zijn in de schalen DA t/m DCuitloop (incl. meerhoofdig).</t>
        </r>
      </text>
    </comment>
  </commentList>
</comments>
</file>

<file path=xl/sharedStrings.xml><?xml version="1.0" encoding="utf-8"?>
<sst xmlns="http://schemas.openxmlformats.org/spreadsheetml/2006/main" count="696" uniqueCount="394">
  <si>
    <t>LA</t>
  </si>
  <si>
    <t>salaristabellen</t>
  </si>
  <si>
    <t>schaal / regel</t>
  </si>
  <si>
    <t>DA</t>
  </si>
  <si>
    <t>DB</t>
  </si>
  <si>
    <t>DBuit</t>
  </si>
  <si>
    <t>DC</t>
  </si>
  <si>
    <t>DCuit</t>
  </si>
  <si>
    <t>DD</t>
  </si>
  <si>
    <t>DE</t>
  </si>
  <si>
    <t>AA</t>
  </si>
  <si>
    <t>AB</t>
  </si>
  <si>
    <t>AC</t>
  </si>
  <si>
    <t>AD</t>
  </si>
  <si>
    <t>AE</t>
  </si>
  <si>
    <t>LB</t>
  </si>
  <si>
    <t>LC</t>
  </si>
  <si>
    <t>LD</t>
  </si>
  <si>
    <t>LE</t>
  </si>
  <si>
    <t>LIOa</t>
  </si>
  <si>
    <t>LIOb</t>
  </si>
  <si>
    <t>schaal</t>
  </si>
  <si>
    <t>regel</t>
  </si>
  <si>
    <t>Salarisgegevens</t>
  </si>
  <si>
    <t>norm maandsalaris</t>
  </si>
  <si>
    <t>Werktijdfactor</t>
  </si>
  <si>
    <t>wtf x maandsalaris</t>
  </si>
  <si>
    <t>regels</t>
  </si>
  <si>
    <t>oud</t>
  </si>
  <si>
    <t>extra per</t>
  </si>
  <si>
    <t>toename</t>
  </si>
  <si>
    <t>gemiddeld</t>
  </si>
  <si>
    <t>P. Werknemer</t>
  </si>
  <si>
    <t>Toelichting</t>
  </si>
  <si>
    <t>Werkblad Tabellen</t>
  </si>
  <si>
    <t>De werkbladen zijn beveiligd met het wachtwoord:</t>
  </si>
  <si>
    <t>Toekenning extra uitkeringen</t>
  </si>
  <si>
    <t>vakantieuitkering</t>
  </si>
  <si>
    <t>Jaarbasis</t>
  </si>
  <si>
    <t>OP/NP</t>
  </si>
  <si>
    <t>werkgever</t>
  </si>
  <si>
    <t>werknemer</t>
  </si>
  <si>
    <t>FPU</t>
  </si>
  <si>
    <t>Tabel premiepercentages</t>
  </si>
  <si>
    <t>VUT/FPU basis</t>
  </si>
  <si>
    <t>max. bedrag</t>
  </si>
  <si>
    <t>Totaal pensioenpremie</t>
  </si>
  <si>
    <t>uitlooptoeslag</t>
  </si>
  <si>
    <t>maand</t>
  </si>
  <si>
    <t>a</t>
  </si>
  <si>
    <t>b</t>
  </si>
  <si>
    <t>c</t>
  </si>
  <si>
    <t>d</t>
  </si>
  <si>
    <t>e</t>
  </si>
  <si>
    <t>f</t>
  </si>
  <si>
    <t>g</t>
  </si>
  <si>
    <t>h</t>
  </si>
  <si>
    <t>i</t>
  </si>
  <si>
    <t>UFO</t>
  </si>
  <si>
    <t>premie Vf</t>
  </si>
  <si>
    <t>premie Pf</t>
  </si>
  <si>
    <t>Maximumdebrutering:</t>
  </si>
  <si>
    <t>Debrutering</t>
  </si>
  <si>
    <t>Jaarinkomen ABP</t>
  </si>
  <si>
    <t>per maand</t>
  </si>
  <si>
    <t>per jaar</t>
  </si>
  <si>
    <t>Berekening Werkgeverslasten</t>
  </si>
  <si>
    <t xml:space="preserve">In dit werkblad worden de werkgeverslasten berekend van een werknemer in het PO. </t>
  </si>
  <si>
    <t>Invoering van de gegevens per werknemer geeft de berekening van de werkgeverslasten.</t>
  </si>
  <si>
    <t>Vervolgens worden de werkgeverslasten berekend.</t>
  </si>
  <si>
    <t xml:space="preserve">voor een werkgever bij de aanstelling van een werknemer. </t>
  </si>
  <si>
    <t>j</t>
  </si>
  <si>
    <t>Uitlooptoeslag</t>
  </si>
  <si>
    <t>Bindingstoelage</t>
  </si>
  <si>
    <t>leraar</t>
  </si>
  <si>
    <t>directie</t>
  </si>
  <si>
    <t>OOP S9</t>
  </si>
  <si>
    <t>Werknemer</t>
  </si>
  <si>
    <t>Overige loonkosten</t>
  </si>
  <si>
    <t>Participatiefonds</t>
  </si>
  <si>
    <t>Structurele eindejaarsuitkering</t>
  </si>
  <si>
    <t>eindejaarsuitkering</t>
  </si>
  <si>
    <t>Minimum vakantietoelage, fulltimer</t>
  </si>
  <si>
    <t>meerh bas DA</t>
  </si>
  <si>
    <t>meerh bas DB</t>
  </si>
  <si>
    <t>meerh bas DBuit</t>
  </si>
  <si>
    <t>meerh sbo DB10</t>
  </si>
  <si>
    <t>meerh sbo DB11</t>
  </si>
  <si>
    <t>meerh sbo DC 13</t>
  </si>
  <si>
    <t>meerh sbo DCuit15</t>
  </si>
  <si>
    <t>meerh bas DA11</t>
  </si>
  <si>
    <t>ID1</t>
  </si>
  <si>
    <t>ID2</t>
  </si>
  <si>
    <t>ID3</t>
  </si>
  <si>
    <t>pseudo-WW</t>
  </si>
  <si>
    <t>ZVW</t>
  </si>
  <si>
    <t>k</t>
  </si>
  <si>
    <t>Loon voor de loonbelasting</t>
  </si>
  <si>
    <t>Nettosalaris</t>
  </si>
  <si>
    <t>franchise jr</t>
  </si>
  <si>
    <t>franchise mnd</t>
  </si>
  <si>
    <t>NB: Uitsluitend gebruik gemaakt van onderstaande tabellen</t>
  </si>
  <si>
    <t>Schijf</t>
  </si>
  <si>
    <t>Belasting</t>
  </si>
  <si>
    <t>Heffingskortingen</t>
  </si>
  <si>
    <t>algemene heffingskorting</t>
  </si>
  <si>
    <t>arbeidskorting</t>
  </si>
  <si>
    <t>geboren</t>
  </si>
  <si>
    <t>percentage</t>
  </si>
  <si>
    <t>maximaal</t>
  </si>
  <si>
    <t>schijf 1</t>
  </si>
  <si>
    <t>schijf 2</t>
  </si>
  <si>
    <t>schijf 3</t>
  </si>
  <si>
    <t>schijf 4</t>
  </si>
  <si>
    <t>Compensatie ziektekosten</t>
  </si>
  <si>
    <t>eindejaarsuitkering OOP</t>
  </si>
  <si>
    <t>Eindejaarsuitkering OOP</t>
  </si>
  <si>
    <t>compensatie ziektekosten</t>
  </si>
  <si>
    <t xml:space="preserve">Ook de berekening van het bruto-netto traject voor de werknemer beoogt slechts een indicatie op hoofdlijnen </t>
  </si>
  <si>
    <t xml:space="preserve">te geven. De 'echte' berekening plus de berekening loonbelasting is een complexe materie die hier vereenvoudigd </t>
  </si>
  <si>
    <t>Overige toelagen</t>
  </si>
  <si>
    <t>Deze zijn nader aangegeven en voor zover nodig nader toegelicht.</t>
  </si>
  <si>
    <t>ja</t>
  </si>
  <si>
    <t>Naam werknemer</t>
  </si>
  <si>
    <t>Werknemer met kind</t>
  </si>
  <si>
    <t>nee</t>
  </si>
  <si>
    <t>Opgave omvang betaald ouderschapsverlof in lesuren:</t>
  </si>
  <si>
    <t>Omvang betaald ouderschapsverlof</t>
  </si>
  <si>
    <t>klokuren</t>
  </si>
  <si>
    <t>lesuren</t>
  </si>
  <si>
    <t>Beschikbaar</t>
  </si>
  <si>
    <t>Opname</t>
  </si>
  <si>
    <t>Percentage</t>
  </si>
  <si>
    <t>Opname in aantal maanden</t>
  </si>
  <si>
    <t>Salariskorting</t>
  </si>
  <si>
    <t>Regulier salaris</t>
  </si>
  <si>
    <t>Uitbetaald salaris</t>
  </si>
  <si>
    <t>Totaal betaald verlof in verlofperiode</t>
  </si>
  <si>
    <t>Structureel</t>
  </si>
  <si>
    <t>Aantal personeelsleden</t>
  </si>
  <si>
    <t>zelf in te vullen</t>
  </si>
  <si>
    <t>Gemiddelde betrekkingsomvang</t>
  </si>
  <si>
    <t>tot</t>
  </si>
  <si>
    <t>Personeelsleden van</t>
  </si>
  <si>
    <t>landelijk gemiddelde</t>
  </si>
  <si>
    <t>Gemiddeld aantal kinderen</t>
  </si>
  <si>
    <t>Maximaal aantal ouderschapsverloven</t>
  </si>
  <si>
    <t>Effectuering ouderschapverlof</t>
  </si>
  <si>
    <t>raming</t>
  </si>
  <si>
    <t>Gemiddeld aantal per jaar</t>
  </si>
  <si>
    <t>Gemiddelde kosten per jaar per verlof</t>
  </si>
  <si>
    <t>Kosten totale verlof per jaar</t>
  </si>
  <si>
    <t>Functiedifferentiatie of pro- of demotie</t>
  </si>
  <si>
    <t xml:space="preserve">Salarisgegevens per 1 augustus, na toekenning reguliere periodieke verhoging </t>
  </si>
  <si>
    <t>maximumregel:</t>
  </si>
  <si>
    <t>Leeftijd per 1 augustus</t>
  </si>
  <si>
    <t>Met pensioen/uittreden op leeftijd</t>
  </si>
  <si>
    <t>Inschaling in nieuwe functie</t>
  </si>
  <si>
    <t>Nieuwe omvang wtf</t>
  </si>
  <si>
    <t>Verhoging eerste jaar per maand</t>
  </si>
  <si>
    <t>Opslagpercentage werkgeverslasten</t>
  </si>
  <si>
    <t>Werkgeverslasten eerste jaar</t>
  </si>
  <si>
    <t>Aantal jaren meer/minder kosten</t>
  </si>
  <si>
    <t>Gemiddelde kosten</t>
  </si>
  <si>
    <t>nieuwe schaal</t>
  </si>
  <si>
    <t>voormalige schaal</t>
  </si>
  <si>
    <t>Alle categorien Personeel</t>
  </si>
  <si>
    <t>Toekenning extra periodiek(en)</t>
  </si>
  <si>
    <t>herintreder</t>
  </si>
  <si>
    <t>eerste aanstelling</t>
  </si>
  <si>
    <t>beloningsbeleid</t>
  </si>
  <si>
    <t>aantal periodieken</t>
  </si>
  <si>
    <t>Kosten gedurende eerste jaar per maand</t>
  </si>
  <si>
    <t>Aantal jaren meerkosten</t>
  </si>
  <si>
    <t>Kosten totaal</t>
  </si>
  <si>
    <t>Kosten herintreders</t>
  </si>
  <si>
    <t>OPO Ergens</t>
  </si>
  <si>
    <t>Aantal fte</t>
  </si>
  <si>
    <t>Aantal herintreders met extra periodieken</t>
  </si>
  <si>
    <t>Gemiddelde kosten per jaar per herintreder</t>
  </si>
  <si>
    <t>Totale kosten per jaar</t>
  </si>
  <si>
    <t>OP</t>
  </si>
  <si>
    <t>Bestuur</t>
  </si>
  <si>
    <t>Voor het maken van meerjarenformatiebeleid in relatie tot een meerjarenbegroting is deze info van belang.</t>
  </si>
  <si>
    <t>0,8% levensloop</t>
  </si>
  <si>
    <t>kosten levensloop</t>
  </si>
  <si>
    <t>Tabel 1 Schijventarief inkomstenbelasting/premie volksverzekeringen</t>
  </si>
  <si>
    <t>Inkomsten</t>
  </si>
  <si>
    <t>totaal</t>
  </si>
  <si>
    <t>WAO/WIA</t>
  </si>
  <si>
    <t>per gespaard kalenderjaar.</t>
  </si>
  <si>
    <t>Deze toeslag wordt toegekend op basis van artikel 6.14 van de CAO PO.</t>
  </si>
  <si>
    <t>Deze toeslag wordt toegekend op basis van artikel 6.13 van de CAO PO.</t>
  </si>
  <si>
    <t>Verlofwerktijdfactor</t>
  </si>
  <si>
    <t>Doorbetaling 55% salaris werkgever</t>
  </si>
  <si>
    <t>Dag van de leraar (OP, OOP, Dir)</t>
  </si>
  <si>
    <t>AOP</t>
  </si>
  <si>
    <t>VF: premie verplichte aansluiting</t>
  </si>
  <si>
    <t>VF: premie vrijwillige aansluiting</t>
  </si>
  <si>
    <t>Structurele nominale uitkering</t>
  </si>
  <si>
    <t>Inzet 0,8% levensloop</t>
  </si>
  <si>
    <t xml:space="preserve">Door te varieren naar omvang werktijdfactor, per schaal en in een schaal wat betreft de inschaling naar regel van laag naar hoog </t>
  </si>
  <si>
    <t xml:space="preserve">verkrijgt men inzicht in het percentage wat voor die betreffende schaal van toepassing is. Dat is van belang voor het financieel </t>
  </si>
  <si>
    <t>management. Op die wijze is het immers mogelijk om redelijk nauwkeurig de totale werkgeverslasten te ramen van een werknemer.</t>
  </si>
  <si>
    <t>Verzekeren bij het Risicofonds is ook een mogelijkheid.</t>
  </si>
  <si>
    <t xml:space="preserve"> - werkgevers die de werknemers die niet verplicht verzekerd zijn, ook niet vrijwillig verzekeren bij het VF: premie = 0,00%</t>
  </si>
  <si>
    <t>Schaaluitloopbedrag</t>
  </si>
  <si>
    <t>LA  en LB</t>
  </si>
  <si>
    <t>schaal-uitloopbedrag</t>
  </si>
  <si>
    <t>Toelage directeuren</t>
  </si>
  <si>
    <t>toelage directeuren</t>
  </si>
  <si>
    <t>Belastingvoordeel werknemer: Wie (on)betaald ouderschapsverlof opneemt, krijgt een fiscaal voordeel van</t>
  </si>
  <si>
    <t>Twee aanloopschalen bij ID1 zijn achterwege gelaten (minder relevant en onnodig complicerend voor de uitwerking in dit instrument).</t>
  </si>
  <si>
    <t>bij een normbetrekking, per maand</t>
  </si>
  <si>
    <t>poraad</t>
  </si>
  <si>
    <t xml:space="preserve">Het bruto-netto traject geeft de informatie over de omvang van het bijdrage-inkomen (voorheen coördinatieloon) waarover </t>
  </si>
  <si>
    <t>Schaal-uitlooptoeslag</t>
  </si>
  <si>
    <t>Deze toeslag wordt toegekend op basis van artikel 6.14b van de CAO PO.</t>
  </si>
  <si>
    <t>Voor nadere informatie:</t>
  </si>
  <si>
    <t xml:space="preserve">In individuele gevallen zal er nog sprake zijn van loonkosten die hier niet zijn opgenomen. Bijvoorbeeld reiskosten, een </t>
  </si>
  <si>
    <t>jubileumuitkering of spaarloon. Dergelijke componenten zijn in dit model niet verwerkt.</t>
  </si>
  <si>
    <t>www.poraad.nl</t>
  </si>
  <si>
    <t>Netto kosten werkgever Inclusief (incl. werkgeverslasten)</t>
  </si>
  <si>
    <t>Kosten ouderschapsverlof BESTUUR</t>
  </si>
  <si>
    <t xml:space="preserve">KOSTEN EN BATEN BETAALD OUDERSCHAPSVERLOF </t>
  </si>
  <si>
    <r>
      <t xml:space="preserve">Werktijdfactor: </t>
    </r>
    <r>
      <rPr>
        <sz val="11"/>
        <rFont val="Calibri"/>
        <family val="2"/>
      </rPr>
      <t>gewijzigd in nieuwe functie</t>
    </r>
  </si>
  <si>
    <t>Kosten totaal (tot pensioen/uittreden)</t>
  </si>
  <si>
    <t xml:space="preserve">Kosten wijziging bestaande functie in andere </t>
  </si>
  <si>
    <t>EXTRA PERIODIEKEN</t>
  </si>
  <si>
    <t>Basisgegevens</t>
  </si>
  <si>
    <t>incl. afdracht loonbel. en premie</t>
  </si>
  <si>
    <t>opgave OCW 2001 (CBS: 1,6)</t>
  </si>
  <si>
    <t>per opgenomen verlofuur. Deelname aan de levensloopregeling is niet langer nodig. Daarnaast geldt een levensloopverlof-</t>
  </si>
  <si>
    <t xml:space="preserve">korting die gelijk is aan het opgenomen bedrag met een maximum van </t>
  </si>
  <si>
    <t>kalenderjaar</t>
  </si>
  <si>
    <t>schooljaar</t>
  </si>
  <si>
    <t xml:space="preserve">KOSTEN WIJZIGING BESTAANDE FUNCTIE </t>
  </si>
  <si>
    <t>Alleen de gele velden kunnen worden gewijzigd, en bevatten de op te geven variabelen voor de berekeningen.</t>
  </si>
  <si>
    <t>Niet verzekeren betreft een keuze bij het VF voor alle OP resp. OOP die niet verplicht verzekerd zijn.</t>
  </si>
  <si>
    <t>(VUT/FPU basis)</t>
  </si>
  <si>
    <t xml:space="preserve">Ter nadere info: </t>
  </si>
  <si>
    <t>Geboortedatum</t>
  </si>
  <si>
    <t>WTF</t>
  </si>
  <si>
    <t xml:space="preserve"> belastbaar loon</t>
  </si>
  <si>
    <t>Loonheffing zonder loonheffingskortingen</t>
  </si>
  <si>
    <t>Loonheffing</t>
  </si>
  <si>
    <t>Na overgang van schaal LA naar LB basisschool resp. schaal LB naar LC SBO en (V)SO vervalt het recht op de schaal-uitlooptoeslag.</t>
  </si>
  <si>
    <t xml:space="preserve">ten opzichte van het bruto salaris. Op die wijze kan het als kengetal worden gehanteerd bij de vaststelling van de totale loonkosten </t>
  </si>
  <si>
    <t>Het wordt met klem aangeraden om zelf een berekening van de werkgeverslasten te maken op basis van de verhouding tussen</t>
  </si>
  <si>
    <t xml:space="preserve">alle loonlasten enerzijds en de bruto salarissen anderzijds van het laatste school- resp. kalenderjaar. </t>
  </si>
  <si>
    <t>Aangevuld met de laatste ramingen omtrent de ontwikkelingen van de diverse werkgeverslasten zoals premies e.d.</t>
  </si>
  <si>
    <t>wordt weergegeven, met gebruikmaking van alleen de witte tabel voor de loonbelasting.</t>
  </si>
  <si>
    <t>Door dit te relateren aan het bruto salaris van die werknemer wordt het opslagpercentage verkregen.</t>
  </si>
  <si>
    <t>vanaf 1 jan. 2011</t>
  </si>
  <si>
    <t xml:space="preserve">Echter de pensioenpremies en de premies van het VF/PF wijzigen momenteel vaker, waardoor de berekening dan een </t>
  </si>
  <si>
    <t>Functie</t>
  </si>
  <si>
    <t>toe(s)lagen</t>
  </si>
  <si>
    <t>OOP &lt;S9</t>
  </si>
  <si>
    <t>VF: geen vrijwillige aansluiting</t>
  </si>
  <si>
    <t>(1)</t>
  </si>
  <si>
    <t>(2)</t>
  </si>
  <si>
    <t>(3)</t>
  </si>
  <si>
    <t>(4)</t>
  </si>
  <si>
    <t>Overgangspremie VPL</t>
  </si>
  <si>
    <t>Jaarinkomen</t>
  </si>
  <si>
    <t>op regel 15 - het maximum - komt, dan meteen ook de schaal-uitlooptoeslag ontvangt.</t>
  </si>
  <si>
    <t>besl.regel</t>
  </si>
  <si>
    <t>WTF * mnd.sal</t>
  </si>
  <si>
    <t xml:space="preserve">compensatie </t>
  </si>
  <si>
    <t>ziektekosten</t>
  </si>
  <si>
    <t>beslisregel</t>
  </si>
  <si>
    <t>debrutering</t>
  </si>
  <si>
    <t>max debrutering</t>
  </si>
  <si>
    <t>Berekening Werkgeverslasten (per maand)</t>
  </si>
  <si>
    <t xml:space="preserve">ZVW vergoeding </t>
  </si>
  <si>
    <t>eindejrs. uitk. OOP</t>
  </si>
  <si>
    <t>eindejrs. uitk.</t>
  </si>
  <si>
    <t>vakantieuitk.</t>
  </si>
  <si>
    <t>datum</t>
  </si>
  <si>
    <t>schaal-uitloop</t>
  </si>
  <si>
    <t>bedrag</t>
  </si>
  <si>
    <t>schaal-uitloop bedr.</t>
  </si>
  <si>
    <t>inschaling</t>
  </si>
  <si>
    <t xml:space="preserve">toelage </t>
  </si>
  <si>
    <t>directeuren</t>
  </si>
  <si>
    <t xml:space="preserve">geboorte </t>
  </si>
  <si>
    <t xml:space="preserve">Bijdrage-inkomen </t>
  </si>
  <si>
    <t>Loon voor de</t>
  </si>
  <si>
    <t xml:space="preserve"> loonbelasting</t>
  </si>
  <si>
    <t>Totaal pensioen</t>
  </si>
  <si>
    <t>premie</t>
  </si>
  <si>
    <t>bindings-</t>
  </si>
  <si>
    <t>toelage</t>
  </si>
  <si>
    <t xml:space="preserve">kosten </t>
  </si>
  <si>
    <t>levensloop</t>
  </si>
  <si>
    <t xml:space="preserve">max. </t>
  </si>
  <si>
    <t xml:space="preserve">Jaarinkomen </t>
  </si>
  <si>
    <t>ABP</t>
  </si>
  <si>
    <t>salaris</t>
  </si>
  <si>
    <t>jaar</t>
  </si>
  <si>
    <t>categorie</t>
  </si>
  <si>
    <t>ja/nee</t>
  </si>
  <si>
    <t>norm</t>
  </si>
  <si>
    <t xml:space="preserve"> mnd.sal.</t>
  </si>
  <si>
    <t xml:space="preserve">subtotaal </t>
  </si>
  <si>
    <t>incl. salaris</t>
  </si>
  <si>
    <t>salarisgegevens</t>
  </si>
  <si>
    <t>uitloop</t>
  </si>
  <si>
    <t>toeslag</t>
  </si>
  <si>
    <t>vakantie</t>
  </si>
  <si>
    <t>uitk.</t>
  </si>
  <si>
    <t xml:space="preserve">eindejrs. </t>
  </si>
  <si>
    <t>uitk. OOP</t>
  </si>
  <si>
    <t xml:space="preserve">uitlooptoesl. </t>
  </si>
  <si>
    <t xml:space="preserve">De aanpassingen als gevolg van het actieplan LeerKracht zijn volledig verwerkt in de CAO PO. Dat betreft de structurele nominale </t>
  </si>
  <si>
    <t xml:space="preserve">Bij het VF gold dat grote schoolbesturen (reguliere lumpsum &gt; 20 mln.) eigen risicodrager konden worden voor de </t>
  </si>
  <si>
    <t>eigen beleid</t>
  </si>
  <si>
    <t>ZVW premie werkgever</t>
  </si>
  <si>
    <t xml:space="preserve">ZVW premie </t>
  </si>
  <si>
    <t>Structurele no-</t>
  </si>
  <si>
    <t>minale uitkering</t>
  </si>
  <si>
    <t>ziektevervanging van de eerste 52 weken, als ze hiervoor hadden gekozen. In dat geval betalen ze een aanzienlijk lagere premie.</t>
  </si>
  <si>
    <t>Na een systeemwijziging geldt vanaf 1 augustus 2013 voor deze besturen een heel lage premie:</t>
  </si>
  <si>
    <r>
      <t xml:space="preserve">De grote schoolbesturen (meer dan 20 mln. lumpsum) betalen </t>
    </r>
    <r>
      <rPr>
        <b/>
        <sz val="10"/>
        <rFont val="Calibri"/>
        <family val="2"/>
      </rPr>
      <t>geen extra risicopremie meer</t>
    </r>
    <r>
      <rPr>
        <sz val="10"/>
        <rFont val="Calibri"/>
        <family val="2"/>
      </rPr>
      <t xml:space="preserve"> op de verplichte verzekering.</t>
    </r>
  </si>
  <si>
    <t>Bruto-netto traject 2013 Werknemer (indicatief)</t>
  </si>
  <si>
    <t>VF: eigenrisicodrager</t>
  </si>
  <si>
    <t>n</t>
  </si>
  <si>
    <t>Alle nieuwe aanstellingen vallen onder de verplichte verzekering.</t>
  </si>
  <si>
    <t>In het werkblad Werkgeverslasten zijn er vier keuzes voor de bepaling van het premiepercentage VF dat van toepassing is!</t>
  </si>
  <si>
    <r>
      <t xml:space="preserve">Omdat de premies aangepast worden per 1 januari hebben de berekeningen Werkgeverslasten betrekking op het </t>
    </r>
    <r>
      <rPr>
        <b/>
        <sz val="10"/>
        <rFont val="Calibri"/>
        <family val="2"/>
      </rPr>
      <t>kalenderjaar</t>
    </r>
    <r>
      <rPr>
        <sz val="10"/>
        <rFont val="Calibri"/>
        <family val="2"/>
      </rPr>
      <t>.</t>
    </r>
  </si>
  <si>
    <t>Werkblad Werkgeverslasten</t>
  </si>
  <si>
    <t xml:space="preserve">Dit programmaonderdeel heeft niet de pretentie een exacte salarisberekening te maken! Zo wordt ook de vakantieuitkering en de </t>
  </si>
  <si>
    <t>Ook zijn niet alle mogelijke heffingskortingen meegenomen.</t>
  </si>
  <si>
    <t>Premies</t>
  </si>
  <si>
    <t>Gedifferentieerde premie WGA wordt gedifferentieerde premie Whk</t>
  </si>
  <si>
    <t xml:space="preserve">De belastingdienst stelt de gedifferentieerde premie WGA per werkgever vast. De premie is afhankelijk van het arbeidsongeschiktheidsrisico </t>
  </si>
  <si>
    <t>daarvan te complex wordt voor dit instrument laten we deze premiebetaling buiten beschouwing.</t>
  </si>
  <si>
    <t xml:space="preserve">De gedifferentieerde premie WGA wordt nu de gedifferentieerde premie Werkhervattingskas waarbij de premie voor de vaste dienstbetrekkingen </t>
  </si>
  <si>
    <t xml:space="preserve">Voor het vaststellen van het percentage is van belang of er sprake is van een grote, een middelgrote of kleine werkgever. Voor kleine werkgevers </t>
  </si>
  <si>
    <t>de premie vastgesteld als een gewogen gemiddelde van de sectorale en de individuele premie.</t>
  </si>
  <si>
    <t>raming werkgeverslasten</t>
  </si>
  <si>
    <t xml:space="preserve">Op grond van het bruto salaris per maand wordt het jaarinkomen berekend. </t>
  </si>
  <si>
    <t>Het jaarinkomen ABP wordt bepaald op basis van de situatie in januari van het betreffende jaar.</t>
  </si>
  <si>
    <t>de sociale premies berekend moeten worden.</t>
  </si>
  <si>
    <t xml:space="preserve">Ten opzichte van het jaarinkomen wordt dat in een percentage omgerekend, maar belangrijker: ook in een opslagpercentage </t>
  </si>
  <si>
    <t>helpdesk@poraad.nl</t>
  </si>
  <si>
    <t>de CAO PO</t>
  </si>
  <si>
    <t>De gegevens omtrent de grondslag van uitkeringen e.d. zijn ontleend aan de Internetpublicaties van de Belastingdienst, ABP, UWV en OCW, en</t>
  </si>
  <si>
    <t>Opslagpercentage t.o.v. bruto salaris/ werkgeverspercentage</t>
  </si>
  <si>
    <t>FPU (VUT/FPU basis)</t>
  </si>
  <si>
    <t>WAO/WIA-basispremie (AOF, incl. KO)</t>
  </si>
  <si>
    <t>UFO-premie</t>
  </si>
  <si>
    <t xml:space="preserve">Ingevuld is de premie voor kleine werkgevers. Voor middelgrote en grote werkgevers dient u zelf de percentages in te vullen die u van de </t>
  </si>
  <si>
    <t>Belastingdienst krijgt toegestuurd.</t>
  </si>
  <si>
    <t>datum nu</t>
  </si>
  <si>
    <t xml:space="preserve">eindejaarsuitkering per maand berekend. Het beoogt alleen een indicatie te geven van de omvang van de werkgeverslasten en enig inzicht </t>
  </si>
  <si>
    <t>te geven in de opbouw daarvan. Als zodanig is het een hulpmiddel voor het management bij het ramen van de personele kosten.</t>
  </si>
  <si>
    <t>Whk-gediferentieerd</t>
  </si>
  <si>
    <r>
      <t>De algemene premies zijn van toepassing vanaf</t>
    </r>
    <r>
      <rPr>
        <sz val="10"/>
        <color rgb="FFFF0000"/>
        <rFont val="Calibri"/>
        <family val="2"/>
      </rPr>
      <t xml:space="preserve"> 1 januari 2015</t>
    </r>
    <r>
      <rPr>
        <b/>
        <i/>
        <sz val="10"/>
        <rFont val="Calibri"/>
        <family val="2"/>
      </rPr>
      <t>.</t>
    </r>
    <r>
      <rPr>
        <sz val="10"/>
        <rFont val="Calibri"/>
        <family val="2"/>
      </rPr>
      <t xml:space="preserve"> </t>
    </r>
    <r>
      <rPr>
        <b/>
        <sz val="10"/>
        <rFont val="Calibri"/>
        <family val="2"/>
      </rPr>
      <t xml:space="preserve">Per 1 januari is de premie ABP fors verlaagd t.g.v. de werknemer. </t>
    </r>
  </si>
  <si>
    <t xml:space="preserve">Houd er wel rekening mee dat het rechtspositioneel verlof vanaf 1 jan. 2015 voor eigen rekening komt (art. 8.18 lid 1 onder b en c). </t>
  </si>
  <si>
    <t xml:space="preserve"> - verplicht verzekerde werknemers: reguliere premie van 0,21% (jaarbasis)</t>
  </si>
  <si>
    <r>
      <t xml:space="preserve"> - vrijwillig verzekerde werknemers: premie is vastgesteld op ook 0,21%</t>
    </r>
    <r>
      <rPr>
        <i/>
        <sz val="10"/>
        <rFont val="Calibri"/>
        <family val="2"/>
      </rPr>
      <t>.</t>
    </r>
  </si>
  <si>
    <r>
      <t xml:space="preserve">De keuze van eigen risicodragerschap is </t>
    </r>
    <r>
      <rPr>
        <b/>
        <sz val="10"/>
        <rFont val="Calibri"/>
        <family val="2"/>
      </rPr>
      <t>nu verbreed</t>
    </r>
    <r>
      <rPr>
        <sz val="10"/>
        <rFont val="Calibri"/>
        <family val="2"/>
      </rPr>
      <t xml:space="preserve"> voor ook samenwerkingsverbanden van besturen.</t>
    </r>
  </si>
  <si>
    <t>Voor 2015 is sprake van enkele wijzigingen in de premievaststelling.</t>
  </si>
  <si>
    <t>aangeduid wordt als het premiedeel Whk-gedifferentieerd. Daarnaast zijn er premies voor de flexibele dienstbetrekkingen.</t>
  </si>
  <si>
    <t>Premie Whk-gedifferentieerd</t>
  </si>
  <si>
    <t xml:space="preserve">zijn de gedifferentieerde premies per sector vastgesteld. Voor grote werkgevers gebeurt dat individueel. Voor middelgrote werkgevers wordt </t>
  </si>
  <si>
    <t>Opslag-%</t>
  </si>
  <si>
    <t>Totale loonkosten</t>
  </si>
  <si>
    <t>Totale loonkosten in €</t>
  </si>
  <si>
    <r>
      <t xml:space="preserve">in de werkorganisatie. Per 1 januari 2014 moet nu ook een gedifferentieerde premie betaald worden voor </t>
    </r>
    <r>
      <rPr>
        <b/>
        <sz val="10"/>
        <rFont val="Calibri"/>
        <family val="2"/>
      </rPr>
      <t>flexwerkers</t>
    </r>
    <r>
      <rPr>
        <sz val="10"/>
        <rFont val="Calibri"/>
        <family val="2"/>
      </rPr>
      <t xml:space="preserve">. Omdat verwerking </t>
    </r>
  </si>
  <si>
    <t>De overgangsregeling voor oudere werknemers m.b.t. de premiekorting Wao/Wia is beeindigd per 1 juli 2015.</t>
  </si>
  <si>
    <t>Belastingen 2015</t>
  </si>
  <si>
    <t>Tarieven, bedragen en percentages vanaf 1 januari 2015</t>
  </si>
  <si>
    <t>Eenmalige uitkering oktober 2015</t>
  </si>
  <si>
    <t>2015/2016</t>
  </si>
  <si>
    <r>
      <t xml:space="preserve">De salaristabellen zijn de tabellen die gelden vanaf </t>
    </r>
    <r>
      <rPr>
        <sz val="10"/>
        <color rgb="FFFF0000"/>
        <rFont val="Calibri"/>
        <family val="2"/>
      </rPr>
      <t>1 september 2014</t>
    </r>
    <r>
      <rPr>
        <sz val="10"/>
        <rFont val="Calibri"/>
        <family val="2"/>
      </rPr>
      <t>. Minimumloon per 1 juli 2015 is aangepast.</t>
    </r>
  </si>
  <si>
    <r>
      <t xml:space="preserve">Premies VF zijn per </t>
    </r>
    <r>
      <rPr>
        <sz val="10"/>
        <color rgb="FFFF0000"/>
        <rFont val="Calibri"/>
        <family val="2"/>
      </rPr>
      <t>1 augustus 2015</t>
    </r>
    <r>
      <rPr>
        <sz val="10"/>
        <rFont val="Calibri"/>
        <family val="2"/>
      </rPr>
      <t xml:space="preserve"> verlaagd. Daarbij wordt onderscheid gemaakt in de premie VF voor </t>
    </r>
  </si>
  <si>
    <t xml:space="preserve"> - vrijwillig verzekerde werknemers: premie is vastgesteld op ook 6,0%</t>
  </si>
  <si>
    <r>
      <t xml:space="preserve"> - verplicht verzekerde werknemers: reguliere premie van 6,0</t>
    </r>
    <r>
      <rPr>
        <i/>
        <sz val="10"/>
        <rFont val="Calibri"/>
        <family val="2"/>
      </rPr>
      <t>%</t>
    </r>
    <r>
      <rPr>
        <sz val="10"/>
        <rFont val="Calibri"/>
        <family val="2"/>
      </rPr>
      <t xml:space="preserve"> (jaarbasis)</t>
    </r>
  </si>
  <si>
    <r>
      <t xml:space="preserve">De premie van het PF is verhoogd met ingang van </t>
    </r>
    <r>
      <rPr>
        <sz val="10"/>
        <color rgb="FFFF0000"/>
        <rFont val="Calibri"/>
        <family val="2"/>
      </rPr>
      <t xml:space="preserve">1 januari 2015 </t>
    </r>
    <r>
      <rPr>
        <sz val="10"/>
        <rFont val="Calibri"/>
        <family val="2"/>
      </rPr>
      <t xml:space="preserve">naar </t>
    </r>
    <r>
      <rPr>
        <b/>
        <sz val="10"/>
        <rFont val="Calibri"/>
        <family val="2"/>
      </rPr>
      <t>5,00%</t>
    </r>
    <r>
      <rPr>
        <sz val="10"/>
        <rFont val="Calibri"/>
        <family val="2"/>
      </rPr>
      <t xml:space="preserve"> en blijft onveranderd per 1 augustus 2015.</t>
    </r>
  </si>
  <si>
    <r>
      <t xml:space="preserve">bijgestelde versie van dit instrument vergt. In die gevallen komt er dus een </t>
    </r>
    <r>
      <rPr>
        <b/>
        <sz val="10"/>
        <rFont val="Calibri"/>
        <family val="2"/>
      </rPr>
      <t>bijgestelde versie, nu per 1</t>
    </r>
    <r>
      <rPr>
        <sz val="10"/>
        <rFont val="Calibri"/>
        <family val="2"/>
      </rPr>
      <t xml:space="preserve"> juli 2015.</t>
    </r>
  </si>
  <si>
    <t>Het schaal-uitloopbedrag wordt toegekend zodra het maximum wordt bereikt. Het betekent dus ook dat degene die op 1 juli 2015</t>
  </si>
  <si>
    <t xml:space="preserve">Eenmalige </t>
  </si>
  <si>
    <t>uitkering okt. 15</t>
  </si>
  <si>
    <t>t.o.v. brutosal.</t>
  </si>
  <si>
    <t>per 1 juli 2015</t>
  </si>
  <si>
    <t xml:space="preserve">uitkering van € 200, de toelage directeuren en het schaal-uitloopbedrag, plus ook de inkortingen van de schalen. De afspraken over de </t>
  </si>
  <si>
    <t xml:space="preserve">verlenging van de cao PO omvatten ook de ophoging van de € 200,- naar € 328,- door ophoging van de vrijgevallen pensioenpremie. </t>
  </si>
  <si>
    <r>
      <t xml:space="preserve">Dit werkblad bevat relevante tabellen, conform de gegevens zoals die vanaf </t>
    </r>
    <r>
      <rPr>
        <b/>
        <sz val="10"/>
        <color rgb="FFFF0000"/>
        <rFont val="Calibri"/>
        <family val="2"/>
      </rPr>
      <t>1 aug. 2015</t>
    </r>
    <r>
      <rPr>
        <sz val="10"/>
        <rFont val="Calibri"/>
        <family val="2"/>
      </rPr>
      <t xml:space="preserve"> gelden.</t>
    </r>
  </si>
  <si>
    <t>versie 1 aug. 2015</t>
  </si>
  <si>
    <t>R. Werknemer</t>
  </si>
  <si>
    <t>S. Werknemer</t>
  </si>
  <si>
    <t xml:space="preserve"> vanaf 1 augustus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</si>
</sst>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quot;€&quot;\ #,##0_-;[Red]&quot;€&quot;\ #,##0\-"/>
    <numFmt numFmtId="165" formatCode="_-&quot;€&quot;\ * #,##0_-;_-&quot;€&quot;\ * #,##0\-;_-&quot;€&quot;\ * &quot;-&quot;_-;_-@_-"/>
    <numFmt numFmtId="166" formatCode="_-&quot;€&quot;\ * #,##0.00_-;_-&quot;€&quot;\ * #,##0.00\-;_-&quot;€&quot;\ * &quot;-&quot;??_-;_-@_-"/>
    <numFmt numFmtId="167" formatCode="&quot;€&quot;\ #,##0.00_);[Red]\(&quot;€&quot;\ #,##0.00\)"/>
    <numFmt numFmtId="168" formatCode="_(&quot;€&quot;\ * #,##0_);_(&quot;€&quot;\ * \(#,##0\);_(&quot;€&quot;\ * &quot;-&quot;_);_(@_)"/>
    <numFmt numFmtId="169" formatCode="_-&quot;fl&quot;\ * #,##0.00_-;_-&quot;fl&quot;\ * #,##0.00\-;_-&quot;fl&quot;\ * &quot;-&quot;??_-;_-@_-"/>
    <numFmt numFmtId="170" formatCode="d/mm/yy"/>
    <numFmt numFmtId="171" formatCode="0.0000"/>
    <numFmt numFmtId="172" formatCode="0.000%"/>
    <numFmt numFmtId="173" formatCode="#,##0.00_ ;[Red]\-#,##0.00\ "/>
    <numFmt numFmtId="174" formatCode="0.0%"/>
    <numFmt numFmtId="175" formatCode="#,##0.0000_ ;\-#,##0.0000\ "/>
    <numFmt numFmtId="176" formatCode="#,##0_-"/>
    <numFmt numFmtId="177" formatCode="_-[$€-2]\ * #,##0.00_-;_-[$€-2]\ * #,##0.00\-;_-[$€-2]\ * &quot;-&quot;??_-;_-@_-"/>
    <numFmt numFmtId="178" formatCode="_-&quot;€&quot;\ * #,##0_-;_-&quot;€&quot;\ * #,##0\-;_-&quot;€&quot;\ * &quot;-&quot;??_-;_-@_-"/>
    <numFmt numFmtId="179" formatCode="0_ ;\-0\ "/>
  </numFmts>
  <fonts count="91" x14ac:knownFonts="1">
    <font>
      <sz val="10"/>
      <name val="Arial"/>
    </font>
    <font>
      <sz val="10"/>
      <name val="Arial"/>
      <family val="2"/>
    </font>
    <font>
      <u/>
      <sz val="10"/>
      <color indexed="12"/>
      <name val="Arial"/>
      <family val="2"/>
    </font>
    <font>
      <sz val="10"/>
      <color indexed="81"/>
      <name val="Tahoma"/>
      <family val="2"/>
    </font>
    <font>
      <sz val="9"/>
      <color indexed="81"/>
      <name val="Tahoma"/>
      <family val="2"/>
    </font>
    <font>
      <sz val="8"/>
      <color indexed="81"/>
      <name val="Tahoma"/>
      <family val="2"/>
    </font>
    <font>
      <sz val="8"/>
      <name val="Arial"/>
      <family val="2"/>
    </font>
    <font>
      <sz val="11"/>
      <name val="Calibri"/>
      <family val="2"/>
    </font>
    <font>
      <sz val="10"/>
      <name val="Calibri"/>
      <family val="2"/>
    </font>
    <font>
      <b/>
      <sz val="10"/>
      <name val="Calibri"/>
      <family val="2"/>
    </font>
    <font>
      <b/>
      <i/>
      <sz val="10"/>
      <name val="Calibri"/>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name val="Calibri"/>
      <family val="2"/>
    </font>
    <font>
      <b/>
      <sz val="11"/>
      <name val="Calibri"/>
      <family val="2"/>
    </font>
    <font>
      <sz val="11"/>
      <color indexed="10"/>
      <name val="Calibri"/>
      <family val="2"/>
    </font>
    <font>
      <b/>
      <sz val="11"/>
      <color indexed="10"/>
      <name val="Calibri"/>
      <family val="2"/>
    </font>
    <font>
      <i/>
      <sz val="11"/>
      <name val="Calibri"/>
      <family val="2"/>
    </font>
    <font>
      <b/>
      <sz val="12"/>
      <color indexed="9"/>
      <name val="Calibri"/>
      <family val="2"/>
    </font>
    <font>
      <i/>
      <sz val="11"/>
      <color indexed="10"/>
      <name val="Calibri"/>
      <family val="2"/>
    </font>
    <font>
      <i/>
      <sz val="11"/>
      <color indexed="23"/>
      <name val="Calibri"/>
      <family val="2"/>
    </font>
    <font>
      <sz val="10"/>
      <name val="Calibri"/>
      <family val="2"/>
    </font>
    <font>
      <b/>
      <sz val="10"/>
      <name val="Calibri"/>
      <family val="2"/>
    </font>
    <font>
      <b/>
      <i/>
      <sz val="11"/>
      <color indexed="10"/>
      <name val="Calibri"/>
      <family val="2"/>
    </font>
    <font>
      <sz val="11"/>
      <color indexed="10"/>
      <name val="Calibri"/>
      <family val="2"/>
    </font>
    <font>
      <b/>
      <i/>
      <sz val="11"/>
      <color indexed="23"/>
      <name val="Calibri"/>
      <family val="2"/>
    </font>
    <font>
      <sz val="11"/>
      <color indexed="23"/>
      <name val="Calibri"/>
      <family val="2"/>
    </font>
    <font>
      <i/>
      <sz val="12"/>
      <name val="Calibri"/>
      <family val="2"/>
    </font>
    <font>
      <b/>
      <sz val="14"/>
      <color indexed="10"/>
      <name val="Calibri"/>
      <family val="2"/>
    </font>
    <font>
      <sz val="14"/>
      <color indexed="10"/>
      <name val="Calibri"/>
      <family val="2"/>
    </font>
    <font>
      <b/>
      <sz val="10"/>
      <color indexed="10"/>
      <name val="Calibri"/>
      <family val="2"/>
    </font>
    <font>
      <b/>
      <sz val="11"/>
      <color indexed="23"/>
      <name val="Calibri"/>
      <family val="2"/>
    </font>
    <font>
      <sz val="10"/>
      <color indexed="10"/>
      <name val="Calibri"/>
      <family val="2"/>
    </font>
    <font>
      <i/>
      <sz val="10"/>
      <name val="Calibri"/>
      <family val="2"/>
    </font>
    <font>
      <u/>
      <sz val="10"/>
      <color indexed="12"/>
      <name val="Calibri"/>
      <family val="2"/>
    </font>
    <font>
      <b/>
      <i/>
      <sz val="11"/>
      <color indexed="8"/>
      <name val="Calibri"/>
      <family val="2"/>
    </font>
    <font>
      <b/>
      <sz val="14"/>
      <color indexed="8"/>
      <name val="Calibri"/>
      <family val="2"/>
    </font>
    <font>
      <i/>
      <sz val="11"/>
      <color indexed="8"/>
      <name val="Calibri"/>
      <family val="2"/>
    </font>
    <font>
      <sz val="11"/>
      <color indexed="22"/>
      <name val="Calibri"/>
      <family val="2"/>
    </font>
    <font>
      <b/>
      <i/>
      <sz val="12"/>
      <color indexed="55"/>
      <name val="Calibri"/>
      <family val="2"/>
    </font>
    <font>
      <sz val="11"/>
      <color indexed="55"/>
      <name val="Calibri"/>
      <family val="2"/>
    </font>
    <font>
      <sz val="10"/>
      <name val="Calibri"/>
      <family val="2"/>
    </font>
    <font>
      <b/>
      <sz val="10"/>
      <name val="Calibri"/>
      <family val="2"/>
    </font>
    <font>
      <i/>
      <sz val="10"/>
      <name val="Calibri"/>
      <family val="2"/>
    </font>
    <font>
      <b/>
      <sz val="12"/>
      <color indexed="9"/>
      <name val="Calibri"/>
      <family val="2"/>
    </font>
    <font>
      <sz val="10"/>
      <color indexed="10"/>
      <name val="Calibri"/>
      <family val="2"/>
    </font>
    <font>
      <sz val="10"/>
      <color indexed="22"/>
      <name val="Calibri"/>
      <family val="2"/>
    </font>
    <font>
      <sz val="10"/>
      <color indexed="8"/>
      <name val="Calibri"/>
      <family val="2"/>
    </font>
    <font>
      <sz val="11"/>
      <color indexed="9"/>
      <name val="Calibri"/>
      <family val="2"/>
    </font>
    <font>
      <b/>
      <sz val="10"/>
      <color indexed="60"/>
      <name val="Calibri"/>
      <family val="2"/>
    </font>
    <font>
      <sz val="10"/>
      <color indexed="60"/>
      <name val="Calibri"/>
      <family val="2"/>
    </font>
    <font>
      <b/>
      <sz val="10"/>
      <color indexed="60"/>
      <name val="Calibri"/>
      <family val="2"/>
    </font>
    <font>
      <i/>
      <sz val="10"/>
      <color indexed="60"/>
      <name val="Calibri"/>
      <family val="2"/>
    </font>
    <font>
      <sz val="10"/>
      <color indexed="22"/>
      <name val="Calibri"/>
      <family val="2"/>
    </font>
    <font>
      <i/>
      <sz val="10"/>
      <color indexed="22"/>
      <name val="Calibri"/>
      <family val="2"/>
    </font>
    <font>
      <sz val="14"/>
      <name val="Calibri"/>
      <family val="2"/>
    </font>
    <font>
      <sz val="14"/>
      <color indexed="60"/>
      <name val="Calibri"/>
      <family val="2"/>
    </font>
    <font>
      <i/>
      <sz val="14"/>
      <name val="Calibri"/>
      <family val="2"/>
    </font>
    <font>
      <sz val="14"/>
      <color indexed="10"/>
      <name val="Calibri"/>
      <family val="2"/>
    </font>
    <font>
      <sz val="12"/>
      <name val="Calibri"/>
      <family val="2"/>
    </font>
    <font>
      <b/>
      <sz val="12"/>
      <color indexed="60"/>
      <name val="Calibri"/>
      <family val="2"/>
    </font>
    <font>
      <sz val="14"/>
      <color indexed="60"/>
      <name val="Calibri"/>
      <family val="2"/>
    </font>
    <font>
      <sz val="10"/>
      <color indexed="55"/>
      <name val="Calibri"/>
      <family val="2"/>
    </font>
    <font>
      <b/>
      <sz val="10"/>
      <color indexed="10"/>
      <name val="Calibri"/>
      <family val="2"/>
    </font>
    <font>
      <sz val="11"/>
      <color indexed="81"/>
      <name val="Tahoma"/>
      <family val="2"/>
    </font>
    <font>
      <sz val="12"/>
      <name val="Calibri"/>
      <family val="2"/>
    </font>
    <font>
      <sz val="10"/>
      <color indexed="10"/>
      <name val="Calibri"/>
      <family val="2"/>
      <scheme val="minor"/>
    </font>
    <font>
      <sz val="14"/>
      <color indexed="10"/>
      <name val="Calibri"/>
      <family val="2"/>
      <scheme val="minor"/>
    </font>
    <font>
      <sz val="10"/>
      <name val="Calibri"/>
      <family val="2"/>
      <scheme val="minor"/>
    </font>
    <font>
      <sz val="10"/>
      <color indexed="8"/>
      <name val="Calibri"/>
      <family val="2"/>
      <scheme val="minor"/>
    </font>
    <font>
      <sz val="10"/>
      <color rgb="FFFF0000"/>
      <name val="Calibri"/>
      <family val="2"/>
    </font>
    <font>
      <b/>
      <i/>
      <sz val="10"/>
      <name val="Calibri"/>
      <family val="2"/>
      <scheme val="minor"/>
    </font>
    <font>
      <u/>
      <sz val="10"/>
      <color indexed="12"/>
      <name val="Calibri"/>
      <family val="2"/>
      <scheme val="minor"/>
    </font>
    <font>
      <sz val="10"/>
      <color rgb="FFC00000"/>
      <name val="Calibri"/>
      <family val="2"/>
    </font>
    <font>
      <b/>
      <i/>
      <sz val="10"/>
      <color theme="5"/>
      <name val="Calibri"/>
      <family val="2"/>
    </font>
    <font>
      <sz val="10"/>
      <color theme="5"/>
      <name val="Calibri"/>
      <family val="2"/>
    </font>
    <font>
      <sz val="10"/>
      <color rgb="FF002060"/>
      <name val="Calibri"/>
      <family val="2"/>
    </font>
    <font>
      <i/>
      <sz val="10"/>
      <color theme="0" tint="-0.249977111117893"/>
      <name val="Calibri"/>
      <family val="2"/>
    </font>
    <font>
      <sz val="14"/>
      <color theme="5"/>
      <name val="Calibri"/>
      <family val="2"/>
    </font>
    <font>
      <i/>
      <sz val="12"/>
      <color indexed="8"/>
      <name val="Calibri"/>
      <family val="2"/>
    </font>
    <font>
      <b/>
      <sz val="10"/>
      <color rgb="FFFF0000"/>
      <name val="Calibri"/>
      <family val="2"/>
    </font>
    <font>
      <sz val="10"/>
      <color theme="1" tint="0.34998626667073579"/>
      <name val="Calibri"/>
      <family val="2"/>
    </font>
    <font>
      <i/>
      <sz val="10"/>
      <color theme="1" tint="0.34998626667073579"/>
      <name val="Calibri"/>
      <family val="2"/>
    </font>
    <font>
      <b/>
      <i/>
      <sz val="10"/>
      <color theme="1" tint="0.34998626667073579"/>
      <name val="Calibri"/>
      <family val="2"/>
    </font>
    <font>
      <b/>
      <sz val="10"/>
      <color theme="1" tint="0.34998626667073579"/>
      <name val="Calibri"/>
      <family val="2"/>
    </font>
    <font>
      <sz val="14"/>
      <color theme="1" tint="0.34998626667073579"/>
      <name val="Calibri"/>
      <family val="2"/>
    </font>
    <font>
      <sz val="14"/>
      <color rgb="FFC00000"/>
      <name val="Calibri"/>
      <family val="2"/>
    </font>
    <font>
      <b/>
      <sz val="14"/>
      <name val="Calibri"/>
      <family val="2"/>
    </font>
    <font>
      <b/>
      <sz val="10"/>
      <color indexed="22"/>
      <name val="Calibri"/>
      <family val="2"/>
    </font>
  </fonts>
  <fills count="16">
    <fill>
      <patternFill patternType="none"/>
    </fill>
    <fill>
      <patternFill patternType="gray125"/>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47"/>
      </right>
      <top/>
      <bottom style="thin">
        <color indexed="47"/>
      </bottom>
      <diagonal/>
    </border>
    <border>
      <left style="thin">
        <color indexed="47"/>
      </left>
      <right style="thin">
        <color indexed="47"/>
      </right>
      <top/>
      <bottom style="thin">
        <color indexed="47"/>
      </bottom>
      <diagonal/>
    </border>
    <border>
      <left style="thin">
        <color indexed="47"/>
      </left>
      <right/>
      <top/>
      <bottom style="thin">
        <color indexed="47"/>
      </bottom>
      <diagonal/>
    </border>
    <border>
      <left/>
      <right style="thin">
        <color indexed="47"/>
      </right>
      <top style="thin">
        <color indexed="47"/>
      </top>
      <bottom style="thin">
        <color indexed="47"/>
      </bottom>
      <diagonal/>
    </border>
    <border>
      <left style="thin">
        <color indexed="47"/>
      </left>
      <right style="thin">
        <color indexed="47"/>
      </right>
      <top style="thin">
        <color indexed="47"/>
      </top>
      <bottom style="thin">
        <color indexed="47"/>
      </bottom>
      <diagonal/>
    </border>
    <border>
      <left style="thin">
        <color indexed="47"/>
      </left>
      <right/>
      <top style="thin">
        <color indexed="47"/>
      </top>
      <bottom style="thin">
        <color indexed="47"/>
      </bottom>
      <diagonal/>
    </border>
    <border>
      <left/>
      <right style="thin">
        <color indexed="47"/>
      </right>
      <top style="thin">
        <color indexed="47"/>
      </top>
      <bottom/>
      <diagonal/>
    </border>
    <border>
      <left style="thin">
        <color indexed="47"/>
      </left>
      <right style="thin">
        <color indexed="47"/>
      </right>
      <top style="thin">
        <color indexed="47"/>
      </top>
      <bottom/>
      <diagonal/>
    </border>
    <border>
      <left style="thin">
        <color indexed="47"/>
      </left>
      <right/>
      <top style="thin">
        <color indexed="47"/>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9"/>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top/>
      <bottom style="thin">
        <color theme="0"/>
      </bottom>
      <diagonal/>
    </border>
    <border>
      <left style="thin">
        <color indexed="22"/>
      </left>
      <right style="thin">
        <color indexed="22"/>
      </right>
      <top/>
      <bottom/>
      <diagonal/>
    </border>
  </borders>
  <cellStyleXfs count="5">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169" fontId="1" fillId="0" borderId="0" applyFont="0" applyFill="0" applyBorder="0" applyAlignment="0" applyProtection="0"/>
    <xf numFmtId="0" fontId="1" fillId="0" borderId="0"/>
  </cellStyleXfs>
  <cellXfs count="677">
    <xf numFmtId="0" fontId="0" fillId="0" borderId="0" xfId="0"/>
    <xf numFmtId="0" fontId="15" fillId="2" borderId="0" xfId="0" applyFont="1" applyFill="1" applyProtection="1"/>
    <xf numFmtId="0" fontId="16" fillId="2" borderId="0" xfId="0" applyFont="1" applyFill="1" applyProtection="1"/>
    <xf numFmtId="0" fontId="15" fillId="2" borderId="0" xfId="0" applyFont="1" applyFill="1"/>
    <xf numFmtId="0" fontId="15" fillId="2" borderId="0" xfId="0" applyFont="1" applyFill="1" applyAlignment="1" applyProtection="1">
      <alignment horizontal="left"/>
    </xf>
    <xf numFmtId="0" fontId="15" fillId="2" borderId="0" xfId="0" applyFont="1" applyFill="1" applyAlignment="1" applyProtection="1">
      <alignment horizontal="right"/>
    </xf>
    <xf numFmtId="165" fontId="15" fillId="2" borderId="0" xfId="0" applyNumberFormat="1" applyFont="1" applyFill="1" applyProtection="1"/>
    <xf numFmtId="0" fontId="15" fillId="2" borderId="0" xfId="0" applyFont="1" applyFill="1" applyAlignment="1" applyProtection="1">
      <alignment horizontal="center"/>
    </xf>
    <xf numFmtId="0" fontId="17" fillId="2" borderId="0" xfId="0" applyFont="1" applyFill="1" applyProtection="1"/>
    <xf numFmtId="0" fontId="15" fillId="3" borderId="2" xfId="0" applyFont="1" applyFill="1" applyBorder="1" applyProtection="1"/>
    <xf numFmtId="0" fontId="15" fillId="3" borderId="3" xfId="0" applyFont="1" applyFill="1" applyBorder="1" applyProtection="1"/>
    <xf numFmtId="0" fontId="20" fillId="3" borderId="3" xfId="0" applyFont="1" applyFill="1" applyBorder="1" applyAlignment="1" applyProtection="1">
      <alignment horizontal="right"/>
    </xf>
    <xf numFmtId="0" fontId="15" fillId="4" borderId="4" xfId="0" applyFont="1" applyFill="1" applyBorder="1" applyProtection="1"/>
    <xf numFmtId="0" fontId="15" fillId="4" borderId="5" xfId="0" applyFont="1" applyFill="1" applyBorder="1" applyProtection="1"/>
    <xf numFmtId="0" fontId="15" fillId="4" borderId="5" xfId="0" applyFont="1" applyFill="1" applyBorder="1" applyAlignment="1" applyProtection="1">
      <alignment horizontal="center"/>
    </xf>
    <xf numFmtId="0" fontId="15" fillId="4" borderId="6" xfId="0" applyFont="1" applyFill="1" applyBorder="1" applyProtection="1"/>
    <xf numFmtId="0" fontId="15" fillId="4" borderId="7" xfId="0" applyFont="1" applyFill="1" applyBorder="1" applyProtection="1"/>
    <xf numFmtId="0" fontId="15" fillId="4" borderId="0" xfId="0" applyFont="1" applyFill="1" applyBorder="1" applyProtection="1"/>
    <xf numFmtId="0" fontId="15" fillId="4" borderId="0" xfId="0" applyFont="1" applyFill="1" applyBorder="1" applyAlignment="1" applyProtection="1">
      <alignment horizontal="center"/>
    </xf>
    <xf numFmtId="0" fontId="15" fillId="4" borderId="8" xfId="0" applyFont="1" applyFill="1" applyBorder="1" applyProtection="1"/>
    <xf numFmtId="0" fontId="15" fillId="4" borderId="0" xfId="0" applyFont="1" applyFill="1" applyBorder="1"/>
    <xf numFmtId="0" fontId="15" fillId="5" borderId="0" xfId="0" applyFont="1" applyFill="1" applyBorder="1" applyProtection="1"/>
    <xf numFmtId="0" fontId="15" fillId="5" borderId="0" xfId="0" applyFont="1" applyFill="1" applyBorder="1" applyAlignment="1" applyProtection="1">
      <alignment horizontal="center"/>
    </xf>
    <xf numFmtId="0" fontId="16" fillId="4" borderId="7" xfId="0" applyFont="1" applyFill="1" applyBorder="1" applyProtection="1"/>
    <xf numFmtId="0" fontId="16" fillId="5" borderId="0" xfId="0" applyFont="1" applyFill="1" applyBorder="1" applyProtection="1"/>
    <xf numFmtId="0" fontId="15" fillId="4" borderId="0" xfId="0" applyFont="1" applyFill="1" applyBorder="1" applyAlignment="1" applyProtection="1">
      <alignment horizontal="center"/>
      <protection locked="0"/>
    </xf>
    <xf numFmtId="0" fontId="15" fillId="5" borderId="0" xfId="0" applyFont="1" applyFill="1" applyBorder="1" applyAlignment="1" applyProtection="1">
      <alignment horizontal="center"/>
      <protection locked="0"/>
    </xf>
    <xf numFmtId="0" fontId="15" fillId="4" borderId="8" xfId="0" applyFont="1" applyFill="1" applyBorder="1"/>
    <xf numFmtId="0" fontId="16" fillId="4" borderId="0" xfId="0" applyFont="1" applyFill="1" applyBorder="1" applyProtection="1"/>
    <xf numFmtId="0" fontId="17" fillId="4" borderId="7" xfId="0" applyFont="1" applyFill="1" applyBorder="1" applyProtection="1"/>
    <xf numFmtId="0" fontId="16" fillId="4" borderId="8" xfId="0" applyFont="1" applyFill="1" applyBorder="1"/>
    <xf numFmtId="0" fontId="15" fillId="2" borderId="0" xfId="0" applyFont="1" applyFill="1" applyBorder="1" applyProtection="1"/>
    <xf numFmtId="0" fontId="17" fillId="4" borderId="8" xfId="0" applyFont="1" applyFill="1" applyBorder="1" applyProtection="1"/>
    <xf numFmtId="166" fontId="15" fillId="4" borderId="0" xfId="0" applyNumberFormat="1" applyFont="1" applyFill="1" applyBorder="1" applyProtection="1"/>
    <xf numFmtId="0" fontId="16" fillId="2" borderId="0" xfId="0" applyFont="1" applyFill="1"/>
    <xf numFmtId="0" fontId="15" fillId="2" borderId="0" xfId="0" applyFont="1" applyFill="1" applyAlignment="1">
      <alignment horizontal="right"/>
    </xf>
    <xf numFmtId="0" fontId="16" fillId="2" borderId="0" xfId="0" applyFont="1" applyFill="1" applyBorder="1" applyProtection="1"/>
    <xf numFmtId="0" fontId="16" fillId="2" borderId="0" xfId="0" applyFont="1" applyFill="1" applyAlignment="1">
      <alignment horizontal="right"/>
    </xf>
    <xf numFmtId="0" fontId="15" fillId="4" borderId="4" xfId="0" applyFont="1" applyFill="1" applyBorder="1"/>
    <xf numFmtId="0" fontId="15" fillId="4" borderId="5" xfId="0" applyFont="1" applyFill="1" applyBorder="1"/>
    <xf numFmtId="0" fontId="15" fillId="4" borderId="6" xfId="0" applyFont="1" applyFill="1" applyBorder="1"/>
    <xf numFmtId="0" fontId="15" fillId="4" borderId="7" xfId="0" applyFont="1" applyFill="1" applyBorder="1"/>
    <xf numFmtId="0" fontId="15" fillId="5" borderId="0" xfId="0" applyFont="1" applyFill="1" applyBorder="1" applyAlignment="1" applyProtection="1">
      <protection locked="0"/>
    </xf>
    <xf numFmtId="0" fontId="16" fillId="4" borderId="7" xfId="0" applyFont="1" applyFill="1" applyBorder="1"/>
    <xf numFmtId="166" fontId="15" fillId="4" borderId="0" xfId="0" applyNumberFormat="1" applyFont="1" applyFill="1" applyBorder="1"/>
    <xf numFmtId="0" fontId="16" fillId="4" borderId="7" xfId="0" applyFont="1" applyFill="1" applyBorder="1" applyAlignment="1">
      <alignment horizontal="right"/>
    </xf>
    <xf numFmtId="0" fontId="15" fillId="4" borderId="7" xfId="0" applyFont="1" applyFill="1" applyBorder="1" applyAlignment="1">
      <alignment horizontal="right"/>
    </xf>
    <xf numFmtId="0" fontId="12" fillId="3" borderId="2" xfId="0" applyFont="1" applyFill="1" applyBorder="1"/>
    <xf numFmtId="0" fontId="12" fillId="3" borderId="3" xfId="0" applyFont="1" applyFill="1" applyBorder="1"/>
    <xf numFmtId="0" fontId="12" fillId="3" borderId="9" xfId="0" applyFont="1" applyFill="1" applyBorder="1"/>
    <xf numFmtId="0" fontId="29" fillId="2" borderId="0" xfId="0" applyFont="1" applyFill="1" applyProtection="1"/>
    <xf numFmtId="0" fontId="29" fillId="2" borderId="0" xfId="0" applyFont="1" applyFill="1"/>
    <xf numFmtId="0" fontId="29" fillId="4" borderId="7" xfId="0" applyFont="1" applyFill="1" applyBorder="1" applyProtection="1"/>
    <xf numFmtId="0" fontId="29" fillId="4" borderId="0" xfId="0" applyFont="1" applyFill="1" applyBorder="1" applyProtection="1"/>
    <xf numFmtId="0" fontId="29" fillId="4" borderId="8" xfId="0" applyFont="1" applyFill="1" applyBorder="1" applyProtection="1"/>
    <xf numFmtId="0" fontId="29" fillId="4" borderId="0" xfId="0" applyFont="1" applyFill="1" applyBorder="1" applyAlignment="1" applyProtection="1">
      <alignment horizontal="center"/>
    </xf>
    <xf numFmtId="0" fontId="15" fillId="3" borderId="3" xfId="0" applyFont="1" applyFill="1" applyBorder="1" applyAlignment="1" applyProtection="1">
      <alignment horizontal="center"/>
    </xf>
    <xf numFmtId="0" fontId="15" fillId="4" borderId="0" xfId="0" applyFont="1" applyFill="1" applyBorder="1" applyAlignment="1" applyProtection="1">
      <protection locked="0"/>
    </xf>
    <xf numFmtId="0" fontId="12" fillId="3" borderId="2" xfId="0" applyFont="1" applyFill="1" applyBorder="1" applyProtection="1"/>
    <xf numFmtId="0" fontId="12" fillId="3" borderId="3" xfId="0" applyFont="1" applyFill="1" applyBorder="1" applyProtection="1"/>
    <xf numFmtId="0" fontId="30" fillId="4" borderId="0" xfId="0" applyFont="1" applyFill="1" applyBorder="1" applyProtection="1"/>
    <xf numFmtId="0" fontId="30" fillId="4" borderId="0" xfId="0" applyFont="1" applyFill="1" applyBorder="1" applyAlignment="1" applyProtection="1">
      <alignment horizontal="left"/>
    </xf>
    <xf numFmtId="0" fontId="30" fillId="4" borderId="0" xfId="0" applyFont="1" applyFill="1" applyBorder="1" applyAlignment="1" applyProtection="1">
      <alignment horizontal="center"/>
    </xf>
    <xf numFmtId="0" fontId="30" fillId="4" borderId="7" xfId="0" applyFont="1" applyFill="1" applyBorder="1"/>
    <xf numFmtId="0" fontId="30" fillId="4" borderId="0" xfId="0" applyFont="1" applyFill="1" applyBorder="1"/>
    <xf numFmtId="0" fontId="30" fillId="4" borderId="8" xfId="0" applyFont="1" applyFill="1" applyBorder="1"/>
    <xf numFmtId="0" fontId="30" fillId="2" borderId="0" xfId="0" applyFont="1" applyFill="1"/>
    <xf numFmtId="0" fontId="31" fillId="4" borderId="7" xfId="0" applyFont="1" applyFill="1" applyBorder="1" applyProtection="1"/>
    <xf numFmtId="0" fontId="31" fillId="4" borderId="0" xfId="0" applyFont="1" applyFill="1" applyBorder="1" applyProtection="1"/>
    <xf numFmtId="0" fontId="31" fillId="4" borderId="8" xfId="0" applyFont="1" applyFill="1" applyBorder="1" applyProtection="1"/>
    <xf numFmtId="0" fontId="31" fillId="2" borderId="0" xfId="0" applyFont="1" applyFill="1" applyProtection="1"/>
    <xf numFmtId="0" fontId="31" fillId="2" borderId="0" xfId="0" applyFont="1" applyFill="1"/>
    <xf numFmtId="0" fontId="17" fillId="4" borderId="0" xfId="0" applyFont="1" applyFill="1" applyBorder="1" applyProtection="1"/>
    <xf numFmtId="0" fontId="17" fillId="2" borderId="0" xfId="0" applyFont="1" applyFill="1" applyAlignment="1" applyProtection="1">
      <alignment horizontal="left"/>
    </xf>
    <xf numFmtId="165" fontId="15" fillId="2" borderId="0" xfId="3" applyNumberFormat="1" applyFont="1" applyFill="1" applyProtection="1"/>
    <xf numFmtId="165" fontId="15" fillId="2" borderId="0" xfId="3" applyNumberFormat="1" applyFont="1" applyFill="1" applyAlignment="1" applyProtection="1">
      <alignment horizontal="center"/>
    </xf>
    <xf numFmtId="165" fontId="15" fillId="2" borderId="0" xfId="3" applyNumberFormat="1" applyFont="1" applyFill="1"/>
    <xf numFmtId="166" fontId="15" fillId="4" borderId="8" xfId="0" applyNumberFormat="1" applyFont="1" applyFill="1" applyBorder="1" applyProtection="1"/>
    <xf numFmtId="166" fontId="16" fillId="4" borderId="8" xfId="0" applyNumberFormat="1" applyFont="1" applyFill="1" applyBorder="1" applyProtection="1"/>
    <xf numFmtId="166" fontId="13" fillId="3" borderId="3" xfId="0" applyNumberFormat="1" applyFont="1" applyFill="1" applyBorder="1" applyAlignment="1" applyProtection="1">
      <alignment horizontal="right"/>
    </xf>
    <xf numFmtId="166" fontId="12" fillId="3" borderId="9" xfId="0" applyNumberFormat="1" applyFont="1" applyFill="1" applyBorder="1" applyProtection="1"/>
    <xf numFmtId="166" fontId="15" fillId="2" borderId="0" xfId="0" applyNumberFormat="1" applyFont="1" applyFill="1" applyProtection="1"/>
    <xf numFmtId="166" fontId="20" fillId="3" borderId="3" xfId="0" applyNumberFormat="1" applyFont="1" applyFill="1" applyBorder="1" applyAlignment="1" applyProtection="1">
      <alignment horizontal="right"/>
    </xf>
    <xf numFmtId="166" fontId="15" fillId="3" borderId="9" xfId="0" applyNumberFormat="1" applyFont="1" applyFill="1" applyBorder="1" applyProtection="1"/>
    <xf numFmtId="166" fontId="12" fillId="3" borderId="3" xfId="0" applyNumberFormat="1" applyFont="1" applyFill="1" applyBorder="1"/>
    <xf numFmtId="166" fontId="15" fillId="2" borderId="0" xfId="0" applyNumberFormat="1" applyFont="1" applyFill="1"/>
    <xf numFmtId="166" fontId="15" fillId="2" borderId="0" xfId="3" applyNumberFormat="1" applyFont="1" applyFill="1" applyProtection="1"/>
    <xf numFmtId="166" fontId="19" fillId="2" borderId="0" xfId="3" applyNumberFormat="1" applyFont="1" applyFill="1" applyProtection="1"/>
    <xf numFmtId="166" fontId="15" fillId="2" borderId="0" xfId="3" applyNumberFormat="1" applyFont="1" applyFill="1" applyAlignment="1" applyProtection="1">
      <alignment horizontal="center"/>
    </xf>
    <xf numFmtId="166" fontId="19" fillId="2" borderId="0" xfId="3" applyNumberFormat="1" applyFont="1" applyFill="1" applyAlignment="1" applyProtection="1">
      <alignment horizontal="center"/>
    </xf>
    <xf numFmtId="166" fontId="15" fillId="2" borderId="0" xfId="3" applyNumberFormat="1" applyFont="1" applyFill="1"/>
    <xf numFmtId="166" fontId="19" fillId="2" borderId="0" xfId="3" applyNumberFormat="1" applyFont="1" applyFill="1"/>
    <xf numFmtId="166" fontId="19" fillId="2" borderId="0" xfId="0" applyNumberFormat="1" applyFont="1" applyFill="1"/>
    <xf numFmtId="166" fontId="19" fillId="2" borderId="0" xfId="0" applyNumberFormat="1" applyFont="1" applyFill="1" applyProtection="1"/>
    <xf numFmtId="0" fontId="23" fillId="2" borderId="0" xfId="0" applyFont="1" applyFill="1" applyBorder="1" applyAlignment="1" applyProtection="1">
      <alignment horizontal="left"/>
    </xf>
    <xf numFmtId="49" fontId="23" fillId="2" borderId="0" xfId="0" applyNumberFormat="1" applyFont="1" applyFill="1" applyBorder="1" applyAlignment="1" applyProtection="1">
      <alignment horizontal="left"/>
    </xf>
    <xf numFmtId="0" fontId="11" fillId="4" borderId="5" xfId="0" applyFont="1" applyFill="1" applyBorder="1"/>
    <xf numFmtId="0" fontId="11" fillId="4" borderId="0" xfId="0" applyFont="1" applyFill="1" applyBorder="1"/>
    <xf numFmtId="0" fontId="38" fillId="4" borderId="0" xfId="0" applyFont="1" applyFill="1" applyBorder="1"/>
    <xf numFmtId="166" fontId="11" fillId="4" borderId="0" xfId="0" applyNumberFormat="1" applyFont="1" applyFill="1" applyBorder="1"/>
    <xf numFmtId="0" fontId="11" fillId="2" borderId="0" xfId="0" applyFont="1" applyFill="1"/>
    <xf numFmtId="0" fontId="12" fillId="2" borderId="0" xfId="0" applyFont="1" applyFill="1" applyBorder="1" applyProtection="1"/>
    <xf numFmtId="166" fontId="12" fillId="2" borderId="0" xfId="0" applyNumberFormat="1" applyFont="1" applyFill="1" applyBorder="1" applyProtection="1"/>
    <xf numFmtId="166" fontId="13" fillId="2" borderId="0" xfId="0" applyNumberFormat="1" applyFont="1" applyFill="1" applyBorder="1" applyAlignment="1" applyProtection="1">
      <alignment horizontal="right"/>
    </xf>
    <xf numFmtId="0" fontId="22" fillId="4" borderId="0" xfId="0" applyFont="1" applyFill="1" applyBorder="1" applyAlignment="1" applyProtection="1">
      <alignment horizontal="center"/>
    </xf>
    <xf numFmtId="0" fontId="22" fillId="4" borderId="0" xfId="0" applyFont="1" applyFill="1" applyBorder="1" applyAlignment="1" applyProtection="1">
      <alignment horizontal="right"/>
    </xf>
    <xf numFmtId="0" fontId="15" fillId="5" borderId="10" xfId="0" applyFont="1" applyFill="1" applyBorder="1" applyProtection="1"/>
    <xf numFmtId="0" fontId="15" fillId="5" borderId="11" xfId="0" applyFont="1" applyFill="1" applyBorder="1" applyProtection="1"/>
    <xf numFmtId="0" fontId="15" fillId="5" borderId="11" xfId="0" applyFont="1" applyFill="1" applyBorder="1" applyAlignment="1" applyProtection="1">
      <alignment horizontal="center"/>
    </xf>
    <xf numFmtId="0" fontId="15" fillId="5" borderId="11" xfId="0" applyFont="1" applyFill="1" applyBorder="1"/>
    <xf numFmtId="0" fontId="15" fillId="5" borderId="12" xfId="0" applyFont="1" applyFill="1" applyBorder="1" applyProtection="1"/>
    <xf numFmtId="0" fontId="15" fillId="5" borderId="13" xfId="0" applyFont="1" applyFill="1" applyBorder="1" applyProtection="1"/>
    <xf numFmtId="0" fontId="18" fillId="5" borderId="14" xfId="0" applyFont="1" applyFill="1" applyBorder="1" applyProtection="1"/>
    <xf numFmtId="0" fontId="15" fillId="5" borderId="14" xfId="0" applyFont="1" applyFill="1" applyBorder="1" applyAlignment="1" applyProtection="1">
      <alignment horizontal="center"/>
    </xf>
    <xf numFmtId="0" fontId="15" fillId="5" borderId="14" xfId="0" applyFont="1" applyFill="1" applyBorder="1" applyProtection="1"/>
    <xf numFmtId="0" fontId="15" fillId="5" borderId="14" xfId="0" applyFont="1" applyFill="1" applyBorder="1"/>
    <xf numFmtId="0" fontId="15" fillId="5" borderId="15" xfId="0" applyFont="1" applyFill="1" applyBorder="1" applyProtection="1"/>
    <xf numFmtId="0" fontId="16" fillId="5" borderId="13" xfId="0" applyFont="1" applyFill="1" applyBorder="1" applyProtection="1"/>
    <xf numFmtId="0" fontId="15" fillId="4" borderId="14" xfId="0" applyFont="1" applyFill="1" applyBorder="1" applyAlignment="1" applyProtection="1">
      <alignment horizontal="center"/>
      <protection locked="0"/>
    </xf>
    <xf numFmtId="0" fontId="15" fillId="5" borderId="14" xfId="0" applyFont="1" applyFill="1" applyBorder="1" applyProtection="1">
      <protection locked="0"/>
    </xf>
    <xf numFmtId="0" fontId="16" fillId="5" borderId="14" xfId="0" applyFont="1" applyFill="1" applyBorder="1" applyProtection="1"/>
    <xf numFmtId="171" fontId="15" fillId="4" borderId="14" xfId="0" applyNumberFormat="1" applyFont="1" applyFill="1" applyBorder="1" applyProtection="1">
      <protection locked="0"/>
    </xf>
    <xf numFmtId="171" fontId="15" fillId="5" borderId="14" xfId="0" applyNumberFormat="1" applyFont="1" applyFill="1" applyBorder="1" applyProtection="1">
      <protection locked="0"/>
    </xf>
    <xf numFmtId="0" fontId="15" fillId="4" borderId="14" xfId="0" applyFont="1" applyFill="1" applyBorder="1" applyAlignment="1" applyProtection="1">
      <alignment horizontal="left"/>
      <protection locked="0"/>
    </xf>
    <xf numFmtId="0" fontId="15" fillId="5" borderId="14" xfId="0" applyFont="1" applyFill="1" applyBorder="1" applyAlignment="1" applyProtection="1">
      <alignment horizontal="center"/>
      <protection locked="0"/>
    </xf>
    <xf numFmtId="166" fontId="15" fillId="5" borderId="14" xfId="0" applyNumberFormat="1" applyFont="1" applyFill="1" applyBorder="1" applyProtection="1"/>
    <xf numFmtId="0" fontId="15" fillId="5" borderId="14" xfId="0" applyFont="1" applyFill="1" applyBorder="1" applyAlignment="1">
      <alignment horizontal="left"/>
    </xf>
    <xf numFmtId="0" fontId="15" fillId="5" borderId="14" xfId="0" applyFont="1" applyFill="1" applyBorder="1" applyAlignment="1">
      <alignment horizontal="center"/>
    </xf>
    <xf numFmtId="0" fontId="15" fillId="5" borderId="16" xfId="0" applyFont="1" applyFill="1" applyBorder="1" applyProtection="1"/>
    <xf numFmtId="0" fontId="15" fillId="5" borderId="17" xfId="0" applyFont="1" applyFill="1" applyBorder="1" applyProtection="1"/>
    <xf numFmtId="0" fontId="15" fillId="5" borderId="17" xfId="0" applyFont="1" applyFill="1" applyBorder="1" applyAlignment="1" applyProtection="1">
      <alignment horizontal="center"/>
    </xf>
    <xf numFmtId="0" fontId="15" fillId="5" borderId="18" xfId="0" applyFont="1" applyFill="1" applyBorder="1" applyProtection="1"/>
    <xf numFmtId="0" fontId="16" fillId="5" borderId="11" xfId="0" applyFont="1" applyFill="1" applyBorder="1" applyProtection="1"/>
    <xf numFmtId="0" fontId="15" fillId="5" borderId="10" xfId="0" applyFont="1" applyFill="1" applyBorder="1"/>
    <xf numFmtId="0" fontId="11" fillId="5" borderId="12" xfId="0" applyFont="1" applyFill="1" applyBorder="1"/>
    <xf numFmtId="0" fontId="15" fillId="5" borderId="13" xfId="0" applyFont="1" applyFill="1" applyBorder="1"/>
    <xf numFmtId="0" fontId="18" fillId="5" borderId="14" xfId="0" applyFont="1" applyFill="1" applyBorder="1"/>
    <xf numFmtId="0" fontId="11" fillId="5" borderId="15" xfId="0" applyFont="1" applyFill="1" applyBorder="1"/>
    <xf numFmtId="0" fontId="15" fillId="4" borderId="14" xfId="0" applyFont="1" applyFill="1" applyBorder="1" applyAlignment="1" applyProtection="1">
      <protection locked="0"/>
    </xf>
    <xf numFmtId="0" fontId="15" fillId="5" borderId="14" xfId="0" applyFont="1" applyFill="1" applyBorder="1" applyAlignment="1" applyProtection="1">
      <protection locked="0"/>
    </xf>
    <xf numFmtId="0" fontId="15" fillId="5" borderId="14" xfId="0" applyFont="1" applyFill="1" applyBorder="1" applyAlignment="1" applyProtection="1">
      <alignment horizontal="left"/>
      <protection locked="0"/>
    </xf>
    <xf numFmtId="0" fontId="16" fillId="5" borderId="13" xfId="0" applyFont="1" applyFill="1" applyBorder="1"/>
    <xf numFmtId="0" fontId="16" fillId="5" borderId="14" xfId="0" applyFont="1" applyFill="1" applyBorder="1"/>
    <xf numFmtId="0" fontId="14" fillId="5" borderId="15" xfId="0" applyFont="1" applyFill="1" applyBorder="1"/>
    <xf numFmtId="0" fontId="15" fillId="5" borderId="14" xfId="0" applyFont="1" applyFill="1" applyBorder="1" applyAlignment="1">
      <alignment horizontal="right"/>
    </xf>
    <xf numFmtId="166" fontId="15" fillId="5" borderId="14" xfId="0" applyNumberFormat="1" applyFont="1" applyFill="1" applyBorder="1" applyAlignment="1">
      <alignment horizontal="center"/>
    </xf>
    <xf numFmtId="166" fontId="15" fillId="6" borderId="14" xfId="0" applyNumberFormat="1" applyFont="1" applyFill="1" applyBorder="1" applyAlignment="1">
      <alignment horizontal="center"/>
    </xf>
    <xf numFmtId="166" fontId="15" fillId="5" borderId="14" xfId="0" applyNumberFormat="1" applyFont="1" applyFill="1" applyBorder="1" applyAlignment="1">
      <alignment horizontal="right"/>
    </xf>
    <xf numFmtId="166" fontId="15" fillId="6" borderId="14" xfId="0" applyNumberFormat="1" applyFont="1" applyFill="1" applyBorder="1" applyAlignment="1">
      <alignment horizontal="right"/>
    </xf>
    <xf numFmtId="0" fontId="15" fillId="5" borderId="16" xfId="0" applyFont="1" applyFill="1" applyBorder="1"/>
    <xf numFmtId="0" fontId="15" fillId="5" borderId="17" xfId="0" applyFont="1" applyFill="1" applyBorder="1"/>
    <xf numFmtId="166" fontId="15" fillId="5" borderId="17" xfId="0" applyNumberFormat="1" applyFont="1" applyFill="1" applyBorder="1" applyAlignment="1">
      <alignment horizontal="right"/>
    </xf>
    <xf numFmtId="0" fontId="11" fillId="5" borderId="18" xfId="0" applyFont="1" applyFill="1" applyBorder="1"/>
    <xf numFmtId="0" fontId="25" fillId="5" borderId="14" xfId="0" applyFont="1" applyFill="1" applyBorder="1" applyAlignment="1">
      <alignment horizontal="center"/>
    </xf>
    <xf numFmtId="0" fontId="16" fillId="5" borderId="14" xfId="0" applyFont="1" applyFill="1" applyBorder="1" applyAlignment="1">
      <alignment horizontal="center"/>
    </xf>
    <xf numFmtId="0" fontId="14" fillId="5" borderId="15" xfId="0" applyFont="1" applyFill="1" applyBorder="1" applyAlignment="1">
      <alignment horizontal="center"/>
    </xf>
    <xf numFmtId="0" fontId="17" fillId="5" borderId="14" xfId="0" applyFont="1" applyFill="1" applyBorder="1"/>
    <xf numFmtId="0" fontId="17" fillId="5" borderId="14" xfId="0" applyFont="1" applyFill="1" applyBorder="1" applyAlignment="1">
      <alignment horizontal="center"/>
    </xf>
    <xf numFmtId="0" fontId="11" fillId="5" borderId="15" xfId="0" applyFont="1" applyFill="1" applyBorder="1" applyAlignment="1">
      <alignment horizontal="center"/>
    </xf>
    <xf numFmtId="0" fontId="15" fillId="6" borderId="14" xfId="0" applyFont="1" applyFill="1" applyBorder="1" applyAlignment="1">
      <alignment horizontal="center"/>
    </xf>
    <xf numFmtId="176" fontId="15" fillId="6" borderId="14" xfId="0" applyNumberFormat="1" applyFont="1" applyFill="1" applyBorder="1" applyAlignment="1">
      <alignment horizontal="center"/>
    </xf>
    <xf numFmtId="1" fontId="15" fillId="4" borderId="14" xfId="0" applyNumberFormat="1" applyFont="1" applyFill="1" applyBorder="1" applyAlignment="1" applyProtection="1">
      <alignment horizontal="center"/>
      <protection locked="0"/>
    </xf>
    <xf numFmtId="10" fontId="15" fillId="5" borderId="14" xfId="0" applyNumberFormat="1" applyFont="1" applyFill="1" applyBorder="1" applyAlignment="1">
      <alignment horizontal="center"/>
    </xf>
    <xf numFmtId="10" fontId="15" fillId="6" borderId="14" xfId="0" applyNumberFormat="1" applyFont="1" applyFill="1" applyBorder="1" applyAlignment="1">
      <alignment horizontal="center"/>
    </xf>
    <xf numFmtId="0" fontId="26" fillId="5" borderId="14" xfId="0" applyFont="1" applyFill="1" applyBorder="1" applyAlignment="1">
      <alignment horizontal="center"/>
    </xf>
    <xf numFmtId="0" fontId="11" fillId="5" borderId="15" xfId="0" applyFont="1" applyFill="1" applyBorder="1" applyAlignment="1" applyProtection="1">
      <alignment horizontal="center"/>
    </xf>
    <xf numFmtId="171" fontId="15" fillId="5" borderId="14" xfId="0" applyNumberFormat="1" applyFont="1" applyFill="1" applyBorder="1" applyAlignment="1">
      <alignment horizontal="center"/>
    </xf>
    <xf numFmtId="166" fontId="15" fillId="5" borderId="14" xfId="0" applyNumberFormat="1" applyFont="1" applyFill="1" applyBorder="1" applyAlignment="1" applyProtection="1">
      <alignment horizontal="center"/>
    </xf>
    <xf numFmtId="0" fontId="39" fillId="5" borderId="15" xfId="0" applyFont="1" applyFill="1" applyBorder="1" applyAlignment="1" applyProtection="1">
      <alignment horizontal="center"/>
    </xf>
    <xf numFmtId="166" fontId="15" fillId="6" borderId="14" xfId="0" applyNumberFormat="1" applyFont="1" applyFill="1" applyBorder="1" applyAlignment="1" applyProtection="1">
      <alignment horizontal="center"/>
    </xf>
    <xf numFmtId="166" fontId="39" fillId="5" borderId="15" xfId="0" applyNumberFormat="1" applyFont="1" applyFill="1" applyBorder="1" applyAlignment="1" applyProtection="1">
      <alignment horizontal="center"/>
    </xf>
    <xf numFmtId="166" fontId="39" fillId="5" borderId="15" xfId="0" applyNumberFormat="1" applyFont="1" applyFill="1" applyBorder="1" applyAlignment="1">
      <alignment horizontal="center"/>
    </xf>
    <xf numFmtId="0" fontId="39" fillId="5" borderId="15" xfId="0" applyFont="1" applyFill="1" applyBorder="1" applyAlignment="1">
      <alignment horizontal="center"/>
    </xf>
    <xf numFmtId="10" fontId="16" fillId="5" borderId="14" xfId="0" applyNumberFormat="1" applyFont="1" applyFill="1" applyBorder="1" applyAlignment="1">
      <alignment horizontal="center"/>
    </xf>
    <xf numFmtId="166" fontId="16" fillId="2" borderId="14" xfId="0" applyNumberFormat="1" applyFont="1" applyFill="1" applyBorder="1" applyAlignment="1">
      <alignment horizontal="center"/>
    </xf>
    <xf numFmtId="0" fontId="37" fillId="5" borderId="15" xfId="0" applyFont="1" applyFill="1" applyBorder="1" applyAlignment="1">
      <alignment horizontal="center"/>
    </xf>
    <xf numFmtId="0" fontId="19" fillId="5" borderId="14" xfId="0" applyFont="1" applyFill="1" applyBorder="1"/>
    <xf numFmtId="0" fontId="19" fillId="5" borderId="14" xfId="0" applyFont="1" applyFill="1" applyBorder="1" applyAlignment="1">
      <alignment horizontal="center"/>
    </xf>
    <xf numFmtId="166" fontId="19" fillId="6" borderId="14" xfId="0" applyNumberFormat="1" applyFont="1" applyFill="1" applyBorder="1" applyAlignment="1">
      <alignment horizontal="center"/>
    </xf>
    <xf numFmtId="174" fontId="16" fillId="5" borderId="14" xfId="0" applyNumberFormat="1" applyFont="1" applyFill="1" applyBorder="1" applyAlignment="1" applyProtection="1">
      <alignment horizontal="center"/>
      <protection locked="0"/>
    </xf>
    <xf numFmtId="0" fontId="39" fillId="5" borderId="14" xfId="0" applyFont="1" applyFill="1" applyBorder="1"/>
    <xf numFmtId="166" fontId="39" fillId="5" borderId="14" xfId="0" applyNumberFormat="1" applyFont="1" applyFill="1" applyBorder="1" applyAlignment="1">
      <alignment horizontal="center"/>
    </xf>
    <xf numFmtId="166" fontId="11" fillId="5" borderId="15" xfId="0" applyNumberFormat="1" applyFont="1" applyFill="1" applyBorder="1"/>
    <xf numFmtId="166" fontId="27" fillId="5" borderId="17" xfId="0" applyNumberFormat="1" applyFont="1" applyFill="1" applyBorder="1" applyAlignment="1">
      <alignment horizontal="center"/>
    </xf>
    <xf numFmtId="166" fontId="11" fillId="5" borderId="18" xfId="0" applyNumberFormat="1" applyFont="1" applyFill="1" applyBorder="1"/>
    <xf numFmtId="0" fontId="15" fillId="5" borderId="11" xfId="0" applyFont="1" applyFill="1" applyBorder="1" applyAlignment="1">
      <alignment horizontal="left"/>
    </xf>
    <xf numFmtId="166" fontId="15" fillId="5" borderId="11" xfId="0" applyNumberFormat="1" applyFont="1" applyFill="1" applyBorder="1" applyAlignment="1">
      <alignment horizontal="left"/>
    </xf>
    <xf numFmtId="166" fontId="11" fillId="5" borderId="12" xfId="0" applyNumberFormat="1" applyFont="1" applyFill="1" applyBorder="1" applyAlignment="1">
      <alignment horizontal="left"/>
    </xf>
    <xf numFmtId="167" fontId="15" fillId="4" borderId="14" xfId="0" applyNumberFormat="1" applyFont="1" applyFill="1" applyBorder="1" applyAlignment="1" applyProtection="1">
      <alignment horizontal="center"/>
      <protection locked="0"/>
    </xf>
    <xf numFmtId="166" fontId="11" fillId="5" borderId="15" xfId="0" applyNumberFormat="1" applyFont="1" applyFill="1" applyBorder="1" applyAlignment="1">
      <alignment horizontal="left"/>
    </xf>
    <xf numFmtId="164" fontId="15" fillId="5" borderId="14" xfId="0" applyNumberFormat="1" applyFont="1" applyFill="1" applyBorder="1" applyAlignment="1" applyProtection="1">
      <alignment horizontal="left"/>
      <protection locked="0"/>
    </xf>
    <xf numFmtId="164" fontId="15" fillId="4" borderId="14" xfId="0" applyNumberFormat="1" applyFont="1" applyFill="1" applyBorder="1" applyAlignment="1" applyProtection="1">
      <alignment horizontal="center"/>
      <protection locked="0"/>
    </xf>
    <xf numFmtId="166" fontId="15" fillId="5" borderId="14" xfId="0" applyNumberFormat="1" applyFont="1" applyFill="1" applyBorder="1" applyAlignment="1">
      <alignment horizontal="left"/>
    </xf>
    <xf numFmtId="0" fontId="15" fillId="5" borderId="17" xfId="0" applyFont="1" applyFill="1" applyBorder="1" applyAlignment="1">
      <alignment horizontal="left"/>
    </xf>
    <xf numFmtId="166" fontId="15" fillId="5" borderId="17" xfId="0" applyNumberFormat="1" applyFont="1" applyFill="1" applyBorder="1" applyAlignment="1">
      <alignment horizontal="left"/>
    </xf>
    <xf numFmtId="166" fontId="11" fillId="5" borderId="18" xfId="0" applyNumberFormat="1" applyFont="1" applyFill="1" applyBorder="1" applyAlignment="1">
      <alignment horizontal="left"/>
    </xf>
    <xf numFmtId="166" fontId="15" fillId="5" borderId="11" xfId="0" applyNumberFormat="1" applyFont="1" applyFill="1" applyBorder="1"/>
    <xf numFmtId="0" fontId="16" fillId="5" borderId="13" xfId="0" applyFont="1" applyFill="1" applyBorder="1" applyAlignment="1">
      <alignment horizontal="right"/>
    </xf>
    <xf numFmtId="0" fontId="15" fillId="5" borderId="13" xfId="0" applyFont="1" applyFill="1" applyBorder="1" applyAlignment="1">
      <alignment horizontal="right"/>
    </xf>
    <xf numFmtId="166" fontId="15" fillId="5" borderId="14" xfId="0" applyNumberFormat="1" applyFont="1" applyFill="1" applyBorder="1"/>
    <xf numFmtId="166" fontId="15" fillId="5" borderId="14" xfId="0" applyNumberFormat="1" applyFont="1" applyFill="1" applyBorder="1" applyAlignment="1" applyProtection="1">
      <protection locked="0"/>
    </xf>
    <xf numFmtId="3" fontId="15" fillId="5" borderId="14" xfId="0" applyNumberFormat="1" applyFont="1" applyFill="1" applyBorder="1" applyProtection="1">
      <protection locked="0"/>
    </xf>
    <xf numFmtId="3" fontId="15" fillId="4" borderId="14" xfId="0" applyNumberFormat="1" applyFont="1" applyFill="1" applyBorder="1" applyAlignment="1" applyProtection="1">
      <alignment horizontal="center"/>
      <protection locked="0"/>
    </xf>
    <xf numFmtId="166" fontId="22" fillId="5" borderId="14" xfId="0" applyNumberFormat="1" applyFont="1" applyFill="1" applyBorder="1"/>
    <xf numFmtId="0" fontId="28" fillId="5" borderId="14" xfId="0" applyFont="1" applyFill="1" applyBorder="1"/>
    <xf numFmtId="174" fontId="15" fillId="5" borderId="14" xfId="0" applyNumberFormat="1" applyFont="1" applyFill="1" applyBorder="1" applyProtection="1">
      <protection locked="0"/>
    </xf>
    <xf numFmtId="174" fontId="15" fillId="4" borderId="14" xfId="0" applyNumberFormat="1" applyFont="1" applyFill="1" applyBorder="1" applyAlignment="1" applyProtection="1">
      <alignment horizontal="center"/>
      <protection locked="0"/>
    </xf>
    <xf numFmtId="174" fontId="15" fillId="6" borderId="14" xfId="0" applyNumberFormat="1" applyFont="1" applyFill="1" applyBorder="1" applyAlignment="1" applyProtection="1">
      <alignment horizontal="center"/>
      <protection locked="0"/>
    </xf>
    <xf numFmtId="0" fontId="15" fillId="6" borderId="14" xfId="0" applyFont="1" applyFill="1" applyBorder="1" applyAlignment="1" applyProtection="1">
      <alignment horizontal="center"/>
      <protection locked="0"/>
    </xf>
    <xf numFmtId="3" fontId="15" fillId="5" borderId="14" xfId="0" applyNumberFormat="1" applyFont="1" applyFill="1" applyBorder="1"/>
    <xf numFmtId="3" fontId="15" fillId="6" borderId="14" xfId="0" applyNumberFormat="1" applyFont="1" applyFill="1" applyBorder="1" applyAlignment="1">
      <alignment horizontal="center"/>
    </xf>
    <xf numFmtId="165" fontId="15" fillId="5" borderId="14" xfId="0" applyNumberFormat="1" applyFont="1" applyFill="1" applyBorder="1" applyProtection="1">
      <protection locked="0"/>
    </xf>
    <xf numFmtId="165" fontId="15" fillId="6" borderId="14" xfId="0" applyNumberFormat="1" applyFont="1" applyFill="1" applyBorder="1" applyAlignment="1" applyProtection="1">
      <alignment horizontal="center"/>
      <protection locked="0"/>
    </xf>
    <xf numFmtId="165" fontId="16" fillId="5" borderId="14" xfId="0" applyNumberFormat="1" applyFont="1" applyFill="1" applyBorder="1"/>
    <xf numFmtId="165" fontId="16" fillId="2" borderId="14" xfId="0" applyNumberFormat="1" applyFont="1" applyFill="1" applyBorder="1" applyAlignment="1">
      <alignment horizontal="center"/>
    </xf>
    <xf numFmtId="166" fontId="27" fillId="5" borderId="14" xfId="0" applyNumberFormat="1" applyFont="1" applyFill="1" applyBorder="1"/>
    <xf numFmtId="0" fontId="33" fillId="5" borderId="14" xfId="0" applyFont="1" applyFill="1" applyBorder="1"/>
    <xf numFmtId="166" fontId="15" fillId="5" borderId="17" xfId="0" applyNumberFormat="1" applyFont="1" applyFill="1" applyBorder="1"/>
    <xf numFmtId="0" fontId="22" fillId="5" borderId="14" xfId="0" applyFont="1" applyFill="1" applyBorder="1" applyAlignment="1" applyProtection="1">
      <alignment horizontal="right"/>
    </xf>
    <xf numFmtId="0" fontId="22" fillId="5" borderId="14" xfId="0" applyFont="1" applyFill="1" applyBorder="1" applyAlignment="1" applyProtection="1">
      <alignment horizontal="center"/>
    </xf>
    <xf numFmtId="171" fontId="15" fillId="4" borderId="14" xfId="0" applyNumberFormat="1" applyFont="1" applyFill="1" applyBorder="1" applyAlignment="1" applyProtection="1">
      <alignment horizontal="center"/>
      <protection locked="0"/>
    </xf>
    <xf numFmtId="0" fontId="15" fillId="5" borderId="15" xfId="0" applyFont="1" applyFill="1" applyBorder="1"/>
    <xf numFmtId="0" fontId="15" fillId="5" borderId="18" xfId="0" applyFont="1" applyFill="1" applyBorder="1"/>
    <xf numFmtId="0" fontId="15" fillId="5" borderId="12" xfId="0" applyFont="1" applyFill="1" applyBorder="1"/>
    <xf numFmtId="0" fontId="15" fillId="6" borderId="14" xfId="0" applyFont="1" applyFill="1" applyBorder="1" applyAlignment="1" applyProtection="1">
      <alignment horizontal="center"/>
    </xf>
    <xf numFmtId="165" fontId="15" fillId="6" borderId="14" xfId="0" applyNumberFormat="1" applyFont="1" applyFill="1" applyBorder="1" applyAlignment="1" applyProtection="1">
      <alignment horizontal="center"/>
    </xf>
    <xf numFmtId="165" fontId="15" fillId="5" borderId="14" xfId="0" applyNumberFormat="1" applyFont="1" applyFill="1" applyBorder="1" applyAlignment="1" applyProtection="1">
      <alignment horizontal="center"/>
    </xf>
    <xf numFmtId="165" fontId="16" fillId="2" borderId="14" xfId="0" applyNumberFormat="1" applyFont="1" applyFill="1" applyBorder="1" applyAlignment="1" applyProtection="1">
      <alignment horizontal="center"/>
    </xf>
    <xf numFmtId="0" fontId="16" fillId="5" borderId="14" xfId="0" applyFont="1" applyFill="1" applyBorder="1" applyAlignment="1" applyProtection="1">
      <protection locked="0"/>
    </xf>
    <xf numFmtId="3" fontId="15" fillId="4" borderId="14" xfId="0" applyNumberFormat="1" applyFont="1" applyFill="1" applyBorder="1" applyAlignment="1">
      <alignment horizontal="center"/>
    </xf>
    <xf numFmtId="10" fontId="15" fillId="4" borderId="14" xfId="0" applyNumberFormat="1" applyFont="1" applyFill="1" applyBorder="1" applyAlignment="1" applyProtection="1">
      <alignment horizontal="center"/>
      <protection locked="0"/>
    </xf>
    <xf numFmtId="166" fontId="15" fillId="5" borderId="15" xfId="0" applyNumberFormat="1" applyFont="1" applyFill="1" applyBorder="1"/>
    <xf numFmtId="165" fontId="15" fillId="4" borderId="14" xfId="0" applyNumberFormat="1" applyFont="1" applyFill="1" applyBorder="1" applyAlignment="1" applyProtection="1">
      <alignment horizontal="center"/>
      <protection locked="0"/>
    </xf>
    <xf numFmtId="165" fontId="15" fillId="5" borderId="14" xfId="0" applyNumberFormat="1" applyFont="1" applyFill="1" applyBorder="1" applyAlignment="1" applyProtection="1">
      <alignment horizontal="center"/>
      <protection locked="0"/>
    </xf>
    <xf numFmtId="166" fontId="16" fillId="5" borderId="15" xfId="0" applyNumberFormat="1" applyFont="1" applyFill="1" applyBorder="1"/>
    <xf numFmtId="0" fontId="16" fillId="5" borderId="17" xfId="0" applyFont="1" applyFill="1" applyBorder="1"/>
    <xf numFmtId="166" fontId="15" fillId="5" borderId="18" xfId="0" applyNumberFormat="1" applyFont="1" applyFill="1" applyBorder="1"/>
    <xf numFmtId="0" fontId="15" fillId="5" borderId="11" xfId="0" applyFont="1" applyFill="1" applyBorder="1" applyAlignment="1" applyProtection="1">
      <alignment horizontal="center"/>
      <protection locked="0"/>
    </xf>
    <xf numFmtId="0" fontId="15" fillId="5" borderId="11" xfId="0" applyFont="1" applyFill="1" applyBorder="1" applyAlignment="1" applyProtection="1">
      <protection locked="0"/>
    </xf>
    <xf numFmtId="0" fontId="15" fillId="4" borderId="14" xfId="0" applyNumberFormat="1" applyFont="1" applyFill="1" applyBorder="1" applyAlignment="1" applyProtection="1">
      <alignment horizontal="center"/>
      <protection locked="0"/>
    </xf>
    <xf numFmtId="166" fontId="15" fillId="6" borderId="14" xfId="0" applyNumberFormat="1" applyFont="1" applyFill="1" applyBorder="1" applyAlignment="1" applyProtection="1">
      <alignment horizontal="center"/>
      <protection locked="0"/>
    </xf>
    <xf numFmtId="0" fontId="22" fillId="5" borderId="14" xfId="0" applyFont="1" applyFill="1" applyBorder="1" applyAlignment="1">
      <alignment horizontal="right"/>
    </xf>
    <xf numFmtId="0" fontId="22" fillId="5" borderId="14" xfId="0" applyFont="1" applyFill="1" applyBorder="1" applyAlignment="1">
      <alignment horizontal="center"/>
    </xf>
    <xf numFmtId="0" fontId="15" fillId="5" borderId="17" xfId="0" applyFont="1" applyFill="1" applyBorder="1" applyAlignment="1" applyProtection="1">
      <alignment horizontal="center"/>
      <protection locked="0"/>
    </xf>
    <xf numFmtId="0" fontId="22" fillId="5" borderId="17" xfId="0" applyFont="1" applyFill="1" applyBorder="1" applyAlignment="1" applyProtection="1">
      <alignment horizontal="right"/>
    </xf>
    <xf numFmtId="0" fontId="22" fillId="5" borderId="17" xfId="0" applyFont="1" applyFill="1" applyBorder="1" applyAlignment="1" applyProtection="1">
      <alignment horizontal="center"/>
    </xf>
    <xf numFmtId="0" fontId="22" fillId="5" borderId="11" xfId="0" applyFont="1" applyFill="1" applyBorder="1" applyAlignment="1" applyProtection="1">
      <alignment horizontal="right"/>
    </xf>
    <xf numFmtId="0" fontId="22" fillId="5" borderId="11" xfId="0" applyFont="1" applyFill="1" applyBorder="1" applyAlignment="1" applyProtection="1">
      <alignment horizontal="center"/>
    </xf>
    <xf numFmtId="175" fontId="15" fillId="4" borderId="14" xfId="0" applyNumberFormat="1" applyFont="1" applyFill="1" applyBorder="1" applyAlignment="1" applyProtection="1">
      <alignment horizontal="center"/>
      <protection locked="0"/>
    </xf>
    <xf numFmtId="166" fontId="15" fillId="2" borderId="14" xfId="0" applyNumberFormat="1" applyFont="1" applyFill="1" applyBorder="1" applyAlignment="1" applyProtection="1">
      <alignment horizontal="center"/>
    </xf>
    <xf numFmtId="165" fontId="16" fillId="5" borderId="14" xfId="0" applyNumberFormat="1" applyFont="1" applyFill="1" applyBorder="1" applyAlignment="1" applyProtection="1">
      <alignment horizontal="center"/>
    </xf>
    <xf numFmtId="166" fontId="15" fillId="5" borderId="15" xfId="0" applyNumberFormat="1" applyFont="1" applyFill="1" applyBorder="1" applyProtection="1"/>
    <xf numFmtId="166" fontId="16" fillId="5" borderId="15" xfId="0" applyNumberFormat="1" applyFont="1" applyFill="1" applyBorder="1" applyProtection="1"/>
    <xf numFmtId="166" fontId="15" fillId="5" borderId="18" xfId="0" applyNumberFormat="1" applyFont="1" applyFill="1" applyBorder="1" applyProtection="1"/>
    <xf numFmtId="0" fontId="30" fillId="4" borderId="0" xfId="0" applyFont="1" applyFill="1" applyBorder="1" applyAlignment="1">
      <alignment horizontal="left"/>
    </xf>
    <xf numFmtId="0" fontId="31" fillId="2" borderId="0" xfId="0" applyFont="1" applyFill="1" applyBorder="1" applyProtection="1"/>
    <xf numFmtId="0" fontId="29" fillId="2" borderId="0" xfId="0" applyFont="1" applyFill="1" applyBorder="1" applyProtection="1"/>
    <xf numFmtId="0" fontId="15" fillId="2" borderId="0" xfId="0" applyFont="1" applyFill="1" applyBorder="1"/>
    <xf numFmtId="166" fontId="15" fillId="2" borderId="0" xfId="0" applyNumberFormat="1" applyFont="1" applyFill="1" applyBorder="1" applyProtection="1"/>
    <xf numFmtId="166" fontId="16" fillId="2" borderId="0" xfId="0" applyNumberFormat="1" applyFont="1" applyFill="1" applyBorder="1" applyProtection="1"/>
    <xf numFmtId="0" fontId="30" fillId="4" borderId="0" xfId="0" applyFont="1" applyFill="1" applyBorder="1" applyAlignment="1">
      <alignment horizontal="center"/>
    </xf>
    <xf numFmtId="0" fontId="41" fillId="2" borderId="19" xfId="0" applyFont="1" applyFill="1" applyBorder="1" applyProtection="1"/>
    <xf numFmtId="0" fontId="42" fillId="2" borderId="20" xfId="0" applyFont="1" applyFill="1" applyBorder="1" applyProtection="1"/>
    <xf numFmtId="0" fontId="42" fillId="2" borderId="21" xfId="0" applyFont="1" applyFill="1" applyBorder="1" applyProtection="1"/>
    <xf numFmtId="0" fontId="42" fillId="2" borderId="22" xfId="0" applyFont="1" applyFill="1" applyBorder="1" applyProtection="1"/>
    <xf numFmtId="0" fontId="42" fillId="2" borderId="0" xfId="0" applyFont="1" applyFill="1" applyBorder="1" applyProtection="1"/>
    <xf numFmtId="0" fontId="42" fillId="2" borderId="23" xfId="0" applyFont="1" applyFill="1" applyBorder="1" applyProtection="1"/>
    <xf numFmtId="165" fontId="42" fillId="2" borderId="0" xfId="0" applyNumberFormat="1" applyFont="1" applyFill="1" applyBorder="1" applyProtection="1"/>
    <xf numFmtId="0" fontId="42" fillId="2" borderId="24" xfId="0" applyFont="1" applyFill="1" applyBorder="1" applyProtection="1"/>
    <xf numFmtId="0" fontId="42" fillId="2" borderId="25" xfId="0" applyFont="1" applyFill="1" applyBorder="1" applyProtection="1"/>
    <xf numFmtId="165" fontId="42" fillId="2" borderId="25" xfId="0" applyNumberFormat="1" applyFont="1" applyFill="1" applyBorder="1" applyProtection="1"/>
    <xf numFmtId="0" fontId="42" fillId="2" borderId="26" xfId="0" applyFont="1" applyFill="1" applyBorder="1" applyProtection="1"/>
    <xf numFmtId="0" fontId="40" fillId="2" borderId="0" xfId="0" applyFont="1" applyFill="1" applyAlignment="1" applyProtection="1">
      <alignment horizontal="left"/>
    </xf>
    <xf numFmtId="168" fontId="15" fillId="6" borderId="14" xfId="0" applyNumberFormat="1" applyFont="1" applyFill="1" applyBorder="1" applyAlignment="1" applyProtection="1">
      <alignment horizontal="center"/>
    </xf>
    <xf numFmtId="168" fontId="15" fillId="6" borderId="14" xfId="0" applyNumberFormat="1" applyFont="1" applyFill="1" applyBorder="1" applyAlignment="1" applyProtection="1">
      <alignment horizontal="center"/>
      <protection locked="0"/>
    </xf>
    <xf numFmtId="174" fontId="19" fillId="0" borderId="14" xfId="0" applyNumberFormat="1" applyFont="1" applyFill="1" applyBorder="1" applyAlignment="1" applyProtection="1">
      <alignment horizontal="center"/>
      <protection locked="0"/>
    </xf>
    <xf numFmtId="0" fontId="21" fillId="4" borderId="0" xfId="0" applyFont="1" applyFill="1" applyBorder="1" applyProtection="1"/>
    <xf numFmtId="0" fontId="15" fillId="4" borderId="0" xfId="0" applyFont="1" applyFill="1" applyBorder="1" applyAlignment="1" applyProtection="1">
      <alignment horizontal="left"/>
      <protection locked="0"/>
    </xf>
    <xf numFmtId="0" fontId="15" fillId="5" borderId="0" xfId="0" applyFont="1" applyFill="1" applyBorder="1" applyAlignment="1" applyProtection="1">
      <alignment horizontal="left"/>
      <protection locked="0"/>
    </xf>
    <xf numFmtId="0" fontId="8" fillId="2" borderId="0" xfId="0" applyFont="1" applyFill="1" applyProtection="1"/>
    <xf numFmtId="0" fontId="45" fillId="4" borderId="0" xfId="0" applyFont="1" applyFill="1" applyBorder="1" applyAlignment="1" applyProtection="1">
      <alignment horizontal="center"/>
    </xf>
    <xf numFmtId="0" fontId="43" fillId="4" borderId="0" xfId="0" applyFont="1" applyFill="1" applyBorder="1" applyAlignment="1" applyProtection="1">
      <alignment horizontal="left"/>
    </xf>
    <xf numFmtId="0" fontId="47" fillId="7" borderId="0" xfId="0" applyFont="1" applyFill="1" applyBorder="1" applyAlignment="1" applyProtection="1">
      <alignment horizontal="center"/>
    </xf>
    <xf numFmtId="0" fontId="49" fillId="4" borderId="0" xfId="0" applyFont="1" applyFill="1" applyBorder="1" applyAlignment="1" applyProtection="1">
      <alignment horizontal="center"/>
    </xf>
    <xf numFmtId="0" fontId="53" fillId="4" borderId="0" xfId="0" applyFont="1" applyFill="1" applyBorder="1" applyAlignment="1" applyProtection="1">
      <alignment horizontal="left"/>
    </xf>
    <xf numFmtId="0" fontId="53" fillId="4" borderId="0" xfId="0" applyFont="1" applyFill="1" applyBorder="1" applyProtection="1"/>
    <xf numFmtId="0" fontId="43" fillId="4" borderId="1" xfId="0" applyFont="1" applyFill="1" applyBorder="1" applyAlignment="1" applyProtection="1">
      <alignment horizontal="left"/>
      <protection locked="0"/>
    </xf>
    <xf numFmtId="14" fontId="43" fillId="4" borderId="1" xfId="0" applyNumberFormat="1" applyFont="1" applyFill="1" applyBorder="1" applyAlignment="1" applyProtection="1">
      <alignment horizontal="center"/>
      <protection locked="0"/>
    </xf>
    <xf numFmtId="0" fontId="43" fillId="4" borderId="1" xfId="0" applyFont="1" applyFill="1" applyBorder="1" applyAlignment="1" applyProtection="1">
      <alignment horizontal="center"/>
      <protection locked="0"/>
    </xf>
    <xf numFmtId="171" fontId="43" fillId="4" borderId="1" xfId="0" applyNumberFormat="1" applyFont="1" applyFill="1" applyBorder="1" applyAlignment="1" applyProtection="1">
      <alignment horizontal="center"/>
      <protection locked="0"/>
    </xf>
    <xf numFmtId="0" fontId="43" fillId="4" borderId="1" xfId="2" applyNumberFormat="1" applyFont="1" applyFill="1" applyBorder="1" applyAlignment="1" applyProtection="1">
      <alignment horizontal="center"/>
      <protection locked="0"/>
    </xf>
    <xf numFmtId="166" fontId="49" fillId="8" borderId="1" xfId="0" applyNumberFormat="1" applyFont="1" applyFill="1" applyBorder="1" applyAlignment="1" applyProtection="1">
      <alignment horizontal="center"/>
    </xf>
    <xf numFmtId="0" fontId="7" fillId="7" borderId="0" xfId="0" applyFont="1" applyFill="1" applyProtection="1"/>
    <xf numFmtId="0" fontId="7" fillId="7" borderId="0" xfId="0" applyFont="1" applyFill="1" applyAlignment="1" applyProtection="1">
      <alignment horizontal="left"/>
    </xf>
    <xf numFmtId="0" fontId="7" fillId="7" borderId="0" xfId="0" applyFont="1" applyFill="1" applyAlignment="1" applyProtection="1">
      <alignment horizontal="center"/>
    </xf>
    <xf numFmtId="0" fontId="7" fillId="4" borderId="4" xfId="0" applyFont="1" applyFill="1" applyBorder="1" applyProtection="1"/>
    <xf numFmtId="0" fontId="7" fillId="4" borderId="5" xfId="0" applyFont="1" applyFill="1" applyBorder="1" applyProtection="1"/>
    <xf numFmtId="0" fontId="7" fillId="4" borderId="5" xfId="0" applyFont="1" applyFill="1" applyBorder="1" applyAlignment="1" applyProtection="1">
      <alignment horizontal="left"/>
    </xf>
    <xf numFmtId="0" fontId="7" fillId="4" borderId="5" xfId="0" applyFont="1" applyFill="1" applyBorder="1" applyAlignment="1" applyProtection="1">
      <alignment horizontal="center"/>
    </xf>
    <xf numFmtId="0" fontId="7" fillId="4" borderId="6" xfId="0" applyFont="1" applyFill="1" applyBorder="1" applyProtection="1"/>
    <xf numFmtId="0" fontId="7" fillId="4" borderId="7" xfId="0" applyFont="1" applyFill="1" applyBorder="1" applyProtection="1"/>
    <xf numFmtId="0" fontId="7" fillId="4" borderId="0" xfId="0" applyFont="1" applyFill="1" applyBorder="1" applyProtection="1"/>
    <xf numFmtId="0" fontId="7" fillId="4" borderId="0" xfId="0" applyFont="1" applyFill="1" applyBorder="1" applyAlignment="1" applyProtection="1">
      <alignment horizontal="left"/>
    </xf>
    <xf numFmtId="0" fontId="7" fillId="4" borderId="0" xfId="0" applyFont="1" applyFill="1" applyBorder="1" applyAlignment="1" applyProtection="1">
      <alignment horizontal="center"/>
    </xf>
    <xf numFmtId="0" fontId="7" fillId="4" borderId="8" xfId="0" applyFont="1" applyFill="1" applyBorder="1" applyProtection="1"/>
    <xf numFmtId="0" fontId="19" fillId="4" borderId="0" xfId="0" applyFont="1" applyFill="1" applyBorder="1" applyProtection="1"/>
    <xf numFmtId="14" fontId="7" fillId="4" borderId="0" xfId="0" applyNumberFormat="1" applyFont="1" applyFill="1" applyBorder="1" applyProtection="1"/>
    <xf numFmtId="166" fontId="7" fillId="4" borderId="0" xfId="0" applyNumberFormat="1" applyFont="1" applyFill="1" applyBorder="1" applyProtection="1"/>
    <xf numFmtId="0" fontId="7" fillId="4" borderId="2" xfId="0" applyFont="1" applyFill="1" applyBorder="1" applyProtection="1"/>
    <xf numFmtId="0" fontId="7" fillId="4" borderId="3" xfId="0" applyFont="1" applyFill="1" applyBorder="1" applyProtection="1"/>
    <xf numFmtId="0" fontId="16" fillId="4" borderId="3" xfId="0" applyFont="1" applyFill="1" applyBorder="1" applyProtection="1"/>
    <xf numFmtId="9" fontId="19" fillId="4" borderId="3" xfId="2" applyFont="1" applyFill="1" applyBorder="1" applyAlignment="1" applyProtection="1">
      <alignment horizontal="center"/>
    </xf>
    <xf numFmtId="0" fontId="7" fillId="4" borderId="9" xfId="0" applyFont="1" applyFill="1" applyBorder="1" applyProtection="1"/>
    <xf numFmtId="0" fontId="50" fillId="4" borderId="3" xfId="0" applyFont="1" applyFill="1" applyBorder="1" applyProtection="1"/>
    <xf numFmtId="0" fontId="46" fillId="4" borderId="3" xfId="0" applyFont="1" applyFill="1" applyBorder="1" applyAlignment="1" applyProtection="1">
      <alignment horizontal="right"/>
    </xf>
    <xf numFmtId="0" fontId="61" fillId="4" borderId="7" xfId="0" applyFont="1" applyFill="1" applyBorder="1" applyProtection="1"/>
    <xf numFmtId="0" fontId="61" fillId="4" borderId="0" xfId="0" applyFont="1" applyFill="1" applyBorder="1" applyProtection="1"/>
    <xf numFmtId="0" fontId="61" fillId="4" borderId="0" xfId="0" applyFont="1" applyFill="1" applyBorder="1" applyAlignment="1" applyProtection="1">
      <alignment horizontal="left"/>
    </xf>
    <xf numFmtId="0" fontId="61" fillId="4" borderId="0" xfId="0" applyFont="1" applyFill="1" applyBorder="1" applyAlignment="1" applyProtection="1">
      <alignment horizontal="center"/>
    </xf>
    <xf numFmtId="14" fontId="61" fillId="4" borderId="0" xfId="0" applyNumberFormat="1" applyFont="1" applyFill="1" applyBorder="1" applyProtection="1"/>
    <xf numFmtId="0" fontId="61" fillId="4" borderId="8" xfId="0" applyFont="1" applyFill="1" applyBorder="1" applyProtection="1"/>
    <xf numFmtId="0" fontId="61" fillId="7" borderId="0" xfId="0" applyFont="1" applyFill="1" applyProtection="1"/>
    <xf numFmtId="0" fontId="2" fillId="4" borderId="0" xfId="1" applyFill="1" applyBorder="1" applyAlignment="1" applyProtection="1"/>
    <xf numFmtId="0" fontId="23" fillId="7" borderId="0" xfId="0" applyFont="1" applyFill="1"/>
    <xf numFmtId="0" fontId="32" fillId="7" borderId="0" xfId="0" applyFont="1" applyFill="1"/>
    <xf numFmtId="0" fontId="24" fillId="7" borderId="0" xfId="0" applyFont="1" applyFill="1" applyAlignment="1">
      <alignment horizontal="right"/>
    </xf>
    <xf numFmtId="0" fontId="8" fillId="7" borderId="0" xfId="0" applyFont="1" applyFill="1"/>
    <xf numFmtId="0" fontId="23" fillId="4" borderId="0" xfId="0" applyFont="1" applyFill="1"/>
    <xf numFmtId="0" fontId="23" fillId="4" borderId="0" xfId="0" applyFont="1" applyFill="1" applyBorder="1"/>
    <xf numFmtId="0" fontId="32" fillId="4" borderId="0" xfId="0" applyFont="1" applyFill="1" applyBorder="1"/>
    <xf numFmtId="0" fontId="32" fillId="4" borderId="0" xfId="0" applyFont="1" applyFill="1" applyBorder="1" applyAlignment="1">
      <alignment horizontal="right"/>
    </xf>
    <xf numFmtId="0" fontId="24" fillId="4" borderId="0" xfId="0" applyFont="1" applyFill="1" applyBorder="1"/>
    <xf numFmtId="0" fontId="24" fillId="4" borderId="0" xfId="0" applyFont="1" applyFill="1" applyBorder="1" applyAlignment="1">
      <alignment horizontal="right"/>
    </xf>
    <xf numFmtId="0" fontId="34" fillId="4" borderId="0" xfId="0" applyFont="1" applyFill="1" applyBorder="1"/>
    <xf numFmtId="0" fontId="8" fillId="4" borderId="0" xfId="0" applyFont="1" applyFill="1" applyBorder="1"/>
    <xf numFmtId="0" fontId="10" fillId="4" borderId="0" xfId="0" applyFont="1" applyFill="1" applyBorder="1"/>
    <xf numFmtId="0" fontId="9" fillId="4" borderId="0" xfId="0" applyFont="1" applyFill="1" applyBorder="1"/>
    <xf numFmtId="0" fontId="36" fillId="4" borderId="0" xfId="1" applyFont="1" applyFill="1" applyBorder="1" applyAlignment="1" applyProtection="1"/>
    <xf numFmtId="0" fontId="51" fillId="4" borderId="0" xfId="0" applyFont="1" applyFill="1" applyBorder="1"/>
    <xf numFmtId="0" fontId="62" fillId="4" borderId="0" xfId="0" applyFont="1" applyFill="1" applyBorder="1" applyAlignment="1">
      <alignment horizontal="center"/>
    </xf>
    <xf numFmtId="0" fontId="63" fillId="4" borderId="7" xfId="0" applyFont="1" applyFill="1" applyBorder="1" applyProtection="1"/>
    <xf numFmtId="0" fontId="63" fillId="4" borderId="0" xfId="0" applyFont="1" applyFill="1" applyBorder="1" applyProtection="1"/>
    <xf numFmtId="0" fontId="63" fillId="4" borderId="0" xfId="0" applyFont="1" applyFill="1" applyBorder="1" applyAlignment="1" applyProtection="1">
      <alignment horizontal="center"/>
    </xf>
    <xf numFmtId="0" fontId="63" fillId="4" borderId="0" xfId="0" applyFont="1" applyFill="1" applyBorder="1" applyAlignment="1" applyProtection="1">
      <alignment horizontal="left"/>
    </xf>
    <xf numFmtId="0" fontId="63" fillId="4" borderId="8" xfId="0" applyFont="1" applyFill="1" applyBorder="1" applyProtection="1"/>
    <xf numFmtId="0" fontId="63" fillId="7" borderId="0" xfId="0" applyFont="1" applyFill="1" applyProtection="1"/>
    <xf numFmtId="0" fontId="43" fillId="0" borderId="0" xfId="0" applyFont="1" applyBorder="1" applyAlignment="1">
      <alignment horizontal="left"/>
    </xf>
    <xf numFmtId="0" fontId="44" fillId="0" borderId="0" xfId="0" applyFont="1" applyBorder="1" applyAlignment="1" applyProtection="1">
      <alignment horizontal="left"/>
    </xf>
    <xf numFmtId="170" fontId="43" fillId="9" borderId="0" xfId="0" applyNumberFormat="1" applyFont="1" applyFill="1" applyBorder="1" applyAlignment="1" applyProtection="1">
      <alignment horizontal="left"/>
      <protection locked="0"/>
    </xf>
    <xf numFmtId="0" fontId="43" fillId="0" borderId="0" xfId="0" applyFont="1" applyBorder="1" applyAlignment="1" applyProtection="1">
      <alignment horizontal="left"/>
    </xf>
    <xf numFmtId="0" fontId="43" fillId="0" borderId="0" xfId="0" applyFont="1" applyFill="1" applyBorder="1" applyAlignment="1" applyProtection="1">
      <alignment horizontal="left"/>
    </xf>
    <xf numFmtId="0" fontId="43" fillId="0" borderId="0" xfId="0" applyNumberFormat="1" applyFont="1" applyBorder="1" applyAlignment="1" applyProtection="1">
      <alignment horizontal="left"/>
    </xf>
    <xf numFmtId="1" fontId="43" fillId="0" borderId="0" xfId="0" applyNumberFormat="1" applyFont="1" applyBorder="1" applyAlignment="1" applyProtection="1">
      <alignment horizontal="left"/>
    </xf>
    <xf numFmtId="3" fontId="43" fillId="9" borderId="0" xfId="0" applyNumberFormat="1" applyFont="1" applyFill="1" applyBorder="1" applyAlignment="1" applyProtection="1">
      <alignment horizontal="left"/>
      <protection locked="0"/>
    </xf>
    <xf numFmtId="0" fontId="43" fillId="4" borderId="0" xfId="0" applyFont="1" applyFill="1" applyBorder="1" applyAlignment="1" applyProtection="1">
      <alignment horizontal="left"/>
      <protection locked="0"/>
    </xf>
    <xf numFmtId="49" fontId="43" fillId="0" borderId="0" xfId="0" applyNumberFormat="1" applyFont="1" applyBorder="1" applyAlignment="1" applyProtection="1">
      <alignment horizontal="left"/>
    </xf>
    <xf numFmtId="4" fontId="43" fillId="9" borderId="0" xfId="0" applyNumberFormat="1" applyFont="1" applyFill="1" applyBorder="1" applyAlignment="1" applyProtection="1">
      <alignment horizontal="left"/>
      <protection locked="0"/>
    </xf>
    <xf numFmtId="10" fontId="43" fillId="9" borderId="0" xfId="0" applyNumberFormat="1" applyFont="1" applyFill="1" applyBorder="1" applyAlignment="1" applyProtection="1">
      <alignment horizontal="left"/>
      <protection locked="0"/>
    </xf>
    <xf numFmtId="3" fontId="43" fillId="0" borderId="0" xfId="0" applyNumberFormat="1" applyFont="1" applyFill="1" applyBorder="1" applyAlignment="1" applyProtection="1">
      <alignment horizontal="left"/>
    </xf>
    <xf numFmtId="9" fontId="43" fillId="0" borderId="0" xfId="0" applyNumberFormat="1" applyFont="1" applyBorder="1" applyAlignment="1" applyProtection="1">
      <alignment horizontal="left"/>
    </xf>
    <xf numFmtId="49" fontId="43" fillId="0" borderId="0" xfId="0" applyNumberFormat="1" applyFont="1" applyBorder="1" applyAlignment="1" applyProtection="1">
      <alignment horizontal="center"/>
    </xf>
    <xf numFmtId="10" fontId="43" fillId="0" borderId="0" xfId="0" applyNumberFormat="1" applyFont="1" applyBorder="1" applyAlignment="1" applyProtection="1">
      <alignment horizontal="left"/>
    </xf>
    <xf numFmtId="2" fontId="43" fillId="9" borderId="0" xfId="0" applyNumberFormat="1" applyFont="1" applyFill="1" applyBorder="1" applyAlignment="1" applyProtection="1">
      <alignment horizontal="left"/>
      <protection locked="0"/>
    </xf>
    <xf numFmtId="0" fontId="64" fillId="0" borderId="0" xfId="0" applyFont="1" applyFill="1" applyBorder="1" applyAlignment="1" applyProtection="1">
      <alignment horizontal="left"/>
    </xf>
    <xf numFmtId="2" fontId="43" fillId="0" borderId="0" xfId="0" applyNumberFormat="1" applyFont="1" applyFill="1" applyBorder="1" applyAlignment="1" applyProtection="1">
      <alignment horizontal="left"/>
      <protection locked="0"/>
    </xf>
    <xf numFmtId="2" fontId="64" fillId="0" borderId="0" xfId="0" applyNumberFormat="1" applyFont="1" applyBorder="1" applyAlignment="1" applyProtection="1">
      <alignment horizontal="left"/>
    </xf>
    <xf numFmtId="2" fontId="64" fillId="0" borderId="0" xfId="0" applyNumberFormat="1" applyFont="1" applyFill="1" applyBorder="1" applyAlignment="1" applyProtection="1">
      <alignment horizontal="left"/>
    </xf>
    <xf numFmtId="173" fontId="43" fillId="9" borderId="0" xfId="0" applyNumberFormat="1" applyFont="1" applyFill="1" applyBorder="1" applyAlignment="1" applyProtection="1">
      <alignment horizontal="left"/>
      <protection locked="0"/>
    </xf>
    <xf numFmtId="2" fontId="43" fillId="0" borderId="0" xfId="0" applyNumberFormat="1" applyFont="1" applyBorder="1" applyAlignment="1" applyProtection="1">
      <alignment horizontal="left"/>
    </xf>
    <xf numFmtId="0" fontId="44" fillId="0" borderId="0" xfId="0" applyFont="1" applyBorder="1" applyAlignment="1">
      <alignment horizontal="left"/>
    </xf>
    <xf numFmtId="0" fontId="65" fillId="0" borderId="0" xfId="0" applyFont="1" applyBorder="1" applyAlignment="1" applyProtection="1">
      <alignment horizontal="left"/>
    </xf>
    <xf numFmtId="4" fontId="43" fillId="0" borderId="0" xfId="0" applyNumberFormat="1" applyFont="1" applyBorder="1" applyAlignment="1" applyProtection="1">
      <alignment horizontal="left"/>
    </xf>
    <xf numFmtId="172" fontId="43" fillId="0" borderId="0" xfId="0" applyNumberFormat="1" applyFont="1" applyBorder="1" applyAlignment="1" applyProtection="1">
      <alignment horizontal="left"/>
    </xf>
    <xf numFmtId="0" fontId="43" fillId="0" borderId="0" xfId="0" applyFont="1" applyProtection="1"/>
    <xf numFmtId="0" fontId="43" fillId="0" borderId="0" xfId="0" applyFont="1" applyAlignment="1" applyProtection="1">
      <alignment horizontal="left"/>
    </xf>
    <xf numFmtId="0" fontId="43" fillId="4" borderId="0" xfId="0" applyFont="1" applyFill="1" applyBorder="1" applyAlignment="1" applyProtection="1">
      <alignment horizontal="center"/>
    </xf>
    <xf numFmtId="0" fontId="44" fillId="4" borderId="0" xfId="0" applyFont="1" applyFill="1" applyBorder="1" applyAlignment="1" applyProtection="1">
      <alignment horizontal="center"/>
    </xf>
    <xf numFmtId="0" fontId="43" fillId="4" borderId="4" xfId="0" applyFont="1" applyFill="1" applyBorder="1" applyAlignment="1" applyProtection="1">
      <alignment horizontal="center"/>
    </xf>
    <xf numFmtId="0" fontId="43" fillId="4" borderId="5" xfId="0" applyFont="1" applyFill="1" applyBorder="1" applyAlignment="1" applyProtection="1">
      <alignment horizontal="center"/>
    </xf>
    <xf numFmtId="0" fontId="43" fillId="4" borderId="5" xfId="0" applyFont="1" applyFill="1" applyBorder="1" applyAlignment="1" applyProtection="1">
      <alignment horizontal="left"/>
    </xf>
    <xf numFmtId="0" fontId="43" fillId="4" borderId="6" xfId="0" applyFont="1" applyFill="1" applyBorder="1" applyAlignment="1" applyProtection="1">
      <alignment horizontal="center"/>
    </xf>
    <xf numFmtId="0" fontId="45" fillId="4" borderId="5" xfId="0" applyFont="1" applyFill="1" applyBorder="1" applyAlignment="1" applyProtection="1">
      <alignment horizontal="center"/>
    </xf>
    <xf numFmtId="0" fontId="47" fillId="4" borderId="5" xfId="0" applyFont="1" applyFill="1" applyBorder="1" applyAlignment="1" applyProtection="1">
      <alignment horizontal="center"/>
    </xf>
    <xf numFmtId="0" fontId="43" fillId="7" borderId="0" xfId="0" applyFont="1" applyFill="1" applyBorder="1" applyAlignment="1" applyProtection="1">
      <alignment horizontal="center"/>
    </xf>
    <xf numFmtId="0" fontId="43" fillId="4" borderId="7" xfId="0" applyFont="1" applyFill="1" applyBorder="1" applyAlignment="1" applyProtection="1">
      <alignment horizontal="center"/>
    </xf>
    <xf numFmtId="0" fontId="43" fillId="4" borderId="8" xfId="0" applyFont="1" applyFill="1" applyBorder="1" applyAlignment="1" applyProtection="1">
      <alignment horizontal="center"/>
    </xf>
    <xf numFmtId="0" fontId="47" fillId="4" borderId="0" xfId="0" applyFont="1" applyFill="1" applyBorder="1" applyAlignment="1" applyProtection="1">
      <alignment horizontal="center"/>
    </xf>
    <xf numFmtId="0" fontId="57" fillId="4" borderId="7" xfId="0" applyFont="1" applyFill="1" applyBorder="1" applyAlignment="1" applyProtection="1">
      <alignment horizontal="center"/>
    </xf>
    <xf numFmtId="0" fontId="58" fillId="4" borderId="0" xfId="0" applyFont="1" applyFill="1" applyBorder="1" applyAlignment="1" applyProtection="1">
      <alignment horizontal="left"/>
    </xf>
    <xf numFmtId="0" fontId="57" fillId="4" borderId="0" xfId="0" applyFont="1" applyFill="1" applyBorder="1" applyAlignment="1" applyProtection="1">
      <alignment horizontal="left"/>
    </xf>
    <xf numFmtId="0" fontId="57" fillId="4" borderId="0" xfId="0" applyFont="1" applyFill="1" applyBorder="1" applyAlignment="1" applyProtection="1">
      <alignment horizontal="center"/>
    </xf>
    <xf numFmtId="0" fontId="57" fillId="4" borderId="8" xfId="0" applyFont="1" applyFill="1" applyBorder="1" applyAlignment="1" applyProtection="1">
      <alignment horizontal="center"/>
    </xf>
    <xf numFmtId="0" fontId="59" fillId="4" borderId="0" xfId="0" applyFont="1" applyFill="1" applyBorder="1" applyAlignment="1" applyProtection="1">
      <alignment horizontal="center"/>
    </xf>
    <xf numFmtId="0" fontId="60" fillId="4" borderId="0" xfId="0" applyFont="1" applyFill="1" applyBorder="1" applyAlignment="1" applyProtection="1">
      <alignment horizontal="center"/>
    </xf>
    <xf numFmtId="0" fontId="57" fillId="7" borderId="0" xfId="0" applyFont="1" applyFill="1" applyBorder="1" applyAlignment="1" applyProtection="1">
      <alignment horizontal="center"/>
    </xf>
    <xf numFmtId="0" fontId="52" fillId="4" borderId="7" xfId="0" applyFont="1" applyFill="1" applyBorder="1" applyAlignment="1" applyProtection="1">
      <alignment horizontal="center"/>
    </xf>
    <xf numFmtId="0" fontId="52" fillId="4" borderId="0" xfId="0" applyFont="1" applyFill="1" applyBorder="1" applyAlignment="1" applyProtection="1">
      <alignment horizontal="center"/>
    </xf>
    <xf numFmtId="166" fontId="52" fillId="4" borderId="0" xfId="0" applyNumberFormat="1" applyFont="1" applyFill="1" applyBorder="1" applyAlignment="1" applyProtection="1">
      <alignment horizontal="center"/>
    </xf>
    <xf numFmtId="0" fontId="52" fillId="4" borderId="8" xfId="0" applyFont="1" applyFill="1" applyBorder="1" applyAlignment="1" applyProtection="1">
      <alignment horizontal="center"/>
    </xf>
    <xf numFmtId="0" fontId="54" fillId="4" borderId="0" xfId="0" applyFont="1" applyFill="1" applyBorder="1" applyAlignment="1" applyProtection="1">
      <alignment horizontal="center"/>
    </xf>
    <xf numFmtId="166" fontId="43" fillId="4" borderId="0" xfId="0" applyNumberFormat="1" applyFont="1" applyFill="1" applyBorder="1" applyAlignment="1" applyProtection="1">
      <alignment horizontal="center"/>
    </xf>
    <xf numFmtId="0" fontId="52" fillId="7" borderId="0" xfId="0" applyFont="1" applyFill="1" applyBorder="1" applyAlignment="1" applyProtection="1">
      <alignment horizontal="center"/>
    </xf>
    <xf numFmtId="0" fontId="43" fillId="7" borderId="1" xfId="0" applyFont="1" applyFill="1" applyBorder="1" applyAlignment="1" applyProtection="1">
      <alignment horizontal="center"/>
    </xf>
    <xf numFmtId="0" fontId="43" fillId="7" borderId="1" xfId="0" applyFont="1" applyFill="1" applyBorder="1" applyAlignment="1" applyProtection="1">
      <alignment horizontal="left"/>
    </xf>
    <xf numFmtId="0" fontId="43" fillId="7" borderId="29" xfId="0" applyFont="1" applyFill="1" applyBorder="1" applyAlignment="1" applyProtection="1">
      <alignment horizontal="center"/>
    </xf>
    <xf numFmtId="0" fontId="43" fillId="7" borderId="30" xfId="0" applyFont="1" applyFill="1" applyBorder="1" applyAlignment="1" applyProtection="1">
      <alignment horizontal="center"/>
    </xf>
    <xf numFmtId="0" fontId="45" fillId="7" borderId="1" xfId="0" applyFont="1" applyFill="1" applyBorder="1" applyAlignment="1" applyProtection="1">
      <alignment horizontal="center"/>
    </xf>
    <xf numFmtId="0" fontId="47" fillId="7" borderId="1" xfId="0" applyFont="1" applyFill="1" applyBorder="1" applyAlignment="1" applyProtection="1">
      <alignment horizontal="center"/>
    </xf>
    <xf numFmtId="0" fontId="49" fillId="7" borderId="1" xfId="0" applyFont="1" applyFill="1" applyBorder="1" applyAlignment="1" applyProtection="1">
      <alignment horizontal="center"/>
    </xf>
    <xf numFmtId="0" fontId="43" fillId="4" borderId="2" xfId="0" applyFont="1" applyFill="1" applyBorder="1" applyAlignment="1" applyProtection="1">
      <alignment horizontal="center"/>
    </xf>
    <xf numFmtId="0" fontId="43" fillId="4" borderId="3" xfId="0" applyFont="1" applyFill="1" applyBorder="1" applyAlignment="1" applyProtection="1">
      <alignment horizontal="center"/>
    </xf>
    <xf numFmtId="0" fontId="43" fillId="4" borderId="3" xfId="0" applyFont="1" applyFill="1" applyBorder="1" applyAlignment="1" applyProtection="1">
      <alignment horizontal="left"/>
    </xf>
    <xf numFmtId="0" fontId="43" fillId="4" borderId="9" xfId="0" applyFont="1" applyFill="1" applyBorder="1" applyAlignment="1" applyProtection="1">
      <alignment horizontal="center"/>
    </xf>
    <xf numFmtId="0" fontId="45" fillId="4" borderId="3" xfId="0" applyFont="1" applyFill="1" applyBorder="1" applyAlignment="1" applyProtection="1">
      <alignment horizontal="center"/>
    </xf>
    <xf numFmtId="0" fontId="47" fillId="4" borderId="3" xfId="0" applyFont="1" applyFill="1" applyBorder="1" applyAlignment="1" applyProtection="1">
      <alignment horizontal="center"/>
    </xf>
    <xf numFmtId="0" fontId="43" fillId="7" borderId="0" xfId="0" applyFont="1" applyFill="1" applyBorder="1" applyAlignment="1" applyProtection="1">
      <alignment horizontal="left"/>
    </xf>
    <xf numFmtId="0" fontId="45" fillId="7" borderId="0" xfId="0" applyFont="1" applyFill="1" applyBorder="1" applyAlignment="1" applyProtection="1">
      <alignment horizontal="center"/>
    </xf>
    <xf numFmtId="0" fontId="67" fillId="4" borderId="0" xfId="0" applyFont="1" applyFill="1" applyBorder="1" applyAlignment="1" applyProtection="1">
      <alignment horizontal="left"/>
    </xf>
    <xf numFmtId="0" fontId="8" fillId="10" borderId="0" xfId="0" applyFont="1" applyFill="1" applyBorder="1"/>
    <xf numFmtId="0" fontId="10" fillId="10" borderId="0" xfId="0" applyFont="1" applyFill="1" applyBorder="1"/>
    <xf numFmtId="0" fontId="8" fillId="9" borderId="0" xfId="0" applyFont="1" applyFill="1" applyBorder="1" applyAlignment="1">
      <alignment horizontal="left"/>
    </xf>
    <xf numFmtId="0" fontId="23" fillId="11" borderId="0" xfId="0" applyFont="1" applyFill="1"/>
    <xf numFmtId="0" fontId="47" fillId="10" borderId="0" xfId="0" applyFont="1" applyFill="1" applyBorder="1" applyAlignment="1" applyProtection="1">
      <alignment horizontal="center"/>
    </xf>
    <xf numFmtId="0" fontId="52" fillId="10" borderId="0" xfId="0" applyFont="1" applyFill="1" applyBorder="1" applyAlignment="1" applyProtection="1">
      <alignment horizontal="center"/>
    </xf>
    <xf numFmtId="0" fontId="49" fillId="10" borderId="0" xfId="0" applyFont="1" applyFill="1" applyBorder="1" applyAlignment="1" applyProtection="1">
      <alignment horizontal="center"/>
    </xf>
    <xf numFmtId="0" fontId="45" fillId="10" borderId="0" xfId="0" applyFont="1" applyFill="1" applyBorder="1" applyAlignment="1" applyProtection="1">
      <alignment horizontal="center"/>
    </xf>
    <xf numFmtId="0" fontId="49" fillId="0" borderId="0" xfId="0" applyFont="1" applyAlignment="1" applyProtection="1">
      <alignment horizontal="left"/>
    </xf>
    <xf numFmtId="0" fontId="8" fillId="4" borderId="0" xfId="0" applyFont="1" applyFill="1" applyBorder="1" applyAlignment="1" applyProtection="1">
      <alignment horizontal="center"/>
    </xf>
    <xf numFmtId="0" fontId="68" fillId="4" borderId="5" xfId="0" applyFont="1" applyFill="1" applyBorder="1" applyAlignment="1" applyProtection="1">
      <alignment horizontal="center"/>
    </xf>
    <xf numFmtId="0" fontId="68" fillId="4" borderId="0" xfId="0" applyFont="1" applyFill="1" applyBorder="1" applyAlignment="1" applyProtection="1">
      <alignment horizontal="center"/>
    </xf>
    <xf numFmtId="0" fontId="69" fillId="4" borderId="0" xfId="0" applyFont="1" applyFill="1" applyBorder="1" applyAlignment="1" applyProtection="1">
      <alignment horizontal="center"/>
    </xf>
    <xf numFmtId="0" fontId="68" fillId="10" borderId="0" xfId="0" applyFont="1" applyFill="1" applyBorder="1" applyAlignment="1" applyProtection="1">
      <alignment horizontal="center"/>
    </xf>
    <xf numFmtId="0" fontId="71" fillId="10" borderId="0" xfId="0" applyFont="1" applyFill="1" applyBorder="1" applyAlignment="1" applyProtection="1">
      <alignment horizontal="center"/>
    </xf>
    <xf numFmtId="0" fontId="71" fillId="4" borderId="0" xfId="0" applyFont="1" applyFill="1" applyBorder="1" applyAlignment="1" applyProtection="1">
      <alignment horizontal="center"/>
    </xf>
    <xf numFmtId="0" fontId="71" fillId="7" borderId="1" xfId="0" applyFont="1" applyFill="1" applyBorder="1" applyAlignment="1" applyProtection="1">
      <alignment horizontal="center"/>
    </xf>
    <xf numFmtId="166" fontId="71" fillId="0" borderId="1" xfId="0" applyNumberFormat="1" applyFont="1" applyFill="1" applyBorder="1" applyAlignment="1" applyProtection="1">
      <alignment horizontal="center"/>
    </xf>
    <xf numFmtId="0" fontId="68" fillId="7" borderId="1" xfId="0" applyFont="1" applyFill="1" applyBorder="1" applyAlignment="1" applyProtection="1">
      <alignment horizontal="center"/>
    </xf>
    <xf numFmtId="0" fontId="68" fillId="4" borderId="3" xfId="0" applyFont="1" applyFill="1" applyBorder="1" applyAlignment="1" applyProtection="1">
      <alignment horizontal="center"/>
    </xf>
    <xf numFmtId="0" fontId="68" fillId="7" borderId="0" xfId="0" applyFont="1" applyFill="1" applyBorder="1" applyAlignment="1" applyProtection="1">
      <alignment horizontal="center"/>
    </xf>
    <xf numFmtId="0" fontId="70" fillId="0" borderId="0" xfId="0" applyFont="1" applyAlignment="1">
      <alignment horizontal="center"/>
    </xf>
    <xf numFmtId="0" fontId="70" fillId="4" borderId="0" xfId="0" applyFont="1" applyFill="1" applyBorder="1" applyAlignment="1" applyProtection="1">
      <alignment horizontal="center"/>
    </xf>
    <xf numFmtId="0" fontId="70" fillId="4" borderId="0" xfId="0" applyFont="1" applyFill="1" applyBorder="1" applyAlignment="1" applyProtection="1">
      <alignment horizontal="left"/>
    </xf>
    <xf numFmtId="0" fontId="70" fillId="10" borderId="0" xfId="0" applyFont="1" applyFill="1" applyBorder="1" applyProtection="1"/>
    <xf numFmtId="0" fontId="9" fillId="0" borderId="0" xfId="0" applyFont="1" applyBorder="1" applyAlignment="1" applyProtection="1">
      <alignment horizontal="left"/>
    </xf>
    <xf numFmtId="0" fontId="8" fillId="0" borderId="0" xfId="0" applyFont="1" applyBorder="1" applyAlignment="1" applyProtection="1">
      <alignment horizontal="left"/>
    </xf>
    <xf numFmtId="10" fontId="8" fillId="9" borderId="0" xfId="0" applyNumberFormat="1" applyFont="1" applyFill="1" applyBorder="1" applyAlignment="1" applyProtection="1">
      <alignment horizontal="left"/>
      <protection locked="0"/>
    </xf>
    <xf numFmtId="49" fontId="8" fillId="0" borderId="0" xfId="0" applyNumberFormat="1" applyFont="1" applyBorder="1" applyAlignment="1" applyProtection="1">
      <alignment horizontal="center"/>
    </xf>
    <xf numFmtId="0" fontId="8" fillId="0" borderId="34" xfId="0" applyFont="1" applyFill="1" applyBorder="1"/>
    <xf numFmtId="0" fontId="8" fillId="9" borderId="0" xfId="0" applyNumberFormat="1" applyFont="1" applyFill="1" applyBorder="1" applyAlignment="1" applyProtection="1">
      <alignment horizontal="left"/>
      <protection locked="0"/>
    </xf>
    <xf numFmtId="3" fontId="71" fillId="9" borderId="0" xfId="0" applyNumberFormat="1" applyFont="1" applyFill="1" applyBorder="1" applyAlignment="1" applyProtection="1">
      <alignment horizontal="left"/>
      <protection locked="0"/>
    </xf>
    <xf numFmtId="0" fontId="70" fillId="4" borderId="0" xfId="0" applyFont="1" applyFill="1" applyAlignment="1" applyProtection="1">
      <alignment horizontal="left"/>
      <protection locked="0"/>
    </xf>
    <xf numFmtId="0" fontId="8" fillId="0" borderId="0" xfId="0" applyFont="1" applyBorder="1" applyAlignment="1">
      <alignment horizontal="left"/>
    </xf>
    <xf numFmtId="172" fontId="8" fillId="9" borderId="0" xfId="0" applyNumberFormat="1" applyFont="1" applyFill="1" applyBorder="1" applyAlignment="1" applyProtection="1">
      <alignment horizontal="left"/>
      <protection locked="0"/>
    </xf>
    <xf numFmtId="3" fontId="8" fillId="9" borderId="0" xfId="0" applyNumberFormat="1" applyFont="1" applyFill="1" applyBorder="1" applyAlignment="1" applyProtection="1">
      <alignment horizontal="left"/>
      <protection locked="0"/>
    </xf>
    <xf numFmtId="4" fontId="8" fillId="9" borderId="0" xfId="0" applyNumberFormat="1" applyFont="1" applyFill="1" applyBorder="1" applyAlignment="1" applyProtection="1">
      <alignment horizontal="left"/>
      <protection locked="0"/>
    </xf>
    <xf numFmtId="3" fontId="8" fillId="0" borderId="0" xfId="0" applyNumberFormat="1" applyFont="1" applyFill="1" applyBorder="1" applyAlignment="1" applyProtection="1">
      <alignment horizontal="left"/>
    </xf>
    <xf numFmtId="10" fontId="8" fillId="9" borderId="0" xfId="0" applyNumberFormat="1" applyFont="1" applyFill="1" applyBorder="1" applyAlignment="1" applyProtection="1">
      <alignment horizontal="left"/>
    </xf>
    <xf numFmtId="0" fontId="43" fillId="4" borderId="0" xfId="0" applyFont="1" applyFill="1" applyBorder="1" applyAlignment="1" applyProtection="1">
      <alignment horizontal="center"/>
    </xf>
    <xf numFmtId="3" fontId="8" fillId="0" borderId="0" xfId="0" applyNumberFormat="1" applyFont="1" applyFill="1" applyBorder="1" applyAlignment="1" applyProtection="1">
      <alignment horizontal="left"/>
      <protection locked="0"/>
    </xf>
    <xf numFmtId="0" fontId="8" fillId="4" borderId="1" xfId="0" applyFont="1" applyFill="1" applyBorder="1" applyAlignment="1" applyProtection="1">
      <alignment horizontal="center"/>
      <protection locked="0"/>
    </xf>
    <xf numFmtId="0" fontId="9" fillId="4" borderId="0" xfId="0" applyFont="1" applyFill="1" applyBorder="1" applyAlignment="1">
      <alignment horizontal="center"/>
    </xf>
    <xf numFmtId="0" fontId="35" fillId="4" borderId="0" xfId="0" applyFont="1" applyFill="1" applyBorder="1"/>
    <xf numFmtId="166" fontId="8" fillId="4" borderId="0" xfId="0" applyNumberFormat="1" applyFont="1" applyFill="1" applyBorder="1"/>
    <xf numFmtId="0" fontId="9" fillId="4" borderId="0" xfId="0" applyFont="1" applyFill="1" applyBorder="1" applyAlignment="1">
      <alignment horizontal="right"/>
    </xf>
    <xf numFmtId="0" fontId="70" fillId="0" borderId="0" xfId="0" applyFont="1"/>
    <xf numFmtId="0" fontId="74" fillId="4" borderId="0" xfId="1" applyFont="1" applyFill="1" applyBorder="1" applyAlignment="1" applyProtection="1"/>
    <xf numFmtId="0" fontId="20" fillId="10" borderId="0" xfId="0" applyFont="1" applyFill="1" applyBorder="1" applyAlignment="1" applyProtection="1">
      <alignment horizontal="right"/>
    </xf>
    <xf numFmtId="0" fontId="23" fillId="10" borderId="0" xfId="0" applyFont="1" applyFill="1"/>
    <xf numFmtId="0" fontId="75" fillId="4" borderId="0" xfId="0" applyFont="1" applyFill="1" applyBorder="1"/>
    <xf numFmtId="0" fontId="76" fillId="4" borderId="0" xfId="0" applyFont="1" applyFill="1" applyBorder="1"/>
    <xf numFmtId="0" fontId="77" fillId="4" borderId="0" xfId="0" applyFont="1" applyFill="1" applyBorder="1"/>
    <xf numFmtId="166" fontId="77" fillId="4" borderId="0" xfId="0" applyNumberFormat="1" applyFont="1" applyFill="1" applyBorder="1"/>
    <xf numFmtId="0" fontId="9" fillId="10" borderId="0" xfId="0" applyFont="1" applyFill="1" applyBorder="1"/>
    <xf numFmtId="0" fontId="73" fillId="10" borderId="0" xfId="0" applyFont="1" applyFill="1"/>
    <xf numFmtId="0" fontId="70" fillId="10" borderId="0" xfId="0" applyFont="1" applyFill="1"/>
    <xf numFmtId="0" fontId="8" fillId="7" borderId="0" xfId="0" applyFont="1" applyFill="1" applyProtection="1"/>
    <xf numFmtId="0" fontId="8" fillId="4" borderId="7" xfId="0" applyFont="1" applyFill="1" applyBorder="1" applyProtection="1"/>
    <xf numFmtId="0" fontId="8" fillId="7" borderId="1" xfId="0" applyFont="1" applyFill="1" applyBorder="1" applyProtection="1"/>
    <xf numFmtId="0" fontId="35" fillId="7" borderId="1" xfId="0" applyFont="1" applyFill="1" applyBorder="1" applyProtection="1"/>
    <xf numFmtId="0" fontId="49" fillId="7" borderId="1" xfId="0" applyFont="1" applyFill="1" applyBorder="1" applyAlignment="1" applyProtection="1">
      <alignment horizontal="left"/>
    </xf>
    <xf numFmtId="0" fontId="49" fillId="7" borderId="1" xfId="0" applyFont="1" applyFill="1" applyBorder="1" applyProtection="1"/>
    <xf numFmtId="0" fontId="8" fillId="4" borderId="0" xfId="0" applyFont="1" applyFill="1" applyBorder="1" applyProtection="1"/>
    <xf numFmtId="0" fontId="8" fillId="7" borderId="1" xfId="0" applyFont="1" applyFill="1" applyBorder="1" applyAlignment="1" applyProtection="1">
      <alignment horizontal="left"/>
    </xf>
    <xf numFmtId="0" fontId="8" fillId="7" borderId="1" xfId="0" applyFont="1" applyFill="1" applyBorder="1" applyAlignment="1" applyProtection="1">
      <alignment horizontal="center"/>
    </xf>
    <xf numFmtId="166" fontId="8" fillId="7" borderId="1" xfId="0" applyNumberFormat="1" applyFont="1" applyFill="1" applyBorder="1" applyProtection="1"/>
    <xf numFmtId="0" fontId="8" fillId="4" borderId="8" xfId="0" applyFont="1" applyFill="1" applyBorder="1" applyProtection="1"/>
    <xf numFmtId="0" fontId="78" fillId="7" borderId="1" xfId="0" applyFont="1" applyFill="1" applyBorder="1" applyProtection="1"/>
    <xf numFmtId="0" fontId="54" fillId="7" borderId="1" xfId="0" applyFont="1" applyFill="1" applyBorder="1" applyProtection="1"/>
    <xf numFmtId="14" fontId="48" fillId="7" borderId="0" xfId="0" applyNumberFormat="1" applyFont="1" applyFill="1" applyBorder="1" applyProtection="1"/>
    <xf numFmtId="0" fontId="48" fillId="7" borderId="0" xfId="0" applyFont="1" applyFill="1" applyBorder="1" applyAlignment="1" applyProtection="1">
      <alignment horizontal="center"/>
    </xf>
    <xf numFmtId="1" fontId="48" fillId="7" borderId="1" xfId="0" applyNumberFormat="1" applyFont="1" applyFill="1" applyBorder="1" applyAlignment="1" applyProtection="1">
      <alignment horizontal="center"/>
    </xf>
    <xf numFmtId="1" fontId="48" fillId="7" borderId="1" xfId="0" applyNumberFormat="1" applyFont="1" applyFill="1" applyBorder="1" applyProtection="1"/>
    <xf numFmtId="0" fontId="9" fillId="7" borderId="1" xfId="0" applyFont="1" applyFill="1" applyBorder="1" applyProtection="1"/>
    <xf numFmtId="0" fontId="9" fillId="7" borderId="1" xfId="0" applyFont="1" applyFill="1" applyBorder="1" applyAlignment="1" applyProtection="1">
      <alignment horizontal="left"/>
    </xf>
    <xf numFmtId="0" fontId="9" fillId="7" borderId="1" xfId="0" applyFont="1" applyFill="1" applyBorder="1" applyAlignment="1" applyProtection="1">
      <alignment horizontal="center"/>
    </xf>
    <xf numFmtId="0" fontId="9" fillId="4" borderId="7" xfId="0" applyFont="1" applyFill="1" applyBorder="1" applyProtection="1"/>
    <xf numFmtId="0" fontId="49" fillId="4" borderId="33" xfId="0" applyFont="1" applyFill="1" applyBorder="1" applyProtection="1">
      <protection locked="0"/>
    </xf>
    <xf numFmtId="0" fontId="49" fillId="4" borderId="31" xfId="0" applyFont="1" applyFill="1" applyBorder="1" applyAlignment="1" applyProtection="1">
      <alignment horizontal="center"/>
      <protection locked="0"/>
    </xf>
    <xf numFmtId="0" fontId="8" fillId="7" borderId="32" xfId="0" applyFont="1" applyFill="1" applyBorder="1" applyProtection="1"/>
    <xf numFmtId="14" fontId="49" fillId="4" borderId="1" xfId="0" applyNumberFormat="1" applyFont="1" applyFill="1" applyBorder="1" applyAlignment="1" applyProtection="1">
      <alignment horizontal="center"/>
      <protection locked="0"/>
    </xf>
    <xf numFmtId="0" fontId="49" fillId="7" borderId="0" xfId="0" applyFont="1" applyFill="1" applyBorder="1" applyProtection="1"/>
    <xf numFmtId="0" fontId="9" fillId="10" borderId="0" xfId="0" applyFont="1" applyFill="1" applyBorder="1" applyProtection="1"/>
    <xf numFmtId="0" fontId="8" fillId="10" borderId="0" xfId="0" applyFont="1" applyFill="1" applyBorder="1" applyProtection="1"/>
    <xf numFmtId="0" fontId="8" fillId="10" borderId="0" xfId="0" applyFont="1" applyFill="1" applyBorder="1" applyAlignment="1" applyProtection="1">
      <alignment horizontal="left"/>
    </xf>
    <xf numFmtId="0" fontId="8" fillId="10" borderId="0" xfId="0" applyFont="1" applyFill="1" applyBorder="1" applyAlignment="1" applyProtection="1">
      <alignment horizontal="center"/>
    </xf>
    <xf numFmtId="1" fontId="8" fillId="10" borderId="0" xfId="0" applyNumberFormat="1" applyFont="1" applyFill="1" applyBorder="1" applyProtection="1"/>
    <xf numFmtId="0" fontId="49" fillId="7" borderId="1" xfId="0" applyFont="1" applyFill="1" applyBorder="1" applyAlignment="1" applyProtection="1">
      <alignment horizontal="right"/>
    </xf>
    <xf numFmtId="0" fontId="8" fillId="7" borderId="27" xfId="0" applyFont="1" applyFill="1" applyBorder="1" applyProtection="1"/>
    <xf numFmtId="0" fontId="52" fillId="7" borderId="1" xfId="0" applyFont="1" applyFill="1" applyBorder="1" applyProtection="1"/>
    <xf numFmtId="0" fontId="52" fillId="7" borderId="1" xfId="0" applyFont="1" applyFill="1" applyBorder="1" applyAlignment="1" applyProtection="1">
      <alignment horizontal="left"/>
    </xf>
    <xf numFmtId="0" fontId="52" fillId="7" borderId="1" xfId="0" applyFont="1" applyFill="1" applyBorder="1" applyAlignment="1" applyProtection="1">
      <alignment horizontal="center"/>
    </xf>
    <xf numFmtId="0" fontId="49" fillId="4" borderId="1" xfId="0" applyFont="1" applyFill="1" applyBorder="1" applyAlignment="1" applyProtection="1">
      <alignment horizontal="center"/>
      <protection locked="0"/>
    </xf>
    <xf numFmtId="0" fontId="48" fillId="7" borderId="1" xfId="0" applyFont="1" applyFill="1" applyBorder="1" applyAlignment="1" applyProtection="1">
      <alignment horizontal="left"/>
    </xf>
    <xf numFmtId="0" fontId="9" fillId="7" borderId="1" xfId="0" applyFont="1" applyFill="1" applyBorder="1" applyAlignment="1" applyProtection="1"/>
    <xf numFmtId="0" fontId="10" fillId="7" borderId="1" xfId="0" applyFont="1" applyFill="1" applyBorder="1" applyProtection="1"/>
    <xf numFmtId="166" fontId="9" fillId="7" borderId="1" xfId="0" applyNumberFormat="1" applyFont="1" applyFill="1" applyBorder="1" applyProtection="1"/>
    <xf numFmtId="0" fontId="35" fillId="7" borderId="1" xfId="0" applyFont="1" applyFill="1" applyBorder="1" applyAlignment="1" applyProtection="1"/>
    <xf numFmtId="0" fontId="35" fillId="7" borderId="1" xfId="0" applyFont="1" applyFill="1" applyBorder="1" applyAlignment="1" applyProtection="1">
      <alignment horizontal="left"/>
    </xf>
    <xf numFmtId="0" fontId="35" fillId="7" borderId="1" xfId="0" applyFont="1" applyFill="1" applyBorder="1" applyAlignment="1" applyProtection="1">
      <alignment horizontal="center"/>
    </xf>
    <xf numFmtId="4" fontId="35" fillId="7" borderId="1" xfId="0" applyNumberFormat="1" applyFont="1" applyFill="1" applyBorder="1" applyAlignment="1" applyProtection="1">
      <alignment horizontal="center"/>
    </xf>
    <xf numFmtId="171" fontId="49" fillId="4" borderId="1" xfId="0" applyNumberFormat="1" applyFont="1" applyFill="1" applyBorder="1" applyProtection="1">
      <protection locked="0"/>
    </xf>
    <xf numFmtId="0" fontId="8" fillId="7" borderId="28" xfId="0" applyFont="1" applyFill="1" applyBorder="1" applyProtection="1"/>
    <xf numFmtId="0" fontId="8" fillId="7" borderId="28" xfId="0" applyFont="1" applyFill="1" applyBorder="1" applyAlignment="1" applyProtection="1">
      <alignment horizontal="left"/>
    </xf>
    <xf numFmtId="0" fontId="8" fillId="7" borderId="28" xfId="0" applyFont="1" applyFill="1" applyBorder="1" applyAlignment="1" applyProtection="1">
      <alignment horizontal="center"/>
    </xf>
    <xf numFmtId="4" fontId="8" fillId="7" borderId="28" xfId="0" applyNumberFormat="1" applyFont="1" applyFill="1" applyBorder="1" applyProtection="1"/>
    <xf numFmtId="0" fontId="10" fillId="7" borderId="1" xfId="0" applyFont="1" applyFill="1" applyBorder="1" applyAlignment="1" applyProtection="1"/>
    <xf numFmtId="0" fontId="10" fillId="7" borderId="1" xfId="0" applyFont="1" applyFill="1" applyBorder="1" applyAlignment="1" applyProtection="1">
      <alignment horizontal="left"/>
    </xf>
    <xf numFmtId="0" fontId="10" fillId="7" borderId="1" xfId="0" applyFont="1" applyFill="1" applyBorder="1" applyAlignment="1" applyProtection="1">
      <alignment horizontal="center"/>
    </xf>
    <xf numFmtId="4" fontId="10" fillId="7" borderId="1" xfId="0" applyNumberFormat="1" applyFont="1" applyFill="1" applyBorder="1" applyAlignment="1" applyProtection="1">
      <alignment horizontal="center"/>
    </xf>
    <xf numFmtId="0" fontId="8" fillId="7" borderId="27" xfId="0" applyFont="1" applyFill="1" applyBorder="1" applyAlignment="1" applyProtection="1">
      <alignment horizontal="left"/>
    </xf>
    <xf numFmtId="0" fontId="8" fillId="7" borderId="27" xfId="0" applyFont="1" applyFill="1" applyBorder="1" applyAlignment="1" applyProtection="1">
      <alignment horizontal="center"/>
    </xf>
    <xf numFmtId="4" fontId="8" fillId="7" borderId="27" xfId="0" applyNumberFormat="1" applyFont="1" applyFill="1" applyBorder="1" applyProtection="1"/>
    <xf numFmtId="166" fontId="10" fillId="7" borderId="1" xfId="0" applyNumberFormat="1" applyFont="1" applyFill="1" applyBorder="1" applyAlignment="1" applyProtection="1">
      <alignment horizontal="left"/>
    </xf>
    <xf numFmtId="0" fontId="8" fillId="4" borderId="1" xfId="0" applyFont="1" applyFill="1" applyBorder="1" applyAlignment="1" applyProtection="1">
      <alignment horizontal="left"/>
      <protection locked="0"/>
    </xf>
    <xf numFmtId="0" fontId="1" fillId="7" borderId="1" xfId="0" applyFont="1" applyFill="1" applyBorder="1" applyProtection="1"/>
    <xf numFmtId="0" fontId="8" fillId="7" borderId="1" xfId="0" applyFont="1" applyFill="1" applyBorder="1" applyAlignment="1" applyProtection="1"/>
    <xf numFmtId="9" fontId="8" fillId="7" borderId="1" xfId="0" applyNumberFormat="1" applyFont="1" applyFill="1" applyBorder="1" applyAlignment="1" applyProtection="1">
      <alignment horizontal="center"/>
    </xf>
    <xf numFmtId="10" fontId="78" fillId="7" borderId="1" xfId="0" applyNumberFormat="1" applyFont="1" applyFill="1" applyBorder="1" applyAlignment="1" applyProtection="1">
      <alignment horizontal="center"/>
    </xf>
    <xf numFmtId="10" fontId="8" fillId="7" borderId="1" xfId="0" applyNumberFormat="1" applyFont="1" applyFill="1" applyBorder="1" applyAlignment="1" applyProtection="1">
      <alignment horizontal="center"/>
    </xf>
    <xf numFmtId="0" fontId="9" fillId="7" borderId="1" xfId="0" applyFont="1" applyFill="1" applyBorder="1" applyAlignment="1" applyProtection="1">
      <alignment horizontal="right"/>
    </xf>
    <xf numFmtId="0" fontId="9" fillId="7" borderId="28" xfId="0" applyFont="1" applyFill="1" applyBorder="1" applyProtection="1"/>
    <xf numFmtId="1" fontId="8" fillId="7" borderId="28" xfId="0" applyNumberFormat="1" applyFont="1" applyFill="1" applyBorder="1" applyProtection="1"/>
    <xf numFmtId="0" fontId="8" fillId="7" borderId="1" xfId="0" applyFont="1" applyFill="1" applyBorder="1" applyAlignment="1" applyProtection="1">
      <alignment horizontal="right"/>
    </xf>
    <xf numFmtId="1" fontId="78" fillId="7" borderId="1" xfId="0" applyNumberFormat="1" applyFont="1" applyFill="1" applyBorder="1" applyAlignment="1" applyProtection="1">
      <alignment horizontal="center"/>
    </xf>
    <xf numFmtId="0" fontId="9" fillId="7" borderId="27" xfId="0" applyFont="1" applyFill="1" applyBorder="1" applyProtection="1"/>
    <xf numFmtId="1" fontId="8" fillId="7" borderId="27" xfId="0" applyNumberFormat="1" applyFont="1" applyFill="1" applyBorder="1" applyProtection="1"/>
    <xf numFmtId="0" fontId="9" fillId="7" borderId="0" xfId="0" applyFont="1" applyFill="1" applyProtection="1"/>
    <xf numFmtId="0" fontId="9" fillId="4" borderId="0" xfId="0" applyFont="1" applyFill="1" applyBorder="1" applyProtection="1"/>
    <xf numFmtId="0" fontId="9" fillId="4" borderId="8" xfId="0" applyFont="1" applyFill="1" applyBorder="1" applyProtection="1"/>
    <xf numFmtId="166" fontId="35" fillId="7" borderId="1" xfId="0" applyNumberFormat="1" applyFont="1" applyFill="1" applyBorder="1" applyAlignment="1" applyProtection="1">
      <alignment horizontal="right"/>
    </xf>
    <xf numFmtId="2" fontId="48" fillId="7" borderId="1" xfId="0" applyNumberFormat="1" applyFont="1" applyFill="1" applyBorder="1" applyProtection="1"/>
    <xf numFmtId="0" fontId="35" fillId="7" borderId="0" xfId="0" applyFont="1" applyFill="1" applyProtection="1"/>
    <xf numFmtId="0" fontId="35" fillId="4" borderId="7" xfId="0" applyFont="1" applyFill="1" applyBorder="1" applyProtection="1"/>
    <xf numFmtId="0" fontId="35" fillId="4" borderId="0" xfId="0" applyFont="1" applyFill="1" applyBorder="1" applyProtection="1"/>
    <xf numFmtId="0" fontId="35" fillId="10" borderId="0" xfId="0" applyFont="1" applyFill="1" applyBorder="1" applyProtection="1"/>
    <xf numFmtId="0" fontId="35" fillId="4" borderId="8" xfId="0" applyFont="1" applyFill="1" applyBorder="1" applyProtection="1"/>
    <xf numFmtId="1" fontId="8" fillId="7" borderId="1" xfId="0" applyNumberFormat="1" applyFont="1" applyFill="1" applyBorder="1" applyProtection="1"/>
    <xf numFmtId="0" fontId="79" fillId="10" borderId="0" xfId="0" applyFont="1" applyFill="1" applyBorder="1" applyProtection="1"/>
    <xf numFmtId="166" fontId="8" fillId="4" borderId="0" xfId="0" applyNumberFormat="1" applyFont="1" applyFill="1" applyBorder="1" applyProtection="1"/>
    <xf numFmtId="0" fontId="8" fillId="4" borderId="0" xfId="0" applyFont="1" applyFill="1" applyBorder="1" applyAlignment="1" applyProtection="1">
      <alignment horizontal="left"/>
    </xf>
    <xf numFmtId="10" fontId="8" fillId="4" borderId="0" xfId="2" applyNumberFormat="1" applyFont="1" applyFill="1" applyBorder="1" applyProtection="1"/>
    <xf numFmtId="177" fontId="10" fillId="7" borderId="1" xfId="3" applyNumberFormat="1" applyFont="1" applyFill="1" applyBorder="1" applyAlignment="1" applyProtection="1">
      <alignment horizontal="center"/>
    </xf>
    <xf numFmtId="0" fontId="8" fillId="4" borderId="1" xfId="2" applyNumberFormat="1" applyFont="1" applyFill="1" applyBorder="1" applyAlignment="1" applyProtection="1">
      <alignment horizontal="center"/>
      <protection locked="0"/>
    </xf>
    <xf numFmtId="166" fontId="8" fillId="0" borderId="1" xfId="0" applyNumberFormat="1" applyFont="1" applyFill="1" applyBorder="1" applyProtection="1"/>
    <xf numFmtId="10" fontId="9" fillId="4" borderId="0" xfId="0" applyNumberFormat="1" applyFont="1" applyFill="1" applyBorder="1" applyProtection="1"/>
    <xf numFmtId="0" fontId="8" fillId="0" borderId="0" xfId="0" applyFont="1" applyFill="1" applyBorder="1" applyAlignment="1" applyProtection="1">
      <alignment horizontal="left"/>
    </xf>
    <xf numFmtId="14" fontId="43" fillId="0" borderId="0" xfId="0" applyNumberFormat="1" applyFont="1" applyBorder="1" applyAlignment="1">
      <alignment horizontal="left"/>
    </xf>
    <xf numFmtId="0" fontId="80" fillId="4" borderId="0" xfId="0" applyFont="1" applyFill="1" applyBorder="1"/>
    <xf numFmtId="0" fontId="81" fillId="4" borderId="0" xfId="0" applyFont="1" applyFill="1" applyBorder="1" applyAlignment="1">
      <alignment horizontal="left"/>
    </xf>
    <xf numFmtId="0" fontId="9" fillId="9" borderId="0" xfId="0" applyNumberFormat="1" applyFont="1" applyFill="1" applyBorder="1" applyAlignment="1" applyProtection="1">
      <alignment horizontal="left"/>
      <protection locked="0"/>
    </xf>
    <xf numFmtId="0" fontId="10" fillId="0" borderId="0" xfId="0" applyFont="1" applyBorder="1" applyAlignment="1" applyProtection="1">
      <alignment horizontal="left"/>
    </xf>
    <xf numFmtId="172" fontId="8" fillId="0" borderId="0" xfId="0" applyNumberFormat="1" applyFont="1" applyBorder="1" applyAlignment="1" applyProtection="1">
      <alignment horizontal="left"/>
    </xf>
    <xf numFmtId="10" fontId="43" fillId="12" borderId="0" xfId="0" applyNumberFormat="1" applyFont="1" applyFill="1" applyBorder="1" applyAlignment="1" applyProtection="1">
      <alignment horizontal="left"/>
      <protection locked="0"/>
    </xf>
    <xf numFmtId="14" fontId="8" fillId="4" borderId="1" xfId="0" applyNumberFormat="1" applyFont="1" applyFill="1" applyBorder="1" applyAlignment="1" applyProtection="1">
      <alignment horizontal="center"/>
      <protection locked="0"/>
    </xf>
    <xf numFmtId="0" fontId="7" fillId="13" borderId="0" xfId="0" applyFont="1" applyFill="1" applyProtection="1"/>
    <xf numFmtId="0" fontId="63" fillId="13" borderId="0" xfId="0" applyFont="1" applyFill="1" applyProtection="1"/>
    <xf numFmtId="0" fontId="61" fillId="13" borderId="0" xfId="0" applyFont="1" applyFill="1" applyProtection="1"/>
    <xf numFmtId="0" fontId="8" fillId="13" borderId="0" xfId="0" applyFont="1" applyFill="1" applyProtection="1"/>
    <xf numFmtId="0" fontId="9" fillId="13" borderId="0" xfId="0" applyFont="1" applyFill="1" applyProtection="1"/>
    <xf numFmtId="0" fontId="35" fillId="13" borderId="0" xfId="0" applyFont="1" applyFill="1" applyProtection="1"/>
    <xf numFmtId="0" fontId="7" fillId="13" borderId="0" xfId="0" applyFont="1" applyFill="1" applyAlignment="1" applyProtection="1">
      <alignment horizontal="left"/>
    </xf>
    <xf numFmtId="0" fontId="7" fillId="13" borderId="0" xfId="0" applyFont="1" applyFill="1" applyAlignment="1" applyProtection="1">
      <alignment horizontal="center"/>
    </xf>
    <xf numFmtId="0" fontId="48" fillId="13" borderId="0" xfId="0" applyFont="1" applyFill="1" applyBorder="1" applyAlignment="1" applyProtection="1">
      <alignment horizontal="left"/>
    </xf>
    <xf numFmtId="49" fontId="48" fillId="13" borderId="0" xfId="0" applyNumberFormat="1" applyFont="1" applyFill="1" applyBorder="1" applyAlignment="1" applyProtection="1">
      <alignment horizontal="left"/>
    </xf>
    <xf numFmtId="166" fontId="49" fillId="12" borderId="1" xfId="0" applyNumberFormat="1" applyFont="1" applyFill="1" applyBorder="1" applyProtection="1"/>
    <xf numFmtId="166" fontId="8" fillId="12" borderId="1" xfId="0" applyNumberFormat="1" applyFont="1" applyFill="1" applyBorder="1" applyProtection="1"/>
    <xf numFmtId="166" fontId="9" fillId="12" borderId="1" xfId="0" applyNumberFormat="1" applyFont="1" applyFill="1" applyBorder="1" applyProtection="1"/>
    <xf numFmtId="166" fontId="35" fillId="12" borderId="1" xfId="0" applyNumberFormat="1" applyFont="1" applyFill="1" applyBorder="1" applyProtection="1"/>
    <xf numFmtId="177" fontId="49" fillId="12" borderId="1" xfId="3" applyNumberFormat="1" applyFont="1" applyFill="1" applyBorder="1" applyAlignment="1" applyProtection="1">
      <alignment horizontal="center"/>
    </xf>
    <xf numFmtId="166" fontId="35" fillId="12" borderId="1" xfId="0" applyNumberFormat="1" applyFont="1" applyFill="1" applyBorder="1" applyAlignment="1" applyProtection="1">
      <alignment horizontal="left"/>
    </xf>
    <xf numFmtId="166" fontId="10" fillId="12" borderId="1" xfId="0" applyNumberFormat="1" applyFont="1" applyFill="1" applyBorder="1" applyAlignment="1" applyProtection="1">
      <alignment horizontal="right"/>
    </xf>
    <xf numFmtId="166" fontId="9" fillId="15" borderId="1" xfId="0" applyNumberFormat="1" applyFont="1" applyFill="1" applyBorder="1" applyProtection="1"/>
    <xf numFmtId="177" fontId="9" fillId="15" borderId="1" xfId="3" applyNumberFormat="1" applyFont="1" applyFill="1" applyBorder="1" applyAlignment="1" applyProtection="1">
      <alignment horizontal="center"/>
    </xf>
    <xf numFmtId="14" fontId="83" fillId="11" borderId="0" xfId="0" applyNumberFormat="1" applyFont="1" applyFill="1" applyAlignment="1" applyProtection="1">
      <alignment horizontal="center"/>
    </xf>
    <xf numFmtId="9" fontId="83" fillId="7" borderId="1" xfId="0" applyNumberFormat="1" applyFont="1" applyFill="1" applyBorder="1" applyAlignment="1" applyProtection="1">
      <alignment horizontal="center"/>
    </xf>
    <xf numFmtId="10" fontId="83" fillId="7" borderId="1" xfId="0" applyNumberFormat="1" applyFont="1" applyFill="1" applyBorder="1" applyAlignment="1" applyProtection="1">
      <alignment horizontal="center"/>
    </xf>
    <xf numFmtId="166" fontId="84" fillId="7" borderId="1" xfId="0" applyNumberFormat="1" applyFont="1" applyFill="1" applyBorder="1" applyAlignment="1" applyProtection="1">
      <alignment horizontal="center"/>
    </xf>
    <xf numFmtId="1" fontId="84" fillId="7" borderId="1" xfId="0" applyNumberFormat="1" applyFont="1" applyFill="1" applyBorder="1" applyAlignment="1" applyProtection="1">
      <alignment horizontal="center"/>
    </xf>
    <xf numFmtId="0" fontId="84" fillId="7" borderId="1" xfId="0" applyFont="1" applyFill="1" applyBorder="1" applyAlignment="1" applyProtection="1">
      <alignment horizontal="center"/>
    </xf>
    <xf numFmtId="178" fontId="84" fillId="11" borderId="1" xfId="3" applyNumberFormat="1" applyFont="1" applyFill="1" applyBorder="1" applyAlignment="1" applyProtection="1">
      <alignment horizontal="center"/>
    </xf>
    <xf numFmtId="10" fontId="84" fillId="11" borderId="1" xfId="2" applyNumberFormat="1" applyFont="1" applyFill="1" applyBorder="1" applyAlignment="1" applyProtection="1">
      <alignment horizontal="center"/>
    </xf>
    <xf numFmtId="178" fontId="85" fillId="11" borderId="1" xfId="3" applyNumberFormat="1" applyFont="1" applyFill="1" applyBorder="1" applyAlignment="1" applyProtection="1">
      <alignment horizontal="right"/>
    </xf>
    <xf numFmtId="166" fontId="85" fillId="11" borderId="1" xfId="0" applyNumberFormat="1" applyFont="1" applyFill="1" applyBorder="1" applyAlignment="1" applyProtection="1">
      <alignment horizontal="right"/>
    </xf>
    <xf numFmtId="0" fontId="86" fillId="7" borderId="1" xfId="0" applyFont="1" applyFill="1" applyBorder="1" applyProtection="1"/>
    <xf numFmtId="0" fontId="88" fillId="4" borderId="0" xfId="0" applyFont="1" applyFill="1" applyBorder="1" applyProtection="1"/>
    <xf numFmtId="0" fontId="43" fillId="13" borderId="0" xfId="0" applyFont="1" applyFill="1" applyBorder="1" applyAlignment="1" applyProtection="1">
      <alignment horizontal="center"/>
    </xf>
    <xf numFmtId="0" fontId="57" fillId="13" borderId="0" xfId="0" applyFont="1" applyFill="1" applyBorder="1" applyAlignment="1" applyProtection="1">
      <alignment horizontal="center"/>
    </xf>
    <xf numFmtId="0" fontId="52" fillId="13" borderId="0" xfId="0" applyFont="1" applyFill="1" applyBorder="1" applyAlignment="1" applyProtection="1">
      <alignment horizontal="center"/>
    </xf>
    <xf numFmtId="0" fontId="55" fillId="13" borderId="0" xfId="0" applyFont="1" applyFill="1" applyBorder="1" applyAlignment="1" applyProtection="1">
      <alignment horizontal="center"/>
    </xf>
    <xf numFmtId="0" fontId="43" fillId="13" borderId="0" xfId="0" applyFont="1" applyFill="1" applyBorder="1" applyAlignment="1" applyProtection="1">
      <alignment horizontal="left"/>
    </xf>
    <xf numFmtId="0" fontId="45" fillId="13" borderId="0" xfId="0" applyFont="1" applyFill="1" applyBorder="1" applyAlignment="1" applyProtection="1">
      <alignment horizontal="center"/>
    </xf>
    <xf numFmtId="0" fontId="47" fillId="13" borderId="0" xfId="0" applyFont="1" applyFill="1" applyBorder="1" applyAlignment="1" applyProtection="1">
      <alignment horizontal="center"/>
    </xf>
    <xf numFmtId="0" fontId="68" fillId="13" borderId="0" xfId="0" applyFont="1" applyFill="1" applyBorder="1" applyAlignment="1" applyProtection="1">
      <alignment horizontal="center"/>
    </xf>
    <xf numFmtId="0" fontId="83" fillId="13" borderId="0" xfId="0" applyFont="1" applyFill="1" applyBorder="1" applyAlignment="1" applyProtection="1">
      <alignment horizontal="center"/>
    </xf>
    <xf numFmtId="0" fontId="83" fillId="13" borderId="0" xfId="0" applyFont="1" applyFill="1" applyBorder="1" applyAlignment="1" applyProtection="1"/>
    <xf numFmtId="0" fontId="87" fillId="13" borderId="0" xfId="0" applyFont="1" applyFill="1" applyBorder="1" applyAlignment="1" applyProtection="1">
      <alignment horizontal="center"/>
    </xf>
    <xf numFmtId="0" fontId="87" fillId="13" borderId="0" xfId="0" applyFont="1" applyFill="1" applyBorder="1" applyAlignment="1" applyProtection="1"/>
    <xf numFmtId="0" fontId="83" fillId="13" borderId="0" xfId="0" applyFont="1" applyFill="1" applyBorder="1" applyAlignment="1" applyProtection="1">
      <alignment horizontal="left"/>
    </xf>
    <xf numFmtId="0" fontId="83" fillId="13" borderId="0" xfId="0" applyFont="1" applyFill="1" applyBorder="1" applyProtection="1"/>
    <xf numFmtId="14" fontId="83" fillId="13" borderId="0" xfId="0" applyNumberFormat="1" applyFont="1" applyFill="1" applyBorder="1" applyAlignment="1" applyProtection="1">
      <alignment horizontal="center"/>
    </xf>
    <xf numFmtId="0" fontId="84" fillId="13" borderId="0" xfId="0" applyFont="1" applyFill="1" applyBorder="1" applyAlignment="1" applyProtection="1">
      <alignment horizontal="center"/>
    </xf>
    <xf numFmtId="1" fontId="83" fillId="13" borderId="0" xfId="0" applyNumberFormat="1" applyFont="1" applyFill="1" applyBorder="1" applyAlignment="1" applyProtection="1">
      <alignment horizontal="center"/>
    </xf>
    <xf numFmtId="9" fontId="83" fillId="13" borderId="0" xfId="0" applyNumberFormat="1" applyFont="1" applyFill="1" applyBorder="1" applyAlignment="1" applyProtection="1">
      <alignment horizontal="center"/>
    </xf>
    <xf numFmtId="10" fontId="83" fillId="13" borderId="0" xfId="0" applyNumberFormat="1" applyFont="1" applyFill="1" applyBorder="1" applyAlignment="1" applyProtection="1">
      <alignment horizontal="center"/>
    </xf>
    <xf numFmtId="2" fontId="83" fillId="13" borderId="0" xfId="0" applyNumberFormat="1" applyFont="1" applyFill="1" applyBorder="1" applyAlignment="1" applyProtection="1">
      <alignment horizontal="center"/>
    </xf>
    <xf numFmtId="166" fontId="83" fillId="13" borderId="0" xfId="0" applyNumberFormat="1" applyFont="1" applyFill="1" applyBorder="1" applyAlignment="1" applyProtection="1">
      <alignment horizontal="left"/>
    </xf>
    <xf numFmtId="166" fontId="83" fillId="13" borderId="0" xfId="0" applyNumberFormat="1" applyFont="1" applyFill="1" applyBorder="1" applyAlignment="1" applyProtection="1">
      <alignment horizontal="right"/>
    </xf>
    <xf numFmtId="166" fontId="83" fillId="13" borderId="0" xfId="0" applyNumberFormat="1" applyFont="1" applyFill="1" applyBorder="1" applyProtection="1"/>
    <xf numFmtId="179" fontId="83" fillId="13" borderId="0" xfId="0" applyNumberFormat="1" applyFont="1" applyFill="1" applyBorder="1" applyProtection="1"/>
    <xf numFmtId="0" fontId="55" fillId="13" borderId="0" xfId="0" applyFont="1" applyFill="1" applyBorder="1" applyAlignment="1" applyProtection="1">
      <alignment horizontal="left"/>
    </xf>
    <xf numFmtId="0" fontId="56" fillId="13" borderId="0" xfId="0" applyFont="1" applyFill="1" applyBorder="1" applyAlignment="1" applyProtection="1">
      <alignment horizontal="center"/>
    </xf>
    <xf numFmtId="49" fontId="55" fillId="13" borderId="0" xfId="0" applyNumberFormat="1" applyFont="1" applyFill="1" applyBorder="1" applyAlignment="1" applyProtection="1">
      <alignment horizontal="left"/>
    </xf>
    <xf numFmtId="166" fontId="44" fillId="12" borderId="1" xfId="0" applyNumberFormat="1" applyFont="1" applyFill="1" applyBorder="1" applyAlignment="1" applyProtection="1">
      <alignment horizontal="center"/>
    </xf>
    <xf numFmtId="166" fontId="43" fillId="12" borderId="1" xfId="0" applyNumberFormat="1" applyFont="1" applyFill="1" applyBorder="1" applyAlignment="1" applyProtection="1">
      <alignment horizontal="center"/>
    </xf>
    <xf numFmtId="166" fontId="45" fillId="12" borderId="1" xfId="0" applyNumberFormat="1" applyFont="1" applyFill="1" applyBorder="1" applyAlignment="1" applyProtection="1">
      <alignment horizontal="center"/>
    </xf>
    <xf numFmtId="166" fontId="49" fillId="12" borderId="1" xfId="0" applyNumberFormat="1" applyFont="1" applyFill="1" applyBorder="1" applyAlignment="1" applyProtection="1">
      <alignment horizontal="center"/>
    </xf>
    <xf numFmtId="166" fontId="9" fillId="14" borderId="1" xfId="0" applyNumberFormat="1" applyFont="1" applyFill="1" applyBorder="1" applyAlignment="1" applyProtection="1">
      <alignment horizontal="center"/>
    </xf>
    <xf numFmtId="174" fontId="9" fillId="14" borderId="1" xfId="2" applyNumberFormat="1" applyFont="1" applyFill="1" applyBorder="1" applyAlignment="1" applyProtection="1">
      <alignment horizontal="center"/>
    </xf>
    <xf numFmtId="0" fontId="9" fillId="4" borderId="0" xfId="0" applyFont="1" applyFill="1" applyBorder="1" applyAlignment="1" applyProtection="1">
      <alignment horizontal="center"/>
    </xf>
    <xf numFmtId="178" fontId="44" fillId="12" borderId="1" xfId="0" applyNumberFormat="1" applyFont="1" applyFill="1" applyBorder="1" applyAlignment="1" applyProtection="1">
      <alignment horizontal="center"/>
    </xf>
    <xf numFmtId="171" fontId="8" fillId="4" borderId="1" xfId="0" applyNumberFormat="1" applyFont="1" applyFill="1" applyBorder="1" applyAlignment="1" applyProtection="1">
      <alignment horizontal="center"/>
      <protection locked="0"/>
    </xf>
    <xf numFmtId="174" fontId="9" fillId="15" borderId="1" xfId="2" applyNumberFormat="1" applyFont="1" applyFill="1" applyBorder="1" applyAlignment="1" applyProtection="1">
      <alignment horizontal="center"/>
    </xf>
    <xf numFmtId="0" fontId="35" fillId="7" borderId="32" xfId="0" applyFont="1" applyFill="1" applyBorder="1" applyAlignment="1" applyProtection="1">
      <alignment horizontal="left"/>
    </xf>
    <xf numFmtId="0" fontId="35" fillId="7" borderId="32" xfId="0" applyFont="1" applyFill="1" applyBorder="1" applyProtection="1"/>
    <xf numFmtId="0" fontId="35" fillId="7" borderId="32" xfId="0" applyFont="1" applyFill="1" applyBorder="1" applyAlignment="1" applyProtection="1">
      <alignment horizontal="center"/>
    </xf>
    <xf numFmtId="0" fontId="8" fillId="7" borderId="35" xfId="0" applyFont="1" applyFill="1" applyBorder="1" applyProtection="1"/>
    <xf numFmtId="0" fontId="9" fillId="7" borderId="35" xfId="0" applyFont="1" applyFill="1" applyBorder="1" applyProtection="1"/>
    <xf numFmtId="0" fontId="8" fillId="7" borderId="35" xfId="0" applyFont="1" applyFill="1" applyBorder="1" applyAlignment="1" applyProtection="1">
      <alignment horizontal="left"/>
    </xf>
    <xf numFmtId="0" fontId="8" fillId="7" borderId="35" xfId="0" applyFont="1" applyFill="1" applyBorder="1" applyAlignment="1" applyProtection="1">
      <alignment horizontal="center"/>
    </xf>
    <xf numFmtId="1" fontId="8" fillId="7" borderId="35" xfId="0" applyNumberFormat="1" applyFont="1" applyFill="1" applyBorder="1" applyProtection="1"/>
    <xf numFmtId="0" fontId="9" fillId="13" borderId="0" xfId="0" applyFont="1" applyFill="1" applyBorder="1" applyAlignment="1" applyProtection="1">
      <alignment horizontal="center"/>
    </xf>
    <xf numFmtId="0" fontId="9" fillId="4" borderId="5" xfId="0" applyFont="1" applyFill="1" applyBorder="1" applyAlignment="1" applyProtection="1">
      <alignment horizontal="center"/>
    </xf>
    <xf numFmtId="0" fontId="89" fillId="4" borderId="0" xfId="0" applyFont="1" applyFill="1" applyBorder="1" applyAlignment="1" applyProtection="1">
      <alignment horizontal="center"/>
    </xf>
    <xf numFmtId="166" fontId="51" fillId="4" borderId="0" xfId="0" applyNumberFormat="1" applyFont="1" applyFill="1" applyBorder="1" applyAlignment="1" applyProtection="1">
      <alignment horizontal="center"/>
    </xf>
    <xf numFmtId="166" fontId="10" fillId="12" borderId="1" xfId="0" applyNumberFormat="1" applyFont="1" applyFill="1" applyBorder="1" applyAlignment="1" applyProtection="1">
      <alignment horizontal="center"/>
    </xf>
    <xf numFmtId="0" fontId="9" fillId="4" borderId="3" xfId="0" applyFont="1" applyFill="1" applyBorder="1" applyAlignment="1" applyProtection="1">
      <alignment horizontal="center"/>
    </xf>
    <xf numFmtId="0" fontId="90" fillId="13" borderId="0" xfId="0" applyFont="1" applyFill="1" applyBorder="1" applyAlignment="1" applyProtection="1">
      <alignment horizontal="center"/>
    </xf>
    <xf numFmtId="0" fontId="9" fillId="7" borderId="0" xfId="0" applyFont="1" applyFill="1" applyBorder="1" applyAlignment="1" applyProtection="1">
      <alignment horizontal="center"/>
    </xf>
    <xf numFmtId="178" fontId="8" fillId="15" borderId="1" xfId="0" applyNumberFormat="1" applyFont="1" applyFill="1" applyBorder="1" applyAlignment="1" applyProtection="1">
      <alignment horizontal="center"/>
    </xf>
    <xf numFmtId="178" fontId="10" fillId="15" borderId="1" xfId="0" applyNumberFormat="1" applyFont="1" applyFill="1" applyBorder="1" applyAlignment="1" applyProtection="1">
      <alignment horizontal="center"/>
    </xf>
    <xf numFmtId="174" fontId="10" fillId="15" borderId="1" xfId="2" applyNumberFormat="1" applyFont="1" applyFill="1" applyBorder="1" applyAlignment="1" applyProtection="1">
      <alignment horizontal="center"/>
    </xf>
    <xf numFmtId="178" fontId="9" fillId="15" borderId="1" xfId="0" applyNumberFormat="1" applyFont="1" applyFill="1" applyBorder="1" applyAlignment="1" applyProtection="1">
      <alignment horizontal="center"/>
    </xf>
    <xf numFmtId="0" fontId="43" fillId="4" borderId="0" xfId="0" applyFont="1" applyFill="1" applyBorder="1" applyAlignment="1" applyProtection="1">
      <alignment horizontal="center"/>
    </xf>
    <xf numFmtId="3" fontId="8" fillId="12" borderId="0" xfId="4" applyNumberFormat="1" applyFont="1" applyFill="1" applyBorder="1" applyAlignment="1" applyProtection="1">
      <alignment horizontal="left"/>
    </xf>
    <xf numFmtId="10" fontId="8" fillId="12" borderId="0" xfId="4" applyNumberFormat="1" applyFont="1" applyFill="1" applyBorder="1" applyAlignment="1" applyProtection="1">
      <alignment horizontal="left"/>
    </xf>
    <xf numFmtId="3" fontId="43" fillId="12" borderId="0" xfId="0" applyNumberFormat="1" applyFont="1" applyFill="1" applyBorder="1" applyAlignment="1" applyProtection="1">
      <alignment horizontal="left"/>
    </xf>
    <xf numFmtId="0" fontId="8" fillId="7" borderId="0" xfId="0" applyFont="1" applyFill="1" applyBorder="1" applyProtection="1"/>
    <xf numFmtId="0" fontId="9" fillId="0" borderId="1" xfId="0" applyFont="1" applyFill="1" applyBorder="1" applyProtection="1"/>
    <xf numFmtId="174" fontId="9" fillId="15" borderId="1" xfId="2" applyNumberFormat="1" applyFont="1" applyFill="1" applyBorder="1" applyAlignment="1" applyProtection="1">
      <alignment horizontal="center"/>
    </xf>
    <xf numFmtId="166" fontId="16" fillId="5" borderId="14" xfId="0" applyNumberFormat="1" applyFont="1" applyFill="1" applyBorder="1" applyAlignment="1" applyProtection="1">
      <protection locked="0"/>
    </xf>
    <xf numFmtId="0" fontId="16" fillId="5" borderId="14" xfId="0" applyFont="1" applyFill="1" applyBorder="1" applyAlignment="1" applyProtection="1">
      <protection locked="0"/>
    </xf>
    <xf numFmtId="0" fontId="15" fillId="4" borderId="0" xfId="0" applyFont="1" applyFill="1" applyBorder="1" applyAlignment="1" applyProtection="1">
      <alignment horizontal="left"/>
      <protection locked="0"/>
    </xf>
    <xf numFmtId="0" fontId="15" fillId="4" borderId="14" xfId="0" applyFont="1" applyFill="1" applyBorder="1" applyAlignment="1" applyProtection="1">
      <protection locked="0"/>
    </xf>
    <xf numFmtId="0" fontId="9" fillId="10" borderId="0" xfId="0" applyFont="1" applyFill="1" applyBorder="1" applyAlignment="1" applyProtection="1">
      <alignment horizontal="center"/>
    </xf>
    <xf numFmtId="0" fontId="44" fillId="10" borderId="0" xfId="0" applyFont="1" applyFill="1" applyBorder="1" applyAlignment="1" applyProtection="1">
      <alignment horizontal="center"/>
    </xf>
    <xf numFmtId="0" fontId="43" fillId="4" borderId="0" xfId="0" applyFont="1" applyFill="1" applyBorder="1" applyAlignment="1" applyProtection="1">
      <alignment horizontal="center"/>
    </xf>
    <xf numFmtId="0" fontId="43" fillId="0" borderId="0" xfId="0" applyFont="1" applyBorder="1" applyAlignment="1" applyProtection="1">
      <alignment horizontal="center"/>
    </xf>
  </cellXfs>
  <cellStyles count="5">
    <cellStyle name="Hyperlink" xfId="1" builtinId="8"/>
    <cellStyle name="Procent" xfId="2" builtinId="5"/>
    <cellStyle name="Standaard" xfId="0" builtinId="0"/>
    <cellStyle name="Standaard 2" xfId="4"/>
    <cellStyle name="Valuta" xfId="3" builtinId="4"/>
  </cellStyles>
  <dxfs count="0"/>
  <tableStyles count="0" defaultTableStyle="TableStyleMedium9"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200025</xdr:colOff>
      <xdr:row>2</xdr:row>
      <xdr:rowOff>114300</xdr:rowOff>
    </xdr:from>
    <xdr:to>
      <xdr:col>12</xdr:col>
      <xdr:colOff>590550</xdr:colOff>
      <xdr:row>4</xdr:row>
      <xdr:rowOff>38100</xdr:rowOff>
    </xdr:to>
    <xdr:pic>
      <xdr:nvPicPr>
        <xdr:cNvPr id="1433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7050" y="438150"/>
          <a:ext cx="10382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37</xdr:row>
      <xdr:rowOff>107575</xdr:rowOff>
    </xdr:from>
    <xdr:to>
      <xdr:col>21</xdr:col>
      <xdr:colOff>11830</xdr:colOff>
      <xdr:row>61</xdr:row>
      <xdr:rowOff>33618</xdr:rowOff>
    </xdr:to>
    <xdr:sp macro="" textlink="">
      <xdr:nvSpPr>
        <xdr:cNvPr id="2" name="Tekstvak 1"/>
        <xdr:cNvSpPr txBox="1"/>
      </xdr:nvSpPr>
      <xdr:spPr>
        <a:xfrm>
          <a:off x="6084794" y="5833781"/>
          <a:ext cx="5368242" cy="35343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l-NL" sz="1000" b="1" i="1">
              <a:solidFill>
                <a:schemeClr val="tx1">
                  <a:lumMod val="50000"/>
                  <a:lumOff val="50000"/>
                </a:schemeClr>
              </a:solidFill>
            </a:rPr>
            <a:t>NB: </a:t>
          </a:r>
          <a:endParaRPr lang="nl-NL" sz="1000" b="1" i="1" baseline="0">
            <a:solidFill>
              <a:schemeClr val="tx1">
                <a:lumMod val="50000"/>
                <a:lumOff val="50000"/>
              </a:schemeClr>
            </a:solidFill>
          </a:endParaRPr>
        </a:p>
        <a:p>
          <a:pPr marL="0" marR="0" indent="0" defTabSz="914400" eaLnBrk="1" fontAlgn="auto" latinLnBrk="0" hangingPunct="1">
            <a:lnSpc>
              <a:spcPct val="100000"/>
            </a:lnSpc>
            <a:spcBef>
              <a:spcPts val="0"/>
            </a:spcBef>
            <a:spcAft>
              <a:spcPts val="0"/>
            </a:spcAft>
            <a:buClrTx/>
            <a:buSzTx/>
            <a:buFontTx/>
            <a:buNone/>
            <a:tabLst/>
            <a:defRPr/>
          </a:pPr>
          <a:r>
            <a:rPr lang="nl-NL" sz="1000" b="0" i="1" baseline="0">
              <a:solidFill>
                <a:schemeClr val="tx1">
                  <a:lumMod val="50000"/>
                  <a:lumOff val="50000"/>
                </a:schemeClr>
              </a:solidFill>
            </a:rPr>
            <a:t>- Sinds 1 augustus 2012 zijn de kosten die door de UWV vergoed worden niet meer zichtbaar (zie de toelichting), maar de kosten  die gemaakt worden voor o.a. zwangerschaps- en bevallingsverlof kunnen anders zijn dan de vergoeding die UWV  daarvoor verstrekt. </a:t>
          </a:r>
        </a:p>
        <a:p>
          <a:pPr marL="0" marR="0" indent="0" defTabSz="914400" eaLnBrk="1" fontAlgn="auto" latinLnBrk="0" hangingPunct="1">
            <a:lnSpc>
              <a:spcPct val="100000"/>
            </a:lnSpc>
            <a:spcBef>
              <a:spcPts val="0"/>
            </a:spcBef>
            <a:spcAft>
              <a:spcPts val="0"/>
            </a:spcAft>
            <a:buClrTx/>
            <a:buSzTx/>
            <a:buFontTx/>
            <a:buNone/>
            <a:tabLst/>
            <a:defRPr/>
          </a:pPr>
          <a:endParaRPr lang="nl-NL" sz="1000" b="0" i="1" baseline="0">
            <a:solidFill>
              <a:schemeClr val="tx1">
                <a:lumMod val="50000"/>
                <a:lumOff val="50000"/>
              </a:schemeClr>
            </a:solidFill>
          </a:endParaRPr>
        </a:p>
        <a:p>
          <a:pPr marL="0" marR="0" indent="0" defTabSz="914400" eaLnBrk="1" fontAlgn="auto" latinLnBrk="0" hangingPunct="1">
            <a:lnSpc>
              <a:spcPct val="100000"/>
            </a:lnSpc>
            <a:spcBef>
              <a:spcPts val="0"/>
            </a:spcBef>
            <a:spcAft>
              <a:spcPts val="0"/>
            </a:spcAft>
            <a:buClrTx/>
            <a:buSzTx/>
            <a:buFontTx/>
            <a:buNone/>
            <a:tabLst/>
            <a:defRPr/>
          </a:pPr>
          <a:r>
            <a:rPr lang="nl-NL" sz="1000" b="0" i="1" baseline="0">
              <a:solidFill>
                <a:schemeClr val="tx1">
                  <a:lumMod val="50000"/>
                  <a:lumOff val="50000"/>
                </a:schemeClr>
              </a:solidFill>
            </a:rPr>
            <a:t>- per 1 januari 2015 is de Vf-premie gedecentraliseerd verlof (artikel 8.7 en 8.8 van de CAO) komen te vervallen. Hierdoor kan </a:t>
          </a:r>
          <a:r>
            <a:rPr lang="nl-NL" sz="1000" b="0" i="1" baseline="0">
              <a:solidFill>
                <a:schemeClr val="tx1">
                  <a:lumMod val="50000"/>
                  <a:lumOff val="50000"/>
                </a:schemeClr>
              </a:solidFill>
              <a:effectLst/>
              <a:latin typeface="+mn-lt"/>
              <a:ea typeface="+mn-ea"/>
              <a:cs typeface="+mn-cs"/>
            </a:rPr>
            <a:t>dit verlof niet meer worden gedeclareerd bij het Vervangingsverlof (Vf), maar komen deze kosten (voor zover deze zich voordoen) volledig voor rekening van het schoolbestuur. </a:t>
          </a:r>
          <a:r>
            <a:rPr lang="nl-NL" sz="1000" b="1" i="1" baseline="0">
              <a:solidFill>
                <a:schemeClr val="tx1">
                  <a:lumMod val="50000"/>
                  <a:lumOff val="50000"/>
                </a:schemeClr>
              </a:solidFill>
              <a:effectLst/>
              <a:latin typeface="+mn-lt"/>
              <a:ea typeface="+mn-ea"/>
              <a:cs typeface="+mn-cs"/>
            </a:rPr>
            <a:t>Een schatting van deze kosten kan opgevoerd worden bij "k. eigen beleid". </a:t>
          </a:r>
          <a:endParaRPr lang="nl-NL" sz="1000" b="1" i="1" baseline="0">
            <a:solidFill>
              <a:schemeClr val="tx1">
                <a:lumMod val="50000"/>
                <a:lumOff val="50000"/>
              </a:schemeClr>
            </a:solidFill>
          </a:endParaRPr>
        </a:p>
        <a:p>
          <a:pPr marL="0" marR="0" indent="0" defTabSz="914400" eaLnBrk="1" fontAlgn="auto" latinLnBrk="0" hangingPunct="1">
            <a:lnSpc>
              <a:spcPct val="100000"/>
            </a:lnSpc>
            <a:spcBef>
              <a:spcPts val="0"/>
            </a:spcBef>
            <a:spcAft>
              <a:spcPts val="0"/>
            </a:spcAft>
            <a:buClrTx/>
            <a:buSzTx/>
            <a:buFontTx/>
            <a:buNone/>
            <a:tabLst/>
            <a:defRPr/>
          </a:pPr>
          <a:endParaRPr lang="nl-NL" sz="1000" b="0" i="1" baseline="0">
            <a:solidFill>
              <a:schemeClr val="tx1">
                <a:lumMod val="50000"/>
                <a:lumOff val="50000"/>
              </a:schemeClr>
            </a:solidFill>
          </a:endParaRPr>
        </a:p>
        <a:p>
          <a:pPr marL="0" marR="0" indent="0" defTabSz="914400" eaLnBrk="1" fontAlgn="auto" latinLnBrk="0" hangingPunct="1">
            <a:lnSpc>
              <a:spcPct val="100000"/>
            </a:lnSpc>
            <a:spcBef>
              <a:spcPts val="0"/>
            </a:spcBef>
            <a:spcAft>
              <a:spcPts val="0"/>
            </a:spcAft>
            <a:buClrTx/>
            <a:buSzTx/>
            <a:buFontTx/>
            <a:buNone/>
            <a:tabLst/>
            <a:defRPr/>
          </a:pPr>
          <a:r>
            <a:rPr lang="nl-NL" sz="1000" b="0" i="1" baseline="0">
              <a:solidFill>
                <a:schemeClr val="tx1">
                  <a:lumMod val="50000"/>
                  <a:lumOff val="50000"/>
                </a:schemeClr>
              </a:solidFill>
            </a:rPr>
            <a:t>- Ook moet rekening gehouden worden met overige kosten die hier niet zijn opgenomen omdat ze per individu sterk  kunnen verschillen, zoals reis- en verblijfkosten, parkeervergoeding e.d.. Ga daarom na welke kosten bij uw bestuur ook nog gemaakt worden. </a:t>
          </a:r>
          <a:r>
            <a:rPr lang="nl-NL" sz="1000" b="1" i="1" baseline="0">
              <a:solidFill>
                <a:schemeClr val="tx1">
                  <a:lumMod val="50000"/>
                  <a:lumOff val="50000"/>
                </a:schemeClr>
              </a:solidFill>
              <a:effectLst/>
              <a:latin typeface="+mn-lt"/>
              <a:ea typeface="+mn-ea"/>
              <a:cs typeface="+mn-cs"/>
            </a:rPr>
            <a:t>Een schatting van deze kosten kan opgevoerd worden bij "k. eigen beleid". </a:t>
          </a:r>
          <a:r>
            <a:rPr lang="nl-NL" sz="1000" b="0" i="1">
              <a:solidFill>
                <a:schemeClr val="tx1">
                  <a:lumMod val="50000"/>
                  <a:lumOff val="50000"/>
                </a:schemeClr>
              </a:solidFill>
            </a:rPr>
            <a:t>Een bestuur dat voor het VF eigenrisicodrager is, dient de eigen kosten ziektevervanging hier ook op te voeren.</a:t>
          </a:r>
        </a:p>
        <a:p>
          <a:pPr marL="0" marR="0" indent="0" defTabSz="914400" eaLnBrk="1" fontAlgn="auto" latinLnBrk="0" hangingPunct="1">
            <a:lnSpc>
              <a:spcPct val="100000"/>
            </a:lnSpc>
            <a:spcBef>
              <a:spcPts val="0"/>
            </a:spcBef>
            <a:spcAft>
              <a:spcPts val="0"/>
            </a:spcAft>
            <a:buClrTx/>
            <a:buSzTx/>
            <a:buFontTx/>
            <a:buNone/>
            <a:tabLst/>
            <a:defRPr/>
          </a:pPr>
          <a:endParaRPr lang="nl-NL" sz="1000" b="0" i="1">
            <a:solidFill>
              <a:schemeClr val="tx1">
                <a:lumMod val="50000"/>
                <a:lumOff val="50000"/>
              </a:schemeClr>
            </a:solidFill>
          </a:endParaRPr>
        </a:p>
        <a:p>
          <a:r>
            <a:rPr lang="nl-NL" sz="1000" b="0" i="1">
              <a:solidFill>
                <a:schemeClr val="tx1">
                  <a:lumMod val="50000"/>
                  <a:lumOff val="50000"/>
                </a:schemeClr>
              </a:solidFill>
            </a:rPr>
            <a:t>- A</a:t>
          </a:r>
          <a:r>
            <a:rPr lang="nl-NL" sz="1000" b="0" i="1" baseline="0">
              <a:solidFill>
                <a:schemeClr val="tx1">
                  <a:lumMod val="50000"/>
                  <a:lumOff val="50000"/>
                </a:schemeClr>
              </a:solidFill>
            </a:rPr>
            <a:t>ls gevolg </a:t>
          </a:r>
          <a:r>
            <a:rPr lang="nl-NL" sz="1000" i="1">
              <a:solidFill>
                <a:schemeClr val="tx1">
                  <a:lumMod val="50000"/>
                  <a:lumOff val="50000"/>
                </a:schemeClr>
              </a:solidFill>
              <a:effectLst/>
              <a:latin typeface="+mn-lt"/>
              <a:ea typeface="+mn-ea"/>
              <a:cs typeface="+mn-cs"/>
            </a:rPr>
            <a:t>van gewijzigde pensioenregelgeving (Witteveenkader), zijn de pensioenpremies</a:t>
          </a:r>
          <a:r>
            <a:rPr lang="nl-NL" sz="1000" i="1" baseline="0">
              <a:solidFill>
                <a:schemeClr val="tx1">
                  <a:lumMod val="50000"/>
                  <a:lumOff val="50000"/>
                </a:schemeClr>
              </a:solidFill>
              <a:effectLst/>
              <a:latin typeface="+mn-lt"/>
              <a:ea typeface="+mn-ea"/>
              <a:cs typeface="+mn-cs"/>
            </a:rPr>
            <a:t> gedaald per 1 januari 2015</a:t>
          </a:r>
          <a:r>
            <a:rPr lang="nl-NL" sz="1000" i="1">
              <a:solidFill>
                <a:schemeClr val="tx1">
                  <a:lumMod val="50000"/>
                  <a:lumOff val="50000"/>
                </a:schemeClr>
              </a:solidFill>
              <a:effectLst/>
              <a:latin typeface="+mn-lt"/>
              <a:ea typeface="+mn-ea"/>
              <a:cs typeface="+mn-cs"/>
            </a:rPr>
            <a:t>. Over de besteding van een deel van die ruimte, wordt aan de cao-tafel nader overlegd:</a:t>
          </a:r>
          <a:r>
            <a:rPr lang="nl-NL" sz="1000" i="1" baseline="0">
              <a:solidFill>
                <a:schemeClr val="tx1">
                  <a:lumMod val="50000"/>
                  <a:lumOff val="50000"/>
                </a:schemeClr>
              </a:solidFill>
              <a:effectLst/>
              <a:latin typeface="+mn-lt"/>
              <a:ea typeface="+mn-ea"/>
              <a:cs typeface="+mn-cs"/>
            </a:rPr>
            <a:t> dus de premiedaling komt niet volledig ten gunste van de werkgever. Daarbij heeft d</a:t>
          </a:r>
          <a:r>
            <a:rPr lang="nl-NL" sz="1000" i="1">
              <a:solidFill>
                <a:schemeClr val="tx1">
                  <a:lumMod val="50000"/>
                  <a:lumOff val="50000"/>
                </a:schemeClr>
              </a:solidFill>
              <a:effectLst/>
              <a:latin typeface="+mn-lt"/>
              <a:ea typeface="+mn-ea"/>
              <a:cs typeface="+mn-cs"/>
            </a:rPr>
            <a:t>e gewijzigde pensioenregelgeving ook invloed op de kostenontwikkeling in de marktsector. Een daling van deze premies in de marktsector wordt via de referentiesystematiek (als negatieve compensatie)</a:t>
          </a:r>
          <a:r>
            <a:rPr lang="nl-NL" sz="1000" i="1" baseline="0">
              <a:solidFill>
                <a:schemeClr val="tx1">
                  <a:lumMod val="50000"/>
                  <a:lumOff val="50000"/>
                </a:schemeClr>
              </a:solidFill>
              <a:effectLst/>
              <a:latin typeface="+mn-lt"/>
              <a:ea typeface="+mn-ea"/>
              <a:cs typeface="+mn-cs"/>
            </a:rPr>
            <a:t> </a:t>
          </a:r>
          <a:r>
            <a:rPr lang="nl-NL" sz="1000" i="1">
              <a:solidFill>
                <a:schemeClr val="tx1">
                  <a:lumMod val="50000"/>
                  <a:lumOff val="50000"/>
                </a:schemeClr>
              </a:solidFill>
              <a:effectLst/>
              <a:latin typeface="+mn-lt"/>
              <a:ea typeface="+mn-ea"/>
              <a:cs typeface="+mn-cs"/>
            </a:rPr>
            <a:t>meegenomen in de indexering van de personele bekostiging.</a:t>
          </a:r>
        </a:p>
        <a:p>
          <a:pPr marL="0" marR="0" indent="0" defTabSz="914400" eaLnBrk="1" fontAlgn="auto" latinLnBrk="0" hangingPunct="1">
            <a:lnSpc>
              <a:spcPct val="100000"/>
            </a:lnSpc>
            <a:spcBef>
              <a:spcPts val="0"/>
            </a:spcBef>
            <a:spcAft>
              <a:spcPts val="0"/>
            </a:spcAft>
            <a:buClrTx/>
            <a:buSzTx/>
            <a:buFontTx/>
            <a:buNone/>
            <a:tabLst/>
            <a:defRPr/>
          </a:pPr>
          <a:endParaRPr lang="nl-NL" sz="1000" b="0" i="1">
            <a:solidFill>
              <a:schemeClr val="tx1">
                <a:lumMod val="50000"/>
                <a:lumOff val="50000"/>
              </a:schemeClr>
            </a:solidFill>
          </a:endParaRPr>
        </a:p>
        <a:p>
          <a:endParaRPr lang="nl-NL" sz="1000" b="1" i="1">
            <a:solidFill>
              <a:schemeClr val="tx1">
                <a:lumMod val="50000"/>
                <a:lumOff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828675</xdr:colOff>
      <xdr:row>1</xdr:row>
      <xdr:rowOff>152400</xdr:rowOff>
    </xdr:from>
    <xdr:to>
      <xdr:col>10</xdr:col>
      <xdr:colOff>152400</xdr:colOff>
      <xdr:row>3</xdr:row>
      <xdr:rowOff>133350</xdr:rowOff>
    </xdr:to>
    <xdr:pic>
      <xdr:nvPicPr>
        <xdr:cNvPr id="413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75" y="323850"/>
          <a:ext cx="10382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104775</xdr:colOff>
      <xdr:row>2</xdr:row>
      <xdr:rowOff>114300</xdr:rowOff>
    </xdr:from>
    <xdr:to>
      <xdr:col>8</xdr:col>
      <xdr:colOff>161925</xdr:colOff>
      <xdr:row>4</xdr:row>
      <xdr:rowOff>38100</xdr:rowOff>
    </xdr:to>
    <xdr:pic>
      <xdr:nvPicPr>
        <xdr:cNvPr id="922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0" y="457200"/>
          <a:ext cx="10382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76200</xdr:colOff>
      <xdr:row>2</xdr:row>
      <xdr:rowOff>0</xdr:rowOff>
    </xdr:from>
    <xdr:to>
      <xdr:col>8</xdr:col>
      <xdr:colOff>152400</xdr:colOff>
      <xdr:row>3</xdr:row>
      <xdr:rowOff>152400</xdr:rowOff>
    </xdr:to>
    <xdr:pic>
      <xdr:nvPicPr>
        <xdr:cNvPr id="615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5975" y="342900"/>
          <a:ext cx="10382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lpdesk@poraad.n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24"/>
  <sheetViews>
    <sheetView zoomScale="85" zoomScaleNormal="85" workbookViewId="0">
      <selection activeCell="B2" sqref="B2"/>
    </sheetView>
  </sheetViews>
  <sheetFormatPr defaultColWidth="9.140625" defaultRowHeight="12.75" x14ac:dyDescent="0.2"/>
  <cols>
    <col min="1" max="1" width="3.7109375" style="323" customWidth="1"/>
    <col min="2" max="2" width="2.7109375" style="323" customWidth="1"/>
    <col min="3" max="4" width="9.140625" style="323"/>
    <col min="5" max="6" width="14.85546875" style="323" customWidth="1"/>
    <col min="7" max="11" width="9.140625" style="323"/>
    <col min="12" max="12" width="9.7109375" style="323" customWidth="1"/>
    <col min="13" max="13" width="9.140625" style="323"/>
    <col min="14" max="14" width="2.7109375" style="323" customWidth="1"/>
    <col min="15" max="16384" width="9.140625" style="323"/>
  </cols>
  <sheetData>
    <row r="2" spans="2:14" x14ac:dyDescent="0.2">
      <c r="B2" s="327"/>
      <c r="C2" s="327"/>
      <c r="D2" s="327"/>
      <c r="E2" s="327"/>
      <c r="F2" s="327"/>
      <c r="G2" s="327"/>
      <c r="H2" s="327"/>
      <c r="I2" s="327"/>
      <c r="J2" s="327"/>
      <c r="K2" s="327"/>
      <c r="L2" s="327"/>
      <c r="M2" s="327"/>
      <c r="N2" s="327"/>
    </row>
    <row r="3" spans="2:14" x14ac:dyDescent="0.2">
      <c r="B3" s="328"/>
      <c r="C3" s="328"/>
      <c r="D3" s="328"/>
      <c r="E3" s="328"/>
      <c r="F3" s="328"/>
      <c r="G3" s="328"/>
      <c r="H3" s="328"/>
      <c r="I3" s="328"/>
      <c r="J3" s="328"/>
      <c r="K3" s="328"/>
      <c r="L3" s="328"/>
      <c r="M3" s="328"/>
      <c r="N3" s="328"/>
    </row>
    <row r="4" spans="2:14" s="324" customFormat="1" ht="18.75" x14ac:dyDescent="0.3">
      <c r="B4" s="329"/>
      <c r="C4" s="567" t="s">
        <v>33</v>
      </c>
      <c r="D4" s="338"/>
      <c r="E4" s="338"/>
      <c r="F4" s="338"/>
      <c r="G4" s="338"/>
      <c r="H4" s="339"/>
      <c r="I4" s="329"/>
      <c r="J4" s="329"/>
      <c r="K4" s="329"/>
      <c r="L4" s="330"/>
      <c r="M4" s="329"/>
      <c r="N4" s="329"/>
    </row>
    <row r="5" spans="2:14" ht="15.75" x14ac:dyDescent="0.25">
      <c r="B5" s="328"/>
      <c r="C5" s="568" t="s">
        <v>390</v>
      </c>
      <c r="D5" s="328"/>
      <c r="E5" s="328"/>
      <c r="F5" s="328"/>
      <c r="G5" s="328"/>
      <c r="H5" s="328"/>
      <c r="I5" s="328"/>
      <c r="J5" s="328"/>
      <c r="K5" s="328"/>
      <c r="L5" s="332"/>
      <c r="M5" s="331"/>
      <c r="N5" s="333"/>
    </row>
    <row r="6" spans="2:14" x14ac:dyDescent="0.2">
      <c r="B6" s="328"/>
      <c r="C6" s="331"/>
      <c r="D6" s="328"/>
      <c r="E6" s="328"/>
      <c r="F6" s="328"/>
      <c r="G6" s="328"/>
      <c r="H6" s="328"/>
      <c r="I6" s="328"/>
      <c r="J6" s="328"/>
      <c r="K6" s="328"/>
      <c r="L6" s="332"/>
      <c r="M6" s="331"/>
      <c r="N6" s="333"/>
    </row>
    <row r="7" spans="2:14" x14ac:dyDescent="0.2">
      <c r="B7" s="328"/>
      <c r="C7" s="331"/>
      <c r="D7" s="328"/>
      <c r="E7" s="328"/>
      <c r="F7" s="328"/>
      <c r="G7" s="328"/>
      <c r="H7" s="328"/>
      <c r="I7" s="328"/>
      <c r="J7" s="328"/>
      <c r="K7" s="328"/>
      <c r="L7" s="332"/>
      <c r="M7" s="331"/>
      <c r="N7" s="333"/>
    </row>
    <row r="8" spans="2:14" x14ac:dyDescent="0.2">
      <c r="B8" s="328"/>
      <c r="C8" s="331"/>
      <c r="D8" s="328"/>
      <c r="E8" s="328"/>
      <c r="F8" s="328"/>
      <c r="G8" s="328"/>
      <c r="H8" s="328"/>
      <c r="I8" s="328"/>
      <c r="J8" s="328"/>
      <c r="K8" s="328"/>
      <c r="L8" s="332"/>
      <c r="M8" s="331"/>
      <c r="N8" s="333"/>
    </row>
    <row r="9" spans="2:14" x14ac:dyDescent="0.2">
      <c r="B9" s="334"/>
      <c r="C9" s="334" t="s">
        <v>35</v>
      </c>
      <c r="D9" s="334"/>
      <c r="E9" s="334"/>
      <c r="F9" s="334"/>
      <c r="G9" s="460" t="s">
        <v>214</v>
      </c>
      <c r="H9" s="328"/>
      <c r="I9" s="334"/>
      <c r="J9" s="334"/>
      <c r="K9" s="334"/>
      <c r="L9" s="334"/>
      <c r="M9" s="334"/>
      <c r="N9" s="333"/>
    </row>
    <row r="10" spans="2:14" x14ac:dyDescent="0.2">
      <c r="B10" s="334"/>
      <c r="C10" s="334" t="s">
        <v>237</v>
      </c>
      <c r="D10" s="334"/>
      <c r="E10" s="334"/>
      <c r="F10" s="334"/>
      <c r="G10" s="334"/>
      <c r="H10" s="334"/>
      <c r="I10" s="334"/>
      <c r="J10" s="334"/>
      <c r="K10" s="334"/>
      <c r="L10" s="334"/>
      <c r="M10" s="334"/>
      <c r="N10" s="328"/>
    </row>
    <row r="11" spans="2:14" x14ac:dyDescent="0.2">
      <c r="B11" s="334"/>
      <c r="C11" s="334"/>
      <c r="D11" s="334"/>
      <c r="E11" s="334"/>
      <c r="F11" s="334"/>
      <c r="G11" s="334"/>
      <c r="H11" s="334"/>
      <c r="I11" s="334"/>
      <c r="J11" s="334"/>
      <c r="K11" s="334"/>
      <c r="L11" s="334"/>
      <c r="M11" s="334"/>
      <c r="N11" s="328"/>
    </row>
    <row r="12" spans="2:14" x14ac:dyDescent="0.2">
      <c r="B12" s="334"/>
      <c r="C12" s="334" t="s">
        <v>347</v>
      </c>
      <c r="D12" s="334"/>
      <c r="E12" s="334"/>
      <c r="F12" s="334"/>
      <c r="G12" s="334"/>
      <c r="H12" s="334"/>
      <c r="I12" s="334"/>
      <c r="J12" s="334"/>
      <c r="K12" s="334"/>
      <c r="L12" s="334"/>
      <c r="M12" s="334"/>
      <c r="N12" s="328"/>
    </row>
    <row r="13" spans="2:14" x14ac:dyDescent="0.2">
      <c r="B13" s="334"/>
      <c r="C13" s="334" t="s">
        <v>346</v>
      </c>
      <c r="D13" s="334"/>
      <c r="E13" s="334"/>
      <c r="F13" s="334"/>
      <c r="G13" s="334"/>
      <c r="H13" s="334"/>
      <c r="I13" s="334"/>
      <c r="J13" s="334"/>
      <c r="K13" s="334"/>
      <c r="L13" s="334"/>
      <c r="M13" s="334"/>
      <c r="N13" s="328"/>
    </row>
    <row r="14" spans="2:14" x14ac:dyDescent="0.2">
      <c r="B14" s="334"/>
      <c r="C14" s="334"/>
      <c r="D14" s="334"/>
      <c r="E14" s="334"/>
      <c r="F14" s="334"/>
      <c r="G14" s="334"/>
      <c r="H14" s="334"/>
      <c r="I14" s="334"/>
      <c r="J14" s="334"/>
      <c r="K14" s="334"/>
      <c r="L14" s="334"/>
      <c r="M14" s="334"/>
      <c r="N14" s="328"/>
    </row>
    <row r="15" spans="2:14" x14ac:dyDescent="0.2">
      <c r="B15" s="334"/>
      <c r="C15" s="334" t="s">
        <v>376</v>
      </c>
      <c r="D15" s="334"/>
      <c r="E15" s="334"/>
      <c r="F15" s="334"/>
      <c r="G15" s="334"/>
      <c r="H15" s="334"/>
      <c r="I15" s="334"/>
      <c r="J15" s="334"/>
      <c r="K15" s="334"/>
      <c r="L15" s="334"/>
      <c r="M15" s="334"/>
      <c r="N15" s="328"/>
    </row>
    <row r="16" spans="2:14" s="326" customFormat="1" x14ac:dyDescent="0.2">
      <c r="B16" s="334"/>
      <c r="C16" s="334" t="s">
        <v>358</v>
      </c>
      <c r="D16" s="334"/>
      <c r="E16" s="334"/>
      <c r="F16" s="334"/>
      <c r="G16" s="334"/>
      <c r="H16" s="334"/>
      <c r="I16" s="334"/>
      <c r="J16" s="334"/>
      <c r="K16" s="334"/>
      <c r="L16" s="334"/>
      <c r="M16" s="334"/>
      <c r="N16" s="334"/>
    </row>
    <row r="17" spans="2:14" x14ac:dyDescent="0.2">
      <c r="B17" s="334"/>
      <c r="C17" s="334" t="s">
        <v>377</v>
      </c>
      <c r="D17" s="334"/>
      <c r="E17" s="334"/>
      <c r="F17" s="334"/>
      <c r="G17" s="334"/>
      <c r="H17" s="334"/>
      <c r="I17" s="334"/>
      <c r="J17" s="334"/>
      <c r="K17" s="334"/>
      <c r="L17" s="334"/>
      <c r="M17" s="334"/>
      <c r="N17" s="328"/>
    </row>
    <row r="18" spans="2:14" x14ac:dyDescent="0.2">
      <c r="B18" s="334"/>
      <c r="C18" s="334" t="s">
        <v>379</v>
      </c>
      <c r="D18" s="334"/>
      <c r="E18" s="334"/>
      <c r="F18" s="334"/>
      <c r="G18" s="334"/>
      <c r="H18" s="334"/>
      <c r="I18" s="334"/>
      <c r="J18" s="334"/>
      <c r="K18" s="334"/>
      <c r="L18" s="334"/>
      <c r="M18" s="334"/>
      <c r="N18" s="328"/>
    </row>
    <row r="19" spans="2:14" x14ac:dyDescent="0.2">
      <c r="B19" s="334"/>
      <c r="C19" s="334" t="s">
        <v>378</v>
      </c>
      <c r="D19" s="334"/>
      <c r="E19" s="334"/>
      <c r="F19" s="334"/>
      <c r="G19" s="334"/>
      <c r="H19" s="334"/>
      <c r="I19" s="334"/>
      <c r="J19" s="334"/>
      <c r="K19" s="334"/>
      <c r="L19" s="334"/>
      <c r="M19" s="334"/>
      <c r="N19" s="328"/>
    </row>
    <row r="20" spans="2:14" x14ac:dyDescent="0.2">
      <c r="B20" s="334"/>
      <c r="C20" s="334" t="s">
        <v>205</v>
      </c>
      <c r="D20" s="334"/>
      <c r="E20" s="334"/>
      <c r="F20" s="334"/>
      <c r="G20" s="334"/>
      <c r="H20" s="334"/>
      <c r="I20" s="334"/>
      <c r="J20" s="334"/>
      <c r="K20" s="334"/>
      <c r="L20" s="334"/>
      <c r="M20" s="334"/>
      <c r="N20" s="328"/>
    </row>
    <row r="21" spans="2:14" x14ac:dyDescent="0.2">
      <c r="B21" s="334"/>
      <c r="C21" s="334" t="s">
        <v>238</v>
      </c>
      <c r="D21" s="334"/>
      <c r="E21" s="334"/>
      <c r="F21" s="334"/>
      <c r="G21" s="334"/>
      <c r="H21" s="334"/>
      <c r="I21" s="334"/>
      <c r="J21" s="334"/>
      <c r="K21" s="334"/>
      <c r="L21" s="334"/>
      <c r="M21" s="334"/>
      <c r="N21" s="328"/>
    </row>
    <row r="22" spans="2:14" x14ac:dyDescent="0.2">
      <c r="B22" s="334"/>
      <c r="C22" s="334" t="s">
        <v>204</v>
      </c>
      <c r="D22" s="334"/>
      <c r="E22" s="334"/>
      <c r="F22" s="334"/>
      <c r="G22" s="334"/>
      <c r="H22" s="334"/>
      <c r="I22" s="334"/>
      <c r="J22" s="334"/>
      <c r="K22" s="334"/>
      <c r="L22" s="334"/>
      <c r="M22" s="334"/>
      <c r="N22" s="328"/>
    </row>
    <row r="23" spans="2:14" x14ac:dyDescent="0.2">
      <c r="B23" s="334"/>
      <c r="C23" s="334" t="s">
        <v>327</v>
      </c>
      <c r="D23" s="334"/>
      <c r="E23" s="334"/>
      <c r="F23" s="334"/>
      <c r="G23" s="334"/>
      <c r="H23" s="334"/>
      <c r="I23" s="334"/>
      <c r="J23" s="334"/>
      <c r="K23" s="334"/>
      <c r="L23" s="334"/>
      <c r="M23" s="334"/>
      <c r="N23" s="328"/>
    </row>
    <row r="24" spans="2:14" x14ac:dyDescent="0.2">
      <c r="B24" s="334"/>
      <c r="C24" s="334" t="s">
        <v>359</v>
      </c>
      <c r="D24" s="334"/>
      <c r="E24" s="334"/>
      <c r="F24" s="334"/>
      <c r="G24" s="334"/>
      <c r="H24" s="334"/>
      <c r="I24" s="334"/>
      <c r="J24" s="334"/>
      <c r="K24" s="334"/>
      <c r="L24" s="334"/>
      <c r="M24" s="334"/>
      <c r="N24" s="328"/>
    </row>
    <row r="25" spans="2:14" x14ac:dyDescent="0.2">
      <c r="B25" s="334"/>
      <c r="C25" s="461"/>
      <c r="D25" s="334"/>
      <c r="E25" s="334"/>
      <c r="F25" s="334"/>
      <c r="G25" s="334"/>
      <c r="H25" s="334"/>
      <c r="I25" s="334"/>
      <c r="J25" s="334"/>
      <c r="K25" s="334"/>
      <c r="L25" s="334"/>
      <c r="M25" s="334"/>
      <c r="N25" s="328"/>
    </row>
    <row r="26" spans="2:14" x14ac:dyDescent="0.2">
      <c r="B26" s="334"/>
      <c r="C26" s="418" t="s">
        <v>315</v>
      </c>
      <c r="D26" s="334"/>
      <c r="E26" s="334"/>
      <c r="F26" s="334"/>
      <c r="G26" s="334"/>
      <c r="H26" s="334"/>
      <c r="I26" s="334"/>
      <c r="J26" s="334"/>
      <c r="K26" s="334"/>
      <c r="L26" s="334"/>
      <c r="M26" s="334"/>
      <c r="N26" s="328"/>
    </row>
    <row r="27" spans="2:14" x14ac:dyDescent="0.2">
      <c r="B27" s="334"/>
      <c r="C27" s="418" t="s">
        <v>321</v>
      </c>
      <c r="D27" s="334"/>
      <c r="E27" s="334"/>
      <c r="F27" s="334"/>
      <c r="G27" s="334"/>
      <c r="H27" s="334"/>
      <c r="I27" s="334"/>
      <c r="J27" s="334"/>
      <c r="K27" s="334"/>
      <c r="L27" s="334"/>
      <c r="M27" s="334"/>
      <c r="N27" s="328"/>
    </row>
    <row r="28" spans="2:14" x14ac:dyDescent="0.2">
      <c r="B28" s="334"/>
      <c r="C28" s="418" t="s">
        <v>322</v>
      </c>
      <c r="D28" s="334"/>
      <c r="E28" s="334"/>
      <c r="F28" s="334"/>
      <c r="G28" s="334"/>
      <c r="H28" s="334"/>
      <c r="I28" s="334"/>
      <c r="J28" s="334"/>
      <c r="K28" s="334"/>
      <c r="L28" s="334"/>
      <c r="M28" s="334"/>
      <c r="N28" s="328"/>
    </row>
    <row r="29" spans="2:14" x14ac:dyDescent="0.2">
      <c r="B29" s="334"/>
      <c r="C29" s="418" t="s">
        <v>360</v>
      </c>
      <c r="D29" s="334"/>
      <c r="E29" s="334"/>
      <c r="F29" s="334"/>
      <c r="G29" s="334"/>
      <c r="H29" s="334"/>
      <c r="I29" s="334"/>
      <c r="J29" s="334"/>
      <c r="K29" s="334"/>
      <c r="L29" s="334"/>
      <c r="M29" s="334"/>
      <c r="N29" s="328"/>
    </row>
    <row r="30" spans="2:14" x14ac:dyDescent="0.2">
      <c r="B30" s="334"/>
      <c r="C30" s="418" t="s">
        <v>361</v>
      </c>
      <c r="D30" s="334"/>
      <c r="E30" s="334"/>
      <c r="F30" s="334"/>
      <c r="G30" s="334"/>
      <c r="H30" s="334"/>
      <c r="I30" s="334"/>
      <c r="J30" s="334"/>
      <c r="K30" s="334"/>
      <c r="L30" s="334"/>
      <c r="M30" s="334"/>
      <c r="N30" s="328"/>
    </row>
    <row r="31" spans="2:14" x14ac:dyDescent="0.2">
      <c r="B31" s="334"/>
      <c r="C31" s="418" t="s">
        <v>323</v>
      </c>
      <c r="D31" s="334"/>
      <c r="E31" s="334"/>
      <c r="F31" s="334"/>
      <c r="G31" s="334"/>
      <c r="H31" s="334"/>
      <c r="I31" s="334"/>
      <c r="J31" s="334"/>
      <c r="K31" s="334"/>
      <c r="L31" s="334"/>
      <c r="M31" s="334"/>
      <c r="N31" s="328"/>
    </row>
    <row r="32" spans="2:14" x14ac:dyDescent="0.2">
      <c r="B32" s="334"/>
      <c r="C32" s="418" t="s">
        <v>362</v>
      </c>
      <c r="D32" s="334"/>
      <c r="E32" s="334"/>
      <c r="F32" s="334"/>
      <c r="G32" s="334"/>
      <c r="H32" s="334"/>
      <c r="I32" s="334"/>
      <c r="J32" s="334"/>
      <c r="K32" s="334"/>
      <c r="L32" s="334"/>
      <c r="M32" s="334"/>
      <c r="N32" s="328"/>
    </row>
    <row r="33" spans="2:14" x14ac:dyDescent="0.2">
      <c r="B33" s="334"/>
      <c r="C33" s="418"/>
      <c r="D33" s="334"/>
      <c r="E33" s="334"/>
      <c r="F33" s="334"/>
      <c r="G33" s="334"/>
      <c r="H33" s="334"/>
      <c r="I33" s="334"/>
      <c r="J33" s="334"/>
      <c r="K33" s="334"/>
      <c r="L33" s="334"/>
      <c r="M33" s="334"/>
      <c r="N33" s="328"/>
    </row>
    <row r="34" spans="2:14" x14ac:dyDescent="0.2">
      <c r="B34" s="334"/>
      <c r="C34" s="419" t="s">
        <v>328</v>
      </c>
      <c r="D34" s="334"/>
      <c r="E34" s="334"/>
      <c r="F34" s="334"/>
      <c r="G34" s="334"/>
      <c r="H34" s="334"/>
      <c r="I34" s="334"/>
      <c r="J34" s="334"/>
      <c r="K34" s="334"/>
      <c r="L34" s="334"/>
      <c r="M34" s="334"/>
      <c r="N34" s="328"/>
    </row>
    <row r="35" spans="2:14" x14ac:dyDescent="0.2">
      <c r="B35" s="334"/>
      <c r="C35" s="335"/>
      <c r="D35" s="334"/>
      <c r="E35" s="334"/>
      <c r="F35" s="334"/>
      <c r="G35" s="334"/>
      <c r="H35" s="334"/>
      <c r="I35" s="334"/>
      <c r="J35" s="334"/>
      <c r="K35" s="334"/>
      <c r="L35" s="334"/>
      <c r="M35" s="334"/>
      <c r="N35" s="328"/>
    </row>
    <row r="36" spans="2:14" x14ac:dyDescent="0.2">
      <c r="B36" s="334"/>
      <c r="C36" s="447" t="s">
        <v>380</v>
      </c>
      <c r="D36" s="334"/>
      <c r="E36" s="334"/>
      <c r="F36" s="334"/>
      <c r="G36" s="334"/>
      <c r="H36" s="334"/>
      <c r="I36" s="334"/>
      <c r="J36" s="334"/>
      <c r="K36" s="334"/>
      <c r="L36" s="334"/>
      <c r="M36" s="334"/>
      <c r="N36" s="328"/>
    </row>
    <row r="37" spans="2:14" x14ac:dyDescent="0.2">
      <c r="B37" s="334"/>
      <c r="C37" s="334"/>
      <c r="D37" s="334"/>
      <c r="E37" s="334"/>
      <c r="F37" s="334"/>
      <c r="G37" s="334"/>
      <c r="H37" s="334"/>
      <c r="I37" s="334"/>
      <c r="J37" s="334"/>
      <c r="K37" s="334"/>
      <c r="L37" s="334"/>
      <c r="M37" s="334"/>
      <c r="N37" s="328"/>
    </row>
    <row r="38" spans="2:14" x14ac:dyDescent="0.2">
      <c r="B38" s="334"/>
      <c r="C38" s="334" t="s">
        <v>329</v>
      </c>
      <c r="D38" s="334"/>
      <c r="E38" s="334"/>
      <c r="F38" s="334"/>
      <c r="G38" s="334"/>
      <c r="H38" s="334"/>
      <c r="I38" s="334"/>
      <c r="J38" s="334"/>
      <c r="K38" s="334"/>
      <c r="L38" s="334"/>
      <c r="M38" s="334"/>
      <c r="N38" s="328"/>
    </row>
    <row r="39" spans="2:14" x14ac:dyDescent="0.2">
      <c r="B39" s="334"/>
      <c r="C39" s="334" t="s">
        <v>254</v>
      </c>
      <c r="D39" s="334"/>
      <c r="E39" s="334"/>
      <c r="F39" s="334"/>
      <c r="G39" s="334"/>
      <c r="H39" s="334"/>
      <c r="I39" s="334"/>
      <c r="J39" s="334"/>
      <c r="K39" s="334"/>
      <c r="L39" s="334"/>
      <c r="M39" s="334"/>
      <c r="N39" s="328"/>
    </row>
    <row r="40" spans="2:14" x14ac:dyDescent="0.2">
      <c r="B40" s="334"/>
      <c r="C40" s="334" t="s">
        <v>381</v>
      </c>
      <c r="D40" s="334"/>
      <c r="E40" s="334"/>
      <c r="F40" s="334"/>
      <c r="G40" s="334"/>
      <c r="H40" s="334"/>
      <c r="I40" s="334"/>
      <c r="J40" s="334"/>
      <c r="K40" s="334"/>
      <c r="L40" s="334"/>
      <c r="M40" s="334"/>
      <c r="N40" s="328"/>
    </row>
    <row r="41" spans="2:14" x14ac:dyDescent="0.2">
      <c r="B41" s="334"/>
      <c r="C41" s="334"/>
      <c r="D41" s="334"/>
      <c r="E41" s="334"/>
      <c r="F41" s="334"/>
      <c r="G41" s="334"/>
      <c r="H41" s="334"/>
      <c r="I41" s="334"/>
      <c r="J41" s="334"/>
      <c r="K41" s="334"/>
      <c r="L41" s="334"/>
      <c r="M41" s="334"/>
      <c r="N41" s="328"/>
    </row>
    <row r="42" spans="2:14" x14ac:dyDescent="0.2">
      <c r="B42" s="334"/>
      <c r="C42" s="334" t="s">
        <v>371</v>
      </c>
      <c r="D42" s="334"/>
      <c r="E42" s="334"/>
      <c r="F42" s="334"/>
      <c r="G42" s="334"/>
      <c r="H42" s="334"/>
      <c r="I42" s="334"/>
      <c r="J42" s="334"/>
      <c r="K42" s="334"/>
      <c r="L42" s="334"/>
      <c r="M42" s="334"/>
      <c r="N42" s="328"/>
    </row>
    <row r="43" spans="2:14" x14ac:dyDescent="0.2">
      <c r="B43" s="334"/>
      <c r="C43" s="322"/>
      <c r="D43" s="334"/>
      <c r="E43" s="334"/>
      <c r="F43" s="334"/>
      <c r="G43" s="334"/>
      <c r="H43" s="334"/>
      <c r="I43" s="334"/>
      <c r="J43" s="334"/>
      <c r="K43" s="334"/>
      <c r="L43" s="334"/>
      <c r="M43" s="334"/>
      <c r="N43" s="328"/>
    </row>
    <row r="44" spans="2:14" x14ac:dyDescent="0.2">
      <c r="B44" s="334"/>
      <c r="C44" s="334" t="s">
        <v>314</v>
      </c>
      <c r="D44" s="334"/>
      <c r="E44" s="334"/>
      <c r="F44" s="334"/>
      <c r="G44" s="334"/>
      <c r="H44" s="334"/>
      <c r="I44" s="334"/>
      <c r="J44" s="334"/>
      <c r="K44" s="334"/>
      <c r="L44" s="334"/>
      <c r="M44" s="334"/>
      <c r="N44" s="328"/>
    </row>
    <row r="45" spans="2:14" x14ac:dyDescent="0.2">
      <c r="B45" s="334"/>
      <c r="C45" s="334" t="s">
        <v>387</v>
      </c>
      <c r="D45" s="334"/>
      <c r="E45" s="334"/>
      <c r="F45" s="334"/>
      <c r="G45" s="334"/>
      <c r="H45" s="334"/>
      <c r="I45" s="334"/>
      <c r="J45" s="334"/>
      <c r="K45" s="334"/>
      <c r="L45" s="334"/>
      <c r="M45" s="334"/>
      <c r="N45" s="328"/>
    </row>
    <row r="46" spans="2:14" x14ac:dyDescent="0.2">
      <c r="B46" s="334"/>
      <c r="C46" s="334" t="s">
        <v>388</v>
      </c>
      <c r="D46" s="334"/>
      <c r="E46" s="334"/>
      <c r="F46" s="334"/>
      <c r="G46" s="334"/>
      <c r="H46" s="334"/>
      <c r="I46" s="334"/>
      <c r="J46" s="334"/>
      <c r="K46" s="334"/>
      <c r="L46" s="334"/>
      <c r="M46" s="334"/>
      <c r="N46" s="328"/>
    </row>
    <row r="47" spans="2:14" x14ac:dyDescent="0.2">
      <c r="B47" s="334"/>
      <c r="C47" s="334"/>
      <c r="D47" s="334"/>
      <c r="E47" s="334"/>
      <c r="F47" s="334"/>
      <c r="G47" s="334"/>
      <c r="H47" s="334"/>
      <c r="I47" s="334"/>
      <c r="J47" s="334"/>
      <c r="K47" s="334"/>
      <c r="L47" s="334"/>
      <c r="M47" s="334"/>
      <c r="N47" s="328"/>
    </row>
    <row r="48" spans="2:14" s="326" customFormat="1" x14ac:dyDescent="0.2">
      <c r="B48" s="334"/>
      <c r="C48" s="334" t="s">
        <v>382</v>
      </c>
      <c r="D48" s="334"/>
      <c r="E48" s="334"/>
      <c r="F48" s="334"/>
      <c r="G48" s="334"/>
      <c r="H48" s="334"/>
      <c r="I48" s="334"/>
      <c r="J48" s="334"/>
      <c r="K48" s="334"/>
      <c r="L48" s="334"/>
      <c r="M48" s="334"/>
      <c r="N48" s="334"/>
    </row>
    <row r="49" spans="1:14" s="326" customFormat="1" x14ac:dyDescent="0.2">
      <c r="B49" s="334"/>
      <c r="C49" s="334" t="s">
        <v>265</v>
      </c>
      <c r="D49" s="334"/>
      <c r="E49" s="334"/>
      <c r="F49" s="334"/>
      <c r="G49" s="334"/>
      <c r="H49" s="334"/>
      <c r="I49" s="334"/>
      <c r="J49" s="334"/>
      <c r="K49" s="334"/>
      <c r="L49" s="334"/>
      <c r="M49" s="334"/>
      <c r="N49" s="334"/>
    </row>
    <row r="50" spans="1:14" x14ac:dyDescent="0.2">
      <c r="B50" s="334"/>
      <c r="C50" s="334"/>
      <c r="D50" s="334"/>
      <c r="E50" s="334"/>
      <c r="F50" s="334"/>
      <c r="G50" s="334"/>
      <c r="H50" s="334"/>
      <c r="I50" s="334"/>
      <c r="J50" s="334"/>
      <c r="K50" s="334"/>
      <c r="L50" s="334"/>
      <c r="M50" s="334"/>
      <c r="N50" s="328"/>
    </row>
    <row r="51" spans="1:14" x14ac:dyDescent="0.2">
      <c r="B51" s="334"/>
      <c r="C51" s="334" t="s">
        <v>246</v>
      </c>
      <c r="D51" s="334"/>
      <c r="E51" s="334"/>
      <c r="F51" s="334"/>
      <c r="G51" s="334"/>
      <c r="H51" s="462"/>
      <c r="I51" s="462"/>
      <c r="J51" s="462"/>
      <c r="K51" s="334"/>
      <c r="L51" s="334"/>
      <c r="M51" s="334"/>
      <c r="N51" s="328"/>
    </row>
    <row r="52" spans="1:14" x14ac:dyDescent="0.2">
      <c r="B52" s="334"/>
      <c r="C52" s="334"/>
      <c r="D52" s="334"/>
      <c r="E52" s="334"/>
      <c r="F52" s="334"/>
      <c r="G52" s="334"/>
      <c r="H52" s="462"/>
      <c r="I52" s="462"/>
      <c r="J52" s="462"/>
      <c r="K52" s="334"/>
      <c r="L52" s="334"/>
      <c r="M52" s="334"/>
      <c r="N52" s="328"/>
    </row>
    <row r="53" spans="1:14" x14ac:dyDescent="0.2">
      <c r="B53" s="334"/>
      <c r="C53" s="336" t="s">
        <v>330</v>
      </c>
      <c r="D53" s="334"/>
      <c r="E53" s="334"/>
      <c r="F53" s="334"/>
      <c r="G53" s="334"/>
      <c r="H53" s="462"/>
      <c r="I53" s="462"/>
      <c r="J53" s="462"/>
      <c r="K53" s="334"/>
      <c r="L53" s="334"/>
      <c r="M53" s="334"/>
      <c r="N53" s="328"/>
    </row>
    <row r="54" spans="1:14" x14ac:dyDescent="0.2">
      <c r="B54" s="334"/>
      <c r="C54" s="469" t="s">
        <v>331</v>
      </c>
      <c r="D54" s="470"/>
      <c r="E54" s="470"/>
      <c r="F54" s="470"/>
      <c r="G54" s="470"/>
      <c r="H54" s="471"/>
      <c r="I54" s="471"/>
      <c r="J54" s="471"/>
      <c r="K54" s="470"/>
      <c r="L54" s="468"/>
      <c r="M54" s="468"/>
      <c r="N54" s="328"/>
    </row>
    <row r="55" spans="1:14" x14ac:dyDescent="0.2">
      <c r="B55" s="334"/>
      <c r="C55" s="469" t="s">
        <v>355</v>
      </c>
      <c r="D55" s="470"/>
      <c r="E55" s="470"/>
      <c r="F55" s="470"/>
      <c r="G55" s="470"/>
      <c r="H55" s="471"/>
      <c r="I55" s="471"/>
      <c r="J55" s="471"/>
      <c r="K55" s="470"/>
      <c r="L55" s="468"/>
      <c r="M55" s="468"/>
      <c r="N55" s="328"/>
    </row>
    <row r="56" spans="1:14" x14ac:dyDescent="0.2">
      <c r="B56" s="334"/>
      <c r="C56" s="469" t="s">
        <v>356</v>
      </c>
      <c r="D56" s="470"/>
      <c r="E56" s="470"/>
      <c r="F56" s="470"/>
      <c r="G56" s="470"/>
      <c r="H56" s="471"/>
      <c r="I56" s="471"/>
      <c r="J56" s="471"/>
      <c r="K56" s="470"/>
      <c r="L56" s="468"/>
      <c r="M56" s="468"/>
      <c r="N56" s="328"/>
    </row>
    <row r="57" spans="1:14" x14ac:dyDescent="0.2">
      <c r="A57" s="325"/>
      <c r="B57" s="334"/>
      <c r="C57" s="469" t="s">
        <v>248</v>
      </c>
      <c r="D57" s="470"/>
      <c r="E57" s="470"/>
      <c r="F57" s="470"/>
      <c r="G57" s="470"/>
      <c r="H57" s="471"/>
      <c r="I57" s="471"/>
      <c r="J57" s="471"/>
      <c r="K57" s="470"/>
      <c r="L57" s="468"/>
      <c r="M57" s="468"/>
      <c r="N57" s="328"/>
    </row>
    <row r="58" spans="1:14" x14ac:dyDescent="0.2">
      <c r="B58" s="334"/>
      <c r="C58" s="469" t="s">
        <v>249</v>
      </c>
      <c r="D58" s="470"/>
      <c r="E58" s="470"/>
      <c r="F58" s="470"/>
      <c r="G58" s="470"/>
      <c r="H58" s="471"/>
      <c r="I58" s="471"/>
      <c r="J58" s="471"/>
      <c r="K58" s="470"/>
      <c r="L58" s="468"/>
      <c r="M58" s="468"/>
      <c r="N58" s="328"/>
    </row>
    <row r="59" spans="1:14" x14ac:dyDescent="0.2">
      <c r="B59" s="334"/>
      <c r="C59" s="469" t="s">
        <v>250</v>
      </c>
      <c r="D59" s="470"/>
      <c r="E59" s="470"/>
      <c r="F59" s="470"/>
      <c r="G59" s="470"/>
      <c r="H59" s="471"/>
      <c r="I59" s="471"/>
      <c r="J59" s="471"/>
      <c r="K59" s="470"/>
      <c r="L59" s="468"/>
      <c r="M59" s="468"/>
      <c r="N59" s="328"/>
    </row>
    <row r="60" spans="1:14" x14ac:dyDescent="0.2">
      <c r="B60" s="334"/>
      <c r="C60" s="335"/>
      <c r="D60" s="334"/>
      <c r="E60" s="334"/>
      <c r="F60" s="334"/>
      <c r="G60" s="334"/>
      <c r="H60" s="462"/>
      <c r="I60" s="462"/>
      <c r="J60" s="462"/>
      <c r="K60" s="334"/>
      <c r="L60" s="334"/>
      <c r="M60" s="334"/>
      <c r="N60" s="328"/>
    </row>
    <row r="61" spans="1:14" x14ac:dyDescent="0.2">
      <c r="B61" s="334"/>
      <c r="C61" s="469" t="s">
        <v>118</v>
      </c>
      <c r="D61" s="470"/>
      <c r="E61" s="470"/>
      <c r="F61" s="470"/>
      <c r="G61" s="470"/>
      <c r="H61" s="471"/>
      <c r="I61" s="471"/>
      <c r="J61" s="471"/>
      <c r="K61" s="470"/>
      <c r="L61" s="334"/>
      <c r="M61" s="334"/>
      <c r="N61" s="328"/>
    </row>
    <row r="62" spans="1:14" x14ac:dyDescent="0.2">
      <c r="B62" s="334"/>
      <c r="C62" s="469" t="s">
        <v>119</v>
      </c>
      <c r="D62" s="470"/>
      <c r="E62" s="470"/>
      <c r="F62" s="470"/>
      <c r="G62" s="470"/>
      <c r="H62" s="471"/>
      <c r="I62" s="471"/>
      <c r="J62" s="471"/>
      <c r="K62" s="470"/>
      <c r="L62" s="334"/>
      <c r="M62" s="334"/>
      <c r="N62" s="328"/>
    </row>
    <row r="63" spans="1:14" x14ac:dyDescent="0.2">
      <c r="B63" s="334"/>
      <c r="C63" s="469" t="s">
        <v>251</v>
      </c>
      <c r="D63" s="470"/>
      <c r="E63" s="470"/>
      <c r="F63" s="470"/>
      <c r="G63" s="470"/>
      <c r="H63" s="471"/>
      <c r="I63" s="471"/>
      <c r="J63" s="471"/>
      <c r="K63" s="470"/>
      <c r="L63" s="334"/>
      <c r="M63" s="334"/>
      <c r="N63" s="328"/>
    </row>
    <row r="64" spans="1:14" x14ac:dyDescent="0.2">
      <c r="B64" s="334"/>
      <c r="C64" s="469" t="s">
        <v>332</v>
      </c>
      <c r="D64" s="470"/>
      <c r="E64" s="470"/>
      <c r="F64" s="470"/>
      <c r="G64" s="470"/>
      <c r="H64" s="471"/>
      <c r="I64" s="471"/>
      <c r="J64" s="471"/>
      <c r="K64" s="470"/>
      <c r="L64" s="334"/>
      <c r="M64" s="334"/>
      <c r="N64" s="328"/>
    </row>
    <row r="65" spans="2:14" x14ac:dyDescent="0.2">
      <c r="B65" s="334"/>
      <c r="C65" s="336"/>
      <c r="D65" s="334"/>
      <c r="E65" s="334"/>
      <c r="F65" s="334"/>
      <c r="G65" s="334"/>
      <c r="H65" s="462"/>
      <c r="I65" s="462"/>
      <c r="J65" s="462"/>
      <c r="K65" s="334"/>
      <c r="L65" s="334"/>
      <c r="M65" s="334"/>
      <c r="N65" s="328"/>
    </row>
    <row r="66" spans="2:14" x14ac:dyDescent="0.2">
      <c r="B66" s="334"/>
      <c r="C66" s="334" t="s">
        <v>67</v>
      </c>
      <c r="D66" s="334"/>
      <c r="E66" s="334"/>
      <c r="F66" s="334"/>
      <c r="G66" s="334"/>
      <c r="H66" s="462"/>
      <c r="I66" s="462"/>
      <c r="J66" s="462"/>
      <c r="K66" s="334"/>
      <c r="L66" s="334"/>
      <c r="M66" s="334"/>
      <c r="N66" s="328"/>
    </row>
    <row r="67" spans="2:14" x14ac:dyDescent="0.2">
      <c r="B67" s="334"/>
      <c r="C67" s="334" t="s">
        <v>68</v>
      </c>
      <c r="D67" s="334"/>
      <c r="E67" s="334"/>
      <c r="F67" s="334"/>
      <c r="G67" s="334"/>
      <c r="H67" s="462"/>
      <c r="I67" s="462"/>
      <c r="J67" s="462"/>
      <c r="K67" s="334"/>
      <c r="L67" s="334"/>
      <c r="M67" s="334"/>
      <c r="N67" s="328"/>
    </row>
    <row r="68" spans="2:14" x14ac:dyDescent="0.2">
      <c r="B68" s="334"/>
      <c r="C68" s="334" t="s">
        <v>252</v>
      </c>
      <c r="D68" s="334"/>
      <c r="E68" s="334"/>
      <c r="F68" s="334"/>
      <c r="G68" s="334"/>
      <c r="H68" s="462"/>
      <c r="I68" s="462"/>
      <c r="J68" s="462"/>
      <c r="K68" s="334"/>
      <c r="L68" s="334"/>
      <c r="M68" s="334"/>
      <c r="N68" s="328"/>
    </row>
    <row r="69" spans="2:14" x14ac:dyDescent="0.2">
      <c r="B69" s="334"/>
      <c r="C69" s="418"/>
      <c r="D69" s="418"/>
      <c r="E69" s="418"/>
      <c r="F69" s="334"/>
      <c r="G69" s="334"/>
      <c r="H69" s="462"/>
      <c r="I69" s="462"/>
      <c r="J69" s="462"/>
      <c r="K69" s="334"/>
      <c r="L69" s="334"/>
      <c r="M69" s="334"/>
      <c r="N69" s="328"/>
    </row>
    <row r="70" spans="2:14" x14ac:dyDescent="0.2">
      <c r="B70" s="334"/>
      <c r="C70" s="472" t="s">
        <v>333</v>
      </c>
      <c r="D70" s="418"/>
      <c r="E70" s="418"/>
      <c r="F70" s="334"/>
      <c r="G70" s="334"/>
      <c r="H70" s="462"/>
      <c r="I70" s="462"/>
      <c r="J70" s="462"/>
      <c r="K70" s="334"/>
      <c r="L70" s="334"/>
      <c r="M70" s="334"/>
      <c r="N70" s="328"/>
    </row>
    <row r="71" spans="2:14" x14ac:dyDescent="0.2">
      <c r="B71" s="334"/>
      <c r="C71" s="418" t="s">
        <v>363</v>
      </c>
      <c r="D71" s="418"/>
      <c r="E71" s="418"/>
      <c r="F71" s="334"/>
      <c r="G71" s="334"/>
      <c r="H71" s="462"/>
      <c r="I71" s="462"/>
      <c r="J71" s="462"/>
      <c r="K71" s="334"/>
      <c r="L71" s="334"/>
      <c r="M71" s="334"/>
      <c r="N71" s="328"/>
    </row>
    <row r="72" spans="2:14" x14ac:dyDescent="0.2">
      <c r="B72" s="334"/>
      <c r="C72" s="473" t="s">
        <v>334</v>
      </c>
      <c r="D72" s="418"/>
      <c r="E72" s="418"/>
      <c r="F72" s="334"/>
      <c r="G72" s="334"/>
      <c r="H72" s="462"/>
      <c r="I72" s="462"/>
      <c r="J72" s="462"/>
      <c r="K72" s="334"/>
      <c r="L72" s="334"/>
      <c r="M72" s="334"/>
      <c r="N72" s="328"/>
    </row>
    <row r="73" spans="2:14" x14ac:dyDescent="0.2">
      <c r="B73" s="334"/>
      <c r="C73" s="474" t="s">
        <v>335</v>
      </c>
      <c r="D73" s="418"/>
      <c r="E73" s="418"/>
      <c r="F73" s="334"/>
      <c r="G73" s="334"/>
      <c r="H73" s="462"/>
      <c r="I73" s="462"/>
      <c r="J73" s="462"/>
      <c r="K73" s="334"/>
      <c r="L73" s="334"/>
      <c r="M73" s="334"/>
      <c r="N73" s="328"/>
    </row>
    <row r="74" spans="2:14" x14ac:dyDescent="0.2">
      <c r="B74" s="334"/>
      <c r="C74" s="418" t="s">
        <v>370</v>
      </c>
      <c r="D74" s="418"/>
      <c r="E74" s="418"/>
      <c r="F74" s="334"/>
      <c r="G74" s="334"/>
      <c r="H74" s="462"/>
      <c r="I74" s="462"/>
      <c r="J74" s="462"/>
      <c r="K74" s="334"/>
      <c r="L74" s="334"/>
      <c r="M74" s="334"/>
      <c r="N74" s="328"/>
    </row>
    <row r="75" spans="2:14" x14ac:dyDescent="0.2">
      <c r="B75" s="334"/>
      <c r="C75" s="418" t="s">
        <v>336</v>
      </c>
      <c r="D75" s="418"/>
      <c r="E75" s="418"/>
      <c r="F75" s="334"/>
      <c r="G75" s="334"/>
      <c r="H75" s="462"/>
      <c r="I75" s="462"/>
      <c r="J75" s="462"/>
      <c r="K75" s="334"/>
      <c r="L75" s="334"/>
      <c r="M75" s="334"/>
      <c r="N75" s="328"/>
    </row>
    <row r="76" spans="2:14" x14ac:dyDescent="0.2">
      <c r="B76" s="334"/>
      <c r="C76" s="464" t="s">
        <v>337</v>
      </c>
      <c r="D76" s="334"/>
      <c r="E76" s="334"/>
      <c r="F76" s="334"/>
      <c r="G76" s="334"/>
      <c r="H76" s="462"/>
      <c r="I76" s="462"/>
      <c r="J76" s="462"/>
      <c r="K76" s="334"/>
      <c r="L76" s="334"/>
      <c r="M76" s="334"/>
      <c r="N76" s="328"/>
    </row>
    <row r="77" spans="2:14" x14ac:dyDescent="0.2">
      <c r="B77" s="334"/>
      <c r="C77" s="334" t="s">
        <v>364</v>
      </c>
      <c r="D77" s="334"/>
      <c r="E77" s="334"/>
      <c r="F77" s="334"/>
      <c r="G77" s="334"/>
      <c r="H77" s="462"/>
      <c r="I77" s="462"/>
      <c r="J77" s="462"/>
      <c r="K77" s="334"/>
      <c r="L77" s="334"/>
      <c r="M77" s="334"/>
      <c r="N77" s="328"/>
    </row>
    <row r="78" spans="2:14" x14ac:dyDescent="0.2">
      <c r="B78" s="334"/>
      <c r="C78" s="461" t="s">
        <v>365</v>
      </c>
      <c r="D78" s="334"/>
      <c r="E78" s="334"/>
      <c r="F78" s="334"/>
      <c r="G78" s="334"/>
      <c r="H78" s="462"/>
      <c r="I78" s="462"/>
      <c r="J78" s="462"/>
      <c r="K78" s="334"/>
      <c r="L78" s="334"/>
      <c r="M78" s="334"/>
      <c r="N78" s="328"/>
    </row>
    <row r="79" spans="2:14" x14ac:dyDescent="0.2">
      <c r="B79" s="334"/>
      <c r="C79" s="464" t="s">
        <v>338</v>
      </c>
      <c r="D79" s="334"/>
      <c r="E79" s="334"/>
      <c r="F79" s="334"/>
      <c r="G79" s="334"/>
      <c r="H79" s="462"/>
      <c r="I79" s="462"/>
      <c r="J79" s="462"/>
      <c r="K79" s="334"/>
      <c r="L79" s="334"/>
      <c r="M79" s="334"/>
      <c r="N79" s="328"/>
    </row>
    <row r="80" spans="2:14" x14ac:dyDescent="0.2">
      <c r="B80" s="334"/>
      <c r="C80" s="334" t="s">
        <v>366</v>
      </c>
      <c r="D80" s="334"/>
      <c r="E80" s="334"/>
      <c r="F80" s="334"/>
      <c r="G80" s="334"/>
      <c r="H80" s="462"/>
      <c r="I80" s="462"/>
      <c r="J80" s="462"/>
      <c r="K80" s="334"/>
      <c r="L80" s="334"/>
      <c r="M80" s="334"/>
      <c r="N80" s="328"/>
    </row>
    <row r="81" spans="2:14" x14ac:dyDescent="0.2">
      <c r="B81" s="334"/>
      <c r="C81" s="334" t="s">
        <v>339</v>
      </c>
      <c r="D81" s="334"/>
      <c r="E81" s="334"/>
      <c r="F81" s="334"/>
      <c r="G81" s="334"/>
      <c r="H81" s="462"/>
      <c r="I81" s="462"/>
      <c r="J81" s="462"/>
      <c r="K81" s="334"/>
      <c r="L81" s="334"/>
      <c r="M81" s="334"/>
      <c r="N81" s="328"/>
    </row>
    <row r="82" spans="2:14" s="326" customFormat="1" x14ac:dyDescent="0.2">
      <c r="B82" s="334"/>
      <c r="C82" s="334" t="s">
        <v>352</v>
      </c>
      <c r="D82" s="334"/>
      <c r="E82" s="334"/>
      <c r="F82" s="334"/>
      <c r="G82" s="334"/>
      <c r="H82" s="462"/>
      <c r="I82" s="462"/>
      <c r="J82" s="462"/>
      <c r="K82" s="334"/>
      <c r="L82" s="334"/>
      <c r="M82" s="334"/>
      <c r="N82" s="334"/>
    </row>
    <row r="83" spans="2:14" s="326" customFormat="1" x14ac:dyDescent="0.2">
      <c r="B83" s="334"/>
      <c r="C83" s="334" t="s">
        <v>353</v>
      </c>
      <c r="D83" s="334"/>
      <c r="E83" s="334"/>
      <c r="F83" s="334"/>
      <c r="G83" s="334"/>
      <c r="H83" s="462"/>
      <c r="I83" s="462"/>
      <c r="J83" s="462"/>
      <c r="K83" s="334"/>
      <c r="L83" s="334"/>
      <c r="M83" s="334"/>
      <c r="N83" s="334"/>
    </row>
    <row r="84" spans="2:14" x14ac:dyDescent="0.2">
      <c r="B84" s="334"/>
      <c r="C84" s="334"/>
      <c r="D84" s="334"/>
      <c r="E84" s="334"/>
      <c r="F84" s="334"/>
      <c r="G84" s="334"/>
      <c r="H84" s="462"/>
      <c r="I84" s="462"/>
      <c r="J84" s="462"/>
      <c r="K84" s="334"/>
      <c r="L84" s="334"/>
      <c r="M84" s="334"/>
      <c r="N84" s="328"/>
    </row>
    <row r="85" spans="2:14" x14ac:dyDescent="0.2">
      <c r="B85" s="334"/>
      <c r="C85" s="335" t="s">
        <v>340</v>
      </c>
      <c r="D85" s="334"/>
      <c r="E85" s="334"/>
      <c r="F85" s="334"/>
      <c r="G85" s="334"/>
      <c r="H85" s="462"/>
      <c r="I85" s="462"/>
      <c r="J85" s="462"/>
      <c r="K85" s="334"/>
      <c r="L85" s="334"/>
      <c r="M85" s="334"/>
      <c r="N85" s="328"/>
    </row>
    <row r="86" spans="2:14" x14ac:dyDescent="0.2">
      <c r="B86" s="334"/>
      <c r="C86" s="334" t="s">
        <v>201</v>
      </c>
      <c r="D86" s="334"/>
      <c r="E86" s="334"/>
      <c r="F86" s="334"/>
      <c r="G86" s="334"/>
      <c r="H86" s="462"/>
      <c r="I86" s="462"/>
      <c r="J86" s="462"/>
      <c r="K86" s="334"/>
      <c r="L86" s="334"/>
      <c r="M86" s="334"/>
      <c r="N86" s="328"/>
    </row>
    <row r="87" spans="2:14" x14ac:dyDescent="0.2">
      <c r="B87" s="334"/>
      <c r="C87" s="334" t="s">
        <v>202</v>
      </c>
      <c r="D87" s="334"/>
      <c r="E87" s="334"/>
      <c r="F87" s="334"/>
      <c r="G87" s="334"/>
      <c r="H87" s="462"/>
      <c r="I87" s="462"/>
      <c r="J87" s="462"/>
      <c r="K87" s="334"/>
      <c r="L87" s="334"/>
      <c r="M87" s="334"/>
      <c r="N87" s="328"/>
    </row>
    <row r="88" spans="2:14" x14ac:dyDescent="0.2">
      <c r="B88" s="334"/>
      <c r="C88" s="334" t="s">
        <v>203</v>
      </c>
      <c r="D88" s="334"/>
      <c r="E88" s="334"/>
      <c r="F88" s="334"/>
      <c r="G88" s="334"/>
      <c r="H88" s="462"/>
      <c r="I88" s="462"/>
      <c r="J88" s="462"/>
      <c r="K88" s="334"/>
      <c r="L88" s="334"/>
      <c r="M88" s="334"/>
      <c r="N88" s="328"/>
    </row>
    <row r="89" spans="2:14" x14ac:dyDescent="0.2">
      <c r="B89" s="334"/>
      <c r="C89" s="334" t="s">
        <v>183</v>
      </c>
      <c r="D89" s="334"/>
      <c r="E89" s="334"/>
      <c r="F89" s="334"/>
      <c r="G89" s="334"/>
      <c r="H89" s="462"/>
      <c r="I89" s="462"/>
      <c r="J89" s="462"/>
      <c r="K89" s="334"/>
      <c r="L89" s="333"/>
      <c r="M89" s="333"/>
      <c r="N89" s="328"/>
    </row>
    <row r="90" spans="2:14" x14ac:dyDescent="0.2">
      <c r="B90" s="334"/>
      <c r="C90" s="334"/>
      <c r="D90" s="334"/>
      <c r="E90" s="334"/>
      <c r="F90" s="334"/>
      <c r="G90" s="334"/>
      <c r="H90" s="462"/>
      <c r="I90" s="462"/>
      <c r="J90" s="462"/>
      <c r="K90" s="334"/>
      <c r="L90" s="333"/>
      <c r="M90" s="333"/>
      <c r="N90" s="328"/>
    </row>
    <row r="91" spans="2:14" x14ac:dyDescent="0.2">
      <c r="B91" s="334"/>
      <c r="C91" s="334" t="s">
        <v>341</v>
      </c>
      <c r="D91" s="334"/>
      <c r="E91" s="334"/>
      <c r="F91" s="334"/>
      <c r="G91" s="334"/>
      <c r="H91" s="462"/>
      <c r="I91" s="462"/>
      <c r="J91" s="462"/>
      <c r="K91" s="334"/>
      <c r="L91" s="334"/>
      <c r="M91" s="334"/>
      <c r="N91" s="328"/>
    </row>
    <row r="92" spans="2:14" x14ac:dyDescent="0.2">
      <c r="B92" s="334"/>
      <c r="C92" s="334" t="s">
        <v>342</v>
      </c>
      <c r="D92" s="334"/>
      <c r="E92" s="334"/>
      <c r="F92" s="334"/>
      <c r="G92" s="334"/>
      <c r="H92" s="462"/>
      <c r="I92" s="462"/>
      <c r="J92" s="462"/>
      <c r="K92" s="334"/>
      <c r="L92" s="334"/>
      <c r="M92" s="334"/>
      <c r="N92" s="328"/>
    </row>
    <row r="93" spans="2:14" x14ac:dyDescent="0.2">
      <c r="B93" s="334"/>
      <c r="C93" s="334" t="s">
        <v>215</v>
      </c>
      <c r="D93" s="334"/>
      <c r="E93" s="334"/>
      <c r="F93" s="334"/>
      <c r="G93" s="334"/>
      <c r="H93" s="462"/>
      <c r="I93" s="462"/>
      <c r="J93" s="462"/>
      <c r="K93" s="334"/>
      <c r="L93" s="334"/>
      <c r="M93" s="334"/>
      <c r="N93" s="328"/>
    </row>
    <row r="94" spans="2:14" x14ac:dyDescent="0.2">
      <c r="B94" s="334"/>
      <c r="C94" s="334" t="s">
        <v>343</v>
      </c>
      <c r="D94" s="334"/>
      <c r="E94" s="334"/>
      <c r="F94" s="334"/>
      <c r="G94" s="334"/>
      <c r="H94" s="462"/>
      <c r="I94" s="462"/>
      <c r="J94" s="462"/>
      <c r="K94" s="334"/>
      <c r="L94" s="334"/>
      <c r="M94" s="334"/>
      <c r="N94" s="328"/>
    </row>
    <row r="95" spans="2:14" x14ac:dyDescent="0.2">
      <c r="B95" s="334"/>
      <c r="C95" s="334"/>
      <c r="D95" s="334"/>
      <c r="E95" s="334"/>
      <c r="F95" s="334"/>
      <c r="G95" s="334"/>
      <c r="H95" s="462"/>
      <c r="I95" s="462"/>
      <c r="J95" s="462"/>
      <c r="K95" s="334"/>
      <c r="L95" s="334"/>
      <c r="M95" s="334"/>
      <c r="N95" s="328"/>
    </row>
    <row r="96" spans="2:14" x14ac:dyDescent="0.2">
      <c r="B96" s="334"/>
      <c r="C96" s="334" t="s">
        <v>69</v>
      </c>
      <c r="D96" s="334"/>
      <c r="E96" s="334"/>
      <c r="F96" s="334"/>
      <c r="G96" s="334"/>
      <c r="H96" s="462"/>
      <c r="I96" s="462"/>
      <c r="J96" s="462"/>
      <c r="K96" s="334"/>
      <c r="L96" s="334"/>
      <c r="M96" s="334"/>
      <c r="N96" s="328"/>
    </row>
    <row r="97" spans="2:14" x14ac:dyDescent="0.2">
      <c r="B97" s="334"/>
      <c r="C97" s="334" t="s">
        <v>344</v>
      </c>
      <c r="D97" s="334"/>
      <c r="E97" s="334"/>
      <c r="F97" s="334"/>
      <c r="G97" s="334"/>
      <c r="H97" s="462"/>
      <c r="I97" s="462"/>
      <c r="J97" s="462"/>
      <c r="K97" s="334"/>
      <c r="L97" s="334"/>
      <c r="M97" s="334"/>
      <c r="N97" s="328"/>
    </row>
    <row r="98" spans="2:14" x14ac:dyDescent="0.2">
      <c r="B98" s="334"/>
      <c r="C98" s="334" t="s">
        <v>247</v>
      </c>
      <c r="D98" s="334"/>
      <c r="E98" s="334"/>
      <c r="F98" s="334"/>
      <c r="G98" s="334"/>
      <c r="H98" s="462"/>
      <c r="I98" s="462"/>
      <c r="J98" s="462"/>
      <c r="K98" s="334"/>
      <c r="L98" s="334"/>
      <c r="M98" s="334"/>
      <c r="N98" s="328"/>
    </row>
    <row r="99" spans="2:14" x14ac:dyDescent="0.2">
      <c r="B99" s="334"/>
      <c r="C99" s="334" t="s">
        <v>70</v>
      </c>
      <c r="D99" s="334"/>
      <c r="E99" s="334"/>
      <c r="F99" s="334"/>
      <c r="G99" s="334"/>
      <c r="H99" s="462"/>
      <c r="I99" s="462"/>
      <c r="J99" s="462"/>
      <c r="K99" s="334"/>
      <c r="L99" s="334"/>
      <c r="M99" s="334"/>
      <c r="N99" s="328"/>
    </row>
    <row r="100" spans="2:14" x14ac:dyDescent="0.2">
      <c r="B100" s="334"/>
      <c r="C100" s="334"/>
      <c r="D100" s="334"/>
      <c r="E100" s="334"/>
      <c r="F100" s="334"/>
      <c r="G100" s="334"/>
      <c r="H100" s="462"/>
      <c r="I100" s="462"/>
      <c r="J100" s="462"/>
      <c r="K100" s="334"/>
      <c r="L100" s="334"/>
      <c r="M100" s="334"/>
      <c r="N100" s="328"/>
    </row>
    <row r="101" spans="2:14" x14ac:dyDescent="0.2">
      <c r="B101" s="334"/>
      <c r="C101" s="335" t="s">
        <v>72</v>
      </c>
      <c r="D101" s="334"/>
      <c r="E101" s="334"/>
      <c r="F101" s="334"/>
      <c r="G101" s="334"/>
      <c r="H101" s="462"/>
      <c r="I101" s="462"/>
      <c r="J101" s="462"/>
      <c r="K101" s="334"/>
      <c r="L101" s="334"/>
      <c r="M101" s="334"/>
      <c r="N101" s="328"/>
    </row>
    <row r="102" spans="2:14" x14ac:dyDescent="0.2">
      <c r="B102" s="334"/>
      <c r="C102" s="334" t="s">
        <v>192</v>
      </c>
      <c r="D102" s="334"/>
      <c r="E102" s="334"/>
      <c r="F102" s="334"/>
      <c r="G102" s="334"/>
      <c r="H102" s="462"/>
      <c r="I102" s="462"/>
      <c r="J102" s="462"/>
      <c r="K102" s="334"/>
      <c r="L102" s="334"/>
      <c r="M102" s="334"/>
      <c r="N102" s="328"/>
    </row>
    <row r="103" spans="2:14" x14ac:dyDescent="0.2">
      <c r="B103" s="334"/>
      <c r="C103" s="334"/>
      <c r="D103" s="334"/>
      <c r="E103" s="334"/>
      <c r="F103" s="334"/>
      <c r="G103" s="334"/>
      <c r="H103" s="462"/>
      <c r="I103" s="462"/>
      <c r="J103" s="462"/>
      <c r="K103" s="334"/>
      <c r="L103" s="334"/>
      <c r="M103" s="334"/>
      <c r="N103" s="328"/>
    </row>
    <row r="104" spans="2:14" x14ac:dyDescent="0.2">
      <c r="B104" s="334"/>
      <c r="C104" s="335" t="s">
        <v>73</v>
      </c>
      <c r="D104" s="334"/>
      <c r="E104" s="334"/>
      <c r="F104" s="334"/>
      <c r="G104" s="334"/>
      <c r="H104" s="462"/>
      <c r="I104" s="462"/>
      <c r="J104" s="462"/>
      <c r="K104" s="334"/>
      <c r="L104" s="334"/>
      <c r="M104" s="334"/>
      <c r="N104" s="328"/>
    </row>
    <row r="105" spans="2:14" x14ac:dyDescent="0.2">
      <c r="B105" s="334"/>
      <c r="C105" s="334" t="s">
        <v>191</v>
      </c>
      <c r="D105" s="334"/>
      <c r="E105" s="334"/>
      <c r="F105" s="334"/>
      <c r="G105" s="334"/>
      <c r="H105" s="462"/>
      <c r="I105" s="462"/>
      <c r="J105" s="462"/>
      <c r="K105" s="334"/>
      <c r="L105" s="334"/>
      <c r="M105" s="334"/>
      <c r="N105" s="328"/>
    </row>
    <row r="106" spans="2:14" x14ac:dyDescent="0.2">
      <c r="B106" s="334"/>
      <c r="C106" s="334"/>
      <c r="D106" s="334"/>
      <c r="E106" s="334"/>
      <c r="F106" s="334"/>
      <c r="G106" s="334"/>
      <c r="H106" s="462"/>
      <c r="I106" s="462"/>
      <c r="J106" s="462"/>
      <c r="K106" s="334"/>
      <c r="L106" s="334"/>
      <c r="M106" s="334"/>
      <c r="N106" s="328"/>
    </row>
    <row r="107" spans="2:14" x14ac:dyDescent="0.2">
      <c r="B107" s="334"/>
      <c r="C107" s="335" t="s">
        <v>216</v>
      </c>
      <c r="D107" s="334"/>
      <c r="E107" s="334"/>
      <c r="F107" s="334"/>
      <c r="G107" s="334"/>
      <c r="H107" s="462"/>
      <c r="I107" s="462"/>
      <c r="J107" s="462"/>
      <c r="K107" s="334"/>
      <c r="L107" s="334"/>
      <c r="M107" s="334"/>
      <c r="N107" s="328"/>
    </row>
    <row r="108" spans="2:14" x14ac:dyDescent="0.2">
      <c r="B108" s="334"/>
      <c r="C108" s="334" t="s">
        <v>217</v>
      </c>
      <c r="D108" s="334"/>
      <c r="E108" s="334"/>
      <c r="F108" s="334"/>
      <c r="G108" s="334"/>
      <c r="H108" s="462"/>
      <c r="I108" s="462"/>
      <c r="J108" s="462"/>
      <c r="K108" s="334"/>
      <c r="L108" s="334"/>
      <c r="M108" s="334"/>
      <c r="N108" s="328"/>
    </row>
    <row r="109" spans="2:14" x14ac:dyDescent="0.2">
      <c r="B109" s="334"/>
      <c r="C109" s="334"/>
      <c r="D109" s="334"/>
      <c r="E109" s="334"/>
      <c r="F109" s="334"/>
      <c r="G109" s="334"/>
      <c r="H109" s="462"/>
      <c r="I109" s="462"/>
      <c r="J109" s="462"/>
      <c r="K109" s="334"/>
      <c r="L109" s="334"/>
      <c r="M109" s="334"/>
      <c r="N109" s="328"/>
    </row>
    <row r="110" spans="2:14" x14ac:dyDescent="0.2">
      <c r="B110" s="334"/>
      <c r="C110" s="335" t="s">
        <v>120</v>
      </c>
      <c r="D110" s="334"/>
      <c r="E110" s="334"/>
      <c r="F110" s="334"/>
      <c r="G110" s="334"/>
      <c r="H110" s="462"/>
      <c r="I110" s="462"/>
      <c r="J110" s="462"/>
      <c r="K110" s="334"/>
      <c r="L110" s="334"/>
      <c r="M110" s="334"/>
      <c r="N110" s="328"/>
    </row>
    <row r="111" spans="2:14" x14ac:dyDescent="0.2">
      <c r="B111" s="334"/>
      <c r="C111" s="334" t="s">
        <v>121</v>
      </c>
      <c r="D111" s="334"/>
      <c r="E111" s="334"/>
      <c r="F111" s="334"/>
      <c r="G111" s="334"/>
      <c r="H111" s="462"/>
      <c r="I111" s="462"/>
      <c r="J111" s="462"/>
      <c r="K111" s="334"/>
      <c r="L111" s="334"/>
      <c r="M111" s="334"/>
      <c r="N111" s="328"/>
    </row>
    <row r="112" spans="2:14" x14ac:dyDescent="0.2">
      <c r="B112" s="334"/>
      <c r="C112" s="334"/>
      <c r="D112" s="334"/>
      <c r="E112" s="334"/>
      <c r="F112" s="334"/>
      <c r="G112" s="334"/>
      <c r="H112" s="462"/>
      <c r="I112" s="462"/>
      <c r="J112" s="462"/>
      <c r="K112" s="334"/>
      <c r="L112" s="334"/>
      <c r="M112" s="334"/>
      <c r="N112" s="328"/>
    </row>
    <row r="113" spans="1:14" x14ac:dyDescent="0.2">
      <c r="A113" s="325"/>
      <c r="B113" s="334"/>
      <c r="C113" s="335" t="s">
        <v>78</v>
      </c>
      <c r="D113" s="334"/>
      <c r="E113" s="334"/>
      <c r="F113" s="334"/>
      <c r="G113" s="334"/>
      <c r="H113" s="462"/>
      <c r="I113" s="462"/>
      <c r="J113" s="462"/>
      <c r="K113" s="334"/>
      <c r="L113" s="334"/>
      <c r="M113" s="334"/>
      <c r="N113" s="328"/>
    </row>
    <row r="114" spans="1:14" x14ac:dyDescent="0.2">
      <c r="A114" s="325"/>
      <c r="B114" s="334"/>
      <c r="C114" s="334" t="s">
        <v>219</v>
      </c>
      <c r="D114" s="334"/>
      <c r="E114" s="334"/>
      <c r="F114" s="334"/>
      <c r="G114" s="334"/>
      <c r="H114" s="462"/>
      <c r="I114" s="462"/>
      <c r="J114" s="462"/>
      <c r="K114" s="334"/>
      <c r="L114" s="334"/>
      <c r="M114" s="334"/>
      <c r="N114" s="328"/>
    </row>
    <row r="115" spans="1:14" x14ac:dyDescent="0.2">
      <c r="A115" s="325"/>
      <c r="B115" s="334"/>
      <c r="C115" s="334" t="s">
        <v>220</v>
      </c>
      <c r="D115" s="334"/>
      <c r="E115" s="334"/>
      <c r="F115" s="334"/>
      <c r="G115" s="334"/>
      <c r="H115" s="462"/>
      <c r="I115" s="462"/>
      <c r="J115" s="462"/>
      <c r="K115" s="334"/>
      <c r="L115" s="334"/>
      <c r="M115" s="334"/>
      <c r="N115" s="328"/>
    </row>
    <row r="116" spans="1:14" x14ac:dyDescent="0.2">
      <c r="A116" s="325"/>
      <c r="B116" s="334"/>
      <c r="C116" s="334"/>
      <c r="D116" s="334"/>
      <c r="E116" s="334"/>
      <c r="F116" s="334"/>
      <c r="G116" s="334"/>
      <c r="H116" s="462"/>
      <c r="I116" s="462"/>
      <c r="J116" s="462"/>
      <c r="K116" s="334"/>
      <c r="L116" s="334"/>
      <c r="M116" s="334"/>
      <c r="N116" s="328"/>
    </row>
    <row r="117" spans="1:14" x14ac:dyDescent="0.2">
      <c r="A117" s="325"/>
      <c r="B117" s="463"/>
      <c r="C117" s="336" t="s">
        <v>34</v>
      </c>
      <c r="D117" s="334"/>
      <c r="E117" s="334"/>
      <c r="F117" s="334"/>
      <c r="G117" s="334"/>
      <c r="H117" s="334"/>
      <c r="I117" s="334"/>
      <c r="J117" s="334"/>
      <c r="K117" s="334"/>
      <c r="L117" s="334"/>
      <c r="M117" s="334"/>
      <c r="N117" s="328"/>
    </row>
    <row r="118" spans="1:14" x14ac:dyDescent="0.2">
      <c r="A118" s="325"/>
      <c r="B118" s="463"/>
      <c r="C118" s="334" t="s">
        <v>389</v>
      </c>
      <c r="D118" s="334"/>
      <c r="E118" s="334"/>
      <c r="F118" s="334"/>
      <c r="G118" s="334"/>
      <c r="H118" s="334"/>
      <c r="I118" s="334"/>
      <c r="J118" s="334"/>
      <c r="K118" s="334"/>
      <c r="L118" s="334"/>
      <c r="M118" s="334"/>
      <c r="N118" s="328"/>
    </row>
    <row r="119" spans="1:14" x14ac:dyDescent="0.2">
      <c r="A119" s="325"/>
      <c r="B119" s="463"/>
      <c r="C119" s="334" t="s">
        <v>212</v>
      </c>
      <c r="D119" s="334"/>
      <c r="E119" s="334"/>
      <c r="F119" s="334"/>
      <c r="G119" s="334"/>
      <c r="H119" s="334"/>
      <c r="I119" s="334"/>
      <c r="J119" s="334"/>
      <c r="K119" s="334"/>
      <c r="L119" s="334"/>
      <c r="M119" s="334"/>
      <c r="N119" s="328"/>
    </row>
    <row r="120" spans="1:14" x14ac:dyDescent="0.2">
      <c r="A120" s="325"/>
      <c r="B120" s="463"/>
      <c r="C120" s="334"/>
      <c r="D120" s="334"/>
      <c r="E120" s="334"/>
      <c r="F120" s="334"/>
      <c r="G120" s="334"/>
      <c r="H120" s="334"/>
      <c r="I120" s="334"/>
      <c r="J120" s="334"/>
      <c r="K120" s="334"/>
      <c r="L120" s="334"/>
      <c r="M120" s="334"/>
      <c r="N120" s="328"/>
    </row>
    <row r="121" spans="1:14" s="326" customFormat="1" x14ac:dyDescent="0.2">
      <c r="B121" s="463"/>
      <c r="C121" s="334"/>
      <c r="D121" s="334"/>
      <c r="E121" s="334"/>
      <c r="F121" s="334"/>
      <c r="G121" s="334"/>
      <c r="H121" s="334"/>
      <c r="I121" s="334"/>
      <c r="J121" s="334"/>
      <c r="K121" s="334"/>
      <c r="L121" s="334"/>
      <c r="M121" s="334"/>
      <c r="N121" s="334"/>
    </row>
    <row r="122" spans="1:14" s="326" customFormat="1" x14ac:dyDescent="0.2">
      <c r="B122" s="463"/>
      <c r="C122" s="336" t="s">
        <v>218</v>
      </c>
      <c r="D122" s="334"/>
      <c r="E122" s="334"/>
      <c r="F122" s="334"/>
      <c r="G122" s="334"/>
      <c r="H122" s="334"/>
      <c r="I122" s="334"/>
      <c r="J122" s="322" t="s">
        <v>345</v>
      </c>
      <c r="K122" s="334"/>
      <c r="L122" s="334"/>
      <c r="M122" s="334"/>
      <c r="N122" s="334"/>
    </row>
    <row r="123" spans="1:14" ht="15.75" x14ac:dyDescent="0.25">
      <c r="B123" s="463"/>
      <c r="C123" s="336"/>
      <c r="D123" s="334"/>
      <c r="E123" s="336"/>
      <c r="F123" s="334"/>
      <c r="G123" s="334"/>
      <c r="H123" s="334"/>
      <c r="I123" s="334"/>
      <c r="J123" s="337"/>
      <c r="K123" s="334"/>
      <c r="L123" s="334"/>
      <c r="M123" s="418"/>
      <c r="N123" s="466"/>
    </row>
    <row r="124" spans="1:14" s="421" customFormat="1" x14ac:dyDescent="0.2">
      <c r="B124" s="334"/>
      <c r="C124" s="336"/>
      <c r="D124" s="334"/>
      <c r="E124" s="334"/>
      <c r="F124" s="334"/>
      <c r="G124" s="334"/>
      <c r="H124" s="334"/>
      <c r="I124" s="334"/>
      <c r="J124" s="465"/>
      <c r="K124" s="334"/>
      <c r="L124" s="334"/>
      <c r="M124" s="418"/>
      <c r="N124" s="467"/>
    </row>
  </sheetData>
  <sheetProtection algorithmName="SHA-512" hashValue="8Jjzp+OV0ePxTYdj5yuV04miP159ruP5vry0sQbaqmGWaLQo1IdASn/Vt0mcXaWMuJ5JIen34ZileI7eEFj+ig==" saltValue="REIqlDWnHa+oOTlanjMYbw==" spinCount="100000" sheet="1" objects="1" scenarios="1"/>
  <phoneticPr fontId="6" type="noConversion"/>
  <hyperlinks>
    <hyperlink ref="J122" r:id="rId1"/>
  </hyperlinks>
  <printOptions gridLines="1"/>
  <pageMargins left="0.74803149606299213" right="0.74803149606299213" top="0.98425196850393704" bottom="0.98425196850393704" header="0.51181102362204722" footer="0.51181102362204722"/>
  <pageSetup paperSize="9" scale="64" orientation="portrait" r:id="rId2"/>
  <headerFooter alignWithMargins="0">
    <oddHeader>&amp;L&amp;"Arial,Vet"&amp;A&amp;C&amp;"Arial,Vet"&amp;D&amp;R&amp;"Arial,Vet"&amp;F</oddHeader>
    <oddFooter>&amp;L&amp;"Arial,Vet"&amp;8gemaakt door keizer en goedhart, PO-Raad&amp;R&amp;"Arial,Vet"&amp;P</oddFooter>
  </headerFooter>
  <rowBreaks count="1" manualBreakCount="1">
    <brk id="78" min="1" max="1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10"/>
  <sheetViews>
    <sheetView tabSelected="1" zoomScale="85" zoomScaleNormal="85" zoomScaleSheetLayoutView="85" workbookViewId="0">
      <selection activeCell="B2" sqref="B2"/>
    </sheetView>
  </sheetViews>
  <sheetFormatPr defaultColWidth="9.7109375" defaultRowHeight="13.5" customHeight="1" x14ac:dyDescent="0.25"/>
  <cols>
    <col min="1" max="1" width="3.5703125" style="574" customWidth="1"/>
    <col min="2" max="3" width="2.7109375" style="292" customWidth="1"/>
    <col min="4" max="4" width="2.5703125" style="292" customWidth="1"/>
    <col min="5" max="5" width="30.7109375" style="292" customWidth="1"/>
    <col min="6" max="6" width="8.7109375" style="293" customWidth="1"/>
    <col min="7" max="7" width="8.7109375" style="294" customWidth="1"/>
    <col min="8" max="8" width="1.7109375" style="294" customWidth="1"/>
    <col min="9" max="9" width="12.5703125" style="292" customWidth="1"/>
    <col min="10" max="10" width="12.85546875" style="292" customWidth="1"/>
    <col min="11" max="11" width="1.7109375" style="292" customWidth="1"/>
    <col min="12" max="12" width="2.7109375" style="292" customWidth="1"/>
    <col min="13" max="14" width="2.85546875" style="292" customWidth="1"/>
    <col min="15" max="15" width="25.7109375" style="292" customWidth="1"/>
    <col min="16" max="16" width="9.7109375" style="292" customWidth="1"/>
    <col min="17" max="17" width="8.85546875" style="292" customWidth="1"/>
    <col min="18" max="18" width="1.5703125" style="292" customWidth="1"/>
    <col min="19" max="20" width="12.85546875" style="292" customWidth="1"/>
    <col min="21" max="22" width="2.85546875" style="292" customWidth="1"/>
    <col min="23" max="60" width="9.7109375" style="574"/>
    <col min="61" max="16384" width="9.7109375" style="292"/>
  </cols>
  <sheetData>
    <row r="1" spans="1:60" s="574" customFormat="1" ht="12.75" customHeight="1" x14ac:dyDescent="0.25">
      <c r="F1" s="580"/>
      <c r="G1" s="581"/>
      <c r="H1" s="581"/>
    </row>
    <row r="2" spans="1:60" ht="12.75" customHeight="1" x14ac:dyDescent="0.25">
      <c r="B2" s="295"/>
      <c r="C2" s="296"/>
      <c r="D2" s="296"/>
      <c r="E2" s="296"/>
      <c r="F2" s="297"/>
      <c r="G2" s="298"/>
      <c r="H2" s="298"/>
      <c r="I2" s="296"/>
      <c r="J2" s="296"/>
      <c r="K2" s="296"/>
      <c r="L2" s="296"/>
      <c r="M2" s="296"/>
      <c r="N2" s="296"/>
      <c r="O2" s="296"/>
      <c r="P2" s="296"/>
      <c r="Q2" s="296"/>
      <c r="R2" s="296"/>
      <c r="S2" s="296"/>
      <c r="T2" s="296"/>
      <c r="U2" s="296"/>
      <c r="V2" s="299"/>
    </row>
    <row r="3" spans="1:60" ht="12.75" customHeight="1" x14ac:dyDescent="0.25">
      <c r="B3" s="300"/>
      <c r="C3" s="301"/>
      <c r="D3" s="301"/>
      <c r="E3" s="301"/>
      <c r="F3" s="302"/>
      <c r="G3" s="303"/>
      <c r="H3" s="303"/>
      <c r="I3" s="301"/>
      <c r="J3" s="301"/>
      <c r="K3" s="301"/>
      <c r="L3" s="301"/>
      <c r="M3" s="301"/>
      <c r="N3" s="301"/>
      <c r="O3" s="301"/>
      <c r="P3" s="301"/>
      <c r="Q3" s="301"/>
      <c r="R3" s="301"/>
      <c r="S3" s="301"/>
      <c r="T3" s="301"/>
      <c r="U3" s="301"/>
      <c r="V3" s="304"/>
    </row>
    <row r="4" spans="1:60" s="345" customFormat="1" ht="18" customHeight="1" x14ac:dyDescent="0.3">
      <c r="A4" s="575"/>
      <c r="B4" s="340"/>
      <c r="C4" s="604" t="str">
        <f>"WERKGEVERSLASTEN PO "&amp;tabellen!B1</f>
        <v>WERKGEVERSLASTEN PO 2015</v>
      </c>
      <c r="D4" s="341"/>
      <c r="E4" s="341"/>
      <c r="F4" s="342"/>
      <c r="G4" s="343"/>
      <c r="H4" s="342"/>
      <c r="I4" s="341"/>
      <c r="J4" s="341"/>
      <c r="K4" s="341"/>
      <c r="L4" s="341"/>
      <c r="M4" s="341"/>
      <c r="N4" s="341"/>
      <c r="O4" s="341"/>
      <c r="P4" s="341"/>
      <c r="Q4" s="341"/>
      <c r="R4" s="341"/>
      <c r="S4" s="341"/>
      <c r="T4" s="341"/>
      <c r="U4" s="341"/>
      <c r="V4" s="344"/>
      <c r="W4" s="575"/>
      <c r="X4" s="575"/>
      <c r="Y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c r="AW4" s="575"/>
      <c r="AX4" s="575"/>
      <c r="AY4" s="575"/>
      <c r="AZ4" s="575"/>
      <c r="BA4" s="575"/>
      <c r="BB4" s="575"/>
      <c r="BC4" s="575"/>
      <c r="BD4" s="575"/>
      <c r="BE4" s="575"/>
      <c r="BF4" s="575"/>
      <c r="BG4" s="575"/>
      <c r="BH4" s="575"/>
    </row>
    <row r="5" spans="1:60" s="321" customFormat="1" ht="13.5" customHeight="1" x14ac:dyDescent="0.25">
      <c r="A5" s="576"/>
      <c r="B5" s="315"/>
      <c r="C5" s="53" t="str">
        <f>+tabellen!C1 &amp;tabellen!B1</f>
        <v xml:space="preserve"> vanaf 1 augustus 2015</v>
      </c>
      <c r="D5" s="316"/>
      <c r="E5" s="53"/>
      <c r="F5" s="317"/>
      <c r="G5" s="318"/>
      <c r="H5" s="318"/>
      <c r="I5" s="319"/>
      <c r="J5" s="319"/>
      <c r="K5" s="316"/>
      <c r="L5" s="316"/>
      <c r="M5" s="316"/>
      <c r="N5" s="316"/>
      <c r="O5" s="316"/>
      <c r="P5" s="316"/>
      <c r="Q5" s="316"/>
      <c r="R5" s="316"/>
      <c r="S5" s="316"/>
      <c r="T5" s="316"/>
      <c r="U5" s="316"/>
      <c r="V5" s="320"/>
      <c r="W5" s="576"/>
      <c r="X5" s="576"/>
      <c r="Y5" s="576"/>
      <c r="Z5" s="576"/>
      <c r="AA5" s="576"/>
      <c r="AB5" s="576"/>
      <c r="AC5" s="576"/>
      <c r="AD5" s="576"/>
      <c r="AE5" s="576"/>
      <c r="AF5" s="576"/>
      <c r="AG5" s="576"/>
      <c r="AH5" s="576"/>
      <c r="AI5" s="576"/>
      <c r="AJ5" s="576"/>
      <c r="AK5" s="576"/>
      <c r="AL5" s="576"/>
      <c r="AM5" s="576"/>
      <c r="AN5" s="576"/>
      <c r="AO5" s="576"/>
      <c r="AP5" s="576"/>
      <c r="AQ5" s="576"/>
      <c r="AR5" s="576"/>
      <c r="AS5" s="576"/>
      <c r="AT5" s="576"/>
      <c r="AU5" s="576"/>
      <c r="AV5" s="576"/>
      <c r="AW5" s="576"/>
      <c r="AX5" s="576"/>
      <c r="AY5" s="576"/>
      <c r="AZ5" s="576"/>
      <c r="BA5" s="576"/>
      <c r="BB5" s="576"/>
      <c r="BC5" s="576"/>
      <c r="BD5" s="576"/>
      <c r="BE5" s="576"/>
      <c r="BF5" s="576"/>
      <c r="BG5" s="576"/>
      <c r="BH5" s="576"/>
    </row>
    <row r="6" spans="1:60" ht="12.75" customHeight="1" x14ac:dyDescent="0.25">
      <c r="B6" s="300"/>
      <c r="C6" s="301"/>
      <c r="D6" s="301"/>
      <c r="E6" s="305"/>
      <c r="F6" s="302"/>
      <c r="G6" s="303"/>
      <c r="H6" s="303"/>
      <c r="I6" s="306"/>
      <c r="J6" s="306"/>
      <c r="K6" s="301"/>
      <c r="L6" s="301"/>
      <c r="M6" s="301"/>
      <c r="N6" s="301"/>
      <c r="O6" s="301"/>
      <c r="P6" s="301"/>
      <c r="Q6" s="301"/>
      <c r="R6" s="301"/>
      <c r="S6" s="301"/>
      <c r="T6" s="301"/>
      <c r="U6" s="301"/>
      <c r="V6" s="304"/>
    </row>
    <row r="7" spans="1:60" ht="12.75" customHeight="1" x14ac:dyDescent="0.25">
      <c r="B7" s="300"/>
      <c r="C7" s="301"/>
      <c r="D7" s="301"/>
      <c r="E7" s="305"/>
      <c r="F7" s="302"/>
      <c r="G7" s="303"/>
      <c r="H7" s="303"/>
      <c r="I7" s="306"/>
      <c r="J7" s="306"/>
      <c r="K7" s="301"/>
      <c r="L7" s="301"/>
      <c r="M7" s="301"/>
      <c r="N7" s="301"/>
      <c r="O7" s="301"/>
      <c r="P7" s="301"/>
      <c r="Q7" s="301"/>
      <c r="R7" s="301"/>
      <c r="S7" s="301"/>
      <c r="T7" s="301"/>
      <c r="U7" s="301"/>
      <c r="V7" s="304"/>
    </row>
    <row r="8" spans="1:60" s="475" customFormat="1" ht="12.75" customHeight="1" x14ac:dyDescent="0.2">
      <c r="A8" s="577"/>
      <c r="B8" s="476"/>
      <c r="C8" s="477"/>
      <c r="D8" s="477"/>
      <c r="E8" s="478"/>
      <c r="F8" s="479"/>
      <c r="G8" s="408"/>
      <c r="H8" s="408"/>
      <c r="I8" s="480"/>
      <c r="J8" s="480"/>
      <c r="K8" s="477"/>
      <c r="L8" s="481"/>
      <c r="M8" s="477"/>
      <c r="N8" s="477"/>
      <c r="O8" s="477"/>
      <c r="P8" s="482"/>
      <c r="Q8" s="483"/>
      <c r="R8" s="483"/>
      <c r="S8" s="484"/>
      <c r="T8" s="484"/>
      <c r="U8" s="477"/>
      <c r="V8" s="485"/>
      <c r="W8" s="577"/>
      <c r="X8" s="577"/>
      <c r="Y8" s="577"/>
      <c r="Z8" s="577"/>
      <c r="AA8" s="577"/>
      <c r="AB8" s="577"/>
      <c r="AC8" s="577"/>
      <c r="AD8" s="577"/>
      <c r="AE8" s="577"/>
      <c r="AF8" s="577"/>
      <c r="AG8" s="577"/>
      <c r="AH8" s="577"/>
      <c r="AI8" s="577"/>
      <c r="AJ8" s="577"/>
      <c r="AK8" s="577"/>
      <c r="AL8" s="577"/>
      <c r="AM8" s="577"/>
      <c r="AN8" s="577"/>
      <c r="AO8" s="577"/>
      <c r="AP8" s="577"/>
      <c r="AQ8" s="577"/>
      <c r="AR8" s="577"/>
      <c r="AS8" s="577"/>
      <c r="AT8" s="577"/>
      <c r="AU8" s="577"/>
      <c r="AV8" s="577"/>
      <c r="AW8" s="577"/>
      <c r="AX8" s="577"/>
      <c r="AY8" s="577"/>
      <c r="AZ8" s="577"/>
      <c r="BA8" s="577"/>
      <c r="BB8" s="577"/>
      <c r="BC8" s="577"/>
      <c r="BD8" s="577"/>
      <c r="BE8" s="577"/>
      <c r="BF8" s="577"/>
      <c r="BG8" s="577"/>
      <c r="BH8" s="577"/>
    </row>
    <row r="9" spans="1:60" s="475" customFormat="1" ht="12.75" customHeight="1" x14ac:dyDescent="0.2">
      <c r="A9" s="577"/>
      <c r="B9" s="476"/>
      <c r="C9" s="477"/>
      <c r="D9" s="603" t="s">
        <v>229</v>
      </c>
      <c r="E9" s="487"/>
      <c r="F9" s="479"/>
      <c r="G9" s="488">
        <f ca="1">NOW()</f>
        <v>42283.70841446759</v>
      </c>
      <c r="H9" s="489"/>
      <c r="I9" s="490">
        <f ca="1">YEAR(G9)-YEAR(I11)</f>
        <v>36</v>
      </c>
      <c r="J9" s="491">
        <f ca="1">MONTH(G9)-MONTH(I11)</f>
        <v>7</v>
      </c>
      <c r="K9" s="477"/>
      <c r="L9" s="481"/>
      <c r="M9" s="477"/>
      <c r="N9" s="603" t="s">
        <v>348</v>
      </c>
      <c r="O9" s="492"/>
      <c r="P9" s="493"/>
      <c r="Q9" s="494"/>
      <c r="R9" s="494"/>
      <c r="S9" s="668">
        <f>+I59/I18-1</f>
        <v>0.61700862793177591</v>
      </c>
      <c r="T9" s="668"/>
      <c r="U9" s="477"/>
      <c r="V9" s="485"/>
      <c r="W9" s="577"/>
      <c r="X9" s="577"/>
      <c r="Y9" s="577"/>
      <c r="Z9" s="577"/>
      <c r="AA9" s="577"/>
      <c r="AB9" s="577"/>
      <c r="AC9" s="577"/>
      <c r="AD9" s="577"/>
      <c r="AE9" s="577"/>
      <c r="AF9" s="577"/>
      <c r="AG9" s="577"/>
      <c r="AH9" s="577"/>
      <c r="AI9" s="577"/>
      <c r="AJ9" s="577"/>
      <c r="AK9" s="577"/>
      <c r="AL9" s="577"/>
      <c r="AM9" s="577"/>
      <c r="AN9" s="577"/>
      <c r="AO9" s="577"/>
      <c r="AP9" s="577"/>
      <c r="AQ9" s="577"/>
      <c r="AR9" s="577"/>
      <c r="AS9" s="577"/>
      <c r="AT9" s="577"/>
      <c r="AU9" s="577"/>
      <c r="AV9" s="577"/>
      <c r="AW9" s="577"/>
      <c r="AX9" s="577"/>
      <c r="AY9" s="577"/>
      <c r="AZ9" s="577"/>
      <c r="BA9" s="577"/>
      <c r="BB9" s="577"/>
      <c r="BC9" s="577"/>
      <c r="BD9" s="577"/>
      <c r="BE9" s="577"/>
      <c r="BF9" s="577"/>
      <c r="BG9" s="577"/>
      <c r="BH9" s="577"/>
    </row>
    <row r="10" spans="1:60" s="475" customFormat="1" ht="12.75" customHeight="1" x14ac:dyDescent="0.2">
      <c r="A10" s="577"/>
      <c r="B10" s="495"/>
      <c r="C10" s="492"/>
      <c r="D10" s="477" t="s">
        <v>77</v>
      </c>
      <c r="E10" s="477"/>
      <c r="F10" s="480"/>
      <c r="G10" s="480"/>
      <c r="H10" s="480"/>
      <c r="I10" s="496" t="s">
        <v>32</v>
      </c>
      <c r="J10" s="497"/>
      <c r="K10" s="477"/>
      <c r="L10" s="481"/>
      <c r="M10" s="498"/>
      <c r="U10" s="498"/>
      <c r="V10" s="485"/>
      <c r="W10" s="577"/>
      <c r="X10" s="577"/>
      <c r="Y10" s="577"/>
      <c r="Z10" s="577"/>
      <c r="AA10" s="577"/>
      <c r="AB10" s="577"/>
      <c r="AC10" s="577"/>
      <c r="AD10" s="577"/>
      <c r="AE10" s="577"/>
      <c r="AF10" s="577"/>
      <c r="AG10" s="577"/>
      <c r="AH10" s="577"/>
      <c r="AI10" s="577"/>
      <c r="AJ10" s="577"/>
      <c r="AK10" s="577"/>
      <c r="AL10" s="577"/>
      <c r="AM10" s="577"/>
      <c r="AN10" s="577"/>
      <c r="AO10" s="577"/>
      <c r="AP10" s="577"/>
      <c r="AQ10" s="577"/>
      <c r="AR10" s="577"/>
      <c r="AS10" s="577"/>
      <c r="AT10" s="577"/>
      <c r="AU10" s="577"/>
      <c r="AV10" s="577"/>
      <c r="AW10" s="577"/>
      <c r="AX10" s="577"/>
      <c r="AY10" s="577"/>
      <c r="AZ10" s="577"/>
      <c r="BA10" s="577"/>
      <c r="BB10" s="577"/>
      <c r="BC10" s="577"/>
      <c r="BD10" s="577"/>
      <c r="BE10" s="577"/>
      <c r="BF10" s="577"/>
      <c r="BG10" s="577"/>
      <c r="BH10" s="577"/>
    </row>
    <row r="11" spans="1:60" s="475" customFormat="1" ht="12.75" customHeight="1" x14ac:dyDescent="0.2">
      <c r="A11" s="577"/>
      <c r="B11" s="476"/>
      <c r="C11" s="477"/>
      <c r="D11" s="477" t="s">
        <v>241</v>
      </c>
      <c r="E11" s="477"/>
      <c r="F11" s="479"/>
      <c r="G11" s="408"/>
      <c r="H11" s="408"/>
      <c r="I11" s="499">
        <v>28928</v>
      </c>
      <c r="J11" s="500"/>
      <c r="K11" s="477"/>
      <c r="L11" s="481"/>
      <c r="M11" s="666"/>
      <c r="U11" s="666"/>
      <c r="V11" s="485"/>
      <c r="W11" s="577"/>
      <c r="X11" s="577"/>
      <c r="Y11" s="577"/>
      <c r="Z11" s="577"/>
      <c r="AA11" s="577"/>
      <c r="AB11" s="577"/>
      <c r="AC11" s="577"/>
      <c r="AD11" s="577"/>
      <c r="AE11" s="577"/>
      <c r="AF11" s="577"/>
      <c r="AG11" s="577"/>
      <c r="AH11" s="577"/>
      <c r="AI11" s="577"/>
      <c r="AJ11" s="577"/>
      <c r="AK11" s="577"/>
      <c r="AL11" s="577"/>
      <c r="AM11" s="577"/>
      <c r="AN11" s="577"/>
      <c r="AO11" s="577"/>
      <c r="AP11" s="577"/>
      <c r="AQ11" s="577"/>
      <c r="AR11" s="577"/>
      <c r="AS11" s="577"/>
      <c r="AT11" s="577"/>
      <c r="AU11" s="577"/>
      <c r="AV11" s="577"/>
      <c r="AW11" s="577"/>
      <c r="AX11" s="577"/>
      <c r="AY11" s="577"/>
      <c r="AZ11" s="577"/>
      <c r="BA11" s="577"/>
      <c r="BB11" s="577"/>
      <c r="BC11" s="577"/>
      <c r="BD11" s="577"/>
      <c r="BE11" s="577"/>
      <c r="BF11" s="577"/>
      <c r="BG11" s="577"/>
      <c r="BH11" s="577"/>
    </row>
    <row r="12" spans="1:60" s="475" customFormat="1" ht="12.75" customHeight="1" x14ac:dyDescent="0.2">
      <c r="A12" s="577"/>
      <c r="B12" s="476"/>
      <c r="C12" s="477"/>
      <c r="D12" s="492"/>
      <c r="E12" s="477"/>
      <c r="F12" s="479"/>
      <c r="G12" s="408"/>
      <c r="H12" s="408"/>
      <c r="I12" s="480"/>
      <c r="J12" s="506"/>
      <c r="K12" s="477"/>
      <c r="L12" s="481"/>
      <c r="M12" s="501"/>
      <c r="N12" s="502"/>
      <c r="O12" s="501"/>
      <c r="P12" s="503"/>
      <c r="Q12" s="504"/>
      <c r="R12" s="504"/>
      <c r="S12" s="505"/>
      <c r="T12" s="502"/>
      <c r="U12" s="502"/>
      <c r="V12" s="485"/>
      <c r="W12" s="577"/>
      <c r="X12" s="577"/>
      <c r="Y12" s="577"/>
      <c r="Z12" s="577"/>
      <c r="AA12" s="577"/>
      <c r="AB12" s="577"/>
      <c r="AC12" s="577"/>
      <c r="AD12" s="577"/>
      <c r="AE12" s="577"/>
      <c r="AF12" s="577"/>
      <c r="AG12" s="577"/>
      <c r="AH12" s="577"/>
      <c r="AI12" s="577"/>
      <c r="AJ12" s="577"/>
      <c r="AK12" s="577"/>
      <c r="AL12" s="577"/>
      <c r="AM12" s="577"/>
      <c r="AN12" s="577"/>
      <c r="AO12" s="577"/>
      <c r="AP12" s="577"/>
      <c r="AQ12" s="577"/>
      <c r="AR12" s="577"/>
      <c r="AS12" s="577"/>
      <c r="AT12" s="577"/>
      <c r="AU12" s="577"/>
      <c r="AV12" s="577"/>
      <c r="AW12" s="577"/>
      <c r="AX12" s="577"/>
      <c r="AY12" s="577"/>
      <c r="AZ12" s="577"/>
      <c r="BA12" s="577"/>
      <c r="BB12" s="577"/>
      <c r="BC12" s="577"/>
      <c r="BD12" s="577"/>
      <c r="BE12" s="577"/>
      <c r="BF12" s="577"/>
      <c r="BG12" s="577"/>
      <c r="BH12" s="577"/>
    </row>
    <row r="13" spans="1:60" s="475" customFormat="1" ht="12.75" customHeight="1" x14ac:dyDescent="0.2">
      <c r="A13" s="577"/>
      <c r="B13" s="476"/>
      <c r="C13" s="477"/>
      <c r="D13" s="603" t="s">
        <v>23</v>
      </c>
      <c r="E13" s="477"/>
      <c r="F13" s="480"/>
      <c r="G13" s="480"/>
      <c r="H13" s="480"/>
      <c r="I13" s="596" t="s">
        <v>64</v>
      </c>
      <c r="J13" s="480"/>
      <c r="K13" s="477"/>
      <c r="L13" s="481"/>
      <c r="U13" s="507"/>
      <c r="V13" s="485"/>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577"/>
      <c r="AV13" s="577"/>
      <c r="AW13" s="577"/>
      <c r="AX13" s="577"/>
      <c r="AY13" s="577"/>
      <c r="AZ13" s="577"/>
      <c r="BA13" s="577"/>
      <c r="BB13" s="577"/>
      <c r="BC13" s="577"/>
      <c r="BD13" s="577"/>
      <c r="BE13" s="577"/>
      <c r="BF13" s="577"/>
      <c r="BG13" s="577"/>
      <c r="BH13" s="577"/>
    </row>
    <row r="14" spans="1:60" s="475" customFormat="1" ht="12.75" customHeight="1" x14ac:dyDescent="0.2">
      <c r="A14" s="577"/>
      <c r="B14" s="476"/>
      <c r="C14" s="477"/>
      <c r="D14" s="482" t="s">
        <v>21</v>
      </c>
      <c r="E14" s="477"/>
      <c r="F14" s="480"/>
      <c r="G14" s="479"/>
      <c r="H14" s="408"/>
      <c r="I14" s="511" t="s">
        <v>0</v>
      </c>
      <c r="J14" s="512">
        <f>IF(AND(I14&gt;0,I14&lt;15),0,100)</f>
        <v>100</v>
      </c>
      <c r="K14" s="477"/>
      <c r="L14" s="481"/>
      <c r="M14" s="478"/>
      <c r="N14" s="603" t="s">
        <v>324</v>
      </c>
      <c r="O14" s="508"/>
      <c r="P14" s="509"/>
      <c r="Q14" s="510"/>
      <c r="R14" s="510"/>
      <c r="S14" s="597" t="s">
        <v>64</v>
      </c>
      <c r="T14" s="598" t="s">
        <v>65</v>
      </c>
      <c r="U14" s="477"/>
      <c r="V14" s="485"/>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577"/>
      <c r="AV14" s="577"/>
      <c r="AW14" s="577"/>
      <c r="AX14" s="577"/>
      <c r="AY14" s="577"/>
      <c r="AZ14" s="577"/>
      <c r="BA14" s="577"/>
      <c r="BB14" s="577"/>
      <c r="BC14" s="577"/>
      <c r="BD14" s="577"/>
      <c r="BE14" s="577"/>
      <c r="BF14" s="577"/>
      <c r="BG14" s="577"/>
      <c r="BH14" s="577"/>
    </row>
    <row r="15" spans="1:60" s="475" customFormat="1" ht="12.75" customHeight="1" x14ac:dyDescent="0.2">
      <c r="A15" s="577"/>
      <c r="B15" s="476"/>
      <c r="C15" s="477"/>
      <c r="D15" s="482" t="s">
        <v>22</v>
      </c>
      <c r="E15" s="477"/>
      <c r="F15" s="480"/>
      <c r="G15" s="408"/>
      <c r="H15" s="408"/>
      <c r="I15" s="511">
        <v>12</v>
      </c>
      <c r="J15" s="512">
        <f>VLOOKUP(I14,salaristabellen,22,FALSE)</f>
        <v>15</v>
      </c>
      <c r="K15" s="477"/>
      <c r="L15" s="481"/>
      <c r="M15" s="478"/>
      <c r="N15" s="513" t="s">
        <v>49</v>
      </c>
      <c r="O15" s="492" t="s">
        <v>63</v>
      </c>
      <c r="P15" s="493"/>
      <c r="Q15" s="494"/>
      <c r="R15" s="494"/>
      <c r="S15" s="586">
        <f>+I39/12</f>
        <v>3509.4166666666665</v>
      </c>
      <c r="T15" s="586">
        <f>+I39</f>
        <v>42113</v>
      </c>
      <c r="U15" s="477"/>
      <c r="V15" s="485"/>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577"/>
      <c r="AV15" s="577"/>
      <c r="AW15" s="577"/>
      <c r="AX15" s="577"/>
      <c r="AY15" s="577"/>
      <c r="AZ15" s="577"/>
      <c r="BA15" s="577"/>
      <c r="BB15" s="577"/>
      <c r="BC15" s="577"/>
      <c r="BD15" s="577"/>
      <c r="BE15" s="577"/>
      <c r="BF15" s="577"/>
      <c r="BG15" s="577"/>
      <c r="BH15" s="577"/>
    </row>
    <row r="16" spans="1:60" s="475" customFormat="1" ht="12.75" customHeight="1" x14ac:dyDescent="0.2">
      <c r="A16" s="577"/>
      <c r="B16" s="476"/>
      <c r="C16" s="477"/>
      <c r="D16" s="482" t="s">
        <v>24</v>
      </c>
      <c r="E16" s="477"/>
      <c r="F16" s="480"/>
      <c r="G16" s="408"/>
      <c r="H16" s="408"/>
      <c r="I16" s="584">
        <f>VLOOKUP(I14,salaristabellen,I15+1,FALSE)</f>
        <v>3039</v>
      </c>
      <c r="J16" s="480"/>
      <c r="K16" s="477"/>
      <c r="L16" s="481"/>
      <c r="M16" s="514"/>
      <c r="N16" s="513"/>
      <c r="O16" s="492"/>
      <c r="P16" s="493"/>
      <c r="Q16" s="494"/>
      <c r="R16" s="494"/>
      <c r="S16" s="515"/>
      <c r="T16" s="515"/>
      <c r="U16" s="492"/>
      <c r="V16" s="485"/>
      <c r="W16" s="577"/>
      <c r="X16" s="577"/>
      <c r="Y16" s="577"/>
      <c r="Z16" s="577"/>
      <c r="AA16" s="577"/>
      <c r="AB16" s="577"/>
      <c r="AC16" s="577"/>
      <c r="AD16" s="577"/>
      <c r="AE16" s="577"/>
      <c r="AF16" s="577"/>
      <c r="AG16" s="577"/>
      <c r="AH16" s="577"/>
      <c r="AI16" s="577"/>
      <c r="AJ16" s="577"/>
      <c r="AK16" s="577"/>
      <c r="AL16" s="577"/>
      <c r="AM16" s="577"/>
      <c r="AN16" s="577"/>
      <c r="AO16" s="577"/>
      <c r="AP16" s="577"/>
      <c r="AQ16" s="577"/>
      <c r="AR16" s="577"/>
      <c r="AS16" s="577"/>
      <c r="AT16" s="577"/>
      <c r="AU16" s="577"/>
      <c r="AV16" s="577"/>
      <c r="AW16" s="577"/>
      <c r="AX16" s="577"/>
      <c r="AY16" s="577"/>
      <c r="AZ16" s="577"/>
      <c r="BA16" s="577"/>
      <c r="BB16" s="577"/>
      <c r="BC16" s="577"/>
      <c r="BD16" s="577"/>
      <c r="BE16" s="577"/>
      <c r="BF16" s="577"/>
      <c r="BG16" s="577"/>
      <c r="BH16" s="577"/>
    </row>
    <row r="17" spans="1:60" s="475" customFormat="1" ht="12.75" customHeight="1" x14ac:dyDescent="0.2">
      <c r="A17" s="577"/>
      <c r="B17" s="476"/>
      <c r="C17" s="477"/>
      <c r="D17" s="477" t="s">
        <v>25</v>
      </c>
      <c r="E17" s="477"/>
      <c r="F17" s="479"/>
      <c r="G17" s="408"/>
      <c r="H17" s="408"/>
      <c r="I17" s="520">
        <v>1</v>
      </c>
      <c r="J17" s="480"/>
      <c r="K17" s="477"/>
      <c r="L17" s="481"/>
      <c r="M17" s="514"/>
      <c r="N17" s="516" t="s">
        <v>50</v>
      </c>
      <c r="O17" s="478" t="s">
        <v>39</v>
      </c>
      <c r="P17" s="517"/>
      <c r="Q17" s="518"/>
      <c r="R17" s="519"/>
      <c r="S17" s="589">
        <f>IF($I$39/$I$17&lt;tabellen!E57,0,(+$I$39-tabellen!E57*I17)/12*tabellen!$D57)</f>
        <v>159.51759250000001</v>
      </c>
      <c r="T17" s="589">
        <f>IF($I$39/$I$17&lt;tabellen!E57,0,(+$I$39-tabellen!E57*I17)*tabellen!$D57)</f>
        <v>1914.21111</v>
      </c>
      <c r="U17" s="492"/>
      <c r="V17" s="485"/>
      <c r="W17" s="577"/>
      <c r="X17" s="577"/>
      <c r="Y17" s="577"/>
      <c r="Z17" s="577"/>
      <c r="AA17" s="577"/>
      <c r="AB17" s="577"/>
      <c r="AC17" s="577"/>
      <c r="AD17" s="577"/>
      <c r="AE17" s="577"/>
      <c r="AF17" s="577"/>
      <c r="AG17" s="577"/>
      <c r="AH17" s="577"/>
      <c r="AI17" s="577"/>
      <c r="AJ17" s="577"/>
      <c r="AK17" s="577"/>
      <c r="AL17" s="577"/>
      <c r="AM17" s="577"/>
      <c r="AN17" s="577"/>
      <c r="AO17" s="577"/>
      <c r="AP17" s="577"/>
      <c r="AQ17" s="577"/>
      <c r="AR17" s="577"/>
      <c r="AS17" s="577"/>
      <c r="AT17" s="577"/>
      <c r="AU17" s="577"/>
      <c r="AV17" s="577"/>
      <c r="AW17" s="577"/>
      <c r="AX17" s="577"/>
      <c r="AY17" s="577"/>
      <c r="AZ17" s="577"/>
      <c r="BA17" s="577"/>
      <c r="BB17" s="577"/>
      <c r="BC17" s="577"/>
      <c r="BD17" s="577"/>
      <c r="BE17" s="577"/>
      <c r="BF17" s="577"/>
      <c r="BG17" s="577"/>
      <c r="BH17" s="577"/>
    </row>
    <row r="18" spans="1:60" s="475" customFormat="1" ht="12.75" customHeight="1" x14ac:dyDescent="0.2">
      <c r="A18" s="577"/>
      <c r="B18" s="476"/>
      <c r="C18" s="477"/>
      <c r="D18" s="482" t="s">
        <v>26</v>
      </c>
      <c r="E18" s="477"/>
      <c r="F18" s="480"/>
      <c r="G18" s="408"/>
      <c r="H18" s="408"/>
      <c r="I18" s="591">
        <f>+I16*I17</f>
        <v>3039</v>
      </c>
      <c r="J18" s="480"/>
      <c r="K18" s="477"/>
      <c r="L18" s="481"/>
      <c r="M18" s="477"/>
      <c r="N18" s="516" t="s">
        <v>51</v>
      </c>
      <c r="O18" s="478" t="s">
        <v>196</v>
      </c>
      <c r="P18" s="517"/>
      <c r="Q18" s="518"/>
      <c r="R18" s="519"/>
      <c r="S18" s="589">
        <f>IF($I$39/$I$17&lt;tabellen!E58,0,(+$I$39-tabellen!E58*$I$17)/12*tabellen!$D58)</f>
        <v>2.3607291666666668</v>
      </c>
      <c r="T18" s="589">
        <f>IF($I$39/$I$17&lt;tabellen!E58,0,(+$I$39-tabellen!E58*$I$17)*tabellen!$D58)</f>
        <v>28.328749999999999</v>
      </c>
      <c r="U18" s="478"/>
      <c r="V18" s="485"/>
      <c r="W18" s="577"/>
      <c r="X18" s="577"/>
      <c r="Y18" s="577"/>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7"/>
      <c r="AX18" s="577"/>
      <c r="AY18" s="577"/>
      <c r="AZ18" s="577"/>
      <c r="BA18" s="577"/>
      <c r="BB18" s="577"/>
      <c r="BC18" s="577"/>
      <c r="BD18" s="577"/>
      <c r="BE18" s="577"/>
      <c r="BF18" s="577"/>
      <c r="BG18" s="577"/>
      <c r="BH18" s="577"/>
    </row>
    <row r="19" spans="1:60" s="475" customFormat="1" ht="12.75" customHeight="1" x14ac:dyDescent="0.2">
      <c r="A19" s="577"/>
      <c r="B19" s="476"/>
      <c r="C19" s="477"/>
      <c r="D19" s="521"/>
      <c r="E19" s="521"/>
      <c r="F19" s="522"/>
      <c r="G19" s="523"/>
      <c r="H19" s="523"/>
      <c r="I19" s="524"/>
      <c r="J19" s="521"/>
      <c r="K19" s="477"/>
      <c r="L19" s="481"/>
      <c r="M19" s="477"/>
      <c r="N19" s="516" t="s">
        <v>52</v>
      </c>
      <c r="O19" s="478" t="s">
        <v>349</v>
      </c>
      <c r="P19" s="517"/>
      <c r="Q19" s="518"/>
      <c r="R19" s="519"/>
      <c r="S19" s="589">
        <f>$I$39/12*tabellen!$D59</f>
        <v>0</v>
      </c>
      <c r="T19" s="589">
        <f>$I$39*tabellen!$D59</f>
        <v>0</v>
      </c>
      <c r="U19" s="478"/>
      <c r="V19" s="485"/>
      <c r="W19" s="577"/>
      <c r="X19" s="577"/>
      <c r="Y19" s="577"/>
      <c r="Z19" s="577"/>
      <c r="AA19" s="577"/>
      <c r="AB19" s="577"/>
      <c r="AC19" s="577"/>
      <c r="AD19" s="577"/>
      <c r="AE19" s="577"/>
      <c r="AF19" s="577"/>
      <c r="AG19" s="577"/>
      <c r="AH19" s="577"/>
      <c r="AI19" s="577"/>
      <c r="AJ19" s="577"/>
      <c r="AK19" s="577"/>
      <c r="AL19" s="577"/>
      <c r="AM19" s="577"/>
      <c r="AN19" s="577"/>
      <c r="AO19" s="577"/>
      <c r="AP19" s="577"/>
      <c r="AQ19" s="577"/>
      <c r="AR19" s="577"/>
      <c r="AS19" s="577"/>
      <c r="AT19" s="577"/>
      <c r="AU19" s="577"/>
      <c r="AV19" s="577"/>
      <c r="AW19" s="577"/>
      <c r="AX19" s="577"/>
      <c r="AY19" s="577"/>
      <c r="AZ19" s="577"/>
      <c r="BA19" s="577"/>
      <c r="BB19" s="577"/>
      <c r="BC19" s="577"/>
      <c r="BD19" s="577"/>
      <c r="BE19" s="577"/>
      <c r="BF19" s="577"/>
      <c r="BG19" s="577"/>
      <c r="BH19" s="577"/>
    </row>
    <row r="20" spans="1:60" s="475" customFormat="1" ht="12.75" customHeight="1" x14ac:dyDescent="0.2">
      <c r="A20" s="577"/>
      <c r="B20" s="476"/>
      <c r="C20" s="477"/>
      <c r="D20" s="507"/>
      <c r="E20" s="507"/>
      <c r="F20" s="529"/>
      <c r="G20" s="530"/>
      <c r="H20" s="530"/>
      <c r="I20" s="531"/>
      <c r="J20" s="507"/>
      <c r="K20" s="477"/>
      <c r="L20" s="481"/>
      <c r="M20" s="492"/>
      <c r="N20" s="525" t="s">
        <v>53</v>
      </c>
      <c r="O20" s="514" t="s">
        <v>46</v>
      </c>
      <c r="P20" s="526"/>
      <c r="Q20" s="527"/>
      <c r="R20" s="528"/>
      <c r="S20" s="590">
        <f>SUM(S17:S19)</f>
        <v>161.87832166666666</v>
      </c>
      <c r="T20" s="590">
        <f>SUM(T17:T19)</f>
        <v>1942.5398599999999</v>
      </c>
      <c r="U20" s="478"/>
      <c r="V20" s="485"/>
      <c r="W20" s="577"/>
      <c r="X20" s="577"/>
      <c r="Y20" s="577"/>
      <c r="Z20" s="577"/>
      <c r="AA20" s="577"/>
      <c r="AB20" s="577"/>
      <c r="AC20" s="577"/>
      <c r="AD20" s="577"/>
      <c r="AE20" s="577"/>
      <c r="AF20" s="577"/>
      <c r="AG20" s="577"/>
      <c r="AH20" s="577"/>
      <c r="AI20" s="577"/>
      <c r="AJ20" s="577"/>
      <c r="AK20" s="577"/>
      <c r="AL20" s="577"/>
      <c r="AM20" s="577"/>
      <c r="AN20" s="577"/>
      <c r="AO20" s="577"/>
      <c r="AP20" s="577"/>
      <c r="AQ20" s="577"/>
      <c r="AR20" s="577"/>
      <c r="AS20" s="577"/>
      <c r="AT20" s="577"/>
      <c r="AU20" s="577"/>
      <c r="AV20" s="577"/>
      <c r="AW20" s="577"/>
      <c r="AX20" s="577"/>
      <c r="AY20" s="577"/>
      <c r="AZ20" s="577"/>
      <c r="BA20" s="577"/>
      <c r="BB20" s="577"/>
      <c r="BC20" s="577"/>
      <c r="BD20" s="577"/>
      <c r="BE20" s="577"/>
      <c r="BF20" s="577"/>
      <c r="BG20" s="577"/>
      <c r="BH20" s="577"/>
    </row>
    <row r="21" spans="1:60" s="475" customFormat="1" ht="12.75" customHeight="1" x14ac:dyDescent="0.2">
      <c r="A21" s="577"/>
      <c r="B21" s="476"/>
      <c r="C21" s="477"/>
      <c r="D21" s="603" t="s">
        <v>36</v>
      </c>
      <c r="E21" s="477"/>
      <c r="F21" s="482"/>
      <c r="G21" s="483"/>
      <c r="H21" s="483"/>
      <c r="I21" s="596" t="s">
        <v>64</v>
      </c>
      <c r="J21" s="477"/>
      <c r="K21" s="477"/>
      <c r="L21" s="481"/>
      <c r="M21" s="492"/>
      <c r="N21" s="525"/>
      <c r="O21" s="514"/>
      <c r="P21" s="526"/>
      <c r="Q21" s="527"/>
      <c r="R21" s="528"/>
      <c r="S21" s="532"/>
      <c r="T21" s="532"/>
      <c r="U21" s="514"/>
      <c r="V21" s="485"/>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U21" s="577"/>
      <c r="AV21" s="577"/>
      <c r="AW21" s="577"/>
      <c r="AX21" s="577"/>
      <c r="AY21" s="577"/>
      <c r="AZ21" s="577"/>
      <c r="BA21" s="577"/>
      <c r="BB21" s="577"/>
      <c r="BC21" s="577"/>
      <c r="BD21" s="577"/>
      <c r="BE21" s="577"/>
      <c r="BF21" s="577"/>
      <c r="BG21" s="577"/>
      <c r="BH21" s="577"/>
    </row>
    <row r="22" spans="1:60" s="475" customFormat="1" ht="12.75" customHeight="1" x14ac:dyDescent="0.2">
      <c r="A22" s="577"/>
      <c r="B22" s="476"/>
      <c r="C22" s="477"/>
      <c r="D22" s="482" t="s">
        <v>47</v>
      </c>
      <c r="E22" s="477"/>
      <c r="F22" s="533" t="s">
        <v>0</v>
      </c>
      <c r="G22" s="459" t="s">
        <v>326</v>
      </c>
      <c r="H22" s="483"/>
      <c r="I22" s="585">
        <f>ROUND(IF(G22="j",VLOOKUP(F22,uitlooptoeslag,2,FALSE))*IF(I17&gt;1,1,I17),2)</f>
        <v>0</v>
      </c>
      <c r="J22" s="477"/>
      <c r="K22" s="477"/>
      <c r="L22" s="481"/>
      <c r="M22" s="477"/>
      <c r="N22" s="513" t="s">
        <v>56</v>
      </c>
      <c r="O22" s="492" t="s">
        <v>97</v>
      </c>
      <c r="P22" s="493"/>
      <c r="Q22" s="494"/>
      <c r="R22" s="494"/>
      <c r="S22" s="586">
        <f>+(I35+I40)/12-S20</f>
        <v>3437.8503449999998</v>
      </c>
      <c r="T22" s="586">
        <f>+I35+I40-T20</f>
        <v>41254.204140000002</v>
      </c>
      <c r="U22" s="514"/>
      <c r="V22" s="485"/>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U22" s="577"/>
      <c r="AV22" s="577"/>
      <c r="AW22" s="577"/>
      <c r="AX22" s="577"/>
      <c r="AY22" s="577"/>
      <c r="AZ22" s="577"/>
      <c r="BA22" s="577"/>
      <c r="BB22" s="577"/>
      <c r="BC22" s="577"/>
      <c r="BD22" s="577"/>
      <c r="BE22" s="577"/>
      <c r="BF22" s="577"/>
      <c r="BG22" s="577"/>
      <c r="BH22" s="577"/>
    </row>
    <row r="23" spans="1:60" s="475" customFormat="1" ht="12.75" customHeight="1" x14ac:dyDescent="0.2">
      <c r="A23" s="577"/>
      <c r="B23" s="476"/>
      <c r="C23" s="477"/>
      <c r="D23" s="482" t="s">
        <v>208</v>
      </c>
      <c r="E23" s="534"/>
      <c r="F23" s="593">
        <v>42186</v>
      </c>
      <c r="G23" s="459" t="s">
        <v>326</v>
      </c>
      <c r="H23" s="483"/>
      <c r="I23" s="585">
        <f>ROUND(IF(OR(I14="LA",I14="LB"),IF(G23="j",tabellen!C77*I17,0),0),2)</f>
        <v>0</v>
      </c>
      <c r="J23" s="477"/>
      <c r="K23" s="477"/>
      <c r="L23" s="481"/>
      <c r="M23" s="477"/>
      <c r="N23" s="513"/>
      <c r="O23" s="492"/>
      <c r="P23" s="493"/>
      <c r="Q23" s="494"/>
      <c r="R23" s="494"/>
      <c r="S23" s="515"/>
      <c r="T23" s="515"/>
      <c r="U23" s="477"/>
      <c r="V23" s="485"/>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U23" s="577"/>
      <c r="AV23" s="577"/>
      <c r="AW23" s="577"/>
      <c r="AX23" s="577"/>
      <c r="AY23" s="577"/>
      <c r="AZ23" s="577"/>
      <c r="BA23" s="577"/>
      <c r="BB23" s="577"/>
      <c r="BC23" s="577"/>
      <c r="BD23" s="577"/>
      <c r="BE23" s="577"/>
      <c r="BF23" s="577"/>
      <c r="BG23" s="577"/>
      <c r="BH23" s="577"/>
    </row>
    <row r="24" spans="1:60" s="475" customFormat="1" ht="12.75" customHeight="1" x14ac:dyDescent="0.2">
      <c r="A24" s="577"/>
      <c r="B24" s="476"/>
      <c r="C24" s="477"/>
      <c r="D24" s="482" t="s">
        <v>37</v>
      </c>
      <c r="E24" s="477"/>
      <c r="F24" s="482"/>
      <c r="G24" s="594">
        <v>0.08</v>
      </c>
      <c r="H24" s="536"/>
      <c r="I24" s="585">
        <f>ROUND(IF((I$18+I$22+I23)*G24&lt;I17*tabellen!D89,I17*tabellen!D89,(I$18+I$22+I23)*G24),2)</f>
        <v>243.12</v>
      </c>
      <c r="J24" s="477"/>
      <c r="K24" s="477"/>
      <c r="L24" s="481"/>
      <c r="M24" s="477"/>
      <c r="N24" s="535" t="s">
        <v>57</v>
      </c>
      <c r="O24" s="477" t="s">
        <v>244</v>
      </c>
      <c r="P24" s="482"/>
      <c r="Q24" s="483"/>
      <c r="R24" s="483"/>
      <c r="S24" s="585">
        <f>+S36</f>
        <v>1353.0463115666666</v>
      </c>
      <c r="T24" s="585">
        <f>+T36</f>
        <v>16236.555738799998</v>
      </c>
      <c r="U24" s="477"/>
      <c r="V24" s="485"/>
      <c r="W24" s="577"/>
      <c r="X24" s="577"/>
      <c r="Y24" s="577"/>
      <c r="Z24" s="577"/>
      <c r="AA24" s="577"/>
      <c r="AB24" s="577"/>
      <c r="AC24" s="577"/>
      <c r="AD24" s="577"/>
      <c r="AE24" s="577"/>
      <c r="AF24" s="577"/>
      <c r="AG24" s="577"/>
      <c r="AH24" s="577"/>
      <c r="AI24" s="577"/>
      <c r="AJ24" s="577"/>
      <c r="AK24" s="577"/>
      <c r="AL24" s="577"/>
      <c r="AM24" s="577"/>
      <c r="AN24" s="577"/>
      <c r="AO24" s="577"/>
      <c r="AP24" s="577"/>
      <c r="AQ24" s="577"/>
      <c r="AR24" s="577"/>
      <c r="AS24" s="577"/>
      <c r="AT24" s="577"/>
      <c r="AU24" s="577"/>
      <c r="AV24" s="577"/>
      <c r="AW24" s="577"/>
      <c r="AX24" s="577"/>
      <c r="AY24" s="577"/>
      <c r="AZ24" s="577"/>
      <c r="BA24" s="577"/>
      <c r="BB24" s="577"/>
      <c r="BC24" s="577"/>
      <c r="BD24" s="577"/>
      <c r="BE24" s="577"/>
      <c r="BF24" s="577"/>
      <c r="BG24" s="577"/>
      <c r="BH24" s="577"/>
    </row>
    <row r="25" spans="1:60" s="475" customFormat="1" ht="12.75" customHeight="1" x14ac:dyDescent="0.2">
      <c r="A25" s="577"/>
      <c r="B25" s="476"/>
      <c r="C25" s="477"/>
      <c r="D25" s="482" t="s">
        <v>81</v>
      </c>
      <c r="E25" s="477"/>
      <c r="F25" s="482"/>
      <c r="G25" s="595">
        <f>+tabellen!D90</f>
        <v>6.3E-2</v>
      </c>
      <c r="H25" s="538"/>
      <c r="I25" s="585">
        <f>ROUND(+(I$18+I$22+I23)*G25,2)</f>
        <v>191.46</v>
      </c>
      <c r="J25" s="477"/>
      <c r="K25" s="477"/>
      <c r="L25" s="481"/>
      <c r="M25" s="492"/>
      <c r="N25" s="535"/>
      <c r="O25" s="477"/>
      <c r="P25" s="482"/>
      <c r="Q25" s="483"/>
      <c r="R25" s="483"/>
      <c r="S25" s="484"/>
      <c r="T25" s="484"/>
      <c r="U25" s="492"/>
      <c r="V25" s="485"/>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577"/>
      <c r="AV25" s="577"/>
      <c r="AW25" s="577"/>
      <c r="AX25" s="577"/>
      <c r="AY25" s="577"/>
      <c r="AZ25" s="577"/>
      <c r="BA25" s="577"/>
      <c r="BB25" s="577"/>
      <c r="BC25" s="577"/>
      <c r="BD25" s="577"/>
      <c r="BE25" s="577"/>
      <c r="BF25" s="577"/>
      <c r="BG25" s="577"/>
      <c r="BH25" s="577"/>
    </row>
    <row r="26" spans="1:60" s="475" customFormat="1" ht="12.75" customHeight="1" x14ac:dyDescent="0.2">
      <c r="A26" s="577"/>
      <c r="B26" s="476"/>
      <c r="C26" s="477"/>
      <c r="D26" s="482" t="s">
        <v>117</v>
      </c>
      <c r="E26" s="477"/>
      <c r="F26" s="482"/>
      <c r="G26" s="537"/>
      <c r="H26" s="538"/>
      <c r="I26" s="585">
        <f>+tabellen!C85*I17</f>
        <v>32.799999999999997</v>
      </c>
      <c r="J26" s="477"/>
      <c r="K26" s="477"/>
      <c r="L26" s="481"/>
      <c r="M26" s="539"/>
      <c r="N26" s="513" t="s">
        <v>96</v>
      </c>
      <c r="O26" s="492" t="s">
        <v>98</v>
      </c>
      <c r="P26" s="493"/>
      <c r="Q26" s="494"/>
      <c r="R26" s="494"/>
      <c r="S26" s="591">
        <f>+S22-S24</f>
        <v>2084.8040334333332</v>
      </c>
      <c r="T26" s="591">
        <f>+T22-T24</f>
        <v>25017.648401200004</v>
      </c>
      <c r="U26" s="492"/>
      <c r="V26" s="485"/>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577"/>
      <c r="AV26" s="577"/>
      <c r="AW26" s="577"/>
      <c r="AX26" s="577"/>
      <c r="AY26" s="577"/>
      <c r="AZ26" s="577"/>
      <c r="BA26" s="577"/>
      <c r="BB26" s="577"/>
      <c r="BC26" s="577"/>
      <c r="BD26" s="577"/>
      <c r="BE26" s="577"/>
      <c r="BF26" s="577"/>
      <c r="BG26" s="577"/>
      <c r="BH26" s="577"/>
    </row>
    <row r="27" spans="1:60" s="475" customFormat="1" ht="12.75" customHeight="1" x14ac:dyDescent="0.2">
      <c r="A27" s="577"/>
      <c r="B27" s="476"/>
      <c r="C27" s="477"/>
      <c r="D27" s="482" t="s">
        <v>115</v>
      </c>
      <c r="E27" s="477"/>
      <c r="F27" s="542"/>
      <c r="G27" s="543">
        <f>IF(J14=100,0,I14)</f>
        <v>0</v>
      </c>
      <c r="H27" s="538"/>
      <c r="I27" s="585">
        <f>VLOOKUP(G27,eindejaarsuitkering_OOP,2,TRUE)*I17/12</f>
        <v>0</v>
      </c>
      <c r="J27" s="477"/>
      <c r="K27" s="477"/>
      <c r="L27" s="481"/>
      <c r="M27" s="539"/>
      <c r="N27" s="521"/>
      <c r="O27" s="540"/>
      <c r="P27" s="522"/>
      <c r="Q27" s="523"/>
      <c r="R27" s="523"/>
      <c r="S27" s="541"/>
      <c r="T27" s="521"/>
      <c r="U27" s="477"/>
      <c r="V27" s="485"/>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c r="AU27" s="577"/>
      <c r="AV27" s="577"/>
      <c r="AW27" s="577"/>
      <c r="AX27" s="577"/>
      <c r="AY27" s="577"/>
      <c r="AZ27" s="577"/>
      <c r="BA27" s="577"/>
      <c r="BB27" s="577"/>
      <c r="BC27" s="577"/>
      <c r="BD27" s="577"/>
      <c r="BE27" s="577"/>
      <c r="BF27" s="577"/>
      <c r="BG27" s="577"/>
      <c r="BH27" s="577"/>
    </row>
    <row r="28" spans="1:60" s="475" customFormat="1" ht="12.75" customHeight="1" x14ac:dyDescent="0.2">
      <c r="A28" s="577"/>
      <c r="B28" s="476"/>
      <c r="C28" s="477"/>
      <c r="D28" s="482" t="s">
        <v>210</v>
      </c>
      <c r="E28" s="477"/>
      <c r="F28" s="542"/>
      <c r="G28" s="537" t="str">
        <f>IF(OR(I14="DA",I14="DB",I14="DBuit",I14="DC",I14="DCuit",MID(I14,1,5)="meerh"),"j","n")</f>
        <v>n</v>
      </c>
      <c r="H28" s="538"/>
      <c r="I28" s="585">
        <f>ROUND(IF(G28="j",tabellen!D99*IF(I17&gt;1,1,I17),0),2)</f>
        <v>0</v>
      </c>
      <c r="J28" s="477"/>
      <c r="K28" s="477"/>
      <c r="L28" s="481"/>
      <c r="M28" s="539"/>
      <c r="N28" s="507"/>
      <c r="O28" s="544"/>
      <c r="P28" s="529"/>
      <c r="Q28" s="530"/>
      <c r="R28" s="530"/>
      <c r="S28" s="545"/>
      <c r="T28" s="507"/>
      <c r="U28" s="477"/>
      <c r="V28" s="485"/>
      <c r="W28" s="577"/>
      <c r="X28" s="577"/>
      <c r="Y28" s="577"/>
      <c r="Z28" s="577"/>
      <c r="AA28" s="577"/>
      <c r="AB28" s="577"/>
      <c r="AC28" s="577"/>
      <c r="AD28" s="577"/>
      <c r="AE28" s="577"/>
      <c r="AF28" s="577"/>
      <c r="AG28" s="577"/>
      <c r="AH28" s="577"/>
      <c r="AI28" s="577"/>
      <c r="AJ28" s="577"/>
      <c r="AK28" s="577"/>
      <c r="AL28" s="577"/>
      <c r="AM28" s="577"/>
      <c r="AN28" s="577"/>
      <c r="AO28" s="577"/>
      <c r="AP28" s="577"/>
      <c r="AQ28" s="577"/>
      <c r="AR28" s="577"/>
      <c r="AS28" s="577"/>
      <c r="AT28" s="577"/>
      <c r="AU28" s="577"/>
      <c r="AV28" s="577"/>
      <c r="AW28" s="577"/>
      <c r="AX28" s="577"/>
      <c r="AY28" s="577"/>
      <c r="AZ28" s="577"/>
      <c r="BA28" s="577"/>
      <c r="BB28" s="577"/>
      <c r="BC28" s="577"/>
      <c r="BD28" s="577"/>
      <c r="BE28" s="577"/>
      <c r="BF28" s="577"/>
      <c r="BG28" s="577"/>
      <c r="BH28" s="577"/>
    </row>
    <row r="29" spans="1:60" s="546" customFormat="1" ht="12.75" customHeight="1" x14ac:dyDescent="0.2">
      <c r="A29" s="578"/>
      <c r="B29" s="495"/>
      <c r="C29" s="492"/>
      <c r="D29" s="492"/>
      <c r="E29" s="492"/>
      <c r="F29" s="493"/>
      <c r="G29" s="494"/>
      <c r="H29" s="494"/>
      <c r="I29" s="586">
        <f>+I18+SUM(I22:I28)</f>
        <v>3506.38</v>
      </c>
      <c r="J29" s="492"/>
      <c r="K29" s="492"/>
      <c r="L29" s="547"/>
      <c r="M29" s="477"/>
      <c r="N29" s="603" t="s">
        <v>245</v>
      </c>
      <c r="O29" s="508"/>
      <c r="P29" s="509"/>
      <c r="Q29" s="510"/>
      <c r="R29" s="510"/>
      <c r="S29" s="597" t="s">
        <v>64</v>
      </c>
      <c r="T29" s="598" t="s">
        <v>65</v>
      </c>
      <c r="U29" s="477"/>
      <c r="V29" s="485"/>
      <c r="W29" s="578"/>
      <c r="X29" s="578"/>
      <c r="Y29" s="578"/>
      <c r="Z29" s="578"/>
      <c r="AA29" s="578"/>
      <c r="AB29" s="578"/>
      <c r="AC29" s="578"/>
      <c r="AD29" s="578"/>
      <c r="AE29" s="578"/>
      <c r="AF29" s="578"/>
      <c r="AG29" s="578"/>
      <c r="AH29" s="578"/>
      <c r="AI29" s="578"/>
      <c r="AJ29" s="578"/>
      <c r="AK29" s="578"/>
      <c r="AL29" s="578"/>
      <c r="AM29" s="578"/>
      <c r="AN29" s="578"/>
      <c r="AO29" s="578"/>
      <c r="AP29" s="578"/>
      <c r="AQ29" s="578"/>
      <c r="AR29" s="578"/>
      <c r="AS29" s="578"/>
      <c r="AT29" s="578"/>
      <c r="AU29" s="578"/>
      <c r="AV29" s="578"/>
      <c r="AW29" s="578"/>
      <c r="AX29" s="578"/>
      <c r="AY29" s="578"/>
      <c r="AZ29" s="578"/>
      <c r="BA29" s="578"/>
      <c r="BB29" s="578"/>
      <c r="BC29" s="578"/>
      <c r="BD29" s="578"/>
      <c r="BE29" s="578"/>
      <c r="BF29" s="578"/>
      <c r="BG29" s="578"/>
      <c r="BH29" s="578"/>
    </row>
    <row r="30" spans="1:60" s="475" customFormat="1" ht="12.75" customHeight="1" x14ac:dyDescent="0.2">
      <c r="A30" s="577"/>
      <c r="B30" s="476"/>
      <c r="C30" s="477"/>
      <c r="D30" s="492"/>
      <c r="E30" s="477"/>
      <c r="F30" s="482"/>
      <c r="G30" s="483"/>
      <c r="H30" s="483"/>
      <c r="I30" s="484"/>
      <c r="J30" s="477"/>
      <c r="K30" s="477"/>
      <c r="L30" s="481"/>
      <c r="M30" s="492"/>
      <c r="N30" s="492" t="s">
        <v>56</v>
      </c>
      <c r="O30" s="492" t="s">
        <v>243</v>
      </c>
      <c r="P30" s="482"/>
      <c r="Q30" s="483"/>
      <c r="R30" s="483"/>
      <c r="S30" s="591">
        <f>+S22</f>
        <v>3437.8503449999998</v>
      </c>
      <c r="T30" s="591">
        <f>+T22</f>
        <v>41254.204140000002</v>
      </c>
      <c r="U30" s="492"/>
      <c r="V30" s="548"/>
      <c r="W30" s="577"/>
      <c r="X30" s="577"/>
      <c r="Y30" s="577"/>
      <c r="Z30" s="577"/>
      <c r="AA30" s="577"/>
      <c r="AB30" s="577"/>
      <c r="AC30" s="577"/>
      <c r="AD30" s="577"/>
      <c r="AE30" s="577"/>
      <c r="AF30" s="577"/>
      <c r="AG30" s="577"/>
      <c r="AH30" s="577"/>
      <c r="AI30" s="577"/>
      <c r="AJ30" s="577"/>
      <c r="AK30" s="577"/>
      <c r="AL30" s="577"/>
      <c r="AM30" s="577"/>
      <c r="AN30" s="577"/>
      <c r="AO30" s="577"/>
      <c r="AP30" s="577"/>
      <c r="AQ30" s="577"/>
      <c r="AR30" s="577"/>
      <c r="AS30" s="577"/>
      <c r="AT30" s="577"/>
      <c r="AU30" s="577"/>
      <c r="AV30" s="577"/>
      <c r="AW30" s="577"/>
      <c r="AX30" s="577"/>
      <c r="AY30" s="577"/>
      <c r="AZ30" s="577"/>
      <c r="BA30" s="577"/>
      <c r="BB30" s="577"/>
      <c r="BC30" s="577"/>
      <c r="BD30" s="577"/>
      <c r="BE30" s="577"/>
      <c r="BF30" s="577"/>
      <c r="BG30" s="577"/>
      <c r="BH30" s="577"/>
    </row>
    <row r="31" spans="1:60" s="475" customFormat="1" ht="12.75" customHeight="1" x14ac:dyDescent="0.2">
      <c r="A31" s="577"/>
      <c r="B31" s="476"/>
      <c r="C31" s="477"/>
      <c r="D31" s="477" t="s">
        <v>38</v>
      </c>
      <c r="E31" s="492"/>
      <c r="F31" s="482"/>
      <c r="G31" s="483"/>
      <c r="H31" s="483"/>
      <c r="I31" s="585">
        <f>+I29*12</f>
        <v>42076.56</v>
      </c>
      <c r="J31" s="477"/>
      <c r="K31" s="477"/>
      <c r="L31" s="481"/>
      <c r="M31" s="477"/>
      <c r="N31" s="492"/>
      <c r="O31" s="492"/>
      <c r="P31" s="493"/>
      <c r="Q31" s="494"/>
      <c r="R31" s="494"/>
      <c r="S31" s="549"/>
      <c r="T31" s="549"/>
      <c r="U31" s="477"/>
      <c r="V31" s="485"/>
      <c r="W31" s="577"/>
      <c r="X31" s="577"/>
      <c r="Y31" s="577"/>
      <c r="Z31" s="577"/>
      <c r="AA31" s="577"/>
      <c r="AB31" s="577"/>
      <c r="AC31" s="577"/>
      <c r="AD31" s="577"/>
      <c r="AE31" s="577"/>
      <c r="AF31" s="577"/>
      <c r="AG31" s="577"/>
      <c r="AH31" s="577"/>
      <c r="AI31" s="577"/>
      <c r="AJ31" s="577"/>
      <c r="AK31" s="577"/>
      <c r="AL31" s="577"/>
      <c r="AM31" s="577"/>
      <c r="AN31" s="577"/>
      <c r="AO31" s="577"/>
      <c r="AP31" s="577"/>
      <c r="AQ31" s="577"/>
      <c r="AR31" s="577"/>
      <c r="AS31" s="577"/>
      <c r="AT31" s="577"/>
      <c r="AU31" s="577"/>
      <c r="AV31" s="577"/>
      <c r="AW31" s="577"/>
      <c r="AX31" s="577"/>
      <c r="AY31" s="577"/>
      <c r="AZ31" s="577"/>
      <c r="BA31" s="577"/>
      <c r="BB31" s="577"/>
      <c r="BC31" s="577"/>
      <c r="BD31" s="577"/>
      <c r="BE31" s="577"/>
      <c r="BF31" s="577"/>
      <c r="BG31" s="577"/>
      <c r="BH31" s="577"/>
    </row>
    <row r="32" spans="1:60" s="475" customFormat="1" ht="12.75" customHeight="1" x14ac:dyDescent="0.2">
      <c r="A32" s="577"/>
      <c r="B32" s="476"/>
      <c r="C32" s="477"/>
      <c r="D32" s="477" t="s">
        <v>73</v>
      </c>
      <c r="E32" s="492"/>
      <c r="F32" s="533" t="s">
        <v>74</v>
      </c>
      <c r="G32" s="459" t="s">
        <v>326</v>
      </c>
      <c r="H32" s="483"/>
      <c r="I32" s="585">
        <f>ROUND(IF(G32="j",VLOOKUP(F32,bindingstoelage,2,FALSE))*IF(I17&gt;1,1,I17),2)</f>
        <v>0</v>
      </c>
      <c r="J32" s="477"/>
      <c r="K32" s="477"/>
      <c r="L32" s="481"/>
      <c r="M32" s="477"/>
      <c r="N32" s="477" t="s">
        <v>110</v>
      </c>
      <c r="O32" s="477"/>
      <c r="P32" s="599">
        <f>IF(T22&gt;tabellen!B107,tabellen!B107,T22)</f>
        <v>19822</v>
      </c>
      <c r="Q32" s="600">
        <f>+tabellen!C107</f>
        <v>0.36499999999999999</v>
      </c>
      <c r="R32" s="538"/>
      <c r="S32" s="585">
        <f>+P32*Q32/12</f>
        <v>602.91916666666668</v>
      </c>
      <c r="T32" s="585">
        <f>+P32*Q32</f>
        <v>7235.03</v>
      </c>
      <c r="U32" s="477"/>
      <c r="V32" s="485"/>
      <c r="W32" s="577"/>
      <c r="X32" s="577"/>
      <c r="Y32" s="577"/>
      <c r="Z32" s="577"/>
      <c r="AA32" s="577"/>
      <c r="AB32" s="577"/>
      <c r="AC32" s="577"/>
      <c r="AD32" s="577"/>
      <c r="AE32" s="577"/>
      <c r="AF32" s="577"/>
      <c r="AG32" s="577"/>
      <c r="AH32" s="577"/>
      <c r="AI32" s="577"/>
      <c r="AJ32" s="577"/>
      <c r="AK32" s="577"/>
      <c r="AL32" s="577"/>
      <c r="AM32" s="577"/>
      <c r="AN32" s="577"/>
      <c r="AO32" s="577"/>
      <c r="AP32" s="577"/>
      <c r="AQ32" s="577"/>
      <c r="AR32" s="577"/>
      <c r="AS32" s="577"/>
      <c r="AT32" s="577"/>
      <c r="AU32" s="577"/>
      <c r="AV32" s="577"/>
      <c r="AW32" s="577"/>
      <c r="AX32" s="577"/>
      <c r="AY32" s="577"/>
      <c r="AZ32" s="577"/>
      <c r="BA32" s="577"/>
      <c r="BB32" s="577"/>
      <c r="BC32" s="577"/>
      <c r="BD32" s="577"/>
      <c r="BE32" s="577"/>
      <c r="BF32" s="577"/>
      <c r="BG32" s="577"/>
      <c r="BH32" s="577"/>
    </row>
    <row r="33" spans="1:60" s="475" customFormat="1" ht="12.75" customHeight="1" x14ac:dyDescent="0.2">
      <c r="A33" s="577"/>
      <c r="B33" s="476"/>
      <c r="C33" s="477"/>
      <c r="D33" s="477" t="s">
        <v>199</v>
      </c>
      <c r="E33" s="492"/>
      <c r="F33" s="482"/>
      <c r="G33" s="483"/>
      <c r="H33" s="483"/>
      <c r="I33" s="585">
        <f>ROUND(I17*tabellen!D96,2)</f>
        <v>328</v>
      </c>
      <c r="J33" s="477"/>
      <c r="K33" s="477"/>
      <c r="L33" s="481"/>
      <c r="M33" s="477"/>
      <c r="N33" s="477" t="s">
        <v>111</v>
      </c>
      <c r="O33" s="477"/>
      <c r="P33" s="599">
        <f>IF((IF(T22&gt;tabellen!B108,tabellen!B108,T22)-tabellen!B107)&lt;0,0,IF(T22&gt;tabellen!B108,tabellen!B108,T22)-tabellen!B107)</f>
        <v>13767</v>
      </c>
      <c r="Q33" s="600">
        <f>+tabellen!C108</f>
        <v>0.42</v>
      </c>
      <c r="R33" s="538"/>
      <c r="S33" s="585">
        <f>+P33*Q33/12</f>
        <v>481.84499999999997</v>
      </c>
      <c r="T33" s="585">
        <f>+P33*Q33</f>
        <v>5782.1399999999994</v>
      </c>
      <c r="U33" s="477"/>
      <c r="V33" s="485"/>
      <c r="W33" s="577"/>
      <c r="X33" s="577"/>
      <c r="Y33" s="577"/>
      <c r="Z33" s="577"/>
      <c r="AA33" s="577"/>
      <c r="AB33" s="577"/>
      <c r="AC33" s="577"/>
      <c r="AD33" s="577"/>
      <c r="AE33" s="577"/>
      <c r="AF33" s="577"/>
      <c r="AG33" s="577"/>
      <c r="AH33" s="577"/>
      <c r="AI33" s="577"/>
      <c r="AJ33" s="577"/>
      <c r="AK33" s="577"/>
      <c r="AL33" s="577"/>
      <c r="AM33" s="577"/>
      <c r="AN33" s="577"/>
      <c r="AO33" s="577"/>
      <c r="AP33" s="577"/>
      <c r="AQ33" s="577"/>
      <c r="AR33" s="577"/>
      <c r="AS33" s="577"/>
      <c r="AT33" s="577"/>
      <c r="AU33" s="577"/>
      <c r="AV33" s="577"/>
      <c r="AW33" s="577"/>
      <c r="AX33" s="577"/>
      <c r="AY33" s="577"/>
      <c r="AZ33" s="577"/>
      <c r="BA33" s="577"/>
      <c r="BB33" s="577"/>
      <c r="BC33" s="577"/>
      <c r="BD33" s="577"/>
      <c r="BE33" s="577"/>
      <c r="BF33" s="577"/>
      <c r="BG33" s="577"/>
      <c r="BH33" s="577"/>
    </row>
    <row r="34" spans="1:60" s="475" customFormat="1" ht="12.75" customHeight="1" x14ac:dyDescent="0.2">
      <c r="A34" s="577"/>
      <c r="B34" s="476"/>
      <c r="C34" s="477"/>
      <c r="D34" s="477" t="s">
        <v>374</v>
      </c>
      <c r="E34" s="492"/>
      <c r="F34" s="482"/>
      <c r="G34" s="483"/>
      <c r="H34" s="483"/>
      <c r="I34" s="585">
        <v>500</v>
      </c>
      <c r="J34" s="477"/>
      <c r="K34" s="477"/>
      <c r="L34" s="481"/>
      <c r="M34" s="477"/>
      <c r="N34" s="477" t="s">
        <v>112</v>
      </c>
      <c r="O34" s="477"/>
      <c r="P34" s="599">
        <f>IF((IF(T22&gt;tabellen!B109,tabellen!B109,T22)-tabellen!B108)&lt;0,0,IF(T22&gt;tabellen!B109,tabellen!B109,T22)-tabellen!B108)</f>
        <v>7665.2041400000016</v>
      </c>
      <c r="Q34" s="600">
        <f>+tabellen!C109</f>
        <v>0.42</v>
      </c>
      <c r="R34" s="536"/>
      <c r="S34" s="585">
        <f>+P34*Q34/12</f>
        <v>268.28214490000005</v>
      </c>
      <c r="T34" s="585">
        <f>+P34*Q34</f>
        <v>3219.3857388000006</v>
      </c>
      <c r="U34" s="477"/>
      <c r="V34" s="485"/>
      <c r="W34" s="577"/>
      <c r="X34" s="577"/>
      <c r="Y34" s="577"/>
      <c r="Z34" s="577"/>
      <c r="AA34" s="577"/>
      <c r="AB34" s="577"/>
      <c r="AC34" s="577"/>
      <c r="AD34" s="577"/>
      <c r="AE34" s="577"/>
      <c r="AF34" s="577"/>
      <c r="AG34" s="577"/>
      <c r="AH34" s="577"/>
      <c r="AI34" s="577"/>
      <c r="AJ34" s="577"/>
      <c r="AK34" s="577"/>
      <c r="AL34" s="577"/>
      <c r="AM34" s="577"/>
      <c r="AN34" s="577"/>
      <c r="AO34" s="577"/>
      <c r="AP34" s="577"/>
      <c r="AQ34" s="577"/>
      <c r="AR34" s="577"/>
      <c r="AS34" s="577"/>
      <c r="AT34" s="577"/>
      <c r="AU34" s="577"/>
      <c r="AV34" s="577"/>
      <c r="AW34" s="577"/>
      <c r="AX34" s="577"/>
      <c r="AY34" s="577"/>
      <c r="AZ34" s="577"/>
      <c r="BA34" s="577"/>
      <c r="BB34" s="577"/>
      <c r="BC34" s="577"/>
      <c r="BD34" s="577"/>
      <c r="BE34" s="577"/>
      <c r="BF34" s="577"/>
      <c r="BG34" s="577"/>
      <c r="BH34" s="577"/>
    </row>
    <row r="35" spans="1:60" s="475" customFormat="1" ht="12.75" customHeight="1" x14ac:dyDescent="0.2">
      <c r="A35" s="577"/>
      <c r="B35" s="476"/>
      <c r="C35" s="477"/>
      <c r="D35" s="492"/>
      <c r="E35" s="477"/>
      <c r="F35" s="482"/>
      <c r="G35" s="483"/>
      <c r="H35" s="483"/>
      <c r="I35" s="591">
        <f>ROUND(SUM(I31:I34),0)</f>
        <v>42905</v>
      </c>
      <c r="J35" s="477"/>
      <c r="K35" s="477"/>
      <c r="L35" s="481"/>
      <c r="M35" s="492"/>
      <c r="N35" s="477" t="s">
        <v>113</v>
      </c>
      <c r="O35" s="477"/>
      <c r="P35" s="599">
        <f>IF((IF(T22&gt;tabellen!B110,tabellen!B110,T22)-tabellen!B109)&lt;0,0,IF(T22&gt;tabellen!B110,tabellen!B110,T22)-tabellen!B109)</f>
        <v>0</v>
      </c>
      <c r="Q35" s="600">
        <f>+tabellen!C110</f>
        <v>0.52</v>
      </c>
      <c r="R35" s="536"/>
      <c r="S35" s="585">
        <f>+P35*Q35/12</f>
        <v>0</v>
      </c>
      <c r="T35" s="585">
        <f>+P35*Q35</f>
        <v>0</v>
      </c>
      <c r="U35" s="492"/>
      <c r="V35" s="485"/>
      <c r="W35" s="577"/>
      <c r="X35" s="577"/>
      <c r="Y35" s="577"/>
      <c r="Z35" s="577"/>
      <c r="AA35" s="577"/>
      <c r="AB35" s="577"/>
      <c r="AC35" s="577"/>
      <c r="AD35" s="577"/>
      <c r="AE35" s="577"/>
      <c r="AF35" s="577"/>
      <c r="AG35" s="577"/>
      <c r="AH35" s="577"/>
      <c r="AI35" s="577"/>
      <c r="AJ35" s="577"/>
      <c r="AK35" s="577"/>
      <c r="AL35" s="577"/>
      <c r="AM35" s="577"/>
      <c r="AN35" s="577"/>
      <c r="AO35" s="577"/>
      <c r="AP35" s="577"/>
      <c r="AQ35" s="577"/>
      <c r="AR35" s="577"/>
      <c r="AS35" s="577"/>
      <c r="AT35" s="577"/>
      <c r="AU35" s="577"/>
      <c r="AV35" s="577"/>
      <c r="AW35" s="577"/>
      <c r="AX35" s="577"/>
      <c r="AY35" s="577"/>
      <c r="AZ35" s="577"/>
      <c r="BA35" s="577"/>
      <c r="BB35" s="577"/>
      <c r="BC35" s="577"/>
      <c r="BD35" s="577"/>
      <c r="BE35" s="577"/>
      <c r="BF35" s="577"/>
      <c r="BG35" s="577"/>
      <c r="BH35" s="577"/>
    </row>
    <row r="36" spans="1:60" s="475" customFormat="1" ht="12.75" customHeight="1" x14ac:dyDescent="0.2">
      <c r="A36" s="577"/>
      <c r="B36" s="476"/>
      <c r="C36" s="477"/>
      <c r="D36" s="492"/>
      <c r="E36" s="477"/>
      <c r="F36" s="482"/>
      <c r="G36" s="483"/>
      <c r="H36" s="483"/>
      <c r="I36" s="484"/>
      <c r="J36" s="477"/>
      <c r="K36" s="477"/>
      <c r="L36" s="481"/>
      <c r="M36" s="477"/>
      <c r="N36" s="493"/>
      <c r="O36" s="492"/>
      <c r="P36" s="601">
        <f>SUM(P32:P35)</f>
        <v>41254.204140000002</v>
      </c>
      <c r="Q36" s="602"/>
      <c r="R36" s="494"/>
      <c r="S36" s="591">
        <f>SUM(S32:S35)</f>
        <v>1353.0463115666666</v>
      </c>
      <c r="T36" s="591">
        <f>SUM(T32:T35)</f>
        <v>16236.555738799998</v>
      </c>
      <c r="U36" s="477"/>
      <c r="V36" s="485"/>
      <c r="W36" s="577"/>
      <c r="X36" s="577"/>
      <c r="Y36" s="577"/>
      <c r="Z36" s="577"/>
      <c r="AA36" s="577"/>
      <c r="AB36" s="577"/>
      <c r="AC36" s="577"/>
      <c r="AD36" s="577"/>
      <c r="AE36" s="577"/>
      <c r="AF36" s="577"/>
      <c r="AG36" s="577"/>
      <c r="AH36" s="577"/>
      <c r="AI36" s="577"/>
      <c r="AJ36" s="577"/>
      <c r="AK36" s="577"/>
      <c r="AL36" s="577"/>
      <c r="AM36" s="577"/>
      <c r="AN36" s="577"/>
      <c r="AO36" s="577"/>
      <c r="AP36" s="577"/>
      <c r="AQ36" s="577"/>
      <c r="AR36" s="577"/>
      <c r="AS36" s="577"/>
      <c r="AT36" s="577"/>
      <c r="AU36" s="577"/>
      <c r="AV36" s="577"/>
      <c r="AW36" s="577"/>
      <c r="AX36" s="577"/>
      <c r="AY36" s="577"/>
      <c r="AZ36" s="577"/>
      <c r="BA36" s="577"/>
      <c r="BB36" s="577"/>
      <c r="BC36" s="577"/>
      <c r="BD36" s="577"/>
      <c r="BE36" s="577"/>
      <c r="BF36" s="577"/>
      <c r="BG36" s="577"/>
      <c r="BH36" s="577"/>
    </row>
    <row r="37" spans="1:60" s="475" customFormat="1" ht="12.75" customHeight="1" x14ac:dyDescent="0.2">
      <c r="A37" s="577"/>
      <c r="B37" s="476"/>
      <c r="C37" s="477"/>
      <c r="D37" s="477" t="s">
        <v>62</v>
      </c>
      <c r="E37" s="477"/>
      <c r="F37" s="482"/>
      <c r="G37" s="595">
        <v>1.9E-2</v>
      </c>
      <c r="H37" s="538"/>
      <c r="I37" s="585">
        <f>+(I35/(1+1.9%))*G37</f>
        <v>799.99509322865561</v>
      </c>
      <c r="J37" s="477"/>
      <c r="K37" s="477"/>
      <c r="L37" s="481"/>
      <c r="U37" s="498"/>
      <c r="V37" s="485"/>
      <c r="W37" s="577"/>
      <c r="X37" s="577"/>
      <c r="Y37" s="577"/>
      <c r="Z37" s="577"/>
      <c r="AA37" s="577"/>
      <c r="AB37" s="577"/>
      <c r="AC37" s="577"/>
      <c r="AD37" s="577"/>
      <c r="AE37" s="577"/>
      <c r="AF37" s="577"/>
      <c r="AG37" s="577"/>
      <c r="AH37" s="577"/>
      <c r="AI37" s="577"/>
      <c r="AJ37" s="577"/>
      <c r="AK37" s="577"/>
      <c r="AL37" s="577"/>
      <c r="AM37" s="577"/>
      <c r="AN37" s="577"/>
      <c r="AO37" s="577"/>
      <c r="AP37" s="577"/>
      <c r="AQ37" s="577"/>
      <c r="AR37" s="577"/>
      <c r="AS37" s="577"/>
      <c r="AT37" s="577"/>
      <c r="AU37" s="577"/>
      <c r="AV37" s="577"/>
      <c r="AW37" s="577"/>
      <c r="AX37" s="577"/>
      <c r="AY37" s="577"/>
      <c r="AZ37" s="577"/>
      <c r="BA37" s="577"/>
      <c r="BB37" s="577"/>
      <c r="BC37" s="577"/>
      <c r="BD37" s="577"/>
      <c r="BE37" s="577"/>
      <c r="BF37" s="577"/>
      <c r="BG37" s="577"/>
      <c r="BH37" s="577"/>
    </row>
    <row r="38" spans="1:60" s="475" customFormat="1" ht="12.75" customHeight="1" x14ac:dyDescent="0.2">
      <c r="A38" s="577"/>
      <c r="B38" s="476"/>
      <c r="C38" s="477"/>
      <c r="D38" s="477" t="s">
        <v>61</v>
      </c>
      <c r="E38" s="477"/>
      <c r="F38" s="482"/>
      <c r="G38" s="483"/>
      <c r="H38" s="483"/>
      <c r="I38" s="585">
        <v>791.85</v>
      </c>
      <c r="J38" s="550">
        <f>IF(I38&gt;I37,I37,I38)</f>
        <v>791.85</v>
      </c>
      <c r="K38" s="477"/>
      <c r="L38" s="481"/>
      <c r="M38" s="502"/>
      <c r="N38" s="502"/>
      <c r="O38" s="502"/>
      <c r="P38" s="502"/>
      <c r="Q38" s="502"/>
      <c r="R38" s="502"/>
      <c r="S38" s="502"/>
      <c r="T38" s="502"/>
      <c r="U38" s="502"/>
      <c r="V38" s="485"/>
      <c r="W38" s="577"/>
      <c r="X38" s="577"/>
      <c r="Y38" s="577"/>
      <c r="Z38" s="577"/>
      <c r="AA38" s="577"/>
      <c r="AB38" s="577"/>
      <c r="AC38" s="577"/>
      <c r="AD38" s="577"/>
      <c r="AE38" s="577"/>
      <c r="AF38" s="577"/>
      <c r="AG38" s="577"/>
      <c r="AH38" s="577"/>
      <c r="AI38" s="577"/>
      <c r="AJ38" s="577"/>
      <c r="AK38" s="577"/>
      <c r="AL38" s="577"/>
      <c r="AM38" s="577"/>
      <c r="AN38" s="577"/>
      <c r="AO38" s="577"/>
      <c r="AP38" s="577"/>
      <c r="AQ38" s="577"/>
      <c r="AR38" s="577"/>
      <c r="AS38" s="577"/>
      <c r="AT38" s="577"/>
      <c r="AU38" s="577"/>
      <c r="AV38" s="577"/>
      <c r="AW38" s="577"/>
      <c r="AX38" s="577"/>
      <c r="AY38" s="577"/>
      <c r="AZ38" s="577"/>
      <c r="BA38" s="577"/>
      <c r="BB38" s="577"/>
      <c r="BC38" s="577"/>
      <c r="BD38" s="577"/>
      <c r="BE38" s="577"/>
      <c r="BF38" s="577"/>
      <c r="BG38" s="577"/>
      <c r="BH38" s="577"/>
    </row>
    <row r="39" spans="1:60" s="551" customFormat="1" ht="12.75" customHeight="1" x14ac:dyDescent="0.2">
      <c r="A39" s="579"/>
      <c r="B39" s="476"/>
      <c r="C39" s="477"/>
      <c r="D39" s="492" t="s">
        <v>63</v>
      </c>
      <c r="E39" s="477"/>
      <c r="F39" s="482"/>
      <c r="G39" s="483"/>
      <c r="H39" s="483"/>
      <c r="I39" s="591">
        <f>ROUND(I35-IF(I38&gt;I37,I37,I38),0)</f>
        <v>42113</v>
      </c>
      <c r="J39" s="477"/>
      <c r="K39" s="477"/>
      <c r="L39" s="481"/>
      <c r="M39" s="502"/>
      <c r="N39" s="502"/>
      <c r="O39" s="502"/>
      <c r="P39" s="502"/>
      <c r="Q39" s="502"/>
      <c r="R39" s="502"/>
      <c r="S39" s="502"/>
      <c r="T39" s="502"/>
      <c r="U39" s="502"/>
      <c r="V39" s="485"/>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579"/>
      <c r="AV39" s="579"/>
      <c r="AW39" s="579"/>
      <c r="AX39" s="579"/>
      <c r="AY39" s="579"/>
      <c r="AZ39" s="579"/>
      <c r="BA39" s="579"/>
      <c r="BB39" s="579"/>
      <c r="BC39" s="579"/>
      <c r="BD39" s="579"/>
      <c r="BE39" s="579"/>
      <c r="BF39" s="579"/>
      <c r="BG39" s="579"/>
      <c r="BH39" s="579"/>
    </row>
    <row r="40" spans="1:60" s="551" customFormat="1" ht="12.75" customHeight="1" x14ac:dyDescent="0.2">
      <c r="A40" s="579"/>
      <c r="B40" s="552"/>
      <c r="C40" s="478"/>
      <c r="D40" s="517" t="s">
        <v>184</v>
      </c>
      <c r="E40" s="478"/>
      <c r="F40" s="517"/>
      <c r="G40" s="517"/>
      <c r="H40" s="518"/>
      <c r="I40" s="587">
        <f>IF(I11&lt;1950,0,+(I18+I22+I23)*tabellen!C87)*12</f>
        <v>291.74400000000003</v>
      </c>
      <c r="J40" s="478"/>
      <c r="K40" s="478"/>
      <c r="L40" s="553"/>
      <c r="M40" s="554"/>
      <c r="N40" s="554"/>
      <c r="O40" s="554"/>
      <c r="P40" s="554"/>
      <c r="Q40" s="554"/>
      <c r="R40" s="554"/>
      <c r="S40" s="554"/>
      <c r="T40" s="554"/>
      <c r="U40" s="554"/>
      <c r="V40" s="555"/>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579"/>
      <c r="AV40" s="579"/>
      <c r="AW40" s="579"/>
      <c r="AX40" s="579"/>
      <c r="AY40" s="579"/>
      <c r="AZ40" s="579"/>
      <c r="BA40" s="579"/>
      <c r="BB40" s="579"/>
      <c r="BC40" s="579"/>
      <c r="BD40" s="579"/>
      <c r="BE40" s="579"/>
      <c r="BF40" s="579"/>
      <c r="BG40" s="579"/>
      <c r="BH40" s="579"/>
    </row>
    <row r="41" spans="1:60" s="475" customFormat="1" ht="12.75" customHeight="1" x14ac:dyDescent="0.2">
      <c r="A41" s="577"/>
      <c r="B41" s="552"/>
      <c r="C41" s="478"/>
      <c r="D41" s="642"/>
      <c r="E41" s="643"/>
      <c r="F41" s="642"/>
      <c r="G41" s="642"/>
      <c r="H41" s="644"/>
      <c r="I41" s="643"/>
      <c r="J41" s="643"/>
      <c r="K41" s="478"/>
      <c r="L41" s="553"/>
      <c r="M41" s="554"/>
      <c r="N41" s="554"/>
      <c r="O41" s="554"/>
      <c r="P41" s="554"/>
      <c r="Q41" s="554"/>
      <c r="R41" s="554"/>
      <c r="S41" s="554"/>
      <c r="T41" s="554"/>
      <c r="U41" s="554"/>
      <c r="V41" s="555"/>
      <c r="W41" s="577"/>
      <c r="X41" s="577"/>
      <c r="Y41" s="577"/>
      <c r="Z41" s="577"/>
      <c r="AA41" s="577"/>
      <c r="AB41" s="577"/>
      <c r="AC41" s="577"/>
      <c r="AD41" s="577"/>
      <c r="AE41" s="577"/>
      <c r="AF41" s="577"/>
      <c r="AG41" s="577"/>
      <c r="AH41" s="577"/>
      <c r="AI41" s="577"/>
      <c r="AJ41" s="577"/>
      <c r="AK41" s="577"/>
      <c r="AL41" s="577"/>
      <c r="AM41" s="577"/>
      <c r="AN41" s="577"/>
      <c r="AO41" s="577"/>
      <c r="AP41" s="577"/>
      <c r="AQ41" s="577"/>
      <c r="AR41" s="577"/>
      <c r="AS41" s="577"/>
      <c r="AT41" s="577"/>
      <c r="AU41" s="577"/>
      <c r="AV41" s="577"/>
      <c r="AW41" s="577"/>
      <c r="AX41" s="577"/>
      <c r="AY41" s="577"/>
      <c r="AZ41" s="577"/>
      <c r="BA41" s="577"/>
      <c r="BB41" s="577"/>
      <c r="BC41" s="577"/>
      <c r="BD41" s="577"/>
      <c r="BE41" s="577"/>
      <c r="BF41" s="577"/>
      <c r="BG41" s="577"/>
      <c r="BH41" s="577"/>
    </row>
    <row r="42" spans="1:60" s="475" customFormat="1" ht="12.75" customHeight="1" x14ac:dyDescent="0.2">
      <c r="A42" s="577"/>
      <c r="B42" s="476"/>
      <c r="C42" s="477"/>
      <c r="D42" s="521"/>
      <c r="E42" s="540"/>
      <c r="F42" s="522"/>
      <c r="G42" s="523"/>
      <c r="H42" s="523"/>
      <c r="I42" s="541"/>
      <c r="J42" s="521"/>
      <c r="K42" s="556"/>
      <c r="L42" s="481"/>
      <c r="M42" s="502"/>
      <c r="N42" s="557"/>
      <c r="O42" s="557"/>
      <c r="P42" s="557"/>
      <c r="Q42" s="557"/>
      <c r="R42" s="557"/>
      <c r="S42" s="557"/>
      <c r="T42" s="557"/>
      <c r="U42" s="502"/>
      <c r="V42" s="485"/>
      <c r="W42" s="577"/>
      <c r="X42" s="577"/>
      <c r="Y42" s="577"/>
      <c r="Z42" s="577"/>
      <c r="AA42" s="577"/>
      <c r="AB42" s="577"/>
      <c r="AC42" s="577"/>
      <c r="AD42" s="577"/>
      <c r="AE42" s="577"/>
      <c r="AF42" s="577"/>
      <c r="AG42" s="577"/>
      <c r="AH42" s="577"/>
      <c r="AI42" s="577"/>
      <c r="AJ42" s="577"/>
      <c r="AK42" s="577"/>
      <c r="AL42" s="577"/>
      <c r="AM42" s="577"/>
      <c r="AN42" s="577"/>
      <c r="AO42" s="577"/>
      <c r="AP42" s="577"/>
      <c r="AQ42" s="577"/>
      <c r="AR42" s="577"/>
      <c r="AS42" s="577"/>
      <c r="AT42" s="577"/>
      <c r="AU42" s="577"/>
      <c r="AV42" s="577"/>
      <c r="AW42" s="577"/>
      <c r="AX42" s="577"/>
      <c r="AY42" s="577"/>
      <c r="AZ42" s="577"/>
      <c r="BA42" s="577"/>
      <c r="BB42" s="577"/>
      <c r="BC42" s="577"/>
      <c r="BD42" s="577"/>
      <c r="BE42" s="577"/>
      <c r="BF42" s="577"/>
      <c r="BG42" s="577"/>
      <c r="BH42" s="577"/>
    </row>
    <row r="43" spans="1:60" s="475" customFormat="1" ht="12.75" customHeight="1" x14ac:dyDescent="0.2">
      <c r="A43" s="577"/>
      <c r="B43" s="476"/>
      <c r="C43" s="477"/>
      <c r="D43" s="645"/>
      <c r="E43" s="646"/>
      <c r="F43" s="647"/>
      <c r="G43" s="648"/>
      <c r="H43" s="648"/>
      <c r="I43" s="649"/>
      <c r="J43" s="645"/>
      <c r="K43" s="556"/>
      <c r="L43" s="481"/>
      <c r="M43" s="502"/>
      <c r="N43" s="557"/>
      <c r="O43" s="557"/>
      <c r="P43" s="557"/>
      <c r="Q43" s="557"/>
      <c r="R43" s="557"/>
      <c r="S43" s="557"/>
      <c r="T43" s="557"/>
      <c r="U43" s="502"/>
      <c r="V43" s="485"/>
      <c r="W43" s="577"/>
      <c r="X43" s="577"/>
      <c r="Y43" s="577"/>
      <c r="Z43" s="577"/>
      <c r="AA43" s="577"/>
      <c r="AB43" s="577"/>
      <c r="AC43" s="577"/>
      <c r="AD43" s="577"/>
      <c r="AE43" s="577"/>
      <c r="AF43" s="577"/>
      <c r="AG43" s="577"/>
      <c r="AH43" s="577"/>
      <c r="AI43" s="577"/>
      <c r="AJ43" s="577"/>
      <c r="AK43" s="577"/>
      <c r="AL43" s="577"/>
      <c r="AM43" s="577"/>
      <c r="AN43" s="577"/>
      <c r="AO43" s="577"/>
      <c r="AP43" s="577"/>
      <c r="AQ43" s="577"/>
      <c r="AR43" s="577"/>
      <c r="AS43" s="577"/>
      <c r="AT43" s="577"/>
      <c r="AU43" s="577"/>
      <c r="AV43" s="577"/>
      <c r="AW43" s="577"/>
      <c r="AX43" s="577"/>
      <c r="AY43" s="577"/>
      <c r="AZ43" s="577"/>
      <c r="BA43" s="577"/>
      <c r="BB43" s="577"/>
      <c r="BC43" s="577"/>
      <c r="BD43" s="577"/>
      <c r="BE43" s="577"/>
      <c r="BF43" s="577"/>
      <c r="BG43" s="577"/>
      <c r="BH43" s="577"/>
    </row>
    <row r="44" spans="1:60" s="475" customFormat="1" ht="12.75" customHeight="1" x14ac:dyDescent="0.2">
      <c r="A44" s="577"/>
      <c r="B44" s="476"/>
      <c r="C44" s="477"/>
      <c r="D44" s="507"/>
      <c r="E44" s="544"/>
      <c r="F44" s="529"/>
      <c r="G44" s="530"/>
      <c r="H44" s="530"/>
      <c r="I44" s="545"/>
      <c r="J44" s="507"/>
      <c r="K44" s="556"/>
      <c r="L44" s="481"/>
      <c r="M44" s="547"/>
      <c r="N44" s="558"/>
      <c r="O44" s="547"/>
      <c r="P44" s="559"/>
      <c r="Q44" s="427"/>
      <c r="R44" s="427"/>
      <c r="S44" s="560"/>
      <c r="T44" s="560"/>
      <c r="U44" s="481"/>
      <c r="V44" s="485"/>
      <c r="W44" s="577"/>
      <c r="X44" s="577"/>
      <c r="Y44" s="577"/>
      <c r="Z44" s="577"/>
      <c r="AA44" s="577"/>
      <c r="AB44" s="577"/>
      <c r="AC44" s="577"/>
      <c r="AD44" s="577"/>
      <c r="AE44" s="577"/>
      <c r="AF44" s="577"/>
      <c r="AG44" s="577"/>
      <c r="AH44" s="577"/>
      <c r="AI44" s="577"/>
      <c r="AJ44" s="577"/>
      <c r="AK44" s="577"/>
      <c r="AL44" s="577"/>
      <c r="AM44" s="577"/>
      <c r="AN44" s="577"/>
      <c r="AO44" s="577"/>
      <c r="AP44" s="577"/>
      <c r="AQ44" s="577"/>
      <c r="AR44" s="577"/>
      <c r="AS44" s="577"/>
      <c r="AT44" s="577"/>
      <c r="AU44" s="577"/>
      <c r="AV44" s="577"/>
      <c r="AW44" s="577"/>
      <c r="AX44" s="577"/>
      <c r="AY44" s="577"/>
      <c r="AZ44" s="577"/>
      <c r="BA44" s="577"/>
      <c r="BB44" s="577"/>
      <c r="BC44" s="577"/>
      <c r="BD44" s="577"/>
      <c r="BE44" s="577"/>
      <c r="BF44" s="577"/>
      <c r="BG44" s="577"/>
      <c r="BH44" s="577"/>
    </row>
    <row r="45" spans="1:60" s="475" customFormat="1" ht="12.75" customHeight="1" x14ac:dyDescent="0.2">
      <c r="A45" s="577"/>
      <c r="B45" s="476"/>
      <c r="C45" s="477"/>
      <c r="D45" s="603" t="s">
        <v>66</v>
      </c>
      <c r="E45" s="486"/>
      <c r="F45" s="509"/>
      <c r="G45" s="510"/>
      <c r="H45" s="510"/>
      <c r="I45" s="596" t="s">
        <v>64</v>
      </c>
      <c r="J45" s="598" t="s">
        <v>65</v>
      </c>
      <c r="K45" s="477"/>
      <c r="L45" s="481"/>
      <c r="M45" s="481"/>
      <c r="N45" s="481"/>
      <c r="O45" s="481"/>
      <c r="P45" s="481"/>
      <c r="Q45" s="481"/>
      <c r="R45" s="481"/>
      <c r="S45" s="481"/>
      <c r="T45" s="481"/>
      <c r="U45" s="481"/>
      <c r="V45" s="485"/>
      <c r="W45" s="577"/>
      <c r="X45" s="577"/>
      <c r="Y45" s="577"/>
      <c r="Z45" s="577"/>
      <c r="AA45" s="577"/>
      <c r="AB45" s="577"/>
      <c r="AC45" s="577"/>
      <c r="AD45" s="577"/>
      <c r="AE45" s="577"/>
      <c r="AF45" s="577"/>
      <c r="AG45" s="577"/>
      <c r="AH45" s="577"/>
      <c r="AI45" s="577"/>
      <c r="AJ45" s="577"/>
      <c r="AK45" s="577"/>
      <c r="AL45" s="577"/>
      <c r="AM45" s="577"/>
      <c r="AN45" s="577"/>
      <c r="AO45" s="577"/>
      <c r="AP45" s="577"/>
      <c r="AQ45" s="577"/>
      <c r="AR45" s="577"/>
      <c r="AS45" s="577"/>
      <c r="AT45" s="577"/>
      <c r="AU45" s="577"/>
      <c r="AV45" s="577"/>
      <c r="AW45" s="577"/>
      <c r="AX45" s="577"/>
      <c r="AY45" s="577"/>
      <c r="AZ45" s="577"/>
      <c r="BA45" s="577"/>
      <c r="BB45" s="577"/>
      <c r="BC45" s="577"/>
      <c r="BD45" s="577"/>
      <c r="BE45" s="577"/>
      <c r="BF45" s="577"/>
      <c r="BG45" s="577"/>
      <c r="BH45" s="577"/>
    </row>
    <row r="46" spans="1:60" s="475" customFormat="1" ht="12.75" customHeight="1" x14ac:dyDescent="0.2">
      <c r="A46" s="577"/>
      <c r="B46" s="476"/>
      <c r="C46" s="477"/>
      <c r="D46" s="482" t="s">
        <v>49</v>
      </c>
      <c r="E46" s="477" t="s">
        <v>264</v>
      </c>
      <c r="F46" s="482"/>
      <c r="G46" s="483"/>
      <c r="H46" s="483"/>
      <c r="I46" s="585">
        <f>+I35/12</f>
        <v>3575.4166666666665</v>
      </c>
      <c r="J46" s="588">
        <f>I46*12</f>
        <v>42905</v>
      </c>
      <c r="K46" s="477"/>
      <c r="L46" s="481"/>
      <c r="M46" s="481"/>
      <c r="N46" s="481"/>
      <c r="O46" s="481"/>
      <c r="P46" s="481"/>
      <c r="Q46" s="481"/>
      <c r="R46" s="481"/>
      <c r="S46" s="481"/>
      <c r="T46" s="481"/>
      <c r="U46" s="481"/>
      <c r="V46" s="485"/>
      <c r="W46" s="577"/>
      <c r="X46" s="577"/>
      <c r="Y46" s="577"/>
      <c r="Z46" s="577"/>
      <c r="AA46" s="577"/>
      <c r="AB46" s="577"/>
      <c r="AC46" s="577"/>
      <c r="AD46" s="577"/>
      <c r="AE46" s="577"/>
      <c r="AF46" s="577"/>
      <c r="AG46" s="577"/>
      <c r="AH46" s="577"/>
      <c r="AI46" s="577"/>
      <c r="AJ46" s="577"/>
      <c r="AK46" s="577"/>
      <c r="AL46" s="577"/>
      <c r="AM46" s="577"/>
      <c r="AN46" s="577"/>
      <c r="AO46" s="577"/>
      <c r="AP46" s="577"/>
      <c r="AQ46" s="577"/>
      <c r="AR46" s="577"/>
      <c r="AS46" s="577"/>
      <c r="AT46" s="577"/>
      <c r="AU46" s="577"/>
      <c r="AV46" s="577"/>
      <c r="AW46" s="577"/>
      <c r="AX46" s="577"/>
      <c r="AY46" s="577"/>
      <c r="AZ46" s="577"/>
      <c r="BA46" s="577"/>
      <c r="BB46" s="577"/>
      <c r="BC46" s="577"/>
      <c r="BD46" s="577"/>
      <c r="BE46" s="577"/>
      <c r="BF46" s="577"/>
      <c r="BG46" s="577"/>
      <c r="BH46" s="577"/>
    </row>
    <row r="47" spans="1:60" s="475" customFormat="1" ht="12.75" customHeight="1" x14ac:dyDescent="0.2">
      <c r="A47" s="577"/>
      <c r="B47" s="476"/>
      <c r="C47" s="477"/>
      <c r="D47" s="482" t="s">
        <v>50</v>
      </c>
      <c r="E47" s="477" t="s">
        <v>39</v>
      </c>
      <c r="F47" s="482"/>
      <c r="G47" s="483"/>
      <c r="H47" s="483"/>
      <c r="I47" s="585">
        <f>IF($I$39/$I$17&lt;tabellen!E57,0,($I$39-tabellen!E57*$I$17)/12)*tabellen!$C57</f>
        <v>329.1262625</v>
      </c>
      <c r="J47" s="588">
        <f>I47*12</f>
        <v>3949.5151500000002</v>
      </c>
      <c r="K47" s="477"/>
      <c r="L47" s="481"/>
      <c r="M47" s="481"/>
      <c r="N47" s="481"/>
      <c r="O47" s="481"/>
      <c r="P47" s="481"/>
      <c r="Q47" s="481"/>
      <c r="R47" s="481"/>
      <c r="S47" s="481"/>
      <c r="T47" s="481"/>
      <c r="U47" s="547"/>
      <c r="V47" s="485"/>
      <c r="W47" s="577"/>
      <c r="X47" s="577"/>
      <c r="Y47" s="577"/>
      <c r="Z47" s="577"/>
      <c r="AA47" s="577"/>
      <c r="AB47" s="577"/>
      <c r="AC47" s="577"/>
      <c r="AD47" s="577"/>
      <c r="AE47" s="577"/>
      <c r="AF47" s="577"/>
      <c r="AG47" s="577"/>
      <c r="AH47" s="577"/>
      <c r="AI47" s="577"/>
      <c r="AJ47" s="577"/>
      <c r="AK47" s="577"/>
      <c r="AL47" s="577"/>
      <c r="AM47" s="577"/>
      <c r="AN47" s="577"/>
      <c r="AO47" s="577"/>
      <c r="AP47" s="577"/>
      <c r="AQ47" s="577"/>
      <c r="AR47" s="577"/>
      <c r="AS47" s="577"/>
      <c r="AT47" s="577"/>
      <c r="AU47" s="577"/>
      <c r="AV47" s="577"/>
      <c r="AW47" s="577"/>
      <c r="AX47" s="577"/>
      <c r="AY47" s="577"/>
      <c r="AZ47" s="577"/>
      <c r="BA47" s="577"/>
      <c r="BB47" s="577"/>
      <c r="BC47" s="577"/>
      <c r="BD47" s="577"/>
      <c r="BE47" s="577"/>
      <c r="BF47" s="577"/>
      <c r="BG47" s="577"/>
      <c r="BH47" s="577"/>
    </row>
    <row r="48" spans="1:60" s="475" customFormat="1" ht="12.75" customHeight="1" x14ac:dyDescent="0.2">
      <c r="A48" s="577"/>
      <c r="B48" s="476"/>
      <c r="C48" s="477"/>
      <c r="D48" s="482" t="s">
        <v>51</v>
      </c>
      <c r="E48" s="477" t="s">
        <v>196</v>
      </c>
      <c r="F48" s="482"/>
      <c r="G48" s="483"/>
      <c r="H48" s="483"/>
      <c r="I48" s="585">
        <f>IF($I$39/$I$17&lt;tabellen!E58,0,(+$I$39-tabellen!E58*$I$17)/12)*tabellen!$C58</f>
        <v>7.0821874999999999</v>
      </c>
      <c r="J48" s="588">
        <f>I48*12</f>
        <v>84.986249999999998</v>
      </c>
      <c r="K48" s="477"/>
      <c r="L48" s="481"/>
      <c r="M48" s="481"/>
      <c r="N48" s="481"/>
      <c r="O48" s="481"/>
      <c r="P48" s="481"/>
      <c r="Q48" s="481"/>
      <c r="R48" s="481"/>
      <c r="S48" s="481"/>
      <c r="T48" s="481"/>
      <c r="U48" s="481"/>
      <c r="V48" s="485"/>
      <c r="W48" s="577"/>
      <c r="X48" s="577"/>
      <c r="Y48" s="577"/>
      <c r="Z48" s="577"/>
      <c r="AA48" s="577"/>
      <c r="AB48" s="577"/>
      <c r="AC48" s="577"/>
      <c r="AD48" s="577"/>
      <c r="AE48" s="577"/>
      <c r="AF48" s="577"/>
      <c r="AG48" s="577"/>
      <c r="AH48" s="577"/>
      <c r="AI48" s="577"/>
      <c r="AJ48" s="577"/>
      <c r="AK48" s="577"/>
      <c r="AL48" s="577"/>
      <c r="AM48" s="577"/>
      <c r="AN48" s="577"/>
      <c r="AO48" s="577"/>
      <c r="AP48" s="577"/>
      <c r="AQ48" s="577"/>
      <c r="AR48" s="577"/>
      <c r="AS48" s="577"/>
      <c r="AT48" s="577"/>
      <c r="AU48" s="577"/>
      <c r="AV48" s="577"/>
      <c r="AW48" s="577"/>
      <c r="AX48" s="577"/>
      <c r="AY48" s="577"/>
      <c r="AZ48" s="577"/>
      <c r="BA48" s="577"/>
      <c r="BB48" s="577"/>
      <c r="BC48" s="577"/>
      <c r="BD48" s="577"/>
      <c r="BE48" s="577"/>
      <c r="BF48" s="577"/>
      <c r="BG48" s="577"/>
      <c r="BH48" s="577"/>
    </row>
    <row r="49" spans="1:60" s="475" customFormat="1" ht="12.75" customHeight="1" x14ac:dyDescent="0.2">
      <c r="A49" s="577"/>
      <c r="B49" s="476"/>
      <c r="C49" s="477"/>
      <c r="D49" s="482" t="s">
        <v>52</v>
      </c>
      <c r="E49" s="477" t="s">
        <v>349</v>
      </c>
      <c r="F49" s="517"/>
      <c r="G49" s="482"/>
      <c r="H49" s="483"/>
      <c r="I49" s="585">
        <f>$I$39/12*tabellen!$C59</f>
        <v>105.28249999999998</v>
      </c>
      <c r="J49" s="588">
        <f>I49*12</f>
        <v>1263.3899999999999</v>
      </c>
      <c r="K49" s="477"/>
      <c r="L49" s="481"/>
      <c r="M49" s="481"/>
      <c r="N49" s="481"/>
      <c r="O49" s="481"/>
      <c r="P49" s="481"/>
      <c r="Q49" s="481"/>
      <c r="R49" s="481"/>
      <c r="S49" s="481"/>
      <c r="T49" s="481"/>
      <c r="U49" s="481"/>
      <c r="V49" s="485"/>
      <c r="W49" s="577"/>
      <c r="X49" s="577"/>
      <c r="Y49" s="577"/>
      <c r="Z49" s="577"/>
      <c r="AA49" s="577"/>
      <c r="AB49" s="577"/>
      <c r="AC49" s="577"/>
      <c r="AD49" s="577"/>
      <c r="AE49" s="577"/>
      <c r="AF49" s="577"/>
      <c r="AG49" s="577"/>
      <c r="AH49" s="577"/>
      <c r="AI49" s="577"/>
      <c r="AJ49" s="577"/>
      <c r="AK49" s="577"/>
      <c r="AL49" s="577"/>
      <c r="AM49" s="577"/>
      <c r="AN49" s="577"/>
      <c r="AO49" s="577"/>
      <c r="AP49" s="577"/>
      <c r="AQ49" s="577"/>
      <c r="AR49" s="577"/>
      <c r="AS49" s="577"/>
      <c r="AT49" s="577"/>
      <c r="AU49" s="577"/>
      <c r="AV49" s="577"/>
      <c r="AW49" s="577"/>
      <c r="AX49" s="577"/>
      <c r="AY49" s="577"/>
      <c r="AZ49" s="577"/>
      <c r="BA49" s="577"/>
      <c r="BB49" s="577"/>
      <c r="BC49" s="577"/>
      <c r="BD49" s="577"/>
      <c r="BE49" s="577"/>
      <c r="BF49" s="577"/>
      <c r="BG49" s="577"/>
      <c r="BH49" s="577"/>
    </row>
    <row r="50" spans="1:60" s="475" customFormat="1" ht="12.75" customHeight="1" x14ac:dyDescent="0.2">
      <c r="A50" s="577"/>
      <c r="B50" s="476"/>
      <c r="C50" s="477"/>
      <c r="D50" s="482" t="s">
        <v>53</v>
      </c>
      <c r="E50" s="477" t="s">
        <v>189</v>
      </c>
      <c r="F50" s="482"/>
      <c r="G50" s="483"/>
      <c r="H50" s="483"/>
      <c r="I50" s="585">
        <f>IF(S22&gt;tabellen!$G$60/12,tabellen!$G$60/12,S22)*(tabellen!$C60+tabellen!$C61)</f>
        <v>228.96083297700002</v>
      </c>
      <c r="J50" s="588">
        <f>I50*12</f>
        <v>2747.5299957240004</v>
      </c>
      <c r="K50" s="477"/>
      <c r="L50" s="481"/>
      <c r="M50" s="481"/>
      <c r="N50" s="481"/>
      <c r="O50" s="481"/>
      <c r="P50" s="481"/>
      <c r="Q50" s="481"/>
      <c r="R50" s="481"/>
      <c r="S50" s="481"/>
      <c r="T50" s="481"/>
      <c r="U50" s="481"/>
      <c r="V50" s="485"/>
      <c r="W50" s="577"/>
      <c r="X50" s="577"/>
      <c r="Y50" s="577"/>
      <c r="Z50" s="577"/>
      <c r="AA50" s="577"/>
      <c r="AB50" s="577"/>
      <c r="AC50" s="577"/>
      <c r="AD50" s="577"/>
      <c r="AE50" s="577"/>
      <c r="AF50" s="577"/>
      <c r="AG50" s="577"/>
      <c r="AH50" s="577"/>
      <c r="AI50" s="577"/>
      <c r="AJ50" s="577"/>
      <c r="AK50" s="577"/>
      <c r="AL50" s="577"/>
      <c r="AM50" s="577"/>
      <c r="AN50" s="577"/>
      <c r="AO50" s="577"/>
      <c r="AP50" s="577"/>
      <c r="AQ50" s="577"/>
      <c r="AR50" s="577"/>
      <c r="AS50" s="577"/>
      <c r="AT50" s="577"/>
      <c r="AU50" s="577"/>
      <c r="AV50" s="577"/>
      <c r="AW50" s="577"/>
      <c r="AX50" s="577"/>
      <c r="AY50" s="577"/>
      <c r="AZ50" s="577"/>
      <c r="BA50" s="577"/>
      <c r="BB50" s="577"/>
      <c r="BC50" s="577"/>
      <c r="BD50" s="577"/>
      <c r="BE50" s="577"/>
      <c r="BF50" s="577"/>
      <c r="BG50" s="577"/>
      <c r="BH50" s="577"/>
    </row>
    <row r="51" spans="1:60" s="475" customFormat="1" ht="12.75" customHeight="1" x14ac:dyDescent="0.2">
      <c r="A51" s="577"/>
      <c r="B51" s="476"/>
      <c r="C51" s="477"/>
      <c r="D51" s="482" t="s">
        <v>54</v>
      </c>
      <c r="E51" s="477" t="s">
        <v>317</v>
      </c>
      <c r="F51" s="482"/>
      <c r="G51" s="483"/>
      <c r="H51" s="483"/>
      <c r="I51" s="585">
        <f>ROUND(IF(S22&gt;tabellen!H63,tabellen!H63,S22)*tabellen!C63,2)</f>
        <v>238.93</v>
      </c>
      <c r="J51" s="588">
        <f t="shared" ref="J51:J55" si="0">I51*12</f>
        <v>2867.16</v>
      </c>
      <c r="K51" s="477"/>
      <c r="L51" s="481"/>
      <c r="M51" s="481"/>
      <c r="N51" s="481"/>
      <c r="O51" s="481"/>
      <c r="P51" s="481"/>
      <c r="Q51" s="481"/>
      <c r="R51" s="481"/>
      <c r="S51" s="481"/>
      <c r="T51" s="481"/>
      <c r="U51" s="481"/>
      <c r="V51" s="485"/>
      <c r="W51" s="577"/>
      <c r="X51" s="577"/>
      <c r="Y51" s="577"/>
      <c r="Z51" s="577"/>
      <c r="AA51" s="577"/>
      <c r="AB51" s="577"/>
      <c r="AC51" s="577"/>
      <c r="AD51" s="577"/>
      <c r="AE51" s="577"/>
      <c r="AF51" s="577"/>
      <c r="AG51" s="577"/>
      <c r="AH51" s="577"/>
      <c r="AI51" s="577"/>
      <c r="AJ51" s="577"/>
      <c r="AK51" s="577"/>
      <c r="AL51" s="577"/>
      <c r="AM51" s="577"/>
      <c r="AN51" s="577"/>
      <c r="AO51" s="577"/>
      <c r="AP51" s="577"/>
      <c r="AQ51" s="577"/>
      <c r="AR51" s="577"/>
      <c r="AS51" s="577"/>
      <c r="AT51" s="577"/>
      <c r="AU51" s="577"/>
      <c r="AV51" s="577"/>
      <c r="AW51" s="577"/>
      <c r="AX51" s="577"/>
      <c r="AY51" s="577"/>
      <c r="AZ51" s="577"/>
      <c r="BA51" s="577"/>
      <c r="BB51" s="577"/>
      <c r="BC51" s="577"/>
      <c r="BD51" s="577"/>
      <c r="BE51" s="577"/>
      <c r="BF51" s="577"/>
      <c r="BG51" s="577"/>
      <c r="BH51" s="577"/>
    </row>
    <row r="52" spans="1:60" s="475" customFormat="1" ht="12.75" customHeight="1" x14ac:dyDescent="0.2">
      <c r="A52" s="577"/>
      <c r="B52" s="476"/>
      <c r="C52" s="477"/>
      <c r="D52" s="482" t="s">
        <v>55</v>
      </c>
      <c r="E52" s="477" t="s">
        <v>58</v>
      </c>
      <c r="F52" s="482"/>
      <c r="G52" s="483"/>
      <c r="H52" s="483"/>
      <c r="I52" s="585">
        <f>IF(S22&gt;tabellen!$G$64*$I$17/12,tabellen!$G$64*$I$17/12,S22)*tabellen!$C64</f>
        <v>26.815232690999999</v>
      </c>
      <c r="J52" s="588">
        <f t="shared" si="0"/>
        <v>321.78279229199995</v>
      </c>
      <c r="K52" s="477"/>
      <c r="L52" s="481"/>
      <c r="M52" s="481"/>
      <c r="N52" s="481"/>
      <c r="O52" s="481"/>
      <c r="P52" s="481"/>
      <c r="Q52" s="481"/>
      <c r="R52" s="481"/>
      <c r="S52" s="481"/>
      <c r="T52" s="481"/>
      <c r="U52" s="481"/>
      <c r="V52" s="485"/>
      <c r="W52" s="577"/>
      <c r="X52" s="577"/>
      <c r="Y52" s="577"/>
      <c r="Z52" s="577"/>
      <c r="AA52" s="577"/>
      <c r="AB52" s="577"/>
      <c r="AC52" s="577"/>
      <c r="AD52" s="577"/>
      <c r="AE52" s="577"/>
      <c r="AF52" s="577"/>
      <c r="AG52" s="577"/>
      <c r="AH52" s="577"/>
      <c r="AI52" s="577"/>
      <c r="AJ52" s="577"/>
      <c r="AK52" s="577"/>
      <c r="AL52" s="577"/>
      <c r="AM52" s="577"/>
      <c r="AN52" s="577"/>
      <c r="AO52" s="577"/>
      <c r="AP52" s="577"/>
      <c r="AQ52" s="577"/>
      <c r="AR52" s="577"/>
      <c r="AS52" s="577"/>
      <c r="AT52" s="577"/>
      <c r="AU52" s="577"/>
      <c r="AV52" s="577"/>
      <c r="AW52" s="577"/>
      <c r="AX52" s="577"/>
      <c r="AY52" s="577"/>
      <c r="AZ52" s="577"/>
      <c r="BA52" s="577"/>
      <c r="BB52" s="577"/>
      <c r="BC52" s="577"/>
      <c r="BD52" s="577"/>
      <c r="BE52" s="577"/>
      <c r="BF52" s="577"/>
      <c r="BG52" s="577"/>
      <c r="BH52" s="577"/>
    </row>
    <row r="53" spans="1:60" s="475" customFormat="1" ht="12.75" customHeight="1" x14ac:dyDescent="0.2">
      <c r="A53" s="577"/>
      <c r="B53" s="476"/>
      <c r="C53" s="477"/>
      <c r="D53" s="482" t="s">
        <v>56</v>
      </c>
      <c r="E53" s="477" t="s">
        <v>59</v>
      </c>
      <c r="F53" s="482"/>
      <c r="G53" s="562">
        <v>1</v>
      </c>
      <c r="H53" s="483"/>
      <c r="I53" s="585">
        <f>+S22*IF(G53=1,tabellen!$C65,IF(G53=2,tabellen!C66,IF(G53=3,tabellen!C67,tabellen!C68)))</f>
        <v>206.27102069999998</v>
      </c>
      <c r="J53" s="588">
        <f t="shared" si="0"/>
        <v>2475.2522483999996</v>
      </c>
      <c r="K53" s="477"/>
      <c r="L53" s="481"/>
      <c r="M53" s="481"/>
      <c r="N53" s="481"/>
      <c r="O53" s="481"/>
      <c r="P53" s="481"/>
      <c r="Q53" s="481"/>
      <c r="R53" s="481"/>
      <c r="S53" s="481"/>
      <c r="T53" s="481"/>
      <c r="U53" s="481"/>
      <c r="V53" s="485"/>
      <c r="W53" s="577"/>
      <c r="X53" s="577"/>
      <c r="Y53" s="577"/>
      <c r="Z53" s="577"/>
      <c r="AA53" s="577"/>
      <c r="AB53" s="577"/>
      <c r="AC53" s="577"/>
      <c r="AD53" s="577"/>
      <c r="AE53" s="577"/>
      <c r="AF53" s="577"/>
      <c r="AG53" s="577"/>
      <c r="AH53" s="577"/>
      <c r="AI53" s="577"/>
      <c r="AJ53" s="577"/>
      <c r="AK53" s="577"/>
      <c r="AL53" s="577"/>
      <c r="AM53" s="577"/>
      <c r="AN53" s="577"/>
      <c r="AO53" s="577"/>
      <c r="AP53" s="577"/>
      <c r="AQ53" s="577"/>
      <c r="AR53" s="577"/>
      <c r="AS53" s="577"/>
      <c r="AT53" s="577"/>
      <c r="AU53" s="577"/>
      <c r="AV53" s="577"/>
      <c r="AW53" s="577"/>
      <c r="AX53" s="577"/>
      <c r="AY53" s="577"/>
      <c r="AZ53" s="577"/>
      <c r="BA53" s="577"/>
      <c r="BB53" s="577"/>
      <c r="BC53" s="577"/>
      <c r="BD53" s="577"/>
      <c r="BE53" s="577"/>
      <c r="BF53" s="577"/>
      <c r="BG53" s="577"/>
      <c r="BH53" s="577"/>
    </row>
    <row r="54" spans="1:60" s="475" customFormat="1" ht="12.75" customHeight="1" x14ac:dyDescent="0.2">
      <c r="A54" s="577"/>
      <c r="B54" s="476"/>
      <c r="C54" s="477"/>
      <c r="D54" s="482" t="s">
        <v>57</v>
      </c>
      <c r="E54" s="477" t="s">
        <v>60</v>
      </c>
      <c r="F54" s="482"/>
      <c r="G54" s="483"/>
      <c r="H54" s="483"/>
      <c r="I54" s="585">
        <f>+S22*tabellen!$C69</f>
        <v>171.89251725</v>
      </c>
      <c r="J54" s="588">
        <f t="shared" si="0"/>
        <v>2062.7102070000001</v>
      </c>
      <c r="K54" s="477"/>
      <c r="L54" s="481"/>
      <c r="M54" s="481"/>
      <c r="N54" s="481"/>
      <c r="O54" s="481"/>
      <c r="P54" s="481"/>
      <c r="Q54" s="481"/>
      <c r="R54" s="481"/>
      <c r="S54" s="481"/>
      <c r="T54" s="481"/>
      <c r="U54" s="481"/>
      <c r="V54" s="485"/>
      <c r="W54" s="577"/>
      <c r="X54" s="577"/>
      <c r="Y54" s="577"/>
      <c r="Z54" s="577"/>
      <c r="AA54" s="577"/>
      <c r="AB54" s="577"/>
      <c r="AC54" s="577"/>
      <c r="AD54" s="577"/>
      <c r="AE54" s="577"/>
      <c r="AF54" s="577"/>
      <c r="AG54" s="577"/>
      <c r="AH54" s="577"/>
      <c r="AI54" s="577"/>
      <c r="AJ54" s="577"/>
      <c r="AK54" s="577"/>
      <c r="AL54" s="577"/>
      <c r="AM54" s="577"/>
      <c r="AN54" s="577"/>
      <c r="AO54" s="577"/>
      <c r="AP54" s="577"/>
      <c r="AQ54" s="577"/>
      <c r="AR54" s="577"/>
      <c r="AS54" s="577"/>
      <c r="AT54" s="577"/>
      <c r="AU54" s="577"/>
      <c r="AV54" s="577"/>
      <c r="AW54" s="577"/>
      <c r="AX54" s="577"/>
      <c r="AY54" s="577"/>
      <c r="AZ54" s="577"/>
      <c r="BA54" s="577"/>
      <c r="BB54" s="577"/>
      <c r="BC54" s="577"/>
      <c r="BD54" s="577"/>
      <c r="BE54" s="577"/>
      <c r="BF54" s="577"/>
      <c r="BG54" s="577"/>
      <c r="BH54" s="577"/>
    </row>
    <row r="55" spans="1:60" s="475" customFormat="1" ht="12.75" customHeight="1" x14ac:dyDescent="0.2">
      <c r="A55" s="577"/>
      <c r="B55" s="476"/>
      <c r="C55" s="477"/>
      <c r="D55" s="482" t="s">
        <v>71</v>
      </c>
      <c r="E55" s="477" t="s">
        <v>185</v>
      </c>
      <c r="F55" s="482"/>
      <c r="G55" s="483"/>
      <c r="H55" s="483"/>
      <c r="I55" s="585">
        <f>+I40/12</f>
        <v>24.312000000000001</v>
      </c>
      <c r="J55" s="588">
        <f t="shared" si="0"/>
        <v>291.74400000000003</v>
      </c>
      <c r="K55" s="477"/>
      <c r="L55" s="481"/>
      <c r="M55" s="481"/>
      <c r="N55" s="481"/>
      <c r="O55" s="481"/>
      <c r="P55" s="481"/>
      <c r="Q55" s="481"/>
      <c r="R55" s="481"/>
      <c r="S55" s="481"/>
      <c r="T55" s="481"/>
      <c r="U55" s="481"/>
      <c r="V55" s="485"/>
      <c r="W55" s="577"/>
      <c r="X55" s="577"/>
      <c r="Y55" s="577"/>
      <c r="Z55" s="577"/>
      <c r="AA55" s="577"/>
      <c r="AB55" s="577"/>
      <c r="AC55" s="577"/>
      <c r="AD55" s="577"/>
      <c r="AE55" s="577"/>
      <c r="AF55" s="577"/>
      <c r="AG55" s="577"/>
      <c r="AH55" s="577"/>
      <c r="AI55" s="577"/>
      <c r="AJ55" s="577"/>
      <c r="AK55" s="577"/>
      <c r="AL55" s="577"/>
      <c r="AM55" s="577"/>
      <c r="AN55" s="577"/>
      <c r="AO55" s="577"/>
      <c r="AP55" s="577"/>
      <c r="AQ55" s="577"/>
      <c r="AR55" s="577"/>
      <c r="AS55" s="577"/>
      <c r="AT55" s="577"/>
      <c r="AU55" s="577"/>
      <c r="AV55" s="577"/>
      <c r="AW55" s="577"/>
      <c r="AX55" s="577"/>
      <c r="AY55" s="577"/>
      <c r="AZ55" s="577"/>
      <c r="BA55" s="577"/>
      <c r="BB55" s="577"/>
      <c r="BC55" s="577"/>
      <c r="BD55" s="577"/>
      <c r="BE55" s="577"/>
      <c r="BF55" s="577"/>
      <c r="BG55" s="577"/>
      <c r="BH55" s="577"/>
    </row>
    <row r="56" spans="1:60" s="475" customFormat="1" ht="12.75" customHeight="1" x14ac:dyDescent="0.2">
      <c r="A56" s="577"/>
      <c r="B56" s="476"/>
      <c r="C56" s="477"/>
      <c r="D56" s="482" t="s">
        <v>96</v>
      </c>
      <c r="E56" s="477" t="s">
        <v>316</v>
      </c>
      <c r="F56" s="482"/>
      <c r="G56" s="483"/>
      <c r="H56" s="483"/>
      <c r="I56" s="563">
        <v>0</v>
      </c>
      <c r="J56" s="563">
        <f>+I56*12</f>
        <v>0</v>
      </c>
      <c r="K56" s="477"/>
      <c r="L56" s="481"/>
      <c r="M56" s="481"/>
      <c r="N56" s="481"/>
      <c r="O56" s="481"/>
      <c r="P56" s="481"/>
      <c r="Q56" s="481"/>
      <c r="R56" s="481"/>
      <c r="S56" s="481"/>
      <c r="T56" s="481"/>
      <c r="U56" s="481"/>
      <c r="V56" s="485"/>
      <c r="W56" s="577"/>
      <c r="X56" s="577"/>
      <c r="Y56" s="577"/>
      <c r="Z56" s="577"/>
      <c r="AA56" s="577"/>
      <c r="AB56" s="577"/>
      <c r="AC56" s="577"/>
      <c r="AD56" s="577"/>
      <c r="AE56" s="577"/>
      <c r="AF56" s="577"/>
      <c r="AG56" s="577"/>
      <c r="AH56" s="577"/>
      <c r="AI56" s="577"/>
      <c r="AJ56" s="577"/>
      <c r="AK56" s="577"/>
      <c r="AL56" s="577"/>
      <c r="AM56" s="577"/>
      <c r="AN56" s="577"/>
      <c r="AO56" s="577"/>
      <c r="AP56" s="577"/>
      <c r="AQ56" s="577"/>
      <c r="AR56" s="577"/>
      <c r="AS56" s="577"/>
      <c r="AT56" s="577"/>
      <c r="AU56" s="577"/>
      <c r="AV56" s="577"/>
      <c r="AW56" s="577"/>
      <c r="AX56" s="577"/>
      <c r="AY56" s="577"/>
      <c r="AZ56" s="577"/>
      <c r="BA56" s="577"/>
      <c r="BB56" s="577"/>
      <c r="BC56" s="577"/>
      <c r="BD56" s="577"/>
      <c r="BE56" s="577"/>
      <c r="BF56" s="577"/>
      <c r="BG56" s="577"/>
      <c r="BH56" s="577"/>
    </row>
    <row r="57" spans="1:60" s="475" customFormat="1" ht="12.75" hidden="1" customHeight="1" x14ac:dyDescent="0.2">
      <c r="A57" s="577"/>
      <c r="B57" s="476"/>
      <c r="C57" s="477"/>
      <c r="D57" s="542"/>
      <c r="E57" s="477"/>
      <c r="F57" s="482"/>
      <c r="G57" s="483"/>
      <c r="H57" s="483"/>
      <c r="I57" s="484"/>
      <c r="J57" s="561"/>
      <c r="K57" s="477"/>
      <c r="L57" s="481"/>
      <c r="M57" s="481"/>
      <c r="N57" s="481"/>
      <c r="O57" s="481"/>
      <c r="P57" s="481"/>
      <c r="Q57" s="481"/>
      <c r="R57" s="481"/>
      <c r="S57" s="481"/>
      <c r="T57" s="481"/>
      <c r="U57" s="481"/>
      <c r="V57" s="485"/>
      <c r="W57" s="577"/>
      <c r="X57" s="577"/>
      <c r="Y57" s="577"/>
      <c r="Z57" s="577"/>
      <c r="AA57" s="577"/>
      <c r="AB57" s="577"/>
      <c r="AC57" s="577"/>
      <c r="AD57" s="577"/>
      <c r="AE57" s="577"/>
      <c r="AF57" s="577"/>
      <c r="AG57" s="577"/>
      <c r="AH57" s="577"/>
      <c r="AI57" s="577"/>
      <c r="AJ57" s="577"/>
      <c r="AK57" s="577"/>
      <c r="AL57" s="577"/>
      <c r="AM57" s="577"/>
      <c r="AN57" s="577"/>
      <c r="AO57" s="577"/>
      <c r="AP57" s="577"/>
      <c r="AQ57" s="577"/>
      <c r="AR57" s="577"/>
      <c r="AS57" s="577"/>
      <c r="AT57" s="577"/>
      <c r="AU57" s="577"/>
      <c r="AV57" s="577"/>
      <c r="AW57" s="577"/>
      <c r="AX57" s="577"/>
      <c r="AY57" s="577"/>
      <c r="AZ57" s="577"/>
      <c r="BA57" s="577"/>
      <c r="BB57" s="577"/>
      <c r="BC57" s="577"/>
      <c r="BD57" s="577"/>
      <c r="BE57" s="577"/>
      <c r="BF57" s="577"/>
      <c r="BG57" s="577"/>
      <c r="BH57" s="577"/>
    </row>
    <row r="58" spans="1:60" s="546" customFormat="1" ht="12.75" customHeight="1" x14ac:dyDescent="0.2">
      <c r="A58" s="578"/>
      <c r="B58" s="476"/>
      <c r="C58" s="477"/>
      <c r="D58" s="542"/>
      <c r="E58" s="477"/>
      <c r="F58" s="482"/>
      <c r="G58" s="483"/>
      <c r="H58" s="483"/>
      <c r="I58" s="484">
        <f>SUM(I46:I55)</f>
        <v>4914.0892202846671</v>
      </c>
      <c r="J58" s="484">
        <f>SUM(J46:J55)</f>
        <v>58969.070643416002</v>
      </c>
      <c r="K58" s="477"/>
      <c r="L58" s="481"/>
      <c r="M58" s="481"/>
      <c r="N58" s="481"/>
      <c r="O58" s="481"/>
      <c r="P58" s="481"/>
      <c r="Q58" s="481"/>
      <c r="R58" s="481"/>
      <c r="S58" s="481"/>
      <c r="T58" s="481"/>
      <c r="U58" s="481"/>
      <c r="V58" s="485"/>
      <c r="W58" s="578"/>
      <c r="X58" s="578"/>
      <c r="Y58" s="578"/>
      <c r="Z58" s="578"/>
      <c r="AA58" s="578"/>
      <c r="AB58" s="578"/>
      <c r="AC58" s="578"/>
      <c r="AD58" s="578"/>
      <c r="AE58" s="578"/>
      <c r="AF58" s="578"/>
      <c r="AG58" s="578"/>
      <c r="AH58" s="578"/>
      <c r="AI58" s="578"/>
      <c r="AJ58" s="578"/>
      <c r="AK58" s="578"/>
      <c r="AL58" s="578"/>
      <c r="AM58" s="578"/>
      <c r="AN58" s="578"/>
      <c r="AO58" s="578"/>
      <c r="AP58" s="578"/>
      <c r="AQ58" s="578"/>
      <c r="AR58" s="578"/>
      <c r="AS58" s="578"/>
      <c r="AT58" s="578"/>
      <c r="AU58" s="578"/>
      <c r="AV58" s="578"/>
      <c r="AW58" s="578"/>
      <c r="AX58" s="578"/>
      <c r="AY58" s="578"/>
      <c r="AZ58" s="578"/>
      <c r="BA58" s="578"/>
      <c r="BB58" s="578"/>
      <c r="BC58" s="578"/>
      <c r="BD58" s="578"/>
      <c r="BE58" s="578"/>
      <c r="BF58" s="578"/>
      <c r="BG58" s="578"/>
      <c r="BH58" s="578"/>
    </row>
    <row r="59" spans="1:60" s="475" customFormat="1" ht="12.75" customHeight="1" x14ac:dyDescent="0.2">
      <c r="A59" s="577"/>
      <c r="B59" s="495"/>
      <c r="C59" s="492"/>
      <c r="D59" s="492" t="s">
        <v>368</v>
      </c>
      <c r="E59" s="492"/>
      <c r="F59" s="493"/>
      <c r="G59" s="494"/>
      <c r="H59" s="494"/>
      <c r="I59" s="591">
        <f>SUM(I46:I56)</f>
        <v>4914.0892202846671</v>
      </c>
      <c r="J59" s="592">
        <f>I59*12</f>
        <v>58969.070643416009</v>
      </c>
      <c r="K59" s="492"/>
      <c r="L59" s="547"/>
      <c r="M59" s="564"/>
      <c r="N59" s="547"/>
      <c r="O59" s="547"/>
      <c r="P59" s="547"/>
      <c r="Q59" s="547"/>
      <c r="R59" s="547"/>
      <c r="S59" s="547"/>
      <c r="T59" s="547"/>
      <c r="U59" s="547"/>
      <c r="V59" s="548"/>
      <c r="W59" s="577"/>
      <c r="X59" s="577"/>
      <c r="Y59" s="577"/>
      <c r="Z59" s="577"/>
      <c r="AA59" s="577"/>
      <c r="AB59" s="577"/>
      <c r="AC59" s="577"/>
      <c r="AD59" s="577"/>
      <c r="AE59" s="577"/>
      <c r="AF59" s="577"/>
      <c r="AG59" s="577"/>
      <c r="AH59" s="577"/>
      <c r="AI59" s="577"/>
      <c r="AJ59" s="577"/>
      <c r="AK59" s="577"/>
      <c r="AL59" s="577"/>
      <c r="AM59" s="577"/>
      <c r="AN59" s="577"/>
      <c r="AO59" s="577"/>
      <c r="AP59" s="577"/>
      <c r="AQ59" s="577"/>
      <c r="AR59" s="577"/>
      <c r="AS59" s="577"/>
      <c r="AT59" s="577"/>
      <c r="AU59" s="577"/>
      <c r="AV59" s="577"/>
      <c r="AW59" s="577"/>
      <c r="AX59" s="577"/>
      <c r="AY59" s="577"/>
      <c r="AZ59" s="577"/>
      <c r="BA59" s="577"/>
      <c r="BB59" s="577"/>
      <c r="BC59" s="577"/>
      <c r="BD59" s="577"/>
      <c r="BE59" s="577"/>
      <c r="BF59" s="577"/>
      <c r="BG59" s="577"/>
      <c r="BH59" s="577"/>
    </row>
    <row r="60" spans="1:60" ht="12.75" customHeight="1" x14ac:dyDescent="0.25">
      <c r="B60" s="476"/>
      <c r="C60" s="477"/>
      <c r="D60" s="477"/>
      <c r="E60" s="477"/>
      <c r="F60" s="477"/>
      <c r="G60" s="477"/>
      <c r="H60" s="477"/>
      <c r="I60" s="477"/>
      <c r="J60" s="477"/>
      <c r="K60" s="477"/>
      <c r="L60" s="481"/>
      <c r="M60" s="481"/>
      <c r="N60" s="481"/>
      <c r="O60" s="481"/>
      <c r="P60" s="481"/>
      <c r="Q60" s="481"/>
      <c r="R60" s="481"/>
      <c r="S60" s="481"/>
      <c r="T60" s="481"/>
      <c r="U60" s="481"/>
      <c r="V60" s="485"/>
    </row>
    <row r="61" spans="1:60" ht="12.75" customHeight="1" x14ac:dyDescent="0.25">
      <c r="B61" s="300"/>
      <c r="C61" s="301"/>
      <c r="D61" s="301"/>
      <c r="E61" s="301"/>
      <c r="F61" s="302"/>
      <c r="G61" s="303"/>
      <c r="H61" s="303"/>
      <c r="I61" s="307"/>
      <c r="J61" s="307"/>
      <c r="K61" s="301"/>
      <c r="L61" s="301"/>
      <c r="M61" s="301"/>
      <c r="N61" s="301"/>
      <c r="O61" s="301"/>
      <c r="P61" s="301"/>
      <c r="Q61" s="301"/>
      <c r="R61" s="301"/>
      <c r="S61" s="301"/>
      <c r="T61" s="301"/>
      <c r="U61" s="301"/>
      <c r="V61" s="304"/>
    </row>
    <row r="62" spans="1:60" s="574" customFormat="1" ht="13.5" customHeight="1" x14ac:dyDescent="0.25">
      <c r="B62" s="308"/>
      <c r="C62" s="309"/>
      <c r="D62" s="310"/>
      <c r="E62" s="309"/>
      <c r="F62" s="311"/>
      <c r="G62" s="309"/>
      <c r="H62" s="309"/>
      <c r="I62" s="309"/>
      <c r="J62" s="309"/>
      <c r="K62" s="314" t="s">
        <v>221</v>
      </c>
      <c r="L62" s="313"/>
      <c r="M62" s="309"/>
      <c r="N62" s="309"/>
      <c r="O62" s="309"/>
      <c r="P62" s="309"/>
      <c r="Q62" s="309"/>
      <c r="R62" s="309"/>
      <c r="S62" s="309"/>
      <c r="T62" s="309"/>
      <c r="U62" s="309"/>
      <c r="V62" s="312"/>
    </row>
    <row r="63" spans="1:60" s="574" customFormat="1" ht="13.5" customHeight="1" x14ac:dyDescent="0.25">
      <c r="F63" s="580"/>
      <c r="G63" s="581"/>
      <c r="H63" s="581"/>
    </row>
    <row r="64" spans="1:60" s="574" customFormat="1" ht="13.5" customHeight="1" x14ac:dyDescent="0.25">
      <c r="F64" s="580"/>
      <c r="G64" s="581"/>
      <c r="H64" s="581"/>
    </row>
    <row r="65" spans="6:24" s="574" customFormat="1" ht="13.5" customHeight="1" x14ac:dyDescent="0.25">
      <c r="F65" s="580"/>
      <c r="G65" s="581"/>
      <c r="H65" s="581"/>
      <c r="X65" s="582" t="s">
        <v>90</v>
      </c>
    </row>
    <row r="66" spans="6:24" s="574" customFormat="1" ht="13.5" customHeight="1" x14ac:dyDescent="0.25">
      <c r="F66" s="580"/>
      <c r="G66" s="581"/>
      <c r="H66" s="581"/>
      <c r="X66" s="582" t="s">
        <v>83</v>
      </c>
    </row>
    <row r="67" spans="6:24" s="574" customFormat="1" ht="13.5" customHeight="1" x14ac:dyDescent="0.25">
      <c r="F67" s="580"/>
      <c r="G67" s="581"/>
      <c r="H67" s="581"/>
      <c r="X67" s="582" t="s">
        <v>84</v>
      </c>
    </row>
    <row r="68" spans="6:24" s="574" customFormat="1" ht="13.5" customHeight="1" x14ac:dyDescent="0.25">
      <c r="F68" s="580"/>
      <c r="G68" s="581"/>
      <c r="H68" s="581"/>
      <c r="X68" s="582" t="s">
        <v>85</v>
      </c>
    </row>
    <row r="69" spans="6:24" s="574" customFormat="1" ht="13.5" customHeight="1" x14ac:dyDescent="0.25">
      <c r="F69" s="580"/>
      <c r="G69" s="581"/>
      <c r="H69" s="581"/>
      <c r="X69" s="582" t="s">
        <v>86</v>
      </c>
    </row>
    <row r="70" spans="6:24" s="574" customFormat="1" ht="13.5" customHeight="1" x14ac:dyDescent="0.25">
      <c r="F70" s="580"/>
      <c r="G70" s="581"/>
      <c r="H70" s="581"/>
      <c r="X70" s="582" t="s">
        <v>87</v>
      </c>
    </row>
    <row r="71" spans="6:24" s="574" customFormat="1" ht="13.5" customHeight="1" x14ac:dyDescent="0.25">
      <c r="F71" s="580"/>
      <c r="G71" s="581"/>
      <c r="H71" s="581"/>
      <c r="X71" s="582" t="s">
        <v>88</v>
      </c>
    </row>
    <row r="72" spans="6:24" s="574" customFormat="1" ht="13.5" customHeight="1" x14ac:dyDescent="0.25">
      <c r="F72" s="580"/>
      <c r="G72" s="581"/>
      <c r="H72" s="581"/>
      <c r="X72" s="582" t="s">
        <v>89</v>
      </c>
    </row>
    <row r="73" spans="6:24" s="574" customFormat="1" ht="13.5" customHeight="1" x14ac:dyDescent="0.25">
      <c r="F73" s="580"/>
      <c r="G73" s="581"/>
      <c r="H73" s="581"/>
      <c r="X73" s="583" t="s">
        <v>3</v>
      </c>
    </row>
    <row r="74" spans="6:24" s="574" customFormat="1" ht="13.5" customHeight="1" x14ac:dyDescent="0.25">
      <c r="F74" s="580"/>
      <c r="G74" s="581"/>
      <c r="H74" s="581"/>
      <c r="X74" s="583" t="s">
        <v>4</v>
      </c>
    </row>
    <row r="75" spans="6:24" s="574" customFormat="1" ht="13.5" customHeight="1" x14ac:dyDescent="0.25">
      <c r="F75" s="580"/>
      <c r="G75" s="581"/>
      <c r="H75" s="581"/>
      <c r="X75" s="583" t="s">
        <v>5</v>
      </c>
    </row>
    <row r="76" spans="6:24" s="574" customFormat="1" ht="13.5" customHeight="1" x14ac:dyDescent="0.25">
      <c r="F76" s="580"/>
      <c r="G76" s="581"/>
      <c r="H76" s="581"/>
      <c r="X76" s="583" t="s">
        <v>6</v>
      </c>
    </row>
    <row r="77" spans="6:24" s="574" customFormat="1" ht="13.5" customHeight="1" x14ac:dyDescent="0.25">
      <c r="F77" s="580"/>
      <c r="G77" s="581"/>
      <c r="H77" s="581"/>
      <c r="X77" s="583" t="s">
        <v>7</v>
      </c>
    </row>
    <row r="78" spans="6:24" s="574" customFormat="1" ht="13.5" customHeight="1" x14ac:dyDescent="0.25">
      <c r="F78" s="580"/>
      <c r="G78" s="581"/>
      <c r="H78" s="581"/>
      <c r="X78" s="583" t="s">
        <v>8</v>
      </c>
    </row>
    <row r="79" spans="6:24" s="574" customFormat="1" ht="13.5" customHeight="1" x14ac:dyDescent="0.25">
      <c r="F79" s="580"/>
      <c r="G79" s="581"/>
      <c r="H79" s="581"/>
      <c r="X79" s="583" t="s">
        <v>9</v>
      </c>
    </row>
    <row r="80" spans="6:24" s="574" customFormat="1" ht="13.5" customHeight="1" x14ac:dyDescent="0.25">
      <c r="F80" s="580"/>
      <c r="G80" s="581"/>
      <c r="H80" s="581"/>
      <c r="X80" s="583" t="s">
        <v>10</v>
      </c>
    </row>
    <row r="81" spans="6:24" s="574" customFormat="1" ht="13.5" customHeight="1" x14ac:dyDescent="0.25">
      <c r="F81" s="580"/>
      <c r="G81" s="581"/>
      <c r="H81" s="581"/>
      <c r="X81" s="583" t="s">
        <v>11</v>
      </c>
    </row>
    <row r="82" spans="6:24" s="574" customFormat="1" ht="13.5" customHeight="1" x14ac:dyDescent="0.25">
      <c r="F82" s="580"/>
      <c r="G82" s="581"/>
      <c r="H82" s="581"/>
      <c r="X82" s="583" t="s">
        <v>12</v>
      </c>
    </row>
    <row r="83" spans="6:24" s="574" customFormat="1" ht="13.5" customHeight="1" x14ac:dyDescent="0.25">
      <c r="F83" s="580"/>
      <c r="G83" s="581"/>
      <c r="H83" s="581"/>
      <c r="X83" s="583" t="s">
        <v>13</v>
      </c>
    </row>
    <row r="84" spans="6:24" s="574" customFormat="1" ht="13.5" customHeight="1" x14ac:dyDescent="0.25">
      <c r="F84" s="580"/>
      <c r="G84" s="581"/>
      <c r="H84" s="581"/>
      <c r="X84" s="583" t="s">
        <v>14</v>
      </c>
    </row>
    <row r="85" spans="6:24" s="574" customFormat="1" ht="13.5" customHeight="1" x14ac:dyDescent="0.25">
      <c r="F85" s="580"/>
      <c r="G85" s="581"/>
      <c r="H85" s="581"/>
      <c r="X85" s="583" t="s">
        <v>0</v>
      </c>
    </row>
    <row r="86" spans="6:24" s="574" customFormat="1" ht="13.5" customHeight="1" x14ac:dyDescent="0.25">
      <c r="F86" s="580"/>
      <c r="G86" s="581"/>
      <c r="H86" s="581"/>
      <c r="X86" s="583" t="s">
        <v>15</v>
      </c>
    </row>
    <row r="87" spans="6:24" s="574" customFormat="1" ht="13.5" customHeight="1" x14ac:dyDescent="0.25">
      <c r="F87" s="580"/>
      <c r="G87" s="581"/>
      <c r="H87" s="581"/>
      <c r="X87" s="583" t="s">
        <v>16</v>
      </c>
    </row>
    <row r="88" spans="6:24" s="574" customFormat="1" ht="13.5" customHeight="1" x14ac:dyDescent="0.25">
      <c r="F88" s="580"/>
      <c r="G88" s="581"/>
      <c r="H88" s="581"/>
      <c r="X88" s="583" t="s">
        <v>17</v>
      </c>
    </row>
    <row r="89" spans="6:24" s="574" customFormat="1" ht="13.5" customHeight="1" x14ac:dyDescent="0.25">
      <c r="F89" s="580"/>
      <c r="G89" s="581"/>
      <c r="H89" s="581"/>
      <c r="X89" s="583" t="s">
        <v>18</v>
      </c>
    </row>
    <row r="90" spans="6:24" s="574" customFormat="1" ht="13.5" customHeight="1" x14ac:dyDescent="0.25">
      <c r="F90" s="580"/>
      <c r="G90" s="581"/>
      <c r="H90" s="581"/>
      <c r="X90" s="582">
        <v>1</v>
      </c>
    </row>
    <row r="91" spans="6:24" s="574" customFormat="1" ht="13.5" customHeight="1" x14ac:dyDescent="0.25">
      <c r="F91" s="580"/>
      <c r="G91" s="581"/>
      <c r="H91" s="581"/>
      <c r="X91" s="582">
        <v>2</v>
      </c>
    </row>
    <row r="92" spans="6:24" s="574" customFormat="1" ht="13.5" customHeight="1" x14ac:dyDescent="0.25">
      <c r="F92" s="580"/>
      <c r="G92" s="581"/>
      <c r="H92" s="581"/>
      <c r="X92" s="582">
        <v>3</v>
      </c>
    </row>
    <row r="93" spans="6:24" s="574" customFormat="1" ht="13.5" customHeight="1" x14ac:dyDescent="0.25">
      <c r="F93" s="580"/>
      <c r="G93" s="581"/>
      <c r="H93" s="581"/>
      <c r="X93" s="582">
        <v>4</v>
      </c>
    </row>
    <row r="94" spans="6:24" s="574" customFormat="1" ht="13.5" customHeight="1" x14ac:dyDescent="0.25">
      <c r="F94" s="580"/>
      <c r="G94" s="581"/>
      <c r="H94" s="581"/>
      <c r="X94" s="582">
        <v>5</v>
      </c>
    </row>
    <row r="95" spans="6:24" s="574" customFormat="1" ht="13.5" customHeight="1" x14ac:dyDescent="0.25">
      <c r="F95" s="580"/>
      <c r="G95" s="581"/>
      <c r="H95" s="581"/>
      <c r="X95" s="582">
        <v>6</v>
      </c>
    </row>
    <row r="96" spans="6:24" s="574" customFormat="1" ht="13.5" customHeight="1" x14ac:dyDescent="0.25">
      <c r="F96" s="580"/>
      <c r="G96" s="581"/>
      <c r="H96" s="581"/>
      <c r="X96" s="582">
        <v>7</v>
      </c>
    </row>
    <row r="97" spans="2:24" s="574" customFormat="1" ht="13.5" customHeight="1" x14ac:dyDescent="0.25">
      <c r="F97" s="580"/>
      <c r="G97" s="581"/>
      <c r="H97" s="581"/>
      <c r="X97" s="582">
        <v>8</v>
      </c>
    </row>
    <row r="98" spans="2:24" s="574" customFormat="1" ht="13.5" customHeight="1" x14ac:dyDescent="0.25">
      <c r="F98" s="580"/>
      <c r="G98" s="581"/>
      <c r="H98" s="581"/>
      <c r="X98" s="582">
        <v>9</v>
      </c>
    </row>
    <row r="99" spans="2:24" s="574" customFormat="1" ht="13.5" customHeight="1" x14ac:dyDescent="0.25">
      <c r="F99" s="580"/>
      <c r="G99" s="581"/>
      <c r="H99" s="581"/>
      <c r="X99" s="582">
        <v>10</v>
      </c>
    </row>
    <row r="100" spans="2:24" s="574" customFormat="1" ht="13.5" customHeight="1" x14ac:dyDescent="0.25">
      <c r="F100" s="580"/>
      <c r="G100" s="581"/>
      <c r="H100" s="581"/>
      <c r="X100" s="582">
        <v>11</v>
      </c>
    </row>
    <row r="101" spans="2:24" s="574" customFormat="1" ht="13.5" customHeight="1" x14ac:dyDescent="0.25">
      <c r="F101" s="580"/>
      <c r="G101" s="581"/>
      <c r="H101" s="581"/>
      <c r="X101" s="582">
        <v>12</v>
      </c>
    </row>
    <row r="102" spans="2:24" s="574" customFormat="1" ht="13.5" customHeight="1" x14ac:dyDescent="0.25">
      <c r="F102" s="580"/>
      <c r="G102" s="581"/>
      <c r="H102" s="581"/>
      <c r="X102" s="582">
        <v>13</v>
      </c>
    </row>
    <row r="103" spans="2:24" s="574" customFormat="1" ht="13.5" customHeight="1" x14ac:dyDescent="0.25">
      <c r="F103" s="580"/>
      <c r="G103" s="581"/>
      <c r="H103" s="581"/>
      <c r="X103" s="582">
        <v>14</v>
      </c>
    </row>
    <row r="104" spans="2:24" s="574" customFormat="1" ht="13.5" customHeight="1" x14ac:dyDescent="0.25">
      <c r="F104" s="580"/>
      <c r="G104" s="581"/>
      <c r="H104" s="581"/>
      <c r="X104" s="582" t="s">
        <v>19</v>
      </c>
    </row>
    <row r="105" spans="2:24" s="574" customFormat="1" ht="13.5" customHeight="1" x14ac:dyDescent="0.25">
      <c r="F105" s="580"/>
      <c r="G105" s="581"/>
      <c r="H105" s="581"/>
      <c r="X105" s="582" t="s">
        <v>20</v>
      </c>
    </row>
    <row r="106" spans="2:24" s="574" customFormat="1" ht="13.5" customHeight="1" x14ac:dyDescent="0.25">
      <c r="F106" s="580"/>
      <c r="G106" s="581"/>
      <c r="H106" s="581"/>
      <c r="X106" s="582" t="s">
        <v>91</v>
      </c>
    </row>
    <row r="107" spans="2:24" s="574" customFormat="1" ht="13.5" customHeight="1" x14ac:dyDescent="0.25">
      <c r="F107" s="580"/>
      <c r="G107" s="581"/>
      <c r="H107" s="581"/>
      <c r="X107" s="582" t="s">
        <v>92</v>
      </c>
    </row>
    <row r="108" spans="2:24" s="574" customFormat="1" ht="13.5" customHeight="1" x14ac:dyDescent="0.25">
      <c r="F108" s="580"/>
      <c r="G108" s="581"/>
      <c r="H108" s="581"/>
      <c r="X108" s="582" t="s">
        <v>93</v>
      </c>
    </row>
    <row r="109" spans="2:24" s="574" customFormat="1" ht="13.5" customHeight="1" x14ac:dyDescent="0.25">
      <c r="F109" s="580"/>
      <c r="G109" s="581"/>
      <c r="H109" s="581"/>
    </row>
    <row r="110" spans="2:24" ht="13.5" customHeight="1" x14ac:dyDescent="0.25">
      <c r="B110" s="574"/>
      <c r="C110" s="574"/>
      <c r="D110" s="574"/>
      <c r="E110" s="574"/>
      <c r="F110" s="580"/>
      <c r="G110" s="581"/>
      <c r="H110" s="581"/>
      <c r="I110" s="574"/>
      <c r="J110" s="574"/>
      <c r="K110" s="574"/>
      <c r="L110" s="574"/>
      <c r="M110" s="574"/>
      <c r="N110" s="574"/>
      <c r="O110" s="574"/>
      <c r="P110" s="574"/>
      <c r="Q110" s="574"/>
      <c r="R110" s="574"/>
      <c r="S110" s="574"/>
      <c r="T110" s="574"/>
      <c r="U110" s="574"/>
      <c r="V110" s="574"/>
    </row>
  </sheetData>
  <sheetProtection algorithmName="SHA-512" hashValue="mxzuR0KQHibg43VOBV7SdGqk9LVKvZNriXEcnflhmXDWtz+kmn5vuzhSr8h+XgsG4zwzzOuYZkiDHiVMrVNH5g==" saltValue="Ad6MIB+8LGeTC5thQah/Ug==" spinCount="100000" sheet="1" objects="1" scenarios="1"/>
  <mergeCells count="1">
    <mergeCell ref="S9:T9"/>
  </mergeCells>
  <phoneticPr fontId="0" type="noConversion"/>
  <dataValidations count="7">
    <dataValidation type="list" allowBlank="1" showInputMessage="1" showErrorMessage="1" sqref="H53">
      <formula1>"1,2,3"</formula1>
    </dataValidation>
    <dataValidation type="list" allowBlank="1" showInputMessage="1" showErrorMessage="1" sqref="G22:G23 G32">
      <formula1>"j,n"</formula1>
    </dataValidation>
    <dataValidation type="list" allowBlank="1" showInputMessage="1" showErrorMessage="1" sqref="F32">
      <formula1>"leraar,directie,OOP S9"</formula1>
    </dataValidation>
    <dataValidation type="list" allowBlank="1" showInputMessage="1" showErrorMessage="1" sqref="F22">
      <formula1>"LA,LB,LC,LD"</formula1>
    </dataValidation>
    <dataValidation type="list" allowBlank="1" showInputMessage="1" showErrorMessage="1" sqref="H22:H23 H32">
      <formula1>#REF!</formula1>
    </dataValidation>
    <dataValidation type="list" allowBlank="1" showInputMessage="1" showErrorMessage="1" sqref="I14">
      <formula1>$X$65:$X$108</formula1>
    </dataValidation>
    <dataValidation type="list" allowBlank="1" showInputMessage="1" showErrorMessage="1" sqref="G53">
      <formula1>"1,2,3,4"</formula1>
    </dataValidation>
  </dataValidations>
  <printOptions gridLines="1"/>
  <pageMargins left="0.74803149606299213" right="0.74803149606299213" top="0.98425196850393704" bottom="0.98425196850393704" header="0.51181102362204722" footer="0.51181102362204722"/>
  <pageSetup paperSize="9" scale="60" orientation="landscape" r:id="rId1"/>
  <headerFooter alignWithMargins="0">
    <oddHeader>&amp;L&amp;"Arial,Vet"&amp;A&amp;C&amp;"Arial,Vet"&amp;D&amp;R&amp;"Arial,Vet"&amp;F</oddHeader>
    <oddFooter>&amp;L&amp;"Arial,Vet"&amp;8gemaakt door keizer, PO-Raad&amp;R&amp;"Arial,Vet"&amp;P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114"/>
  <sheetViews>
    <sheetView zoomScale="85" zoomScaleNormal="85" workbookViewId="0">
      <selection activeCell="B2" sqref="B2"/>
    </sheetView>
  </sheetViews>
  <sheetFormatPr defaultColWidth="9.140625" defaultRowHeight="13.5" customHeight="1" x14ac:dyDescent="0.25"/>
  <cols>
    <col min="1" max="1" width="3.7109375" style="3" customWidth="1"/>
    <col min="2" max="3" width="2.7109375" style="3" customWidth="1"/>
    <col min="4" max="4" width="35.7109375" style="3" customWidth="1"/>
    <col min="5" max="6" width="12.85546875" style="3" customWidth="1"/>
    <col min="7" max="7" width="14.85546875" style="3" customWidth="1"/>
    <col min="8" max="10" width="12.85546875" style="3" customWidth="1"/>
    <col min="11" max="11" width="2.5703125" style="100" customWidth="1"/>
    <col min="12" max="12" width="2.28515625" style="3" customWidth="1"/>
    <col min="13" max="16384" width="9.140625" style="3"/>
  </cols>
  <sheetData>
    <row r="2" spans="2:13" ht="13.5" customHeight="1" x14ac:dyDescent="0.25">
      <c r="B2" s="38"/>
      <c r="C2" s="39"/>
      <c r="D2" s="39"/>
      <c r="E2" s="39"/>
      <c r="F2" s="39"/>
      <c r="G2" s="39"/>
      <c r="H2" s="39"/>
      <c r="I2" s="39"/>
      <c r="J2" s="39"/>
      <c r="K2" s="96"/>
      <c r="L2" s="40"/>
    </row>
    <row r="3" spans="2:13" ht="13.5" customHeight="1" x14ac:dyDescent="0.25">
      <c r="B3" s="41"/>
      <c r="C3" s="20"/>
      <c r="D3" s="20"/>
      <c r="E3" s="20"/>
      <c r="F3" s="20"/>
      <c r="G3" s="20"/>
      <c r="H3" s="20"/>
      <c r="I3" s="20"/>
      <c r="J3" s="20"/>
      <c r="K3" s="97"/>
      <c r="L3" s="27"/>
    </row>
    <row r="4" spans="2:13" s="66" customFormat="1" ht="18" customHeight="1" x14ac:dyDescent="0.3">
      <c r="B4" s="63"/>
      <c r="C4" s="64" t="s">
        <v>224</v>
      </c>
      <c r="D4" s="64"/>
      <c r="E4" s="64"/>
      <c r="F4" s="64"/>
      <c r="G4" s="260" t="str">
        <f>tabellen!B2</f>
        <v>2015/2016</v>
      </c>
      <c r="H4" s="254"/>
      <c r="I4" s="64"/>
      <c r="J4" s="64"/>
      <c r="K4" s="98"/>
      <c r="L4" s="65"/>
    </row>
    <row r="5" spans="2:13" ht="13.5" customHeight="1" x14ac:dyDescent="0.25">
      <c r="B5" s="41"/>
      <c r="C5" s="20"/>
      <c r="D5" s="20"/>
      <c r="E5" s="20"/>
      <c r="F5" s="20"/>
      <c r="G5" s="20"/>
      <c r="H5" s="20"/>
      <c r="I5" s="20"/>
      <c r="J5" s="20"/>
      <c r="K5" s="97"/>
      <c r="L5" s="27"/>
    </row>
    <row r="6" spans="2:13" ht="13.5" customHeight="1" x14ac:dyDescent="0.25">
      <c r="B6" s="41"/>
      <c r="C6" s="20"/>
      <c r="D6" s="20"/>
      <c r="E6" s="20"/>
      <c r="F6" s="20"/>
      <c r="G6" s="20"/>
      <c r="H6" s="20"/>
      <c r="I6" s="20"/>
      <c r="J6" s="20"/>
      <c r="K6" s="97"/>
      <c r="L6" s="27"/>
    </row>
    <row r="7" spans="2:13" ht="13.5" customHeight="1" x14ac:dyDescent="0.25">
      <c r="B7" s="41"/>
      <c r="C7" s="133"/>
      <c r="D7" s="109"/>
      <c r="E7" s="109"/>
      <c r="F7" s="109"/>
      <c r="G7" s="109"/>
      <c r="H7" s="109"/>
      <c r="I7" s="109"/>
      <c r="J7" s="109"/>
      <c r="K7" s="134"/>
      <c r="L7" s="27"/>
    </row>
    <row r="8" spans="2:13" ht="13.5" customHeight="1" x14ac:dyDescent="0.25">
      <c r="B8" s="41"/>
      <c r="C8" s="135"/>
      <c r="D8" s="136" t="s">
        <v>229</v>
      </c>
      <c r="E8" s="115"/>
      <c r="F8" s="115"/>
      <c r="G8" s="115"/>
      <c r="H8" s="115"/>
      <c r="I8" s="115"/>
      <c r="J8" s="115"/>
      <c r="K8" s="137"/>
      <c r="L8" s="27"/>
    </row>
    <row r="9" spans="2:13" ht="13.5" customHeight="1" x14ac:dyDescent="0.25">
      <c r="B9" s="41"/>
      <c r="C9" s="135"/>
      <c r="D9" s="115"/>
      <c r="E9" s="115"/>
      <c r="F9" s="115"/>
      <c r="G9" s="115"/>
      <c r="H9" s="115"/>
      <c r="I9" s="115"/>
      <c r="J9" s="115"/>
      <c r="K9" s="137"/>
      <c r="L9" s="27"/>
    </row>
    <row r="10" spans="2:13" ht="13.5" customHeight="1" x14ac:dyDescent="0.25">
      <c r="B10" s="41"/>
      <c r="C10" s="135"/>
      <c r="D10" s="115" t="s">
        <v>123</v>
      </c>
      <c r="E10" s="115"/>
      <c r="F10" s="115"/>
      <c r="G10" s="115"/>
      <c r="H10" s="123" t="s">
        <v>124</v>
      </c>
      <c r="I10" s="138"/>
      <c r="J10" s="139"/>
      <c r="K10" s="137"/>
      <c r="L10" s="27"/>
    </row>
    <row r="11" spans="2:13" ht="13.5" customHeight="1" x14ac:dyDescent="0.25">
      <c r="B11" s="41"/>
      <c r="C11" s="135"/>
      <c r="D11" s="115"/>
      <c r="E11" s="115"/>
      <c r="F11" s="115"/>
      <c r="G11" s="140"/>
      <c r="H11" s="140"/>
      <c r="I11" s="139"/>
      <c r="J11" s="139"/>
      <c r="K11" s="137"/>
      <c r="L11" s="27"/>
    </row>
    <row r="12" spans="2:13" s="34" customFormat="1" ht="13.5" customHeight="1" x14ac:dyDescent="0.25">
      <c r="B12" s="43"/>
      <c r="C12" s="141"/>
      <c r="D12" s="142" t="s">
        <v>23</v>
      </c>
      <c r="E12" s="142"/>
      <c r="F12" s="142"/>
      <c r="G12" s="142"/>
      <c r="H12" s="142"/>
      <c r="I12" s="142"/>
      <c r="J12" s="142"/>
      <c r="K12" s="143"/>
      <c r="L12" s="30"/>
    </row>
    <row r="13" spans="2:13" ht="13.5" customHeight="1" x14ac:dyDescent="0.25">
      <c r="B13" s="41"/>
      <c r="C13" s="135"/>
      <c r="D13" s="114" t="s">
        <v>21</v>
      </c>
      <c r="E13" s="115"/>
      <c r="F13" s="115"/>
      <c r="G13" s="124"/>
      <c r="H13" s="118" t="s">
        <v>0</v>
      </c>
      <c r="I13" s="144"/>
      <c r="J13" s="115"/>
      <c r="K13" s="137"/>
      <c r="L13" s="27"/>
    </row>
    <row r="14" spans="2:13" ht="13.5" customHeight="1" x14ac:dyDescent="0.25">
      <c r="B14" s="41"/>
      <c r="C14" s="135"/>
      <c r="D14" s="115" t="s">
        <v>22</v>
      </c>
      <c r="E14" s="115"/>
      <c r="F14" s="115"/>
      <c r="G14" s="124"/>
      <c r="H14" s="118">
        <v>8</v>
      </c>
      <c r="I14" s="115"/>
      <c r="J14" s="115"/>
      <c r="K14" s="137"/>
      <c r="L14" s="27"/>
      <c r="M14" s="31"/>
    </row>
    <row r="15" spans="2:13" ht="13.5" customHeight="1" x14ac:dyDescent="0.25">
      <c r="B15" s="41"/>
      <c r="C15" s="135"/>
      <c r="D15" s="115" t="s">
        <v>24</v>
      </c>
      <c r="E15" s="115"/>
      <c r="F15" s="115"/>
      <c r="G15" s="145"/>
      <c r="H15" s="146">
        <f>VLOOKUP(H13,salaristabellen,H14+1,FALSE)</f>
        <v>2709</v>
      </c>
      <c r="I15" s="115"/>
      <c r="J15" s="115"/>
      <c r="K15" s="137"/>
      <c r="L15" s="27"/>
      <c r="M15" s="31"/>
    </row>
    <row r="16" spans="2:13" ht="13.5" customHeight="1" x14ac:dyDescent="0.25">
      <c r="B16" s="41"/>
      <c r="C16" s="135"/>
      <c r="D16" s="115" t="s">
        <v>25</v>
      </c>
      <c r="E16" s="115"/>
      <c r="F16" s="115"/>
      <c r="G16" s="122"/>
      <c r="H16" s="121">
        <v>1</v>
      </c>
      <c r="I16" s="115"/>
      <c r="J16" s="115"/>
      <c r="K16" s="137"/>
      <c r="L16" s="27"/>
      <c r="M16" s="31"/>
    </row>
    <row r="17" spans="2:13" ht="13.5" customHeight="1" x14ac:dyDescent="0.25">
      <c r="B17" s="41"/>
      <c r="C17" s="135"/>
      <c r="D17" s="115" t="s">
        <v>26</v>
      </c>
      <c r="E17" s="115"/>
      <c r="F17" s="115"/>
      <c r="G17" s="147"/>
      <c r="H17" s="148">
        <f>+H15*H16</f>
        <v>2709</v>
      </c>
      <c r="I17" s="115"/>
      <c r="J17" s="115"/>
      <c r="K17" s="137"/>
      <c r="L17" s="27"/>
      <c r="M17" s="31"/>
    </row>
    <row r="18" spans="2:13" ht="13.5" customHeight="1" x14ac:dyDescent="0.25">
      <c r="B18" s="41"/>
      <c r="C18" s="149"/>
      <c r="D18" s="150"/>
      <c r="E18" s="150"/>
      <c r="F18" s="150"/>
      <c r="G18" s="151"/>
      <c r="H18" s="151"/>
      <c r="I18" s="150"/>
      <c r="J18" s="150"/>
      <c r="K18" s="152"/>
      <c r="L18" s="27"/>
      <c r="M18" s="31"/>
    </row>
    <row r="19" spans="2:13" ht="13.5" customHeight="1" x14ac:dyDescent="0.25">
      <c r="B19" s="41"/>
      <c r="C19" s="20"/>
      <c r="D19" s="20"/>
      <c r="E19" s="20"/>
      <c r="F19" s="20"/>
      <c r="G19" s="20"/>
      <c r="H19" s="20"/>
      <c r="I19" s="20"/>
      <c r="J19" s="20"/>
      <c r="K19" s="97"/>
      <c r="L19" s="27"/>
      <c r="M19" s="31"/>
    </row>
    <row r="20" spans="2:13" ht="13.5" customHeight="1" x14ac:dyDescent="0.25">
      <c r="B20" s="41"/>
      <c r="C20" s="133"/>
      <c r="D20" s="109"/>
      <c r="E20" s="109"/>
      <c r="F20" s="109"/>
      <c r="G20" s="109"/>
      <c r="H20" s="109"/>
      <c r="I20" s="109"/>
      <c r="J20" s="109"/>
      <c r="K20" s="134"/>
      <c r="L20" s="27"/>
      <c r="M20" s="31"/>
    </row>
    <row r="21" spans="2:13" s="34" customFormat="1" ht="13.5" customHeight="1" x14ac:dyDescent="0.25">
      <c r="B21" s="43"/>
      <c r="C21" s="141"/>
      <c r="D21" s="136" t="s">
        <v>127</v>
      </c>
      <c r="E21" s="136"/>
      <c r="F21" s="136"/>
      <c r="G21" s="153"/>
      <c r="H21" s="153" t="s">
        <v>128</v>
      </c>
      <c r="I21" s="153" t="s">
        <v>129</v>
      </c>
      <c r="J21" s="154"/>
      <c r="K21" s="155"/>
      <c r="L21" s="30"/>
      <c r="M21" s="36"/>
    </row>
    <row r="22" spans="2:13" ht="13.5" customHeight="1" x14ac:dyDescent="0.25">
      <c r="B22" s="41"/>
      <c r="C22" s="135"/>
      <c r="D22" s="156"/>
      <c r="E22" s="156"/>
      <c r="F22" s="156"/>
      <c r="G22" s="157"/>
      <c r="H22" s="157"/>
      <c r="I22" s="157"/>
      <c r="J22" s="127"/>
      <c r="K22" s="158"/>
      <c r="L22" s="27"/>
      <c r="M22" s="31"/>
    </row>
    <row r="23" spans="2:13" ht="13.5" customHeight="1" x14ac:dyDescent="0.25">
      <c r="B23" s="41"/>
      <c r="C23" s="135"/>
      <c r="D23" s="115" t="s">
        <v>126</v>
      </c>
      <c r="E23" s="115"/>
      <c r="F23" s="115"/>
      <c r="G23" s="124"/>
      <c r="H23" s="118" t="s">
        <v>125</v>
      </c>
      <c r="I23" s="157"/>
      <c r="J23" s="127"/>
      <c r="K23" s="158"/>
      <c r="L23" s="27"/>
      <c r="M23" s="31"/>
    </row>
    <row r="24" spans="2:13" ht="13.5" customHeight="1" x14ac:dyDescent="0.25">
      <c r="B24" s="41"/>
      <c r="C24" s="135"/>
      <c r="D24" s="156"/>
      <c r="E24" s="156"/>
      <c r="F24" s="156"/>
      <c r="G24" s="157"/>
      <c r="H24" s="157"/>
      <c r="I24" s="157"/>
      <c r="J24" s="127"/>
      <c r="K24" s="158"/>
      <c r="L24" s="27"/>
      <c r="M24" s="31"/>
    </row>
    <row r="25" spans="2:13" ht="13.5" customHeight="1" x14ac:dyDescent="0.25">
      <c r="B25" s="41"/>
      <c r="C25" s="135"/>
      <c r="D25" s="115" t="s">
        <v>130</v>
      </c>
      <c r="E25" s="115"/>
      <c r="F25" s="115"/>
      <c r="G25" s="127"/>
      <c r="H25" s="159">
        <f>ROUND(415*H16,0)</f>
        <v>415</v>
      </c>
      <c r="I25" s="160">
        <f>ROUND(233*H16,0)</f>
        <v>233</v>
      </c>
      <c r="J25" s="113"/>
      <c r="K25" s="158"/>
      <c r="L25" s="19"/>
      <c r="M25" s="31"/>
    </row>
    <row r="26" spans="2:13" ht="13.5" customHeight="1" x14ac:dyDescent="0.25">
      <c r="B26" s="41"/>
      <c r="C26" s="135"/>
      <c r="D26" s="115" t="s">
        <v>131</v>
      </c>
      <c r="E26" s="115"/>
      <c r="F26" s="115"/>
      <c r="G26" s="124"/>
      <c r="H26" s="118">
        <v>415</v>
      </c>
      <c r="I26" s="161">
        <v>233</v>
      </c>
      <c r="J26" s="113"/>
      <c r="K26" s="158"/>
      <c r="L26" s="19"/>
      <c r="M26" s="31"/>
    </row>
    <row r="27" spans="2:13" ht="13.5" customHeight="1" x14ac:dyDescent="0.25">
      <c r="B27" s="41"/>
      <c r="C27" s="135"/>
      <c r="D27" s="115" t="s">
        <v>132</v>
      </c>
      <c r="E27" s="115"/>
      <c r="F27" s="115"/>
      <c r="G27" s="162"/>
      <c r="H27" s="163">
        <f>+H26/H25</f>
        <v>1</v>
      </c>
      <c r="I27" s="163">
        <f>+I26/I25</f>
        <v>1</v>
      </c>
      <c r="J27" s="113"/>
      <c r="K27" s="158"/>
      <c r="L27" s="19"/>
      <c r="M27" s="31"/>
    </row>
    <row r="28" spans="2:13" ht="13.5" customHeight="1" x14ac:dyDescent="0.25">
      <c r="B28" s="41"/>
      <c r="C28" s="135"/>
      <c r="D28" s="115" t="s">
        <v>133</v>
      </c>
      <c r="E28" s="115"/>
      <c r="F28" s="115"/>
      <c r="G28" s="124"/>
      <c r="H28" s="118">
        <v>6</v>
      </c>
      <c r="I28" s="164" t="str">
        <f>IF(H28&lt;2.999,"moet minimaal 3 gehele maanden zijn"," ")</f>
        <v xml:space="preserve"> </v>
      </c>
      <c r="J28" s="113"/>
      <c r="K28" s="158"/>
      <c r="L28" s="19"/>
      <c r="M28" s="31"/>
    </row>
    <row r="29" spans="2:13" ht="13.5" customHeight="1" x14ac:dyDescent="0.25">
      <c r="B29" s="41"/>
      <c r="C29" s="135"/>
      <c r="D29" s="115"/>
      <c r="E29" s="115"/>
      <c r="F29" s="115"/>
      <c r="G29" s="127"/>
      <c r="H29" s="127"/>
      <c r="I29" s="127"/>
      <c r="J29" s="113"/>
      <c r="K29" s="165"/>
      <c r="L29" s="19"/>
      <c r="M29" s="31"/>
    </row>
    <row r="30" spans="2:13" ht="13.5" customHeight="1" x14ac:dyDescent="0.25">
      <c r="B30" s="41"/>
      <c r="C30" s="135"/>
      <c r="D30" s="115" t="s">
        <v>193</v>
      </c>
      <c r="E30" s="115"/>
      <c r="F30" s="115"/>
      <c r="G30" s="166"/>
      <c r="H30" s="166">
        <f>ROUND(IF(H23="ja",+(I26/I25),H26/H25)*(3/H28)*H16,4)</f>
        <v>0.5</v>
      </c>
      <c r="I30" s="127"/>
      <c r="J30" s="167"/>
      <c r="K30" s="168"/>
      <c r="L30" s="19"/>
      <c r="M30" s="31"/>
    </row>
    <row r="31" spans="2:13" ht="13.5" customHeight="1" x14ac:dyDescent="0.25">
      <c r="B31" s="41"/>
      <c r="C31" s="135"/>
      <c r="D31" s="115" t="s">
        <v>134</v>
      </c>
      <c r="E31" s="115"/>
      <c r="F31" s="115"/>
      <c r="G31" s="162"/>
      <c r="H31" s="162">
        <f>ROUND(+IF(H23="ja",I26,H26)/ROUND((IF(H23="ja",233,415)*H16),0)*1.35/H28,4)</f>
        <v>0.22500000000000001</v>
      </c>
      <c r="I31" s="127"/>
      <c r="J31" s="169">
        <f>+H31*H17</f>
        <v>609.52499999999998</v>
      </c>
      <c r="K31" s="170">
        <f>+H30*0.45*H15</f>
        <v>609.52499999999998</v>
      </c>
      <c r="L31" s="27"/>
    </row>
    <row r="32" spans="2:13" ht="13.5" customHeight="1" x14ac:dyDescent="0.25">
      <c r="B32" s="41"/>
      <c r="C32" s="135"/>
      <c r="D32" s="115"/>
      <c r="E32" s="115"/>
      <c r="F32" s="115"/>
      <c r="G32" s="162"/>
      <c r="H32" s="162"/>
      <c r="I32" s="127"/>
      <c r="J32" s="167"/>
      <c r="K32" s="170"/>
      <c r="L32" s="27"/>
    </row>
    <row r="33" spans="2:12" ht="13.5" customHeight="1" x14ac:dyDescent="0.25">
      <c r="B33" s="41"/>
      <c r="C33" s="135"/>
      <c r="D33" s="115" t="s">
        <v>194</v>
      </c>
      <c r="E33" s="115"/>
      <c r="F33" s="115"/>
      <c r="G33" s="162"/>
      <c r="H33" s="162">
        <f>ROUND((3*I27/H28),4)-H31</f>
        <v>0.27500000000000002</v>
      </c>
      <c r="I33" s="127"/>
      <c r="J33" s="146">
        <f>+H33*H17</f>
        <v>744.97500000000002</v>
      </c>
      <c r="K33" s="171">
        <f>+H30*0.55*H15</f>
        <v>744.97500000000002</v>
      </c>
      <c r="L33" s="27"/>
    </row>
    <row r="34" spans="2:12" ht="13.5" customHeight="1" x14ac:dyDescent="0.25">
      <c r="B34" s="41"/>
      <c r="C34" s="135"/>
      <c r="D34" s="115" t="s">
        <v>135</v>
      </c>
      <c r="E34" s="115"/>
      <c r="F34" s="115"/>
      <c r="G34" s="162"/>
      <c r="H34" s="162">
        <f>1-ROUND(1/0.45*H31,4)</f>
        <v>0.5</v>
      </c>
      <c r="I34" s="127"/>
      <c r="J34" s="146">
        <f>+H34*H17</f>
        <v>1354.5</v>
      </c>
      <c r="K34" s="172"/>
      <c r="L34" s="27"/>
    </row>
    <row r="35" spans="2:12" s="34" customFormat="1" ht="13.5" customHeight="1" x14ac:dyDescent="0.25">
      <c r="B35" s="43"/>
      <c r="C35" s="141"/>
      <c r="D35" s="142" t="s">
        <v>136</v>
      </c>
      <c r="E35" s="142"/>
      <c r="F35" s="142"/>
      <c r="G35" s="173"/>
      <c r="H35" s="173">
        <f>+H33+H34</f>
        <v>0.77500000000000002</v>
      </c>
      <c r="I35" s="154"/>
      <c r="J35" s="174">
        <f>SUM(J33:J34)</f>
        <v>2099.4749999999999</v>
      </c>
      <c r="K35" s="175"/>
      <c r="L35" s="30"/>
    </row>
    <row r="36" spans="2:12" ht="13.5" customHeight="1" x14ac:dyDescent="0.25">
      <c r="B36" s="41"/>
      <c r="C36" s="135"/>
      <c r="D36" s="176" t="s">
        <v>137</v>
      </c>
      <c r="E36" s="176"/>
      <c r="F36" s="176"/>
      <c r="G36" s="177"/>
      <c r="H36" s="177"/>
      <c r="I36" s="177"/>
      <c r="J36" s="178">
        <f>+J33*H28</f>
        <v>4469.8500000000004</v>
      </c>
      <c r="K36" s="172"/>
      <c r="L36" s="27"/>
    </row>
    <row r="37" spans="2:12" ht="13.5" customHeight="1" x14ac:dyDescent="0.25">
      <c r="B37" s="41"/>
      <c r="C37" s="135"/>
      <c r="D37" s="115"/>
      <c r="E37" s="115"/>
      <c r="F37" s="115"/>
      <c r="G37" s="127"/>
      <c r="H37" s="127"/>
      <c r="I37" s="127"/>
      <c r="J37" s="145"/>
      <c r="K37" s="172"/>
      <c r="L37" s="27"/>
    </row>
    <row r="38" spans="2:12" s="34" customFormat="1" ht="13.5" customHeight="1" x14ac:dyDescent="0.25">
      <c r="B38" s="43"/>
      <c r="C38" s="141"/>
      <c r="D38" s="142" t="s">
        <v>222</v>
      </c>
      <c r="E38" s="142"/>
      <c r="F38" s="142"/>
      <c r="G38" s="179"/>
      <c r="H38" s="275">
        <v>0.59</v>
      </c>
      <c r="I38" s="154"/>
      <c r="J38" s="174">
        <f>+J36*(1+H38)</f>
        <v>7107.0614999999998</v>
      </c>
      <c r="K38" s="143"/>
      <c r="L38" s="30"/>
    </row>
    <row r="39" spans="2:12" ht="13.5" customHeight="1" x14ac:dyDescent="0.25">
      <c r="B39" s="41"/>
      <c r="C39" s="135"/>
      <c r="D39" s="180" t="s">
        <v>64</v>
      </c>
      <c r="E39" s="180"/>
      <c r="F39" s="180"/>
      <c r="G39" s="180"/>
      <c r="H39" s="180"/>
      <c r="I39" s="180"/>
      <c r="J39" s="181">
        <f>+J38/H$28</f>
        <v>1184.51025</v>
      </c>
      <c r="K39" s="182"/>
      <c r="L39" s="27"/>
    </row>
    <row r="40" spans="2:12" ht="13.5" customHeight="1" x14ac:dyDescent="0.25">
      <c r="B40" s="41"/>
      <c r="C40" s="149"/>
      <c r="D40" s="150"/>
      <c r="E40" s="150"/>
      <c r="F40" s="150"/>
      <c r="G40" s="150"/>
      <c r="H40" s="150"/>
      <c r="I40" s="150"/>
      <c r="J40" s="183"/>
      <c r="K40" s="184"/>
      <c r="L40" s="27"/>
    </row>
    <row r="41" spans="2:12" ht="13.5" customHeight="1" x14ac:dyDescent="0.25">
      <c r="B41" s="41"/>
      <c r="C41" s="20"/>
      <c r="D41" s="20"/>
      <c r="E41" s="20"/>
      <c r="F41" s="20"/>
      <c r="G41" s="20"/>
      <c r="H41" s="20"/>
      <c r="I41" s="20"/>
      <c r="J41" s="44"/>
      <c r="K41" s="99"/>
      <c r="L41" s="27"/>
    </row>
    <row r="42" spans="2:12" ht="13.5" customHeight="1" x14ac:dyDescent="0.25">
      <c r="B42" s="41"/>
      <c r="C42" s="133"/>
      <c r="D42" s="185"/>
      <c r="E42" s="185"/>
      <c r="F42" s="185"/>
      <c r="G42" s="185"/>
      <c r="H42" s="185"/>
      <c r="I42" s="185"/>
      <c r="J42" s="186"/>
      <c r="K42" s="187"/>
      <c r="L42" s="27"/>
    </row>
    <row r="43" spans="2:12" ht="13.5" customHeight="1" x14ac:dyDescent="0.25">
      <c r="B43" s="41"/>
      <c r="C43" s="135"/>
      <c r="D43" s="126" t="s">
        <v>211</v>
      </c>
      <c r="E43" s="126"/>
      <c r="F43" s="126"/>
      <c r="G43" s="126"/>
      <c r="H43" s="126"/>
      <c r="I43" s="126"/>
      <c r="J43" s="188">
        <v>4.18</v>
      </c>
      <c r="K43" s="137"/>
      <c r="L43" s="27"/>
    </row>
    <row r="44" spans="2:12" ht="13.5" customHeight="1" x14ac:dyDescent="0.25">
      <c r="B44" s="41"/>
      <c r="C44" s="135"/>
      <c r="D44" s="126" t="s">
        <v>232</v>
      </c>
      <c r="E44" s="126"/>
      <c r="F44" s="126"/>
      <c r="G44" s="126"/>
      <c r="H44" s="126"/>
      <c r="I44" s="126"/>
      <c r="J44" s="126"/>
      <c r="K44" s="189"/>
      <c r="L44" s="27"/>
    </row>
    <row r="45" spans="2:12" ht="13.5" customHeight="1" x14ac:dyDescent="0.25">
      <c r="B45" s="41"/>
      <c r="C45" s="135"/>
      <c r="D45" s="126" t="s">
        <v>233</v>
      </c>
      <c r="E45" s="126"/>
      <c r="F45" s="126"/>
      <c r="G45" s="190"/>
      <c r="H45" s="191">
        <v>205</v>
      </c>
      <c r="I45" s="192" t="s">
        <v>190</v>
      </c>
      <c r="J45" s="192"/>
      <c r="K45" s="189"/>
      <c r="L45" s="27"/>
    </row>
    <row r="46" spans="2:12" ht="13.5" customHeight="1" x14ac:dyDescent="0.25">
      <c r="B46" s="41"/>
      <c r="C46" s="149"/>
      <c r="D46" s="193"/>
      <c r="E46" s="193"/>
      <c r="F46" s="193"/>
      <c r="G46" s="193"/>
      <c r="H46" s="193"/>
      <c r="I46" s="194"/>
      <c r="J46" s="194"/>
      <c r="K46" s="195"/>
      <c r="L46" s="27"/>
    </row>
    <row r="47" spans="2:12" ht="13.5" customHeight="1" x14ac:dyDescent="0.25">
      <c r="B47" s="41"/>
      <c r="C47" s="20"/>
      <c r="D47" s="20"/>
      <c r="E47" s="20"/>
      <c r="F47" s="20"/>
      <c r="G47" s="20"/>
      <c r="H47" s="20"/>
      <c r="I47" s="44"/>
      <c r="J47" s="20"/>
      <c r="K47" s="97"/>
      <c r="L47" s="27"/>
    </row>
    <row r="48" spans="2:12" ht="13.5" customHeight="1" x14ac:dyDescent="0.25">
      <c r="B48" s="41"/>
      <c r="C48" s="20"/>
      <c r="D48" s="20"/>
      <c r="E48" s="20"/>
      <c r="F48" s="20"/>
      <c r="G48" s="20"/>
      <c r="H48" s="20"/>
      <c r="I48" s="44"/>
      <c r="J48" s="20"/>
      <c r="K48" s="97"/>
      <c r="L48" s="27"/>
    </row>
    <row r="49" spans="1:12" ht="13.5" customHeight="1" x14ac:dyDescent="0.25">
      <c r="B49" s="41"/>
      <c r="C49" s="133"/>
      <c r="D49" s="109"/>
      <c r="E49" s="109"/>
      <c r="F49" s="109"/>
      <c r="G49" s="109"/>
      <c r="H49" s="109"/>
      <c r="I49" s="196"/>
      <c r="J49" s="109"/>
      <c r="K49" s="134"/>
      <c r="L49" s="27"/>
    </row>
    <row r="50" spans="1:12" s="34" customFormat="1" ht="13.5" customHeight="1" x14ac:dyDescent="0.25">
      <c r="A50" s="37"/>
      <c r="B50" s="45"/>
      <c r="C50" s="197"/>
      <c r="D50" s="136" t="s">
        <v>223</v>
      </c>
      <c r="E50" s="142"/>
      <c r="F50" s="142"/>
      <c r="G50" s="142"/>
      <c r="H50" s="142"/>
      <c r="I50" s="669"/>
      <c r="J50" s="670"/>
      <c r="K50" s="143"/>
      <c r="L50" s="30"/>
    </row>
    <row r="51" spans="1:12" ht="13.5" customHeight="1" x14ac:dyDescent="0.25">
      <c r="A51" s="35"/>
      <c r="B51" s="46"/>
      <c r="C51" s="198"/>
      <c r="D51" s="115"/>
      <c r="E51" s="115"/>
      <c r="F51" s="115"/>
      <c r="G51" s="115"/>
      <c r="H51" s="115"/>
      <c r="I51" s="200"/>
      <c r="J51" s="139"/>
      <c r="K51" s="137"/>
      <c r="L51" s="27"/>
    </row>
    <row r="52" spans="1:12" ht="13.5" customHeight="1" x14ac:dyDescent="0.25">
      <c r="B52" s="41"/>
      <c r="C52" s="135"/>
      <c r="D52" s="115" t="s">
        <v>138</v>
      </c>
      <c r="E52" s="115"/>
      <c r="F52" s="115"/>
      <c r="G52" s="115"/>
      <c r="H52" s="115"/>
      <c r="I52" s="199"/>
      <c r="J52" s="115"/>
      <c r="K52" s="137"/>
      <c r="L52" s="27"/>
    </row>
    <row r="53" spans="1:12" ht="13.5" customHeight="1" x14ac:dyDescent="0.25">
      <c r="B53" s="41"/>
      <c r="C53" s="135"/>
      <c r="D53" s="115" t="s">
        <v>139</v>
      </c>
      <c r="E53" s="115"/>
      <c r="F53" s="115"/>
      <c r="G53" s="201"/>
      <c r="H53" s="202">
        <v>600</v>
      </c>
      <c r="I53" s="203" t="s">
        <v>140</v>
      </c>
      <c r="J53" s="204"/>
      <c r="K53" s="137"/>
      <c r="L53" s="27"/>
    </row>
    <row r="54" spans="1:12" ht="13.5" customHeight="1" x14ac:dyDescent="0.25">
      <c r="B54" s="41"/>
      <c r="C54" s="135"/>
      <c r="D54" s="115" t="s">
        <v>141</v>
      </c>
      <c r="E54" s="115"/>
      <c r="F54" s="115"/>
      <c r="G54" s="205"/>
      <c r="H54" s="206">
        <v>0.73899999999999999</v>
      </c>
      <c r="I54" s="203" t="s">
        <v>140</v>
      </c>
      <c r="J54" s="204"/>
      <c r="K54" s="137"/>
      <c r="L54" s="27"/>
    </row>
    <row r="55" spans="1:12" ht="13.5" customHeight="1" x14ac:dyDescent="0.25">
      <c r="B55" s="41"/>
      <c r="C55" s="135"/>
      <c r="D55" s="115"/>
      <c r="E55" s="127"/>
      <c r="F55" s="127" t="s">
        <v>142</v>
      </c>
      <c r="G55" s="115"/>
      <c r="H55" s="127"/>
      <c r="I55" s="203"/>
      <c r="J55" s="204"/>
      <c r="K55" s="137"/>
      <c r="L55" s="27"/>
    </row>
    <row r="56" spans="1:12" ht="13.5" customHeight="1" x14ac:dyDescent="0.25">
      <c r="B56" s="41"/>
      <c r="C56" s="135"/>
      <c r="D56" s="115" t="s">
        <v>143</v>
      </c>
      <c r="E56" s="118">
        <v>20</v>
      </c>
      <c r="F56" s="118">
        <v>40</v>
      </c>
      <c r="G56" s="205"/>
      <c r="H56" s="207">
        <v>0.375</v>
      </c>
      <c r="I56" s="203" t="s">
        <v>144</v>
      </c>
      <c r="J56" s="204"/>
      <c r="K56" s="137"/>
      <c r="L56" s="27"/>
    </row>
    <row r="57" spans="1:12" ht="13.5" customHeight="1" x14ac:dyDescent="0.25">
      <c r="B57" s="41"/>
      <c r="C57" s="135"/>
      <c r="D57" s="115" t="s">
        <v>145</v>
      </c>
      <c r="E57" s="115"/>
      <c r="F57" s="115"/>
      <c r="G57" s="119"/>
      <c r="H57" s="208">
        <v>1.8</v>
      </c>
      <c r="I57" s="203" t="s">
        <v>231</v>
      </c>
      <c r="J57" s="204"/>
      <c r="K57" s="137"/>
      <c r="L57" s="27"/>
    </row>
    <row r="58" spans="1:12" ht="13.5" customHeight="1" x14ac:dyDescent="0.25">
      <c r="B58" s="41"/>
      <c r="C58" s="135"/>
      <c r="D58" s="115" t="s">
        <v>146</v>
      </c>
      <c r="E58" s="115"/>
      <c r="F58" s="115"/>
      <c r="G58" s="209"/>
      <c r="H58" s="210">
        <f>ROUND(H53*H54*H56*H57,0)</f>
        <v>299</v>
      </c>
      <c r="I58" s="203"/>
      <c r="J58" s="204"/>
      <c r="K58" s="137"/>
      <c r="L58" s="27"/>
    </row>
    <row r="59" spans="1:12" ht="13.5" customHeight="1" x14ac:dyDescent="0.25">
      <c r="B59" s="41"/>
      <c r="C59" s="135"/>
      <c r="D59" s="115" t="s">
        <v>147</v>
      </c>
      <c r="E59" s="115"/>
      <c r="F59" s="115"/>
      <c r="G59" s="205"/>
      <c r="H59" s="206">
        <v>1</v>
      </c>
      <c r="I59" s="203" t="s">
        <v>148</v>
      </c>
      <c r="J59" s="204"/>
      <c r="K59" s="137"/>
      <c r="L59" s="27"/>
    </row>
    <row r="60" spans="1:12" ht="13.5" customHeight="1" x14ac:dyDescent="0.25">
      <c r="B60" s="41"/>
      <c r="C60" s="135"/>
      <c r="D60" s="115" t="s">
        <v>149</v>
      </c>
      <c r="E60" s="115"/>
      <c r="F60" s="115"/>
      <c r="G60" s="209"/>
      <c r="H60" s="210">
        <f>ROUND(H58*H59/(F56-E56),0)</f>
        <v>15</v>
      </c>
      <c r="I60" s="203"/>
      <c r="J60" s="204"/>
      <c r="K60" s="137"/>
      <c r="L60" s="27"/>
    </row>
    <row r="61" spans="1:12" ht="13.5" customHeight="1" x14ac:dyDescent="0.25">
      <c r="B61" s="41"/>
      <c r="C61" s="135"/>
      <c r="D61" s="115" t="s">
        <v>150</v>
      </c>
      <c r="E61" s="115"/>
      <c r="F61" s="115"/>
      <c r="G61" s="211"/>
      <c r="H61" s="212">
        <v>7025</v>
      </c>
      <c r="I61" s="203" t="s">
        <v>148</v>
      </c>
      <c r="J61" s="204"/>
      <c r="K61" s="137"/>
      <c r="L61" s="27"/>
    </row>
    <row r="62" spans="1:12" s="34" customFormat="1" ht="13.5" customHeight="1" x14ac:dyDescent="0.25">
      <c r="B62" s="43"/>
      <c r="C62" s="141"/>
      <c r="D62" s="142" t="s">
        <v>151</v>
      </c>
      <c r="E62" s="142"/>
      <c r="F62" s="142"/>
      <c r="G62" s="213"/>
      <c r="H62" s="214">
        <f>+H60*H61</f>
        <v>105375</v>
      </c>
      <c r="I62" s="215" t="s">
        <v>230</v>
      </c>
      <c r="J62" s="216"/>
      <c r="K62" s="143"/>
      <c r="L62" s="30"/>
    </row>
    <row r="63" spans="1:12" ht="13.5" customHeight="1" x14ac:dyDescent="0.25">
      <c r="B63" s="41"/>
      <c r="C63" s="149"/>
      <c r="D63" s="150"/>
      <c r="E63" s="150"/>
      <c r="F63" s="150"/>
      <c r="G63" s="150"/>
      <c r="H63" s="150"/>
      <c r="I63" s="217"/>
      <c r="J63" s="150"/>
      <c r="K63" s="152"/>
      <c r="L63" s="27"/>
    </row>
    <row r="64" spans="1:12" ht="13.5" customHeight="1" x14ac:dyDescent="0.25">
      <c r="B64" s="41"/>
      <c r="C64" s="20"/>
      <c r="D64" s="20"/>
      <c r="E64" s="20"/>
      <c r="F64" s="20"/>
      <c r="G64" s="20"/>
      <c r="H64" s="20"/>
      <c r="I64" s="44"/>
      <c r="J64" s="20"/>
      <c r="K64" s="97"/>
      <c r="L64" s="27"/>
    </row>
    <row r="65" spans="2:14" ht="13.5" customHeight="1" x14ac:dyDescent="0.25">
      <c r="B65" s="41"/>
      <c r="C65" s="20"/>
      <c r="D65" s="20"/>
      <c r="E65" s="20"/>
      <c r="F65" s="20"/>
      <c r="G65" s="20"/>
      <c r="H65" s="20"/>
      <c r="I65" s="44"/>
      <c r="J65" s="20"/>
      <c r="K65" s="97"/>
      <c r="L65" s="27"/>
    </row>
    <row r="66" spans="2:14" ht="13.5" customHeight="1" x14ac:dyDescent="0.25">
      <c r="B66" s="47"/>
      <c r="C66" s="48"/>
      <c r="D66" s="48"/>
      <c r="E66" s="48"/>
      <c r="F66" s="48"/>
      <c r="G66" s="48"/>
      <c r="H66" s="48"/>
      <c r="I66" s="84"/>
      <c r="J66" s="48"/>
      <c r="K66" s="11" t="s">
        <v>221</v>
      </c>
      <c r="L66" s="49"/>
    </row>
    <row r="67" spans="2:14" ht="13.5" customHeight="1" x14ac:dyDescent="0.25">
      <c r="I67" s="85"/>
    </row>
    <row r="68" spans="2:14" ht="13.5" customHeight="1" x14ac:dyDescent="0.25">
      <c r="I68" s="85"/>
    </row>
    <row r="69" spans="2:14" ht="13.5" customHeight="1" x14ac:dyDescent="0.25">
      <c r="I69" s="85"/>
    </row>
    <row r="70" spans="2:14" ht="13.5" customHeight="1" x14ac:dyDescent="0.25">
      <c r="I70" s="85"/>
    </row>
    <row r="71" spans="2:14" ht="13.5" customHeight="1" x14ac:dyDescent="0.25">
      <c r="I71" s="85"/>
      <c r="N71" s="94" t="s">
        <v>90</v>
      </c>
    </row>
    <row r="72" spans="2:14" ht="13.5" customHeight="1" x14ac:dyDescent="0.25">
      <c r="I72" s="85"/>
      <c r="N72" s="94" t="s">
        <v>83</v>
      </c>
    </row>
    <row r="73" spans="2:14" ht="13.5" customHeight="1" x14ac:dyDescent="0.25">
      <c r="I73" s="85"/>
      <c r="N73" s="94" t="s">
        <v>84</v>
      </c>
    </row>
    <row r="74" spans="2:14" ht="13.5" customHeight="1" x14ac:dyDescent="0.25">
      <c r="I74" s="85"/>
      <c r="N74" s="94" t="s">
        <v>85</v>
      </c>
    </row>
    <row r="75" spans="2:14" ht="13.5" customHeight="1" x14ac:dyDescent="0.25">
      <c r="I75" s="85"/>
      <c r="N75" s="94" t="s">
        <v>86</v>
      </c>
    </row>
    <row r="76" spans="2:14" ht="13.5" customHeight="1" x14ac:dyDescent="0.25">
      <c r="I76" s="85"/>
      <c r="N76" s="94" t="s">
        <v>87</v>
      </c>
    </row>
    <row r="77" spans="2:14" ht="13.5" customHeight="1" x14ac:dyDescent="0.25">
      <c r="I77" s="85"/>
      <c r="N77" s="94" t="s">
        <v>88</v>
      </c>
    </row>
    <row r="78" spans="2:14" ht="13.5" customHeight="1" x14ac:dyDescent="0.25">
      <c r="I78" s="85"/>
      <c r="N78" s="94" t="s">
        <v>89</v>
      </c>
    </row>
    <row r="79" spans="2:14" ht="13.5" customHeight="1" x14ac:dyDescent="0.25">
      <c r="I79" s="85"/>
      <c r="N79" s="95" t="s">
        <v>3</v>
      </c>
    </row>
    <row r="80" spans="2:14" ht="13.5" customHeight="1" x14ac:dyDescent="0.25">
      <c r="I80" s="85"/>
      <c r="N80" s="95" t="s">
        <v>4</v>
      </c>
    </row>
    <row r="81" spans="6:14" ht="13.5" customHeight="1" x14ac:dyDescent="0.25">
      <c r="I81" s="85"/>
      <c r="N81" s="95" t="s">
        <v>5</v>
      </c>
    </row>
    <row r="82" spans="6:14" ht="13.5" customHeight="1" x14ac:dyDescent="0.25">
      <c r="I82" s="85"/>
      <c r="N82" s="95" t="s">
        <v>6</v>
      </c>
    </row>
    <row r="83" spans="6:14" ht="13.5" customHeight="1" x14ac:dyDescent="0.25">
      <c r="I83" s="85"/>
      <c r="N83" s="95" t="s">
        <v>7</v>
      </c>
    </row>
    <row r="84" spans="6:14" ht="13.5" customHeight="1" x14ac:dyDescent="0.25">
      <c r="I84" s="85"/>
      <c r="N84" s="95" t="s">
        <v>8</v>
      </c>
    </row>
    <row r="85" spans="6:14" ht="13.5" customHeight="1" x14ac:dyDescent="0.25">
      <c r="I85" s="85"/>
      <c r="N85" s="95" t="s">
        <v>9</v>
      </c>
    </row>
    <row r="86" spans="6:14" ht="13.5" customHeight="1" x14ac:dyDescent="0.25">
      <c r="I86" s="85"/>
      <c r="N86" s="95" t="s">
        <v>10</v>
      </c>
    </row>
    <row r="87" spans="6:14" ht="13.5" customHeight="1" x14ac:dyDescent="0.25">
      <c r="I87" s="85"/>
      <c r="N87" s="95" t="s">
        <v>11</v>
      </c>
    </row>
    <row r="88" spans="6:14" ht="13.5" customHeight="1" x14ac:dyDescent="0.25">
      <c r="I88" s="85"/>
      <c r="N88" s="95" t="s">
        <v>12</v>
      </c>
    </row>
    <row r="89" spans="6:14" ht="13.5" customHeight="1" x14ac:dyDescent="0.25">
      <c r="I89" s="85"/>
      <c r="N89" s="95" t="s">
        <v>13</v>
      </c>
    </row>
    <row r="90" spans="6:14" ht="13.5" customHeight="1" x14ac:dyDescent="0.25">
      <c r="I90" s="85"/>
      <c r="N90" s="95" t="s">
        <v>14</v>
      </c>
    </row>
    <row r="91" spans="6:14" ht="13.5" customHeight="1" x14ac:dyDescent="0.25">
      <c r="I91" s="85"/>
      <c r="N91" s="95" t="s">
        <v>0</v>
      </c>
    </row>
    <row r="92" spans="6:14" ht="13.5" customHeight="1" x14ac:dyDescent="0.25">
      <c r="I92" s="85"/>
      <c r="N92" s="95" t="s">
        <v>15</v>
      </c>
    </row>
    <row r="93" spans="6:14" ht="13.5" customHeight="1" x14ac:dyDescent="0.25">
      <c r="I93" s="85"/>
      <c r="N93" s="95" t="s">
        <v>16</v>
      </c>
    </row>
    <row r="94" spans="6:14" ht="13.5" customHeight="1" x14ac:dyDescent="0.25">
      <c r="I94" s="85"/>
      <c r="N94" s="95" t="s">
        <v>17</v>
      </c>
    </row>
    <row r="95" spans="6:14" ht="13.5" customHeight="1" x14ac:dyDescent="0.25">
      <c r="I95" s="85"/>
      <c r="N95" s="95" t="s">
        <v>18</v>
      </c>
    </row>
    <row r="96" spans="6:14" ht="13.5" customHeight="1" x14ac:dyDescent="0.25">
      <c r="F96" s="91"/>
      <c r="G96" s="92"/>
      <c r="I96" s="85"/>
      <c r="N96" s="94">
        <v>1</v>
      </c>
    </row>
    <row r="97" spans="6:14" ht="13.5" customHeight="1" x14ac:dyDescent="0.25">
      <c r="F97" s="91"/>
      <c r="G97" s="92"/>
      <c r="I97" s="85"/>
      <c r="N97" s="94">
        <v>2</v>
      </c>
    </row>
    <row r="98" spans="6:14" ht="13.5" customHeight="1" x14ac:dyDescent="0.25">
      <c r="F98" s="91"/>
      <c r="G98" s="92"/>
      <c r="I98" s="85"/>
      <c r="N98" s="94">
        <v>3</v>
      </c>
    </row>
    <row r="99" spans="6:14" ht="13.5" customHeight="1" x14ac:dyDescent="0.25">
      <c r="F99" s="91"/>
      <c r="G99" s="92"/>
      <c r="I99" s="85"/>
      <c r="N99" s="94">
        <v>4</v>
      </c>
    </row>
    <row r="100" spans="6:14" ht="13.5" customHeight="1" x14ac:dyDescent="0.25">
      <c r="F100" s="90"/>
      <c r="G100" s="85"/>
      <c r="I100" s="85"/>
      <c r="N100" s="94">
        <v>5</v>
      </c>
    </row>
    <row r="101" spans="6:14" ht="13.5" customHeight="1" x14ac:dyDescent="0.25">
      <c r="F101" s="91"/>
      <c r="G101" s="85"/>
      <c r="I101" s="85"/>
      <c r="N101" s="94">
        <v>6</v>
      </c>
    </row>
    <row r="102" spans="6:14" ht="13.5" customHeight="1" x14ac:dyDescent="0.25">
      <c r="F102" s="76"/>
      <c r="I102" s="85"/>
      <c r="N102" s="94">
        <v>7</v>
      </c>
    </row>
    <row r="103" spans="6:14" ht="13.5" customHeight="1" x14ac:dyDescent="0.25">
      <c r="I103" s="85"/>
      <c r="N103" s="94">
        <v>8</v>
      </c>
    </row>
    <row r="104" spans="6:14" ht="13.5" customHeight="1" x14ac:dyDescent="0.25">
      <c r="I104" s="85"/>
      <c r="N104" s="94">
        <v>9</v>
      </c>
    </row>
    <row r="105" spans="6:14" ht="13.5" customHeight="1" x14ac:dyDescent="0.25">
      <c r="N105" s="94">
        <v>10</v>
      </c>
    </row>
    <row r="106" spans="6:14" ht="13.5" customHeight="1" x14ac:dyDescent="0.25">
      <c r="N106" s="94">
        <v>11</v>
      </c>
    </row>
    <row r="107" spans="6:14" ht="13.5" customHeight="1" x14ac:dyDescent="0.25">
      <c r="N107" s="94">
        <v>12</v>
      </c>
    </row>
    <row r="108" spans="6:14" ht="13.5" customHeight="1" x14ac:dyDescent="0.25">
      <c r="N108" s="94">
        <v>13</v>
      </c>
    </row>
    <row r="109" spans="6:14" ht="13.5" customHeight="1" x14ac:dyDescent="0.25">
      <c r="N109" s="94">
        <v>14</v>
      </c>
    </row>
    <row r="110" spans="6:14" ht="13.5" customHeight="1" x14ac:dyDescent="0.25">
      <c r="N110" s="94" t="s">
        <v>19</v>
      </c>
    </row>
    <row r="111" spans="6:14" ht="13.5" customHeight="1" x14ac:dyDescent="0.25">
      <c r="N111" s="94" t="s">
        <v>20</v>
      </c>
    </row>
    <row r="112" spans="6:14" ht="13.5" customHeight="1" x14ac:dyDescent="0.25">
      <c r="N112" s="94" t="s">
        <v>91</v>
      </c>
    </row>
    <row r="113" spans="14:14" ht="13.5" customHeight="1" x14ac:dyDescent="0.25">
      <c r="N113" s="94" t="s">
        <v>92</v>
      </c>
    </row>
    <row r="114" spans="14:14" ht="13.5" customHeight="1" x14ac:dyDescent="0.25">
      <c r="N114" s="94" t="s">
        <v>93</v>
      </c>
    </row>
  </sheetData>
  <sheetProtection password="DFB1" sheet="1"/>
  <mergeCells count="1">
    <mergeCell ref="I50:J50"/>
  </mergeCells>
  <phoneticPr fontId="0" type="noConversion"/>
  <dataValidations count="3">
    <dataValidation type="list" allowBlank="1" showInputMessage="1" showErrorMessage="1" sqref="G13 G23">
      <formula1>#REF!</formula1>
    </dataValidation>
    <dataValidation type="list" allowBlank="1" showInputMessage="1" showErrorMessage="1" sqref="H23">
      <formula1>"ja, nee"</formula1>
    </dataValidation>
    <dataValidation type="list" allowBlank="1" showInputMessage="1" showErrorMessage="1" sqref="H13">
      <formula1>$N$71:$N$114</formula1>
    </dataValidation>
  </dataValidations>
  <printOptions gridLines="1"/>
  <pageMargins left="0.74803149606299213" right="0.74803149606299213" top="0.98425196850393704" bottom="0.98425196850393704" header="0.51181102362204722" footer="0.51181102362204722"/>
  <pageSetup paperSize="9" scale="65" orientation="portrait" r:id="rId1"/>
  <headerFooter alignWithMargins="0">
    <oddHeader>&amp;L&amp;"Arial,Vet"&amp;A&amp;C&amp;"Arial,Vet"&amp;D&amp;R&amp;"Arial,Vet"&amp;F</oddHeader>
    <oddFooter>&amp;L&amp;"Arial,Vet"&amp;8gemaakt door keizer, PO-Raad&amp;R&amp;"Arial,Vet"&amp;P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O105"/>
  <sheetViews>
    <sheetView zoomScale="85" zoomScaleNormal="85" workbookViewId="0">
      <selection activeCell="B2" sqref="B2"/>
    </sheetView>
  </sheetViews>
  <sheetFormatPr defaultColWidth="9.7109375" defaultRowHeight="13.5" customHeight="1" x14ac:dyDescent="0.25"/>
  <cols>
    <col min="1" max="1" width="3.7109375" style="1" customWidth="1"/>
    <col min="2" max="3" width="2.7109375" style="1" customWidth="1"/>
    <col min="4" max="4" width="45.7109375" style="1" customWidth="1"/>
    <col min="5" max="5" width="2.7109375" style="1" customWidth="1"/>
    <col min="6" max="6" width="14.7109375" style="7" customWidth="1"/>
    <col min="7" max="8" width="14.7109375" style="1" customWidth="1"/>
    <col min="9" max="10" width="2.7109375" style="1" customWidth="1"/>
    <col min="11" max="11" width="10.7109375" style="1" customWidth="1"/>
    <col min="12" max="12" width="6.140625" style="1" customWidth="1"/>
    <col min="13" max="13" width="8.140625" style="1" customWidth="1"/>
    <col min="14" max="14" width="2.42578125" style="1" customWidth="1"/>
    <col min="15" max="15" width="6.7109375" style="1" customWidth="1"/>
    <col min="16" max="16" width="10.7109375" style="1" customWidth="1"/>
    <col min="17" max="17" width="2.7109375" style="1" customWidth="1"/>
    <col min="18" max="19" width="10.7109375" style="1" customWidth="1"/>
    <col min="20" max="20" width="2.140625" style="1" customWidth="1"/>
    <col min="21" max="21" width="10.7109375" style="1" customWidth="1"/>
    <col min="22" max="22" width="1.85546875" style="1" customWidth="1"/>
    <col min="23" max="23" width="2.85546875" style="1" customWidth="1"/>
    <col min="24" max="25" width="10.7109375" style="1" customWidth="1"/>
    <col min="26" max="16384" width="9.7109375" style="1"/>
  </cols>
  <sheetData>
    <row r="2" spans="2:41" ht="13.5" customHeight="1" x14ac:dyDescent="0.25">
      <c r="B2" s="12"/>
      <c r="C2" s="13"/>
      <c r="D2" s="13"/>
      <c r="E2" s="13"/>
      <c r="F2" s="14"/>
      <c r="G2" s="13"/>
      <c r="H2" s="13"/>
      <c r="I2" s="13"/>
      <c r="J2" s="15"/>
      <c r="K2" s="31"/>
      <c r="L2" s="261" t="s">
        <v>240</v>
      </c>
      <c r="M2" s="262"/>
      <c r="N2" s="262"/>
      <c r="O2" s="262"/>
      <c r="P2" s="262"/>
      <c r="Q2" s="262"/>
      <c r="R2" s="262"/>
      <c r="S2" s="262"/>
      <c r="T2" s="262"/>
      <c r="U2" s="262"/>
      <c r="V2" s="262"/>
      <c r="W2" s="263"/>
      <c r="X2" s="31"/>
      <c r="Y2" s="272" t="s">
        <v>90</v>
      </c>
    </row>
    <row r="3" spans="2:41" ht="13.5" customHeight="1" x14ac:dyDescent="0.25">
      <c r="B3" s="16"/>
      <c r="C3" s="17"/>
      <c r="D3" s="17"/>
      <c r="E3" s="17"/>
      <c r="F3" s="18"/>
      <c r="G3" s="17"/>
      <c r="H3" s="17"/>
      <c r="I3" s="17"/>
      <c r="J3" s="19"/>
      <c r="K3" s="31"/>
      <c r="L3" s="264" t="s">
        <v>164</v>
      </c>
      <c r="M3" s="265"/>
      <c r="N3" s="265"/>
      <c r="O3" s="265" t="s">
        <v>165</v>
      </c>
      <c r="P3" s="265"/>
      <c r="Q3" s="265"/>
      <c r="R3" s="265"/>
      <c r="S3" s="265"/>
      <c r="T3" s="265"/>
      <c r="U3" s="265" t="s">
        <v>30</v>
      </c>
      <c r="V3" s="265"/>
      <c r="W3" s="266"/>
      <c r="X3" s="31"/>
      <c r="Y3" s="272" t="s">
        <v>83</v>
      </c>
    </row>
    <row r="4" spans="2:41" s="70" customFormat="1" ht="18" customHeight="1" x14ac:dyDescent="0.3">
      <c r="B4" s="67"/>
      <c r="C4" s="60" t="s">
        <v>236</v>
      </c>
      <c r="D4" s="68"/>
      <c r="E4" s="68"/>
      <c r="F4" s="62" t="str">
        <f>tabellen!B2</f>
        <v>2015/2016</v>
      </c>
      <c r="G4" s="61"/>
      <c r="H4" s="68"/>
      <c r="I4" s="68"/>
      <c r="J4" s="69"/>
      <c r="K4" s="255"/>
      <c r="L4" s="264" t="str">
        <f t="shared" ref="L4:L49" si="0">+$F$30</f>
        <v>LB</v>
      </c>
      <c r="M4" s="265">
        <f>+$F$31+W4</f>
        <v>12</v>
      </c>
      <c r="N4" s="265"/>
      <c r="O4" s="265" t="str">
        <f t="shared" ref="O4:O49" si="1">+$F$16</f>
        <v>LA</v>
      </c>
      <c r="P4" s="265">
        <f>+$F$17+W4</f>
        <v>14</v>
      </c>
      <c r="Q4" s="265"/>
      <c r="R4" s="267">
        <f t="shared" ref="R4:R49" si="2">IF(W4+1&gt;$F$45,0,IF(M4&gt;$H$31,VLOOKUP($L4,salaristabellen,$H$31+1,FALSE),VLOOKUP($L4,salaristabellen,M4+1,FALSE))*12*(1+F$43))</f>
        <v>63116.639999999992</v>
      </c>
      <c r="S4" s="267">
        <f t="shared" ref="S4:S49" si="3">IF(W4+1&gt;$F$45,0,IF(P4&gt;$H$17,VLOOKUP($O4,salaristabellen,$H$17+1,FALSE),VLOOKUP($O4,salaristabellen,P4+1,FALSE))*12*(1+F$43))</f>
        <v>61742.879999999997</v>
      </c>
      <c r="T4" s="265"/>
      <c r="U4" s="267">
        <f t="shared" ref="U4:U49" si="4">+R4-S4</f>
        <v>1373.7599999999948</v>
      </c>
      <c r="V4" s="265"/>
      <c r="W4" s="266">
        <v>0</v>
      </c>
      <c r="X4" s="255"/>
      <c r="Y4" s="272" t="s">
        <v>84</v>
      </c>
      <c r="AF4" s="71"/>
      <c r="AG4" s="71"/>
      <c r="AH4" s="71"/>
      <c r="AI4" s="71"/>
      <c r="AJ4" s="71"/>
      <c r="AK4" s="71"/>
      <c r="AL4" s="71"/>
      <c r="AM4" s="71"/>
      <c r="AN4" s="71"/>
      <c r="AO4" s="71"/>
    </row>
    <row r="5" spans="2:41" s="50" customFormat="1" ht="13.5" customHeight="1" x14ac:dyDescent="0.25">
      <c r="B5" s="52"/>
      <c r="C5" s="53" t="s">
        <v>152</v>
      </c>
      <c r="D5" s="53"/>
      <c r="E5" s="53"/>
      <c r="F5" s="55"/>
      <c r="G5" s="53"/>
      <c r="H5" s="53"/>
      <c r="I5" s="53"/>
      <c r="J5" s="54"/>
      <c r="K5" s="256"/>
      <c r="L5" s="264" t="str">
        <f t="shared" si="0"/>
        <v>LB</v>
      </c>
      <c r="M5" s="265">
        <f t="shared" ref="M5:M49" si="5">+$F$31+W5</f>
        <v>13</v>
      </c>
      <c r="N5" s="265"/>
      <c r="O5" s="265" t="str">
        <f t="shared" si="1"/>
        <v>LA</v>
      </c>
      <c r="P5" s="265">
        <f t="shared" ref="P5:P49" si="6">+$F$17+W5</f>
        <v>15</v>
      </c>
      <c r="Q5" s="265"/>
      <c r="R5" s="267">
        <f t="shared" si="2"/>
        <v>65348.999999999993</v>
      </c>
      <c r="S5" s="267">
        <f t="shared" si="3"/>
        <v>63212.039999999994</v>
      </c>
      <c r="T5" s="265"/>
      <c r="U5" s="267">
        <f t="shared" si="4"/>
        <v>2136.9599999999991</v>
      </c>
      <c r="V5" s="265"/>
      <c r="W5" s="266">
        <v>1</v>
      </c>
      <c r="X5" s="256"/>
      <c r="Y5" s="272" t="s">
        <v>85</v>
      </c>
      <c r="AF5" s="51"/>
      <c r="AG5" s="51"/>
      <c r="AH5" s="51"/>
      <c r="AI5" s="51"/>
      <c r="AJ5" s="51"/>
      <c r="AK5" s="51"/>
      <c r="AL5" s="51"/>
      <c r="AM5" s="51"/>
      <c r="AN5" s="51"/>
      <c r="AO5" s="51"/>
    </row>
    <row r="6" spans="2:41" ht="13.5" customHeight="1" x14ac:dyDescent="0.25">
      <c r="B6" s="16"/>
      <c r="C6" s="276" t="s">
        <v>253</v>
      </c>
      <c r="D6" s="28"/>
      <c r="E6" s="17"/>
      <c r="F6" s="18"/>
      <c r="G6" s="17"/>
      <c r="H6" s="17"/>
      <c r="I6" s="17"/>
      <c r="J6" s="19"/>
      <c r="K6" s="31"/>
      <c r="L6" s="264" t="str">
        <f t="shared" si="0"/>
        <v>LB</v>
      </c>
      <c r="M6" s="265">
        <f t="shared" si="5"/>
        <v>14</v>
      </c>
      <c r="N6" s="265"/>
      <c r="O6" s="265" t="str">
        <f t="shared" si="1"/>
        <v>LA</v>
      </c>
      <c r="P6" s="265">
        <f t="shared" si="6"/>
        <v>16</v>
      </c>
      <c r="Q6" s="265"/>
      <c r="R6" s="267">
        <f t="shared" si="2"/>
        <v>67657.679999999993</v>
      </c>
      <c r="S6" s="267">
        <f t="shared" si="3"/>
        <v>63212.039999999994</v>
      </c>
      <c r="T6" s="265"/>
      <c r="U6" s="267">
        <f t="shared" si="4"/>
        <v>4445.6399999999994</v>
      </c>
      <c r="V6" s="265"/>
      <c r="W6" s="266">
        <v>2</v>
      </c>
      <c r="X6" s="31"/>
      <c r="Y6" s="272" t="s">
        <v>86</v>
      </c>
      <c r="AF6" s="3"/>
      <c r="AG6" s="3"/>
      <c r="AH6" s="3"/>
      <c r="AI6" s="3"/>
      <c r="AJ6" s="3"/>
      <c r="AK6" s="3"/>
      <c r="AL6" s="3"/>
      <c r="AM6" s="3"/>
      <c r="AN6" s="3"/>
      <c r="AO6" s="3"/>
    </row>
    <row r="7" spans="2:41" ht="13.5" customHeight="1" x14ac:dyDescent="0.25">
      <c r="B7" s="16"/>
      <c r="C7" s="17"/>
      <c r="D7" s="28"/>
      <c r="E7" s="17"/>
      <c r="F7" s="18"/>
      <c r="G7" s="17"/>
      <c r="H7" s="17"/>
      <c r="I7" s="17"/>
      <c r="J7" s="19"/>
      <c r="K7" s="31"/>
      <c r="L7" s="264" t="str">
        <f t="shared" si="0"/>
        <v>LB</v>
      </c>
      <c r="M7" s="265">
        <f t="shared" si="5"/>
        <v>15</v>
      </c>
      <c r="N7" s="265"/>
      <c r="O7" s="265" t="str">
        <f t="shared" si="1"/>
        <v>LA</v>
      </c>
      <c r="P7" s="265">
        <f t="shared" si="6"/>
        <v>17</v>
      </c>
      <c r="Q7" s="265"/>
      <c r="R7" s="267">
        <f t="shared" si="2"/>
        <v>69451.199999999997</v>
      </c>
      <c r="S7" s="267">
        <f t="shared" si="3"/>
        <v>63212.039999999994</v>
      </c>
      <c r="T7" s="265"/>
      <c r="U7" s="267">
        <f t="shared" si="4"/>
        <v>6239.1600000000035</v>
      </c>
      <c r="V7" s="265"/>
      <c r="W7" s="266">
        <v>3</v>
      </c>
      <c r="X7" s="31"/>
      <c r="Y7" s="272" t="s">
        <v>87</v>
      </c>
      <c r="AF7" s="3"/>
      <c r="AG7" s="3"/>
      <c r="AH7" s="3"/>
      <c r="AI7" s="3"/>
      <c r="AJ7" s="3"/>
      <c r="AK7" s="3"/>
      <c r="AL7" s="3"/>
      <c r="AM7" s="3"/>
      <c r="AN7" s="3"/>
      <c r="AO7" s="3"/>
    </row>
    <row r="8" spans="2:41" ht="13.5" customHeight="1" x14ac:dyDescent="0.25">
      <c r="B8" s="16"/>
      <c r="C8" s="21"/>
      <c r="D8" s="24"/>
      <c r="E8" s="21"/>
      <c r="F8" s="22"/>
      <c r="G8" s="21"/>
      <c r="H8" s="21"/>
      <c r="I8" s="21"/>
      <c r="J8" s="19"/>
      <c r="K8" s="31"/>
      <c r="L8" s="264" t="str">
        <f t="shared" si="0"/>
        <v>LB</v>
      </c>
      <c r="M8" s="265">
        <f t="shared" si="5"/>
        <v>16</v>
      </c>
      <c r="N8" s="265"/>
      <c r="O8" s="265" t="str">
        <f t="shared" si="1"/>
        <v>LA</v>
      </c>
      <c r="P8" s="265">
        <f t="shared" si="6"/>
        <v>18</v>
      </c>
      <c r="Q8" s="265"/>
      <c r="R8" s="267">
        <f t="shared" si="2"/>
        <v>69451.199999999997</v>
      </c>
      <c r="S8" s="267">
        <f t="shared" si="3"/>
        <v>63212.039999999994</v>
      </c>
      <c r="T8" s="265"/>
      <c r="U8" s="267">
        <f t="shared" si="4"/>
        <v>6239.1600000000035</v>
      </c>
      <c r="V8" s="265"/>
      <c r="W8" s="266">
        <v>4</v>
      </c>
      <c r="X8" s="31"/>
      <c r="Y8" s="272" t="s">
        <v>88</v>
      </c>
      <c r="AF8" s="3"/>
      <c r="AG8" s="3"/>
      <c r="AH8" s="3"/>
      <c r="AI8" s="3"/>
      <c r="AJ8" s="3"/>
      <c r="AK8" s="3"/>
      <c r="AL8" s="3"/>
      <c r="AM8" s="3"/>
      <c r="AN8" s="3"/>
      <c r="AO8" s="3"/>
    </row>
    <row r="9" spans="2:41" ht="13.5" customHeight="1" x14ac:dyDescent="0.25">
      <c r="B9" s="16"/>
      <c r="C9" s="21"/>
      <c r="D9" s="21" t="s">
        <v>123</v>
      </c>
      <c r="E9" s="21"/>
      <c r="F9" s="671" t="s">
        <v>32</v>
      </c>
      <c r="G9" s="671"/>
      <c r="H9" s="21"/>
      <c r="I9" s="21"/>
      <c r="J9" s="19"/>
      <c r="K9" s="31"/>
      <c r="L9" s="264" t="str">
        <f t="shared" si="0"/>
        <v>LB</v>
      </c>
      <c r="M9" s="265">
        <f t="shared" si="5"/>
        <v>17</v>
      </c>
      <c r="N9" s="265"/>
      <c r="O9" s="265" t="str">
        <f t="shared" si="1"/>
        <v>LA</v>
      </c>
      <c r="P9" s="265">
        <f t="shared" si="6"/>
        <v>19</v>
      </c>
      <c r="Q9" s="265"/>
      <c r="R9" s="267">
        <f t="shared" si="2"/>
        <v>69451.199999999997</v>
      </c>
      <c r="S9" s="267">
        <f t="shared" si="3"/>
        <v>63212.039999999994</v>
      </c>
      <c r="T9" s="265"/>
      <c r="U9" s="267">
        <f t="shared" si="4"/>
        <v>6239.1600000000035</v>
      </c>
      <c r="V9" s="265"/>
      <c r="W9" s="266">
        <v>5</v>
      </c>
      <c r="X9" s="31"/>
      <c r="Y9" s="272" t="s">
        <v>89</v>
      </c>
      <c r="AF9" s="3"/>
      <c r="AG9" s="3"/>
      <c r="AH9" s="3"/>
      <c r="AI9" s="3"/>
      <c r="AJ9" s="3"/>
      <c r="AK9" s="3"/>
      <c r="AL9" s="3"/>
      <c r="AM9" s="3"/>
      <c r="AN9" s="3"/>
      <c r="AO9" s="3"/>
    </row>
    <row r="10" spans="2:41" ht="13.5" customHeight="1" x14ac:dyDescent="0.25">
      <c r="B10" s="16"/>
      <c r="C10" s="21"/>
      <c r="D10" s="21" t="s">
        <v>255</v>
      </c>
      <c r="E10" s="21"/>
      <c r="F10" s="277" t="s">
        <v>74</v>
      </c>
      <c r="G10" s="278"/>
      <c r="H10" s="21"/>
      <c r="I10" s="21"/>
      <c r="J10" s="19"/>
      <c r="K10" s="31"/>
      <c r="L10" s="264" t="str">
        <f t="shared" si="0"/>
        <v>LB</v>
      </c>
      <c r="M10" s="265">
        <f t="shared" si="5"/>
        <v>18</v>
      </c>
      <c r="N10" s="265"/>
      <c r="O10" s="265" t="str">
        <f t="shared" si="1"/>
        <v>LA</v>
      </c>
      <c r="P10" s="265">
        <f t="shared" si="6"/>
        <v>20</v>
      </c>
      <c r="Q10" s="265"/>
      <c r="R10" s="267">
        <f t="shared" si="2"/>
        <v>69451.199999999997</v>
      </c>
      <c r="S10" s="267">
        <f t="shared" si="3"/>
        <v>63212.039999999994</v>
      </c>
      <c r="T10" s="265"/>
      <c r="U10" s="267">
        <f t="shared" si="4"/>
        <v>6239.1600000000035</v>
      </c>
      <c r="V10" s="265"/>
      <c r="W10" s="266">
        <v>6</v>
      </c>
      <c r="X10" s="31"/>
      <c r="Y10" s="272" t="s">
        <v>3</v>
      </c>
      <c r="AF10" s="3"/>
      <c r="AG10" s="3"/>
      <c r="AH10" s="3"/>
      <c r="AI10" s="3"/>
      <c r="AJ10" s="3"/>
      <c r="AK10" s="3"/>
      <c r="AL10" s="3"/>
      <c r="AM10" s="3"/>
      <c r="AN10" s="3"/>
      <c r="AO10" s="3"/>
    </row>
    <row r="11" spans="2:41" ht="13.5" customHeight="1" x14ac:dyDescent="0.25">
      <c r="B11" s="16"/>
      <c r="C11" s="21"/>
      <c r="D11" s="24"/>
      <c r="E11" s="21"/>
      <c r="F11" s="26"/>
      <c r="G11" s="42"/>
      <c r="H11" s="21"/>
      <c r="I11" s="21"/>
      <c r="J11" s="19"/>
      <c r="K11" s="31"/>
      <c r="L11" s="264" t="str">
        <f t="shared" si="0"/>
        <v>LB</v>
      </c>
      <c r="M11" s="265">
        <f t="shared" si="5"/>
        <v>19</v>
      </c>
      <c r="N11" s="265"/>
      <c r="O11" s="265" t="str">
        <f t="shared" si="1"/>
        <v>LA</v>
      </c>
      <c r="P11" s="265">
        <f t="shared" si="6"/>
        <v>21</v>
      </c>
      <c r="Q11" s="265"/>
      <c r="R11" s="267">
        <f t="shared" si="2"/>
        <v>69451.199999999997</v>
      </c>
      <c r="S11" s="267">
        <f t="shared" si="3"/>
        <v>63212.039999999994</v>
      </c>
      <c r="T11" s="265"/>
      <c r="U11" s="267">
        <f t="shared" si="4"/>
        <v>6239.1600000000035</v>
      </c>
      <c r="V11" s="265"/>
      <c r="W11" s="266">
        <v>7</v>
      </c>
      <c r="X11" s="31"/>
      <c r="Y11" s="272" t="s">
        <v>4</v>
      </c>
      <c r="AF11" s="3"/>
      <c r="AG11" s="3"/>
      <c r="AH11" s="3"/>
      <c r="AI11" s="3"/>
      <c r="AJ11" s="3"/>
      <c r="AK11" s="3"/>
      <c r="AL11" s="3"/>
      <c r="AM11" s="3"/>
      <c r="AN11" s="3"/>
      <c r="AO11" s="3"/>
    </row>
    <row r="12" spans="2:41" ht="13.5" customHeight="1" x14ac:dyDescent="0.25">
      <c r="B12" s="16"/>
      <c r="C12" s="17"/>
      <c r="D12" s="28"/>
      <c r="E12" s="17"/>
      <c r="F12" s="25"/>
      <c r="G12" s="57"/>
      <c r="H12" s="17"/>
      <c r="I12" s="17"/>
      <c r="J12" s="19"/>
      <c r="K12" s="31"/>
      <c r="L12" s="264" t="str">
        <f t="shared" si="0"/>
        <v>LB</v>
      </c>
      <c r="M12" s="265">
        <f t="shared" si="5"/>
        <v>20</v>
      </c>
      <c r="N12" s="265"/>
      <c r="O12" s="265" t="str">
        <f t="shared" si="1"/>
        <v>LA</v>
      </c>
      <c r="P12" s="265">
        <f t="shared" si="6"/>
        <v>22</v>
      </c>
      <c r="Q12" s="265"/>
      <c r="R12" s="267">
        <f t="shared" si="2"/>
        <v>69451.199999999997</v>
      </c>
      <c r="S12" s="267">
        <f t="shared" si="3"/>
        <v>63212.039999999994</v>
      </c>
      <c r="T12" s="265"/>
      <c r="U12" s="267">
        <f t="shared" si="4"/>
        <v>6239.1600000000035</v>
      </c>
      <c r="V12" s="265"/>
      <c r="W12" s="266">
        <v>8</v>
      </c>
      <c r="X12" s="31"/>
      <c r="Y12" s="272" t="s">
        <v>5</v>
      </c>
      <c r="AF12" s="3"/>
      <c r="AG12" s="3"/>
      <c r="AH12" s="3"/>
      <c r="AI12" s="3"/>
      <c r="AJ12" s="3"/>
      <c r="AK12" s="3"/>
      <c r="AL12" s="3"/>
      <c r="AM12" s="3"/>
      <c r="AN12" s="3"/>
      <c r="AO12" s="3"/>
    </row>
    <row r="13" spans="2:41" ht="13.5" customHeight="1" x14ac:dyDescent="0.25">
      <c r="B13" s="16"/>
      <c r="C13" s="106"/>
      <c r="D13" s="132"/>
      <c r="E13" s="107"/>
      <c r="F13" s="237"/>
      <c r="G13" s="238"/>
      <c r="H13" s="107"/>
      <c r="I13" s="110"/>
      <c r="J13" s="19"/>
      <c r="K13" s="31"/>
      <c r="L13" s="264" t="str">
        <f t="shared" si="0"/>
        <v>LB</v>
      </c>
      <c r="M13" s="265">
        <f t="shared" si="5"/>
        <v>21</v>
      </c>
      <c r="N13" s="265"/>
      <c r="O13" s="265" t="str">
        <f t="shared" si="1"/>
        <v>LA</v>
      </c>
      <c r="P13" s="265">
        <f t="shared" si="6"/>
        <v>23</v>
      </c>
      <c r="Q13" s="265"/>
      <c r="R13" s="267">
        <f t="shared" si="2"/>
        <v>69451.199999999997</v>
      </c>
      <c r="S13" s="267">
        <f t="shared" si="3"/>
        <v>63212.039999999994</v>
      </c>
      <c r="T13" s="265"/>
      <c r="U13" s="267">
        <f t="shared" si="4"/>
        <v>6239.1600000000035</v>
      </c>
      <c r="V13" s="265"/>
      <c r="W13" s="266">
        <v>9</v>
      </c>
      <c r="X13" s="31"/>
      <c r="Y13" s="272" t="s">
        <v>6</v>
      </c>
      <c r="AF13" s="3"/>
      <c r="AG13" s="3"/>
      <c r="AH13" s="3"/>
      <c r="AI13" s="3"/>
      <c r="AJ13" s="3"/>
      <c r="AK13" s="3"/>
      <c r="AL13" s="3"/>
      <c r="AM13" s="3"/>
      <c r="AN13" s="3"/>
      <c r="AO13" s="3"/>
    </row>
    <row r="14" spans="2:41" ht="13.5" customHeight="1" x14ac:dyDescent="0.25">
      <c r="B14" s="16"/>
      <c r="C14" s="111"/>
      <c r="D14" s="112" t="s">
        <v>153</v>
      </c>
      <c r="E14" s="114"/>
      <c r="F14" s="127"/>
      <c r="G14" s="115"/>
      <c r="H14" s="114"/>
      <c r="I14" s="116"/>
      <c r="J14" s="19"/>
      <c r="K14" s="31"/>
      <c r="L14" s="264" t="str">
        <f t="shared" si="0"/>
        <v>LB</v>
      </c>
      <c r="M14" s="265">
        <f t="shared" si="5"/>
        <v>22</v>
      </c>
      <c r="N14" s="265"/>
      <c r="O14" s="265" t="str">
        <f t="shared" si="1"/>
        <v>LA</v>
      </c>
      <c r="P14" s="265">
        <f t="shared" si="6"/>
        <v>24</v>
      </c>
      <c r="Q14" s="265"/>
      <c r="R14" s="267">
        <f t="shared" si="2"/>
        <v>69451.199999999997</v>
      </c>
      <c r="S14" s="267">
        <f t="shared" si="3"/>
        <v>63212.039999999994</v>
      </c>
      <c r="T14" s="265"/>
      <c r="U14" s="267">
        <f t="shared" si="4"/>
        <v>6239.1600000000035</v>
      </c>
      <c r="V14" s="265"/>
      <c r="W14" s="266">
        <v>10</v>
      </c>
      <c r="X14" s="31"/>
      <c r="Y14" s="272" t="s">
        <v>7</v>
      </c>
      <c r="AF14" s="3"/>
      <c r="AG14" s="3"/>
      <c r="AH14" s="3"/>
      <c r="AI14" s="3"/>
      <c r="AJ14" s="3"/>
      <c r="AK14" s="3"/>
      <c r="AL14" s="3"/>
      <c r="AM14" s="3"/>
      <c r="AN14" s="3"/>
      <c r="AO14" s="3"/>
    </row>
    <row r="15" spans="2:41" ht="13.5" customHeight="1" x14ac:dyDescent="0.25">
      <c r="B15" s="16"/>
      <c r="C15" s="111"/>
      <c r="D15" s="112"/>
      <c r="E15" s="114"/>
      <c r="F15" s="127"/>
      <c r="G15" s="115"/>
      <c r="H15" s="114"/>
      <c r="I15" s="116"/>
      <c r="J15" s="19"/>
      <c r="K15" s="31"/>
      <c r="L15" s="264" t="str">
        <f t="shared" si="0"/>
        <v>LB</v>
      </c>
      <c r="M15" s="265">
        <f t="shared" si="5"/>
        <v>23</v>
      </c>
      <c r="N15" s="265"/>
      <c r="O15" s="265" t="str">
        <f t="shared" si="1"/>
        <v>LA</v>
      </c>
      <c r="P15" s="265">
        <f t="shared" si="6"/>
        <v>25</v>
      </c>
      <c r="Q15" s="265"/>
      <c r="R15" s="267">
        <f t="shared" si="2"/>
        <v>69451.199999999997</v>
      </c>
      <c r="S15" s="267">
        <f t="shared" si="3"/>
        <v>63212.039999999994</v>
      </c>
      <c r="T15" s="265"/>
      <c r="U15" s="267">
        <f t="shared" si="4"/>
        <v>6239.1600000000035</v>
      </c>
      <c r="V15" s="265"/>
      <c r="W15" s="266">
        <v>11</v>
      </c>
      <c r="X15" s="31"/>
      <c r="Y15" s="272" t="s">
        <v>8</v>
      </c>
      <c r="AF15" s="3"/>
      <c r="AG15" s="3"/>
      <c r="AH15" s="3"/>
      <c r="AI15" s="3"/>
      <c r="AJ15" s="3"/>
      <c r="AK15" s="3"/>
      <c r="AL15" s="3"/>
      <c r="AM15" s="3"/>
      <c r="AN15" s="3"/>
      <c r="AO15" s="3"/>
    </row>
    <row r="16" spans="2:41" ht="13.5" customHeight="1" x14ac:dyDescent="0.25">
      <c r="B16" s="16"/>
      <c r="C16" s="111"/>
      <c r="D16" s="114" t="s">
        <v>21</v>
      </c>
      <c r="E16" s="114"/>
      <c r="F16" s="239" t="s">
        <v>0</v>
      </c>
      <c r="G16" s="114"/>
      <c r="H16" s="114"/>
      <c r="I16" s="116"/>
      <c r="J16" s="19"/>
      <c r="K16" s="31"/>
      <c r="L16" s="264" t="str">
        <f t="shared" si="0"/>
        <v>LB</v>
      </c>
      <c r="M16" s="265">
        <f t="shared" si="5"/>
        <v>24</v>
      </c>
      <c r="N16" s="265"/>
      <c r="O16" s="265" t="str">
        <f t="shared" si="1"/>
        <v>LA</v>
      </c>
      <c r="P16" s="265">
        <f t="shared" si="6"/>
        <v>26</v>
      </c>
      <c r="Q16" s="265"/>
      <c r="R16" s="267">
        <f t="shared" si="2"/>
        <v>69451.199999999997</v>
      </c>
      <c r="S16" s="267">
        <f t="shared" si="3"/>
        <v>63212.039999999994</v>
      </c>
      <c r="T16" s="265"/>
      <c r="U16" s="267">
        <f t="shared" si="4"/>
        <v>6239.1600000000035</v>
      </c>
      <c r="V16" s="265"/>
      <c r="W16" s="266">
        <v>12</v>
      </c>
      <c r="X16" s="31"/>
      <c r="Y16" s="272" t="s">
        <v>9</v>
      </c>
      <c r="AF16" s="3"/>
      <c r="AG16" s="3"/>
      <c r="AH16" s="3"/>
      <c r="AI16" s="3"/>
      <c r="AJ16" s="3"/>
      <c r="AK16" s="3"/>
      <c r="AL16" s="3"/>
      <c r="AM16" s="3"/>
      <c r="AN16" s="3"/>
      <c r="AO16" s="3"/>
    </row>
    <row r="17" spans="2:41" ht="13.5" customHeight="1" x14ac:dyDescent="0.25">
      <c r="B17" s="16"/>
      <c r="C17" s="111"/>
      <c r="D17" s="114" t="s">
        <v>22</v>
      </c>
      <c r="E17" s="114"/>
      <c r="F17" s="118">
        <v>14</v>
      </c>
      <c r="G17" s="218" t="s">
        <v>154</v>
      </c>
      <c r="H17" s="219">
        <f>VLOOKUP(F$16,salaristabellen,22,FALSE)</f>
        <v>15</v>
      </c>
      <c r="I17" s="116"/>
      <c r="J17" s="19"/>
      <c r="K17" s="31"/>
      <c r="L17" s="264" t="str">
        <f t="shared" si="0"/>
        <v>LB</v>
      </c>
      <c r="M17" s="265">
        <f t="shared" si="5"/>
        <v>25</v>
      </c>
      <c r="N17" s="265"/>
      <c r="O17" s="265" t="str">
        <f t="shared" si="1"/>
        <v>LA</v>
      </c>
      <c r="P17" s="265">
        <f t="shared" si="6"/>
        <v>27</v>
      </c>
      <c r="Q17" s="265"/>
      <c r="R17" s="267">
        <f t="shared" si="2"/>
        <v>69451.199999999997</v>
      </c>
      <c r="S17" s="267">
        <f t="shared" si="3"/>
        <v>63212.039999999994</v>
      </c>
      <c r="T17" s="265"/>
      <c r="U17" s="267">
        <f t="shared" si="4"/>
        <v>6239.1600000000035</v>
      </c>
      <c r="V17" s="265"/>
      <c r="W17" s="266">
        <v>13</v>
      </c>
      <c r="X17" s="31"/>
      <c r="Y17" s="272" t="s">
        <v>10</v>
      </c>
      <c r="AF17" s="3"/>
      <c r="AG17" s="3"/>
      <c r="AH17" s="3"/>
      <c r="AI17" s="3"/>
      <c r="AJ17" s="3"/>
      <c r="AK17" s="3"/>
      <c r="AL17" s="3"/>
      <c r="AM17" s="3"/>
      <c r="AN17" s="3"/>
      <c r="AO17" s="3"/>
    </row>
    <row r="18" spans="2:41" ht="13.5" customHeight="1" x14ac:dyDescent="0.25">
      <c r="B18" s="16"/>
      <c r="C18" s="111"/>
      <c r="D18" s="114" t="s">
        <v>24</v>
      </c>
      <c r="E18" s="114"/>
      <c r="F18" s="240">
        <f>VLOOKUP(F16,salaristabellen,IF(F17&gt;15,16,F17+1),FALSE)</f>
        <v>3236</v>
      </c>
      <c r="G18" s="241"/>
      <c r="H18" s="242"/>
      <c r="I18" s="116"/>
      <c r="J18" s="19"/>
      <c r="K18" s="31"/>
      <c r="L18" s="264" t="str">
        <f t="shared" si="0"/>
        <v>LB</v>
      </c>
      <c r="M18" s="265">
        <f t="shared" si="5"/>
        <v>26</v>
      </c>
      <c r="N18" s="265"/>
      <c r="O18" s="265" t="str">
        <f t="shared" si="1"/>
        <v>LA</v>
      </c>
      <c r="P18" s="265">
        <f t="shared" si="6"/>
        <v>28</v>
      </c>
      <c r="Q18" s="265"/>
      <c r="R18" s="267">
        <f t="shared" si="2"/>
        <v>69451.199999999997</v>
      </c>
      <c r="S18" s="267">
        <f t="shared" si="3"/>
        <v>63212.039999999994</v>
      </c>
      <c r="T18" s="265"/>
      <c r="U18" s="267">
        <f t="shared" si="4"/>
        <v>6239.1600000000035</v>
      </c>
      <c r="V18" s="265"/>
      <c r="W18" s="266">
        <v>14</v>
      </c>
      <c r="X18" s="31"/>
      <c r="Y18" s="272" t="s">
        <v>11</v>
      </c>
      <c r="AF18" s="3"/>
      <c r="AG18" s="3"/>
      <c r="AH18" s="3"/>
      <c r="AI18" s="3"/>
      <c r="AJ18" s="3"/>
      <c r="AK18" s="3"/>
      <c r="AL18" s="3"/>
      <c r="AM18" s="3"/>
      <c r="AN18" s="3"/>
      <c r="AO18" s="3"/>
    </row>
    <row r="19" spans="2:41" ht="13.5" customHeight="1" x14ac:dyDescent="0.25">
      <c r="B19" s="16"/>
      <c r="C19" s="111"/>
      <c r="D19" s="114" t="s">
        <v>256</v>
      </c>
      <c r="E19" s="114"/>
      <c r="F19" s="240">
        <f>IF(F17=H17,VLOOKUP(F10,bindingstoelage,3,FALSE),0)+IF(F17=H17,IF(F16="LA",tabellen!C72,IF(F16="LB",tabellen!C73,IF(F16="LC",tabellen!C74,IF(F16="LD",tabellen!C75,0)))),0)+IF(F17=H17,IF(OR(F16="LA",F16="LB"),tabellen!C77,0),0)</f>
        <v>0</v>
      </c>
      <c r="G19" s="241"/>
      <c r="H19" s="242"/>
      <c r="I19" s="116"/>
      <c r="J19" s="19"/>
      <c r="K19" s="31"/>
      <c r="L19" s="264" t="str">
        <f t="shared" si="0"/>
        <v>LB</v>
      </c>
      <c r="M19" s="265">
        <f t="shared" si="5"/>
        <v>27</v>
      </c>
      <c r="N19" s="265"/>
      <c r="O19" s="265" t="str">
        <f t="shared" si="1"/>
        <v>LA</v>
      </c>
      <c r="P19" s="265">
        <f t="shared" si="6"/>
        <v>29</v>
      </c>
      <c r="Q19" s="265"/>
      <c r="R19" s="267">
        <f t="shared" si="2"/>
        <v>69451.199999999997</v>
      </c>
      <c r="S19" s="267">
        <f t="shared" si="3"/>
        <v>63212.039999999994</v>
      </c>
      <c r="T19" s="265"/>
      <c r="U19" s="267">
        <f t="shared" si="4"/>
        <v>6239.1600000000035</v>
      </c>
      <c r="V19" s="265"/>
      <c r="W19" s="266">
        <v>15</v>
      </c>
      <c r="X19" s="31"/>
      <c r="Y19" s="272" t="s">
        <v>12</v>
      </c>
      <c r="AF19" s="3"/>
      <c r="AG19" s="3"/>
      <c r="AH19" s="3"/>
      <c r="AI19" s="3"/>
      <c r="AJ19" s="3"/>
      <c r="AK19" s="3"/>
      <c r="AL19" s="3"/>
      <c r="AM19" s="3"/>
      <c r="AN19" s="3"/>
      <c r="AO19" s="3"/>
    </row>
    <row r="20" spans="2:41" ht="13.5" customHeight="1" x14ac:dyDescent="0.25">
      <c r="B20" s="16"/>
      <c r="C20" s="111"/>
      <c r="D20" s="120" t="s">
        <v>25</v>
      </c>
      <c r="E20" s="114"/>
      <c r="F20" s="220">
        <v>1</v>
      </c>
      <c r="G20" s="218"/>
      <c r="H20" s="219"/>
      <c r="I20" s="116"/>
      <c r="J20" s="19"/>
      <c r="K20" s="31"/>
      <c r="L20" s="264" t="str">
        <f t="shared" si="0"/>
        <v>LB</v>
      </c>
      <c r="M20" s="265">
        <f t="shared" si="5"/>
        <v>28</v>
      </c>
      <c r="N20" s="265"/>
      <c r="O20" s="265" t="str">
        <f t="shared" si="1"/>
        <v>LA</v>
      </c>
      <c r="P20" s="265">
        <f t="shared" si="6"/>
        <v>30</v>
      </c>
      <c r="Q20" s="265"/>
      <c r="R20" s="267">
        <f t="shared" si="2"/>
        <v>69451.199999999997</v>
      </c>
      <c r="S20" s="267">
        <f t="shared" si="3"/>
        <v>63212.039999999994</v>
      </c>
      <c r="T20" s="265"/>
      <c r="U20" s="267">
        <f t="shared" si="4"/>
        <v>6239.1600000000035</v>
      </c>
      <c r="V20" s="265"/>
      <c r="W20" s="266">
        <v>16</v>
      </c>
      <c r="X20" s="31"/>
      <c r="Y20" s="272" t="s">
        <v>13</v>
      </c>
      <c r="AF20" s="3"/>
      <c r="AG20" s="3"/>
      <c r="AH20" s="3"/>
      <c r="AI20" s="3"/>
      <c r="AJ20" s="3"/>
      <c r="AK20" s="3"/>
      <c r="AL20" s="3"/>
      <c r="AM20" s="3"/>
      <c r="AN20" s="3"/>
      <c r="AO20" s="3"/>
    </row>
    <row r="21" spans="2:41" ht="13.5" customHeight="1" x14ac:dyDescent="0.25">
      <c r="B21" s="16"/>
      <c r="C21" s="111"/>
      <c r="D21" s="114" t="s">
        <v>26</v>
      </c>
      <c r="E21" s="114"/>
      <c r="F21" s="169">
        <f>ROUND(+(F18+F19)*F20,2)</f>
        <v>3236</v>
      </c>
      <c r="G21" s="218"/>
      <c r="H21" s="219"/>
      <c r="I21" s="116"/>
      <c r="J21" s="19"/>
      <c r="K21" s="31"/>
      <c r="L21" s="264" t="str">
        <f t="shared" si="0"/>
        <v>LB</v>
      </c>
      <c r="M21" s="265">
        <f t="shared" si="5"/>
        <v>29</v>
      </c>
      <c r="N21" s="265"/>
      <c r="O21" s="265" t="str">
        <f t="shared" si="1"/>
        <v>LA</v>
      </c>
      <c r="P21" s="265">
        <f t="shared" si="6"/>
        <v>31</v>
      </c>
      <c r="Q21" s="265"/>
      <c r="R21" s="267">
        <f t="shared" si="2"/>
        <v>69451.199999999997</v>
      </c>
      <c r="S21" s="267">
        <f t="shared" si="3"/>
        <v>63212.039999999994</v>
      </c>
      <c r="T21" s="265"/>
      <c r="U21" s="267">
        <f t="shared" si="4"/>
        <v>6239.1600000000035</v>
      </c>
      <c r="V21" s="265"/>
      <c r="W21" s="266">
        <v>17</v>
      </c>
      <c r="X21" s="31"/>
      <c r="Y21" s="272" t="s">
        <v>14</v>
      </c>
      <c r="AF21" s="3"/>
      <c r="AG21" s="3"/>
      <c r="AH21" s="3"/>
      <c r="AI21" s="3"/>
      <c r="AJ21" s="3"/>
      <c r="AK21" s="3"/>
      <c r="AL21" s="3"/>
      <c r="AM21" s="3"/>
      <c r="AN21" s="3"/>
      <c r="AO21" s="3"/>
    </row>
    <row r="22" spans="2:41" ht="13.5" customHeight="1" x14ac:dyDescent="0.25">
      <c r="B22" s="16"/>
      <c r="C22" s="111"/>
      <c r="D22" s="114"/>
      <c r="E22" s="114"/>
      <c r="F22" s="167"/>
      <c r="G22" s="218"/>
      <c r="H22" s="219"/>
      <c r="I22" s="116"/>
      <c r="J22" s="19"/>
      <c r="K22" s="31"/>
      <c r="L22" s="264" t="str">
        <f t="shared" si="0"/>
        <v>LB</v>
      </c>
      <c r="M22" s="265">
        <f t="shared" si="5"/>
        <v>30</v>
      </c>
      <c r="N22" s="265"/>
      <c r="O22" s="265" t="str">
        <f t="shared" si="1"/>
        <v>LA</v>
      </c>
      <c r="P22" s="265">
        <f t="shared" si="6"/>
        <v>32</v>
      </c>
      <c r="Q22" s="265"/>
      <c r="R22" s="267">
        <f t="shared" si="2"/>
        <v>69451.199999999997</v>
      </c>
      <c r="S22" s="267">
        <f t="shared" si="3"/>
        <v>63212.039999999994</v>
      </c>
      <c r="T22" s="265"/>
      <c r="U22" s="267">
        <f t="shared" si="4"/>
        <v>6239.1600000000035</v>
      </c>
      <c r="V22" s="265"/>
      <c r="W22" s="266">
        <v>18</v>
      </c>
      <c r="X22" s="31"/>
      <c r="Y22" s="272" t="s">
        <v>0</v>
      </c>
      <c r="AF22" s="3"/>
      <c r="AG22" s="3"/>
      <c r="AH22" s="3"/>
      <c r="AI22" s="3"/>
      <c r="AJ22" s="3"/>
      <c r="AK22" s="3"/>
      <c r="AL22" s="3"/>
      <c r="AM22" s="3"/>
      <c r="AN22" s="3"/>
      <c r="AO22" s="3"/>
    </row>
    <row r="23" spans="2:41" ht="13.5" customHeight="1" x14ac:dyDescent="0.25">
      <c r="B23" s="16"/>
      <c r="C23" s="111"/>
      <c r="D23" s="120" t="s">
        <v>155</v>
      </c>
      <c r="E23" s="114"/>
      <c r="F23" s="118">
        <v>45</v>
      </c>
      <c r="G23" s="218"/>
      <c r="H23" s="219"/>
      <c r="I23" s="116"/>
      <c r="J23" s="19"/>
      <c r="K23" s="31"/>
      <c r="L23" s="264" t="str">
        <f t="shared" si="0"/>
        <v>LB</v>
      </c>
      <c r="M23" s="265">
        <f t="shared" si="5"/>
        <v>31</v>
      </c>
      <c r="N23" s="265"/>
      <c r="O23" s="265" t="str">
        <f t="shared" si="1"/>
        <v>LA</v>
      </c>
      <c r="P23" s="265">
        <f t="shared" si="6"/>
        <v>33</v>
      </c>
      <c r="Q23" s="265"/>
      <c r="R23" s="267">
        <f t="shared" si="2"/>
        <v>69451.199999999997</v>
      </c>
      <c r="S23" s="267">
        <f t="shared" si="3"/>
        <v>63212.039999999994</v>
      </c>
      <c r="T23" s="265"/>
      <c r="U23" s="267">
        <f t="shared" si="4"/>
        <v>6239.1600000000035</v>
      </c>
      <c r="V23" s="265"/>
      <c r="W23" s="266">
        <v>19</v>
      </c>
      <c r="X23" s="31"/>
      <c r="Y23" s="272" t="s">
        <v>15</v>
      </c>
      <c r="AF23" s="3"/>
      <c r="AG23" s="3"/>
      <c r="AH23" s="3"/>
      <c r="AI23" s="3"/>
      <c r="AJ23" s="3"/>
      <c r="AK23" s="3"/>
      <c r="AL23" s="3"/>
      <c r="AM23" s="3"/>
      <c r="AN23" s="3"/>
      <c r="AO23" s="3"/>
    </row>
    <row r="24" spans="2:41" ht="13.5" customHeight="1" x14ac:dyDescent="0.25">
      <c r="B24" s="16"/>
      <c r="C24" s="111"/>
      <c r="D24" s="114" t="s">
        <v>156</v>
      </c>
      <c r="E24" s="114"/>
      <c r="F24" s="118">
        <v>65</v>
      </c>
      <c r="G24" s="218"/>
      <c r="H24" s="219"/>
      <c r="I24" s="116"/>
      <c r="J24" s="19"/>
      <c r="K24" s="31"/>
      <c r="L24" s="264" t="str">
        <f t="shared" si="0"/>
        <v>LB</v>
      </c>
      <c r="M24" s="265">
        <f t="shared" si="5"/>
        <v>32</v>
      </c>
      <c r="N24" s="265"/>
      <c r="O24" s="265" t="str">
        <f t="shared" si="1"/>
        <v>LA</v>
      </c>
      <c r="P24" s="265">
        <f t="shared" si="6"/>
        <v>34</v>
      </c>
      <c r="Q24" s="265"/>
      <c r="R24" s="267">
        <f t="shared" si="2"/>
        <v>0</v>
      </c>
      <c r="S24" s="267">
        <f t="shared" si="3"/>
        <v>0</v>
      </c>
      <c r="T24" s="265"/>
      <c r="U24" s="267">
        <f t="shared" si="4"/>
        <v>0</v>
      </c>
      <c r="V24" s="265"/>
      <c r="W24" s="266">
        <v>20</v>
      </c>
      <c r="X24" s="31"/>
      <c r="Y24" s="272" t="s">
        <v>16</v>
      </c>
      <c r="AF24" s="3"/>
      <c r="AG24" s="3"/>
      <c r="AH24" s="3"/>
      <c r="AI24" s="3"/>
      <c r="AJ24" s="3"/>
      <c r="AK24" s="3"/>
      <c r="AL24" s="3"/>
      <c r="AM24" s="3"/>
      <c r="AN24" s="3"/>
      <c r="AO24" s="3"/>
    </row>
    <row r="25" spans="2:41" ht="13.5" customHeight="1" x14ac:dyDescent="0.25">
      <c r="B25" s="16"/>
      <c r="C25" s="128"/>
      <c r="D25" s="129"/>
      <c r="E25" s="129"/>
      <c r="F25" s="243"/>
      <c r="G25" s="244"/>
      <c r="H25" s="245"/>
      <c r="I25" s="131"/>
      <c r="J25" s="19"/>
      <c r="K25" s="31"/>
      <c r="L25" s="264" t="str">
        <f t="shared" si="0"/>
        <v>LB</v>
      </c>
      <c r="M25" s="265">
        <f t="shared" si="5"/>
        <v>33</v>
      </c>
      <c r="N25" s="265"/>
      <c r="O25" s="265" t="str">
        <f t="shared" si="1"/>
        <v>LA</v>
      </c>
      <c r="P25" s="265">
        <f t="shared" si="6"/>
        <v>35</v>
      </c>
      <c r="Q25" s="265"/>
      <c r="R25" s="267">
        <f t="shared" si="2"/>
        <v>0</v>
      </c>
      <c r="S25" s="267">
        <f t="shared" si="3"/>
        <v>0</v>
      </c>
      <c r="T25" s="265"/>
      <c r="U25" s="267">
        <f t="shared" si="4"/>
        <v>0</v>
      </c>
      <c r="V25" s="265"/>
      <c r="W25" s="266">
        <v>21</v>
      </c>
      <c r="X25" s="31"/>
      <c r="Y25" s="272" t="s">
        <v>17</v>
      </c>
      <c r="AF25" s="3"/>
      <c r="AG25" s="3"/>
      <c r="AH25" s="3"/>
      <c r="AI25" s="3"/>
      <c r="AJ25" s="3"/>
      <c r="AK25" s="3"/>
      <c r="AL25" s="3"/>
      <c r="AM25" s="3"/>
      <c r="AN25" s="3"/>
      <c r="AO25" s="3"/>
    </row>
    <row r="26" spans="2:41" ht="13.5" customHeight="1" x14ac:dyDescent="0.25">
      <c r="B26" s="16"/>
      <c r="C26" s="17"/>
      <c r="D26" s="17"/>
      <c r="E26" s="17"/>
      <c r="F26" s="25"/>
      <c r="G26" s="105"/>
      <c r="H26" s="104"/>
      <c r="I26" s="17"/>
      <c r="J26" s="19"/>
      <c r="K26" s="31"/>
      <c r="L26" s="264" t="str">
        <f t="shared" si="0"/>
        <v>LB</v>
      </c>
      <c r="M26" s="265">
        <f t="shared" si="5"/>
        <v>34</v>
      </c>
      <c r="N26" s="265"/>
      <c r="O26" s="265" t="str">
        <f t="shared" si="1"/>
        <v>LA</v>
      </c>
      <c r="P26" s="265">
        <f t="shared" si="6"/>
        <v>36</v>
      </c>
      <c r="Q26" s="265"/>
      <c r="R26" s="267">
        <f t="shared" si="2"/>
        <v>0</v>
      </c>
      <c r="S26" s="267">
        <f t="shared" si="3"/>
        <v>0</v>
      </c>
      <c r="T26" s="265"/>
      <c r="U26" s="267">
        <f t="shared" si="4"/>
        <v>0</v>
      </c>
      <c r="V26" s="265"/>
      <c r="W26" s="266">
        <v>22</v>
      </c>
      <c r="X26" s="31"/>
      <c r="Y26" s="272" t="s">
        <v>18</v>
      </c>
      <c r="AF26" s="3"/>
      <c r="AG26" s="3"/>
      <c r="AH26" s="3"/>
      <c r="AI26" s="3"/>
      <c r="AJ26" s="3"/>
      <c r="AK26" s="3"/>
      <c r="AL26" s="3"/>
      <c r="AM26" s="3"/>
      <c r="AN26" s="3"/>
      <c r="AO26" s="3"/>
    </row>
    <row r="27" spans="2:41" ht="13.5" customHeight="1" x14ac:dyDescent="0.25">
      <c r="B27" s="16"/>
      <c r="C27" s="106"/>
      <c r="D27" s="107"/>
      <c r="E27" s="107"/>
      <c r="F27" s="237"/>
      <c r="G27" s="246"/>
      <c r="H27" s="247"/>
      <c r="I27" s="110"/>
      <c r="J27" s="19"/>
      <c r="K27" s="31"/>
      <c r="L27" s="264" t="str">
        <f t="shared" si="0"/>
        <v>LB</v>
      </c>
      <c r="M27" s="265">
        <f t="shared" si="5"/>
        <v>35</v>
      </c>
      <c r="N27" s="265"/>
      <c r="O27" s="265" t="str">
        <f t="shared" si="1"/>
        <v>LA</v>
      </c>
      <c r="P27" s="265">
        <f t="shared" si="6"/>
        <v>37</v>
      </c>
      <c r="Q27" s="265"/>
      <c r="R27" s="267">
        <f t="shared" si="2"/>
        <v>0</v>
      </c>
      <c r="S27" s="267">
        <f t="shared" si="3"/>
        <v>0</v>
      </c>
      <c r="T27" s="265"/>
      <c r="U27" s="267">
        <f t="shared" si="4"/>
        <v>0</v>
      </c>
      <c r="V27" s="265"/>
      <c r="W27" s="266">
        <v>23</v>
      </c>
      <c r="X27" s="31"/>
      <c r="Y27" s="272" t="s">
        <v>19</v>
      </c>
      <c r="AF27" s="3"/>
      <c r="AG27" s="3"/>
      <c r="AH27" s="3"/>
      <c r="AI27" s="3"/>
      <c r="AJ27" s="3"/>
      <c r="AK27" s="3"/>
      <c r="AL27" s="3"/>
      <c r="AM27" s="3"/>
      <c r="AN27" s="3"/>
      <c r="AO27" s="3"/>
    </row>
    <row r="28" spans="2:41" ht="13.5" customHeight="1" x14ac:dyDescent="0.25">
      <c r="B28" s="16"/>
      <c r="C28" s="111"/>
      <c r="D28" s="112" t="s">
        <v>157</v>
      </c>
      <c r="E28" s="114"/>
      <c r="F28" s="113"/>
      <c r="G28" s="218"/>
      <c r="H28" s="219"/>
      <c r="I28" s="116"/>
      <c r="J28" s="19"/>
      <c r="K28" s="31"/>
      <c r="L28" s="264" t="str">
        <f t="shared" si="0"/>
        <v>LB</v>
      </c>
      <c r="M28" s="265">
        <f t="shared" si="5"/>
        <v>36</v>
      </c>
      <c r="N28" s="265"/>
      <c r="O28" s="265" t="str">
        <f t="shared" si="1"/>
        <v>LA</v>
      </c>
      <c r="P28" s="265">
        <f t="shared" si="6"/>
        <v>38</v>
      </c>
      <c r="Q28" s="265"/>
      <c r="R28" s="267">
        <f t="shared" si="2"/>
        <v>0</v>
      </c>
      <c r="S28" s="267">
        <f t="shared" si="3"/>
        <v>0</v>
      </c>
      <c r="T28" s="265"/>
      <c r="U28" s="267">
        <f t="shared" si="4"/>
        <v>0</v>
      </c>
      <c r="V28" s="265"/>
      <c r="W28" s="266">
        <v>24</v>
      </c>
      <c r="X28" s="31"/>
      <c r="Y28" s="272" t="s">
        <v>20</v>
      </c>
      <c r="AF28" s="3"/>
      <c r="AG28" s="3"/>
      <c r="AH28" s="3"/>
      <c r="AI28" s="3"/>
      <c r="AJ28" s="3"/>
      <c r="AK28" s="3"/>
      <c r="AL28" s="3"/>
      <c r="AM28" s="3"/>
      <c r="AN28" s="3"/>
      <c r="AO28" s="3"/>
    </row>
    <row r="29" spans="2:41" ht="13.5" customHeight="1" x14ac:dyDescent="0.25">
      <c r="B29" s="16"/>
      <c r="C29" s="111"/>
      <c r="D29" s="120"/>
      <c r="E29" s="114"/>
      <c r="F29" s="113"/>
      <c r="G29" s="218"/>
      <c r="H29" s="219"/>
      <c r="I29" s="116"/>
      <c r="J29" s="19"/>
      <c r="K29" s="31"/>
      <c r="L29" s="264" t="str">
        <f t="shared" si="0"/>
        <v>LB</v>
      </c>
      <c r="M29" s="265">
        <f t="shared" si="5"/>
        <v>37</v>
      </c>
      <c r="N29" s="265"/>
      <c r="O29" s="265" t="str">
        <f t="shared" si="1"/>
        <v>LA</v>
      </c>
      <c r="P29" s="265">
        <f t="shared" si="6"/>
        <v>39</v>
      </c>
      <c r="Q29" s="265"/>
      <c r="R29" s="267">
        <f t="shared" si="2"/>
        <v>0</v>
      </c>
      <c r="S29" s="267">
        <f t="shared" si="3"/>
        <v>0</v>
      </c>
      <c r="T29" s="265"/>
      <c r="U29" s="267">
        <f t="shared" si="4"/>
        <v>0</v>
      </c>
      <c r="V29" s="265"/>
      <c r="W29" s="266">
        <v>25</v>
      </c>
      <c r="X29" s="31"/>
      <c r="Y29" s="272">
        <v>1</v>
      </c>
      <c r="AF29" s="3"/>
      <c r="AG29" s="3"/>
      <c r="AH29" s="3"/>
      <c r="AI29" s="3"/>
      <c r="AJ29" s="3"/>
      <c r="AK29" s="3"/>
      <c r="AL29" s="3"/>
      <c r="AM29" s="3"/>
      <c r="AN29" s="3"/>
      <c r="AO29" s="3"/>
    </row>
    <row r="30" spans="2:41" ht="13.5" customHeight="1" x14ac:dyDescent="0.25">
      <c r="B30" s="16"/>
      <c r="C30" s="111"/>
      <c r="D30" s="114" t="s">
        <v>21</v>
      </c>
      <c r="E30" s="114"/>
      <c r="F30" s="239" t="s">
        <v>15</v>
      </c>
      <c r="G30" s="218"/>
      <c r="H30" s="219"/>
      <c r="I30" s="116"/>
      <c r="J30" s="19"/>
      <c r="K30" s="257"/>
      <c r="L30" s="264" t="str">
        <f t="shared" si="0"/>
        <v>LB</v>
      </c>
      <c r="M30" s="265">
        <f t="shared" si="5"/>
        <v>38</v>
      </c>
      <c r="N30" s="265"/>
      <c r="O30" s="265" t="str">
        <f t="shared" si="1"/>
        <v>LA</v>
      </c>
      <c r="P30" s="265">
        <f t="shared" si="6"/>
        <v>40</v>
      </c>
      <c r="Q30" s="265"/>
      <c r="R30" s="267">
        <f t="shared" si="2"/>
        <v>0</v>
      </c>
      <c r="S30" s="267">
        <f t="shared" si="3"/>
        <v>0</v>
      </c>
      <c r="T30" s="265"/>
      <c r="U30" s="267">
        <f t="shared" si="4"/>
        <v>0</v>
      </c>
      <c r="V30" s="265"/>
      <c r="W30" s="266">
        <v>26</v>
      </c>
      <c r="X30" s="257"/>
      <c r="Y30" s="272">
        <v>2</v>
      </c>
      <c r="Z30" s="3"/>
      <c r="AA30" s="3"/>
      <c r="AF30" s="3"/>
      <c r="AG30" s="3"/>
      <c r="AH30" s="3"/>
      <c r="AI30" s="3"/>
      <c r="AJ30" s="3"/>
      <c r="AK30" s="3"/>
      <c r="AL30" s="3"/>
      <c r="AM30" s="3"/>
      <c r="AN30" s="3"/>
      <c r="AO30" s="3"/>
    </row>
    <row r="31" spans="2:41" ht="13.5" customHeight="1" x14ac:dyDescent="0.25">
      <c r="B31" s="16"/>
      <c r="C31" s="111"/>
      <c r="D31" s="115" t="s">
        <v>22</v>
      </c>
      <c r="E31" s="114"/>
      <c r="F31" s="118">
        <v>12</v>
      </c>
      <c r="G31" s="218" t="s">
        <v>154</v>
      </c>
      <c r="H31" s="219">
        <f>VLOOKUP(F30,salaristabellen,22,FALSE)</f>
        <v>15</v>
      </c>
      <c r="I31" s="116"/>
      <c r="J31" s="19"/>
      <c r="K31" s="257"/>
      <c r="L31" s="264" t="str">
        <f t="shared" si="0"/>
        <v>LB</v>
      </c>
      <c r="M31" s="265">
        <f t="shared" si="5"/>
        <v>39</v>
      </c>
      <c r="N31" s="265"/>
      <c r="O31" s="265" t="str">
        <f t="shared" si="1"/>
        <v>LA</v>
      </c>
      <c r="P31" s="265">
        <f t="shared" si="6"/>
        <v>41</v>
      </c>
      <c r="Q31" s="265"/>
      <c r="R31" s="267">
        <f t="shared" si="2"/>
        <v>0</v>
      </c>
      <c r="S31" s="267">
        <f t="shared" si="3"/>
        <v>0</v>
      </c>
      <c r="T31" s="265"/>
      <c r="U31" s="267">
        <f t="shared" si="4"/>
        <v>0</v>
      </c>
      <c r="V31" s="265"/>
      <c r="W31" s="266">
        <v>27</v>
      </c>
      <c r="X31" s="257"/>
      <c r="Y31" s="272">
        <v>3</v>
      </c>
      <c r="Z31" s="3"/>
      <c r="AA31" s="3"/>
      <c r="AF31" s="3"/>
      <c r="AG31" s="3"/>
      <c r="AH31" s="3"/>
      <c r="AI31" s="3"/>
      <c r="AJ31" s="3"/>
      <c r="AK31" s="3"/>
      <c r="AL31" s="3"/>
      <c r="AM31" s="3"/>
      <c r="AN31" s="3"/>
      <c r="AO31" s="3"/>
    </row>
    <row r="32" spans="2:41" ht="13.5" customHeight="1" x14ac:dyDescent="0.25">
      <c r="B32" s="16"/>
      <c r="C32" s="111"/>
      <c r="D32" s="115" t="s">
        <v>24</v>
      </c>
      <c r="E32" s="114"/>
      <c r="F32" s="146">
        <f>VLOOKUP(F30,salaristabellen,IF(F31&gt;15,16,F31+1),FALSE)</f>
        <v>3308</v>
      </c>
      <c r="G32" s="115"/>
      <c r="H32" s="115"/>
      <c r="I32" s="221"/>
      <c r="J32" s="27"/>
      <c r="K32" s="257"/>
      <c r="L32" s="264" t="str">
        <f t="shared" si="0"/>
        <v>LB</v>
      </c>
      <c r="M32" s="265">
        <f t="shared" si="5"/>
        <v>40</v>
      </c>
      <c r="N32" s="265"/>
      <c r="O32" s="265" t="str">
        <f t="shared" si="1"/>
        <v>LA</v>
      </c>
      <c r="P32" s="265">
        <f t="shared" si="6"/>
        <v>42</v>
      </c>
      <c r="Q32" s="265"/>
      <c r="R32" s="267">
        <f t="shared" si="2"/>
        <v>0</v>
      </c>
      <c r="S32" s="267">
        <f t="shared" si="3"/>
        <v>0</v>
      </c>
      <c r="T32" s="265"/>
      <c r="U32" s="267">
        <f t="shared" si="4"/>
        <v>0</v>
      </c>
      <c r="V32" s="265"/>
      <c r="W32" s="266">
        <v>28</v>
      </c>
      <c r="X32" s="257"/>
      <c r="Y32" s="272">
        <v>4</v>
      </c>
      <c r="Z32" s="3"/>
      <c r="AA32" s="3"/>
      <c r="AF32" s="3"/>
      <c r="AG32" s="3"/>
      <c r="AH32" s="3"/>
      <c r="AI32" s="3"/>
      <c r="AJ32" s="3"/>
      <c r="AK32" s="3"/>
      <c r="AL32" s="3"/>
      <c r="AM32" s="3"/>
      <c r="AN32" s="3"/>
      <c r="AO32" s="3"/>
    </row>
    <row r="33" spans="2:41" ht="13.5" customHeight="1" x14ac:dyDescent="0.25">
      <c r="B33" s="16"/>
      <c r="C33" s="111"/>
      <c r="D33" s="114"/>
      <c r="E33" s="115"/>
      <c r="F33" s="145"/>
      <c r="G33" s="115"/>
      <c r="H33" s="115"/>
      <c r="I33" s="221"/>
      <c r="J33" s="27"/>
      <c r="K33" s="257"/>
      <c r="L33" s="264" t="str">
        <f t="shared" si="0"/>
        <v>LB</v>
      </c>
      <c r="M33" s="265">
        <f t="shared" si="5"/>
        <v>41</v>
      </c>
      <c r="N33" s="265"/>
      <c r="O33" s="265" t="str">
        <f t="shared" si="1"/>
        <v>LA</v>
      </c>
      <c r="P33" s="265">
        <f t="shared" si="6"/>
        <v>43</v>
      </c>
      <c r="Q33" s="265"/>
      <c r="R33" s="267">
        <f t="shared" si="2"/>
        <v>0</v>
      </c>
      <c r="S33" s="267">
        <f t="shared" si="3"/>
        <v>0</v>
      </c>
      <c r="T33" s="265"/>
      <c r="U33" s="267">
        <f t="shared" si="4"/>
        <v>0</v>
      </c>
      <c r="V33" s="265"/>
      <c r="W33" s="266">
        <v>29</v>
      </c>
      <c r="X33" s="257"/>
      <c r="Y33" s="272">
        <v>5</v>
      </c>
      <c r="Z33" s="3"/>
      <c r="AA33" s="3"/>
      <c r="AF33" s="3"/>
      <c r="AG33" s="3"/>
      <c r="AH33" s="3"/>
      <c r="AI33" s="3"/>
      <c r="AJ33" s="3"/>
      <c r="AK33" s="3"/>
      <c r="AL33" s="3"/>
      <c r="AM33" s="3"/>
      <c r="AN33" s="3"/>
      <c r="AO33" s="3"/>
    </row>
    <row r="34" spans="2:41" ht="13.5" customHeight="1" x14ac:dyDescent="0.25">
      <c r="B34" s="16"/>
      <c r="C34" s="111"/>
      <c r="D34" s="120" t="s">
        <v>225</v>
      </c>
      <c r="E34" s="115"/>
      <c r="F34" s="248" t="s">
        <v>125</v>
      </c>
      <c r="G34" s="115"/>
      <c r="H34" s="115"/>
      <c r="I34" s="221"/>
      <c r="J34" s="27"/>
      <c r="K34" s="257"/>
      <c r="L34" s="264" t="str">
        <f t="shared" si="0"/>
        <v>LB</v>
      </c>
      <c r="M34" s="265">
        <f t="shared" si="5"/>
        <v>42</v>
      </c>
      <c r="N34" s="265"/>
      <c r="O34" s="265" t="str">
        <f t="shared" si="1"/>
        <v>LA</v>
      </c>
      <c r="P34" s="265">
        <f t="shared" si="6"/>
        <v>44</v>
      </c>
      <c r="Q34" s="265"/>
      <c r="R34" s="267">
        <f t="shared" si="2"/>
        <v>0</v>
      </c>
      <c r="S34" s="267">
        <f t="shared" si="3"/>
        <v>0</v>
      </c>
      <c r="T34" s="265"/>
      <c r="U34" s="267">
        <f t="shared" si="4"/>
        <v>0</v>
      </c>
      <c r="V34" s="265"/>
      <c r="W34" s="266">
        <v>30</v>
      </c>
      <c r="X34" s="257"/>
      <c r="Y34" s="272">
        <v>6</v>
      </c>
      <c r="Z34" s="3"/>
      <c r="AA34" s="3"/>
      <c r="AF34" s="3"/>
      <c r="AG34" s="3"/>
      <c r="AH34" s="3"/>
      <c r="AI34" s="3"/>
      <c r="AJ34" s="3"/>
      <c r="AK34" s="3"/>
      <c r="AL34" s="3"/>
      <c r="AM34" s="3"/>
      <c r="AN34" s="3"/>
      <c r="AO34" s="3"/>
    </row>
    <row r="35" spans="2:41" ht="13.5" customHeight="1" x14ac:dyDescent="0.25">
      <c r="B35" s="16"/>
      <c r="C35" s="111"/>
      <c r="D35" s="115" t="s">
        <v>158</v>
      </c>
      <c r="E35" s="114"/>
      <c r="F35" s="248">
        <v>0</v>
      </c>
      <c r="G35" s="115"/>
      <c r="H35" s="115"/>
      <c r="I35" s="221"/>
      <c r="J35" s="27"/>
      <c r="K35" s="257"/>
      <c r="L35" s="264" t="str">
        <f t="shared" si="0"/>
        <v>LB</v>
      </c>
      <c r="M35" s="265">
        <f t="shared" si="5"/>
        <v>43</v>
      </c>
      <c r="N35" s="265"/>
      <c r="O35" s="265" t="str">
        <f t="shared" si="1"/>
        <v>LA</v>
      </c>
      <c r="P35" s="265">
        <f t="shared" si="6"/>
        <v>45</v>
      </c>
      <c r="Q35" s="265"/>
      <c r="R35" s="267">
        <f t="shared" si="2"/>
        <v>0</v>
      </c>
      <c r="S35" s="267">
        <f t="shared" si="3"/>
        <v>0</v>
      </c>
      <c r="T35" s="265"/>
      <c r="U35" s="267">
        <f t="shared" si="4"/>
        <v>0</v>
      </c>
      <c r="V35" s="265"/>
      <c r="W35" s="266">
        <v>31</v>
      </c>
      <c r="X35" s="257"/>
      <c r="Y35" s="272">
        <v>7</v>
      </c>
      <c r="Z35" s="3"/>
      <c r="AA35" s="3"/>
    </row>
    <row r="36" spans="2:41" ht="13.5" customHeight="1" x14ac:dyDescent="0.25">
      <c r="B36" s="16"/>
      <c r="C36" s="111"/>
      <c r="D36" s="114" t="s">
        <v>26</v>
      </c>
      <c r="E36" s="114"/>
      <c r="F36" s="249">
        <f>ROUND(IF(F34="ja",F32*F35,F32*F20),2)</f>
        <v>3308</v>
      </c>
      <c r="G36" s="115"/>
      <c r="H36" s="115"/>
      <c r="I36" s="221"/>
      <c r="J36" s="27"/>
      <c r="K36" s="257"/>
      <c r="L36" s="264" t="str">
        <f t="shared" si="0"/>
        <v>LB</v>
      </c>
      <c r="M36" s="265">
        <f t="shared" si="5"/>
        <v>44</v>
      </c>
      <c r="N36" s="265"/>
      <c r="O36" s="265" t="str">
        <f t="shared" si="1"/>
        <v>LA</v>
      </c>
      <c r="P36" s="265">
        <f t="shared" si="6"/>
        <v>46</v>
      </c>
      <c r="Q36" s="265"/>
      <c r="R36" s="267">
        <f t="shared" si="2"/>
        <v>0</v>
      </c>
      <c r="S36" s="267">
        <f t="shared" si="3"/>
        <v>0</v>
      </c>
      <c r="T36" s="265"/>
      <c r="U36" s="267">
        <f t="shared" si="4"/>
        <v>0</v>
      </c>
      <c r="V36" s="265"/>
      <c r="W36" s="266">
        <v>32</v>
      </c>
      <c r="X36" s="257"/>
      <c r="Y36" s="272">
        <v>8</v>
      </c>
      <c r="Z36" s="3"/>
      <c r="AA36" s="3"/>
    </row>
    <row r="37" spans="2:41" ht="13.5" customHeight="1" x14ac:dyDescent="0.25">
      <c r="B37" s="16"/>
      <c r="C37" s="128"/>
      <c r="D37" s="129"/>
      <c r="E37" s="129"/>
      <c r="F37" s="130"/>
      <c r="G37" s="150"/>
      <c r="H37" s="150"/>
      <c r="I37" s="222"/>
      <c r="J37" s="27"/>
      <c r="K37" s="257"/>
      <c r="L37" s="264" t="str">
        <f t="shared" si="0"/>
        <v>LB</v>
      </c>
      <c r="M37" s="265">
        <f t="shared" si="5"/>
        <v>45</v>
      </c>
      <c r="N37" s="265"/>
      <c r="O37" s="265" t="str">
        <f t="shared" si="1"/>
        <v>LA</v>
      </c>
      <c r="P37" s="265">
        <f t="shared" si="6"/>
        <v>47</v>
      </c>
      <c r="Q37" s="265"/>
      <c r="R37" s="267">
        <f t="shared" si="2"/>
        <v>0</v>
      </c>
      <c r="S37" s="267">
        <f t="shared" si="3"/>
        <v>0</v>
      </c>
      <c r="T37" s="265"/>
      <c r="U37" s="267">
        <f t="shared" si="4"/>
        <v>0</v>
      </c>
      <c r="V37" s="265"/>
      <c r="W37" s="266">
        <v>33</v>
      </c>
      <c r="X37" s="257"/>
      <c r="Y37" s="272">
        <v>9</v>
      </c>
      <c r="Z37" s="3"/>
      <c r="AA37" s="3"/>
    </row>
    <row r="38" spans="2:41" ht="13.5" customHeight="1" x14ac:dyDescent="0.25">
      <c r="B38" s="16"/>
      <c r="C38" s="17"/>
      <c r="D38" s="17"/>
      <c r="E38" s="17"/>
      <c r="F38" s="18"/>
      <c r="G38" s="20"/>
      <c r="H38" s="20"/>
      <c r="I38" s="20"/>
      <c r="J38" s="27"/>
      <c r="K38" s="257"/>
      <c r="L38" s="264" t="str">
        <f t="shared" si="0"/>
        <v>LB</v>
      </c>
      <c r="M38" s="265">
        <f t="shared" si="5"/>
        <v>46</v>
      </c>
      <c r="N38" s="265"/>
      <c r="O38" s="265" t="str">
        <f t="shared" si="1"/>
        <v>LA</v>
      </c>
      <c r="P38" s="265">
        <f t="shared" si="6"/>
        <v>48</v>
      </c>
      <c r="Q38" s="265"/>
      <c r="R38" s="267">
        <f t="shared" si="2"/>
        <v>0</v>
      </c>
      <c r="S38" s="267">
        <f t="shared" si="3"/>
        <v>0</v>
      </c>
      <c r="T38" s="265"/>
      <c r="U38" s="267">
        <f t="shared" si="4"/>
        <v>0</v>
      </c>
      <c r="V38" s="265"/>
      <c r="W38" s="266">
        <v>34</v>
      </c>
      <c r="X38" s="257"/>
      <c r="Y38" s="272">
        <v>10</v>
      </c>
      <c r="Z38" s="3"/>
      <c r="AA38" s="3"/>
    </row>
    <row r="39" spans="2:41" ht="13.5" customHeight="1" x14ac:dyDescent="0.25">
      <c r="B39" s="16"/>
      <c r="C39" s="106"/>
      <c r="D39" s="107"/>
      <c r="E39" s="107"/>
      <c r="F39" s="108"/>
      <c r="G39" s="109"/>
      <c r="H39" s="109"/>
      <c r="I39" s="223"/>
      <c r="J39" s="27"/>
      <c r="K39" s="257"/>
      <c r="L39" s="264" t="str">
        <f t="shared" si="0"/>
        <v>LB</v>
      </c>
      <c r="M39" s="265">
        <f t="shared" si="5"/>
        <v>47</v>
      </c>
      <c r="N39" s="265"/>
      <c r="O39" s="265" t="str">
        <f t="shared" si="1"/>
        <v>LA</v>
      </c>
      <c r="P39" s="265">
        <f t="shared" si="6"/>
        <v>49</v>
      </c>
      <c r="Q39" s="265"/>
      <c r="R39" s="267">
        <f t="shared" si="2"/>
        <v>0</v>
      </c>
      <c r="S39" s="267">
        <f t="shared" si="3"/>
        <v>0</v>
      </c>
      <c r="T39" s="265"/>
      <c r="U39" s="267">
        <f t="shared" si="4"/>
        <v>0</v>
      </c>
      <c r="V39" s="265"/>
      <c r="W39" s="266">
        <v>35</v>
      </c>
      <c r="X39" s="257"/>
      <c r="Y39" s="272">
        <v>11</v>
      </c>
      <c r="Z39" s="3"/>
      <c r="AA39" s="3"/>
    </row>
    <row r="40" spans="2:41" ht="13.5" customHeight="1" x14ac:dyDescent="0.25">
      <c r="B40" s="16"/>
      <c r="C40" s="111"/>
      <c r="D40" s="112" t="s">
        <v>227</v>
      </c>
      <c r="E40" s="114"/>
      <c r="F40" s="113"/>
      <c r="G40" s="115"/>
      <c r="H40" s="115"/>
      <c r="I40" s="221"/>
      <c r="J40" s="27"/>
      <c r="K40" s="257"/>
      <c r="L40" s="264" t="str">
        <f t="shared" si="0"/>
        <v>LB</v>
      </c>
      <c r="M40" s="265">
        <f t="shared" si="5"/>
        <v>48</v>
      </c>
      <c r="N40" s="265"/>
      <c r="O40" s="265" t="str">
        <f t="shared" si="1"/>
        <v>LA</v>
      </c>
      <c r="P40" s="265">
        <f t="shared" si="6"/>
        <v>50</v>
      </c>
      <c r="Q40" s="265"/>
      <c r="R40" s="267">
        <f t="shared" si="2"/>
        <v>0</v>
      </c>
      <c r="S40" s="267">
        <f t="shared" si="3"/>
        <v>0</v>
      </c>
      <c r="T40" s="265"/>
      <c r="U40" s="267">
        <f t="shared" si="4"/>
        <v>0</v>
      </c>
      <c r="V40" s="265"/>
      <c r="W40" s="266">
        <v>36</v>
      </c>
      <c r="X40" s="257"/>
      <c r="Y40" s="272">
        <v>12</v>
      </c>
      <c r="Z40" s="3"/>
      <c r="AA40" s="3"/>
    </row>
    <row r="41" spans="2:41" ht="13.5" customHeight="1" x14ac:dyDescent="0.25">
      <c r="B41" s="16"/>
      <c r="C41" s="111"/>
      <c r="D41" s="114"/>
      <c r="E41" s="114"/>
      <c r="F41" s="113"/>
      <c r="G41" s="115"/>
      <c r="H41" s="115"/>
      <c r="I41" s="221"/>
      <c r="J41" s="27"/>
      <c r="K41" s="257"/>
      <c r="L41" s="264" t="str">
        <f t="shared" si="0"/>
        <v>LB</v>
      </c>
      <c r="M41" s="265">
        <f t="shared" si="5"/>
        <v>49</v>
      </c>
      <c r="N41" s="265"/>
      <c r="O41" s="265" t="str">
        <f t="shared" si="1"/>
        <v>LA</v>
      </c>
      <c r="P41" s="265">
        <f t="shared" si="6"/>
        <v>51</v>
      </c>
      <c r="Q41" s="265"/>
      <c r="R41" s="267">
        <f t="shared" si="2"/>
        <v>0</v>
      </c>
      <c r="S41" s="267">
        <f t="shared" si="3"/>
        <v>0</v>
      </c>
      <c r="T41" s="265"/>
      <c r="U41" s="267">
        <f t="shared" si="4"/>
        <v>0</v>
      </c>
      <c r="V41" s="265"/>
      <c r="W41" s="266">
        <v>37</v>
      </c>
      <c r="X41" s="257"/>
      <c r="Y41" s="272">
        <v>13</v>
      </c>
      <c r="Z41" s="3"/>
      <c r="AA41" s="3"/>
    </row>
    <row r="42" spans="2:41" ht="13.5" customHeight="1" x14ac:dyDescent="0.25">
      <c r="B42" s="16"/>
      <c r="C42" s="111"/>
      <c r="D42" s="114" t="s">
        <v>159</v>
      </c>
      <c r="E42" s="114"/>
      <c r="F42" s="169">
        <f>+F36-F21</f>
        <v>72</v>
      </c>
      <c r="G42" s="115"/>
      <c r="H42" s="115"/>
      <c r="I42" s="221"/>
      <c r="J42" s="27"/>
      <c r="K42" s="31"/>
      <c r="L42" s="264" t="str">
        <f t="shared" si="0"/>
        <v>LB</v>
      </c>
      <c r="M42" s="265">
        <f t="shared" si="5"/>
        <v>50</v>
      </c>
      <c r="N42" s="265"/>
      <c r="O42" s="265" t="str">
        <f t="shared" si="1"/>
        <v>LA</v>
      </c>
      <c r="P42" s="265">
        <f t="shared" si="6"/>
        <v>52</v>
      </c>
      <c r="Q42" s="265"/>
      <c r="R42" s="267">
        <f t="shared" si="2"/>
        <v>0</v>
      </c>
      <c r="S42" s="267">
        <f t="shared" si="3"/>
        <v>0</v>
      </c>
      <c r="T42" s="265"/>
      <c r="U42" s="267">
        <f t="shared" si="4"/>
        <v>0</v>
      </c>
      <c r="V42" s="265"/>
      <c r="W42" s="266">
        <v>38</v>
      </c>
      <c r="X42" s="31"/>
      <c r="Y42" s="272">
        <v>14</v>
      </c>
    </row>
    <row r="43" spans="2:41" ht="13.5" customHeight="1" x14ac:dyDescent="0.25">
      <c r="B43" s="16"/>
      <c r="C43" s="111"/>
      <c r="D43" s="114" t="s">
        <v>160</v>
      </c>
      <c r="E43" s="114"/>
      <c r="F43" s="206">
        <v>0.59</v>
      </c>
      <c r="G43" s="115"/>
      <c r="H43" s="115"/>
      <c r="I43" s="221"/>
      <c r="J43" s="27"/>
      <c r="K43" s="31"/>
      <c r="L43" s="264" t="str">
        <f t="shared" si="0"/>
        <v>LB</v>
      </c>
      <c r="M43" s="265">
        <f t="shared" si="5"/>
        <v>51</v>
      </c>
      <c r="N43" s="265"/>
      <c r="O43" s="265" t="str">
        <f t="shared" si="1"/>
        <v>LA</v>
      </c>
      <c r="P43" s="265">
        <f t="shared" si="6"/>
        <v>53</v>
      </c>
      <c r="Q43" s="265"/>
      <c r="R43" s="267">
        <f t="shared" si="2"/>
        <v>0</v>
      </c>
      <c r="S43" s="267">
        <f t="shared" si="3"/>
        <v>0</v>
      </c>
      <c r="T43" s="265"/>
      <c r="U43" s="267">
        <f t="shared" si="4"/>
        <v>0</v>
      </c>
      <c r="V43" s="265"/>
      <c r="W43" s="266">
        <v>39</v>
      </c>
      <c r="X43" s="31"/>
      <c r="Y43" s="272" t="s">
        <v>91</v>
      </c>
    </row>
    <row r="44" spans="2:41" ht="13.5" customHeight="1" x14ac:dyDescent="0.25">
      <c r="B44" s="16"/>
      <c r="C44" s="111"/>
      <c r="D44" s="114" t="s">
        <v>161</v>
      </c>
      <c r="E44" s="114"/>
      <c r="F44" s="169">
        <f>+F42*12*(1+F43)</f>
        <v>1373.7599999999998</v>
      </c>
      <c r="G44" s="114"/>
      <c r="H44" s="114"/>
      <c r="I44" s="116"/>
      <c r="J44" s="19"/>
      <c r="K44" s="31"/>
      <c r="L44" s="264" t="str">
        <f t="shared" si="0"/>
        <v>LB</v>
      </c>
      <c r="M44" s="265">
        <f t="shared" si="5"/>
        <v>52</v>
      </c>
      <c r="N44" s="265"/>
      <c r="O44" s="265" t="str">
        <f t="shared" si="1"/>
        <v>LA</v>
      </c>
      <c r="P44" s="265">
        <f t="shared" si="6"/>
        <v>54</v>
      </c>
      <c r="Q44" s="265"/>
      <c r="R44" s="267">
        <f t="shared" si="2"/>
        <v>0</v>
      </c>
      <c r="S44" s="267">
        <f t="shared" si="3"/>
        <v>0</v>
      </c>
      <c r="T44" s="265"/>
      <c r="U44" s="267">
        <f t="shared" si="4"/>
        <v>0</v>
      </c>
      <c r="V44" s="265"/>
      <c r="W44" s="266">
        <v>40</v>
      </c>
      <c r="X44" s="31"/>
      <c r="Y44" s="272" t="s">
        <v>92</v>
      </c>
    </row>
    <row r="45" spans="2:41" ht="13.5" customHeight="1" x14ac:dyDescent="0.25">
      <c r="B45" s="16"/>
      <c r="C45" s="111"/>
      <c r="D45" s="114" t="s">
        <v>162</v>
      </c>
      <c r="E45" s="114"/>
      <c r="F45" s="224">
        <f>+F24-F23</f>
        <v>20</v>
      </c>
      <c r="G45" s="114"/>
      <c r="H45" s="114"/>
      <c r="I45" s="116"/>
      <c r="J45" s="19"/>
      <c r="K45" s="258"/>
      <c r="L45" s="264" t="str">
        <f t="shared" si="0"/>
        <v>LB</v>
      </c>
      <c r="M45" s="265">
        <f t="shared" si="5"/>
        <v>53</v>
      </c>
      <c r="N45" s="265"/>
      <c r="O45" s="265" t="str">
        <f t="shared" si="1"/>
        <v>LA</v>
      </c>
      <c r="P45" s="265">
        <f t="shared" si="6"/>
        <v>55</v>
      </c>
      <c r="Q45" s="265"/>
      <c r="R45" s="267">
        <f t="shared" si="2"/>
        <v>0</v>
      </c>
      <c r="S45" s="267">
        <f t="shared" si="3"/>
        <v>0</v>
      </c>
      <c r="T45" s="265"/>
      <c r="U45" s="267">
        <f t="shared" si="4"/>
        <v>0</v>
      </c>
      <c r="V45" s="265"/>
      <c r="W45" s="266">
        <v>41</v>
      </c>
      <c r="X45" s="258"/>
      <c r="Y45" s="272" t="s">
        <v>93</v>
      </c>
    </row>
    <row r="46" spans="2:41" s="2" customFormat="1" ht="13.5" customHeight="1" x14ac:dyDescent="0.25">
      <c r="B46" s="16"/>
      <c r="C46" s="111"/>
      <c r="D46" s="114" t="s">
        <v>163</v>
      </c>
      <c r="E46" s="114"/>
      <c r="F46" s="225">
        <f>IF(F34="nee",U52*F20,U52*F35)</f>
        <v>5701.1040000000021</v>
      </c>
      <c r="G46" s="125"/>
      <c r="H46" s="114"/>
      <c r="I46" s="116"/>
      <c r="J46" s="19"/>
      <c r="K46" s="259"/>
      <c r="L46" s="264" t="str">
        <f t="shared" si="0"/>
        <v>LB</v>
      </c>
      <c r="M46" s="265">
        <f t="shared" si="5"/>
        <v>54</v>
      </c>
      <c r="N46" s="265"/>
      <c r="O46" s="265" t="str">
        <f t="shared" si="1"/>
        <v>LA</v>
      </c>
      <c r="P46" s="265">
        <f t="shared" si="6"/>
        <v>56</v>
      </c>
      <c r="Q46" s="265"/>
      <c r="R46" s="267">
        <f t="shared" si="2"/>
        <v>0</v>
      </c>
      <c r="S46" s="267">
        <f t="shared" si="3"/>
        <v>0</v>
      </c>
      <c r="T46" s="265"/>
      <c r="U46" s="267">
        <f t="shared" si="4"/>
        <v>0</v>
      </c>
      <c r="V46" s="265"/>
      <c r="W46" s="266">
        <v>42</v>
      </c>
    </row>
    <row r="47" spans="2:41" ht="13.5" customHeight="1" x14ac:dyDescent="0.25">
      <c r="B47" s="16"/>
      <c r="C47" s="111"/>
      <c r="D47" s="120"/>
      <c r="E47" s="114"/>
      <c r="F47" s="250"/>
      <c r="G47" s="125"/>
      <c r="H47" s="114"/>
      <c r="I47" s="251"/>
      <c r="J47" s="77"/>
      <c r="K47" s="258"/>
      <c r="L47" s="264" t="str">
        <f t="shared" si="0"/>
        <v>LB</v>
      </c>
      <c r="M47" s="265">
        <f t="shared" si="5"/>
        <v>55</v>
      </c>
      <c r="N47" s="265"/>
      <c r="O47" s="265" t="str">
        <f t="shared" si="1"/>
        <v>LA</v>
      </c>
      <c r="P47" s="265">
        <f t="shared" si="6"/>
        <v>57</v>
      </c>
      <c r="Q47" s="265"/>
      <c r="R47" s="267">
        <f t="shared" si="2"/>
        <v>0</v>
      </c>
      <c r="S47" s="267">
        <f t="shared" si="3"/>
        <v>0</v>
      </c>
      <c r="T47" s="265"/>
      <c r="U47" s="267">
        <f t="shared" si="4"/>
        <v>0</v>
      </c>
      <c r="V47" s="265"/>
      <c r="W47" s="266">
        <v>43</v>
      </c>
    </row>
    <row r="48" spans="2:41" ht="13.5" customHeight="1" x14ac:dyDescent="0.25">
      <c r="B48" s="23"/>
      <c r="C48" s="117"/>
      <c r="D48" s="120" t="s">
        <v>226</v>
      </c>
      <c r="E48" s="120"/>
      <c r="F48" s="227">
        <f>+U51*F20</f>
        <v>114022.08000000005</v>
      </c>
      <c r="G48" s="120"/>
      <c r="H48" s="120"/>
      <c r="I48" s="252"/>
      <c r="J48" s="78"/>
      <c r="K48" s="258"/>
      <c r="L48" s="264" t="str">
        <f t="shared" si="0"/>
        <v>LB</v>
      </c>
      <c r="M48" s="265">
        <f t="shared" si="5"/>
        <v>56</v>
      </c>
      <c r="N48" s="265"/>
      <c r="O48" s="265" t="str">
        <f t="shared" si="1"/>
        <v>LA</v>
      </c>
      <c r="P48" s="265">
        <f t="shared" si="6"/>
        <v>58</v>
      </c>
      <c r="Q48" s="265"/>
      <c r="R48" s="267">
        <f t="shared" si="2"/>
        <v>0</v>
      </c>
      <c r="S48" s="267">
        <f t="shared" si="3"/>
        <v>0</v>
      </c>
      <c r="T48" s="265"/>
      <c r="U48" s="267">
        <f t="shared" si="4"/>
        <v>0</v>
      </c>
      <c r="V48" s="265"/>
      <c r="W48" s="266">
        <v>44</v>
      </c>
    </row>
    <row r="49" spans="2:23" ht="13.5" customHeight="1" x14ac:dyDescent="0.25">
      <c r="B49" s="16"/>
      <c r="C49" s="128"/>
      <c r="D49" s="129"/>
      <c r="E49" s="129"/>
      <c r="F49" s="130"/>
      <c r="G49" s="129"/>
      <c r="H49" s="129"/>
      <c r="I49" s="253"/>
      <c r="J49" s="77"/>
      <c r="K49" s="258"/>
      <c r="L49" s="264" t="str">
        <f t="shared" si="0"/>
        <v>LB</v>
      </c>
      <c r="M49" s="265">
        <f t="shared" si="5"/>
        <v>57</v>
      </c>
      <c r="N49" s="265"/>
      <c r="O49" s="265" t="str">
        <f t="shared" si="1"/>
        <v>LA</v>
      </c>
      <c r="P49" s="265">
        <f t="shared" si="6"/>
        <v>59</v>
      </c>
      <c r="Q49" s="265"/>
      <c r="R49" s="267">
        <f t="shared" si="2"/>
        <v>0</v>
      </c>
      <c r="S49" s="267">
        <f t="shared" si="3"/>
        <v>0</v>
      </c>
      <c r="T49" s="265"/>
      <c r="U49" s="267">
        <f t="shared" si="4"/>
        <v>0</v>
      </c>
      <c r="V49" s="265"/>
      <c r="W49" s="266">
        <v>45</v>
      </c>
    </row>
    <row r="50" spans="2:23" ht="13.5" customHeight="1" x14ac:dyDescent="0.25">
      <c r="B50" s="16"/>
      <c r="C50" s="17"/>
      <c r="D50" s="17"/>
      <c r="E50" s="17"/>
      <c r="F50" s="18"/>
      <c r="G50" s="17"/>
      <c r="H50" s="17"/>
      <c r="I50" s="33"/>
      <c r="J50" s="77"/>
      <c r="K50" s="258"/>
      <c r="L50" s="264"/>
      <c r="M50" s="265"/>
      <c r="N50" s="265"/>
      <c r="O50" s="265"/>
      <c r="P50" s="265"/>
      <c r="Q50" s="265"/>
      <c r="R50" s="265"/>
      <c r="S50" s="265"/>
      <c r="T50" s="265"/>
      <c r="U50" s="265"/>
      <c r="V50" s="265"/>
      <c r="W50" s="266"/>
    </row>
    <row r="51" spans="2:23" ht="13.5" customHeight="1" x14ac:dyDescent="0.25">
      <c r="B51" s="16"/>
      <c r="C51" s="17"/>
      <c r="D51" s="17"/>
      <c r="E51" s="17"/>
      <c r="F51" s="18"/>
      <c r="G51" s="17"/>
      <c r="H51" s="17"/>
      <c r="I51" s="33"/>
      <c r="J51" s="77"/>
      <c r="K51" s="81"/>
      <c r="L51" s="264"/>
      <c r="M51" s="265"/>
      <c r="N51" s="265"/>
      <c r="O51" s="265"/>
      <c r="P51" s="265"/>
      <c r="Q51" s="265"/>
      <c r="R51" s="265"/>
      <c r="S51" s="265"/>
      <c r="T51" s="265"/>
      <c r="U51" s="267">
        <f>SUM(U4:U49)</f>
        <v>114022.08000000005</v>
      </c>
      <c r="V51" s="265"/>
      <c r="W51" s="266"/>
    </row>
    <row r="52" spans="2:23" ht="13.5" customHeight="1" x14ac:dyDescent="0.25">
      <c r="B52" s="9"/>
      <c r="C52" s="10"/>
      <c r="D52" s="10"/>
      <c r="E52" s="10"/>
      <c r="F52" s="56"/>
      <c r="G52" s="10"/>
      <c r="H52" s="10"/>
      <c r="I52" s="82" t="s">
        <v>221</v>
      </c>
      <c r="J52" s="83"/>
      <c r="K52" s="81"/>
      <c r="L52" s="268"/>
      <c r="M52" s="269"/>
      <c r="N52" s="269"/>
      <c r="O52" s="269"/>
      <c r="P52" s="269"/>
      <c r="Q52" s="269"/>
      <c r="R52" s="269"/>
      <c r="S52" s="269" t="s">
        <v>31</v>
      </c>
      <c r="T52" s="269"/>
      <c r="U52" s="270">
        <f>IF(F45=0,0,+U51/F45)</f>
        <v>5701.1040000000021</v>
      </c>
      <c r="V52" s="269"/>
      <c r="W52" s="271"/>
    </row>
    <row r="53" spans="2:23" ht="13.5" customHeight="1" x14ac:dyDescent="0.25">
      <c r="I53" s="81"/>
      <c r="J53" s="81"/>
      <c r="K53" s="81"/>
    </row>
    <row r="54" spans="2:23" ht="13.5" customHeight="1" x14ac:dyDescent="0.25">
      <c r="I54" s="81"/>
      <c r="J54" s="81"/>
      <c r="L54" s="4"/>
      <c r="M54" s="4"/>
    </row>
    <row r="55" spans="2:23" ht="13.5" customHeight="1" x14ac:dyDescent="0.25">
      <c r="I55" s="81"/>
      <c r="J55" s="81"/>
      <c r="L55" s="4"/>
      <c r="M55" s="4"/>
    </row>
    <row r="56" spans="2:23" ht="13.5" customHeight="1" x14ac:dyDescent="0.25">
      <c r="I56" s="81"/>
      <c r="J56" s="81"/>
      <c r="L56" s="4"/>
      <c r="M56" s="4"/>
    </row>
    <row r="57" spans="2:23" ht="13.5" customHeight="1" x14ac:dyDescent="0.25">
      <c r="I57" s="81"/>
      <c r="J57" s="81"/>
      <c r="L57" s="4"/>
      <c r="M57" s="4"/>
    </row>
    <row r="58" spans="2:23" ht="13.5" customHeight="1" x14ac:dyDescent="0.25">
      <c r="I58" s="81"/>
      <c r="J58" s="81"/>
      <c r="L58" s="4"/>
      <c r="M58" s="4"/>
    </row>
    <row r="59" spans="2:23" ht="13.5" customHeight="1" x14ac:dyDescent="0.25">
      <c r="C59" s="94" t="s">
        <v>74</v>
      </c>
      <c r="I59" s="81"/>
      <c r="J59" s="81"/>
      <c r="L59" s="4"/>
      <c r="M59" s="4"/>
    </row>
    <row r="60" spans="2:23" ht="13.5" customHeight="1" x14ac:dyDescent="0.25">
      <c r="C60" s="94" t="s">
        <v>75</v>
      </c>
      <c r="I60" s="81"/>
      <c r="J60" s="81"/>
      <c r="L60" s="4"/>
      <c r="M60" s="4"/>
    </row>
    <row r="61" spans="2:23" ht="13.5" customHeight="1" x14ac:dyDescent="0.25">
      <c r="C61" s="94" t="s">
        <v>76</v>
      </c>
      <c r="I61" s="81"/>
      <c r="J61" s="81"/>
      <c r="L61" s="73"/>
      <c r="M61" s="73"/>
    </row>
    <row r="62" spans="2:23" ht="13.5" customHeight="1" x14ac:dyDescent="0.25">
      <c r="C62" s="279" t="s">
        <v>257</v>
      </c>
      <c r="I62" s="81"/>
      <c r="J62" s="81"/>
      <c r="L62" s="73"/>
      <c r="M62" s="73"/>
    </row>
    <row r="63" spans="2:23" ht="13.5" customHeight="1" x14ac:dyDescent="0.25">
      <c r="I63" s="81"/>
      <c r="J63" s="81"/>
      <c r="L63" s="4"/>
      <c r="M63" s="4"/>
    </row>
    <row r="64" spans="2:23" ht="13.5" customHeight="1" x14ac:dyDescent="0.25">
      <c r="I64" s="81"/>
      <c r="J64" s="81"/>
      <c r="L64" s="4"/>
      <c r="M64" s="4"/>
    </row>
    <row r="65" spans="9:13" ht="13.5" customHeight="1" x14ac:dyDescent="0.25">
      <c r="I65" s="81"/>
      <c r="J65" s="81"/>
      <c r="L65" s="4"/>
      <c r="M65" s="4"/>
    </row>
    <row r="66" spans="9:13" ht="13.5" customHeight="1" x14ac:dyDescent="0.25">
      <c r="I66" s="81"/>
      <c r="J66" s="81"/>
      <c r="L66" s="4"/>
      <c r="M66" s="4"/>
    </row>
    <row r="67" spans="9:13" ht="13.5" customHeight="1" x14ac:dyDescent="0.25">
      <c r="I67" s="81"/>
      <c r="J67" s="81"/>
      <c r="L67" s="4"/>
      <c r="M67" s="4"/>
    </row>
    <row r="68" spans="9:13" ht="13.5" customHeight="1" x14ac:dyDescent="0.25">
      <c r="I68" s="81"/>
      <c r="J68" s="81"/>
      <c r="L68" s="4"/>
      <c r="M68" s="4"/>
    </row>
    <row r="69" spans="9:13" ht="13.5" customHeight="1" x14ac:dyDescent="0.25">
      <c r="I69" s="81"/>
      <c r="J69" s="81"/>
      <c r="L69" s="4"/>
      <c r="M69" s="4"/>
    </row>
    <row r="70" spans="9:13" ht="13.5" customHeight="1" x14ac:dyDescent="0.25">
      <c r="I70" s="81"/>
      <c r="J70" s="81"/>
      <c r="L70" s="4"/>
      <c r="M70" s="4"/>
    </row>
    <row r="71" spans="9:13" ht="13.5" customHeight="1" x14ac:dyDescent="0.25">
      <c r="I71" s="81"/>
      <c r="J71" s="81"/>
      <c r="L71" s="4"/>
      <c r="M71" s="4"/>
    </row>
    <row r="72" spans="9:13" ht="13.5" customHeight="1" x14ac:dyDescent="0.25">
      <c r="I72" s="81"/>
      <c r="J72" s="81"/>
      <c r="L72" s="4"/>
      <c r="M72" s="4"/>
    </row>
    <row r="73" spans="9:13" ht="13.5" customHeight="1" x14ac:dyDescent="0.25">
      <c r="I73" s="81"/>
      <c r="J73" s="81"/>
      <c r="L73" s="4"/>
      <c r="M73" s="4"/>
    </row>
    <row r="74" spans="9:13" ht="13.5" customHeight="1" x14ac:dyDescent="0.25">
      <c r="I74" s="81"/>
      <c r="J74" s="81"/>
      <c r="L74" s="4"/>
      <c r="M74" s="4"/>
    </row>
    <row r="75" spans="9:13" ht="13.5" customHeight="1" x14ac:dyDescent="0.25">
      <c r="I75" s="81"/>
      <c r="J75" s="81"/>
      <c r="L75" s="4"/>
      <c r="M75" s="4"/>
    </row>
    <row r="76" spans="9:13" ht="13.5" customHeight="1" x14ac:dyDescent="0.25">
      <c r="I76" s="81"/>
      <c r="J76" s="81"/>
      <c r="L76" s="4"/>
      <c r="M76" s="4"/>
    </row>
    <row r="77" spans="9:13" ht="13.5" customHeight="1" x14ac:dyDescent="0.25">
      <c r="I77" s="81"/>
      <c r="J77" s="81"/>
      <c r="L77" s="4"/>
      <c r="M77" s="4"/>
    </row>
    <row r="78" spans="9:13" ht="13.5" customHeight="1" x14ac:dyDescent="0.25">
      <c r="I78" s="81"/>
      <c r="J78" s="81"/>
      <c r="L78" s="4"/>
      <c r="M78" s="4"/>
    </row>
    <row r="79" spans="9:13" ht="13.5" customHeight="1" x14ac:dyDescent="0.25">
      <c r="I79" s="81"/>
      <c r="J79" s="81"/>
      <c r="L79" s="4"/>
      <c r="M79" s="4"/>
    </row>
    <row r="80" spans="9:13" ht="13.5" customHeight="1" x14ac:dyDescent="0.25">
      <c r="I80" s="81"/>
      <c r="J80" s="81"/>
      <c r="L80" s="4"/>
      <c r="M80" s="4"/>
    </row>
    <row r="81" spans="9:13" ht="13.5" customHeight="1" x14ac:dyDescent="0.25">
      <c r="I81" s="81"/>
      <c r="J81" s="81"/>
      <c r="L81" s="4"/>
      <c r="M81" s="4"/>
    </row>
    <row r="82" spans="9:13" ht="13.5" customHeight="1" x14ac:dyDescent="0.25">
      <c r="I82" s="81"/>
      <c r="J82" s="81"/>
      <c r="L82" s="4"/>
      <c r="M82" s="4"/>
    </row>
    <row r="83" spans="9:13" ht="13.5" customHeight="1" x14ac:dyDescent="0.25">
      <c r="I83" s="81"/>
      <c r="J83" s="81"/>
      <c r="L83" s="4"/>
      <c r="M83" s="4"/>
    </row>
    <row r="84" spans="9:13" ht="13.5" customHeight="1" x14ac:dyDescent="0.25">
      <c r="I84" s="81"/>
      <c r="J84" s="81"/>
      <c r="L84" s="4"/>
      <c r="M84" s="4"/>
    </row>
    <row r="85" spans="9:13" ht="13.5" customHeight="1" x14ac:dyDescent="0.25">
      <c r="I85" s="81"/>
      <c r="J85" s="81"/>
      <c r="L85" s="4"/>
      <c r="M85" s="4"/>
    </row>
    <row r="86" spans="9:13" ht="13.5" customHeight="1" x14ac:dyDescent="0.25">
      <c r="I86" s="81"/>
      <c r="J86" s="81"/>
      <c r="L86" s="4"/>
      <c r="M86" s="4"/>
    </row>
    <row r="87" spans="9:13" ht="13.5" customHeight="1" x14ac:dyDescent="0.25">
      <c r="I87" s="81"/>
      <c r="J87" s="81"/>
      <c r="L87" s="4"/>
      <c r="M87" s="4"/>
    </row>
    <row r="88" spans="9:13" ht="13.5" customHeight="1" x14ac:dyDescent="0.25">
      <c r="I88" s="81"/>
      <c r="J88" s="81"/>
      <c r="L88" s="4"/>
      <c r="M88" s="4"/>
    </row>
    <row r="89" spans="9:13" ht="13.5" customHeight="1" x14ac:dyDescent="0.25">
      <c r="I89" s="81"/>
      <c r="J89" s="81"/>
      <c r="L89" s="4"/>
      <c r="M89" s="4"/>
    </row>
    <row r="90" spans="9:13" ht="13.5" customHeight="1" x14ac:dyDescent="0.25">
      <c r="I90" s="81"/>
      <c r="J90" s="81"/>
      <c r="L90" s="4"/>
      <c r="M90" s="4"/>
    </row>
    <row r="91" spans="9:13" ht="13.5" customHeight="1" x14ac:dyDescent="0.25">
      <c r="I91" s="81"/>
      <c r="J91" s="81"/>
      <c r="L91" s="4"/>
      <c r="M91" s="4"/>
    </row>
    <row r="92" spans="9:13" ht="13.5" customHeight="1" x14ac:dyDescent="0.25">
      <c r="I92" s="81"/>
      <c r="J92" s="81"/>
      <c r="L92" s="4"/>
      <c r="M92" s="4"/>
    </row>
    <row r="93" spans="9:13" ht="13.5" customHeight="1" x14ac:dyDescent="0.25">
      <c r="I93" s="81"/>
      <c r="J93" s="81"/>
      <c r="L93" s="4"/>
      <c r="M93" s="4"/>
    </row>
    <row r="94" spans="9:13" ht="13.5" customHeight="1" x14ac:dyDescent="0.25">
      <c r="I94" s="81"/>
      <c r="J94" s="81"/>
      <c r="L94" s="4"/>
      <c r="M94" s="4"/>
    </row>
    <row r="95" spans="9:13" ht="13.5" customHeight="1" x14ac:dyDescent="0.25">
      <c r="I95" s="81"/>
      <c r="J95" s="81"/>
      <c r="L95" s="4"/>
      <c r="M95" s="4"/>
    </row>
    <row r="96" spans="9:13" ht="13.5" customHeight="1" x14ac:dyDescent="0.25">
      <c r="I96" s="81"/>
      <c r="J96" s="81"/>
      <c r="L96" s="4"/>
      <c r="M96" s="4"/>
    </row>
    <row r="97" spans="6:10" ht="13.5" customHeight="1" x14ac:dyDescent="0.25">
      <c r="F97" s="89"/>
      <c r="G97" s="93"/>
      <c r="I97" s="81"/>
      <c r="J97" s="81"/>
    </row>
    <row r="98" spans="6:10" ht="13.5" customHeight="1" x14ac:dyDescent="0.25">
      <c r="F98" s="89"/>
      <c r="G98" s="93"/>
      <c r="I98" s="81"/>
      <c r="J98" s="81"/>
    </row>
    <row r="99" spans="6:10" ht="13.5" customHeight="1" x14ac:dyDescent="0.25">
      <c r="F99" s="89"/>
      <c r="G99" s="93"/>
      <c r="I99" s="81"/>
      <c r="J99" s="81"/>
    </row>
    <row r="100" spans="6:10" ht="13.5" customHeight="1" x14ac:dyDescent="0.25">
      <c r="F100" s="89"/>
      <c r="G100" s="93"/>
      <c r="I100" s="81"/>
      <c r="J100" s="81"/>
    </row>
    <row r="101" spans="6:10" ht="13.5" customHeight="1" x14ac:dyDescent="0.25">
      <c r="F101" s="88"/>
      <c r="G101" s="81"/>
      <c r="I101" s="81"/>
      <c r="J101" s="81"/>
    </row>
    <row r="102" spans="6:10" ht="13.5" customHeight="1" x14ac:dyDescent="0.25">
      <c r="F102" s="89"/>
      <c r="G102" s="81"/>
      <c r="I102" s="81"/>
      <c r="J102" s="81"/>
    </row>
    <row r="103" spans="6:10" ht="13.5" customHeight="1" x14ac:dyDescent="0.25">
      <c r="F103" s="75"/>
      <c r="I103" s="81"/>
      <c r="J103" s="81"/>
    </row>
    <row r="104" spans="6:10" ht="13.5" customHeight="1" x14ac:dyDescent="0.25">
      <c r="I104" s="81"/>
      <c r="J104" s="81"/>
    </row>
    <row r="105" spans="6:10" ht="13.5" customHeight="1" x14ac:dyDescent="0.25">
      <c r="I105" s="81"/>
      <c r="J105" s="81"/>
    </row>
  </sheetData>
  <sheetProtection password="DFB1" sheet="1"/>
  <mergeCells count="1">
    <mergeCell ref="F9:G9"/>
  </mergeCells>
  <phoneticPr fontId="0" type="noConversion"/>
  <dataValidations count="3">
    <dataValidation type="list" allowBlank="1" showInputMessage="1" showErrorMessage="1" sqref="F34">
      <formula1>#REF!</formula1>
    </dataValidation>
    <dataValidation type="list" allowBlank="1" showInputMessage="1" showErrorMessage="1" sqref="F30 F16">
      <formula1>$Y$2:$Y$45</formula1>
    </dataValidation>
    <dataValidation type="list" allowBlank="1" showInputMessage="1" showErrorMessage="1" sqref="F10">
      <formula1>$C$59:$C$62</formula1>
    </dataValidation>
  </dataValidations>
  <printOptions gridLines="1"/>
  <pageMargins left="0.74803149606299213" right="0.74803149606299213" top="0.98425196850393704" bottom="0.98425196850393704" header="0.51181102362204722" footer="0.51181102362204722"/>
  <pageSetup paperSize="9" scale="85" orientation="portrait" r:id="rId1"/>
  <headerFooter alignWithMargins="0">
    <oddHeader>&amp;L&amp;"Arial,Vet"&amp;A&amp;C&amp;"Arial,Vet"&amp;D&amp;R&amp;"Arial,Vet"&amp;F</oddHeader>
    <oddFooter>&amp;L&amp;"Arial,Vet"&amp;8gemaakt door keizer, PO-Raad&amp;R&amp;"Arial,Vet"&amp;P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W136"/>
  <sheetViews>
    <sheetView topLeftCell="A13" zoomScale="85" zoomScaleNormal="85" workbookViewId="0">
      <selection activeCell="B2" sqref="B2"/>
    </sheetView>
  </sheetViews>
  <sheetFormatPr defaultColWidth="9.7109375" defaultRowHeight="13.5" customHeight="1" x14ac:dyDescent="0.25"/>
  <cols>
    <col min="1" max="1" width="3.7109375" style="1" customWidth="1"/>
    <col min="2" max="2" width="2.7109375" style="1" customWidth="1"/>
    <col min="3" max="3" width="2.5703125" style="1" customWidth="1"/>
    <col min="4" max="4" width="45.7109375" style="1" customWidth="1"/>
    <col min="5" max="5" width="2.85546875" style="1" customWidth="1"/>
    <col min="6" max="7" width="14.85546875" style="1" customWidth="1"/>
    <col min="8" max="8" width="14.42578125" style="1" customWidth="1"/>
    <col min="9" max="10" width="2.7109375" style="1" customWidth="1"/>
    <col min="11" max="49" width="10.7109375" style="1" customWidth="1"/>
    <col min="50" max="16384" width="9.7109375" style="1"/>
  </cols>
  <sheetData>
    <row r="2" spans="2:15" ht="13.5" customHeight="1" x14ac:dyDescent="0.25">
      <c r="B2" s="12"/>
      <c r="C2" s="13"/>
      <c r="D2" s="13"/>
      <c r="E2" s="13"/>
      <c r="F2" s="13"/>
      <c r="G2" s="13"/>
      <c r="H2" s="13"/>
      <c r="I2" s="13"/>
      <c r="J2" s="15"/>
    </row>
    <row r="3" spans="2:15" ht="13.5" customHeight="1" x14ac:dyDescent="0.25">
      <c r="B3" s="16"/>
      <c r="C3" s="17"/>
      <c r="D3" s="17"/>
      <c r="E3" s="17"/>
      <c r="F3" s="17"/>
      <c r="G3" s="17"/>
      <c r="H3" s="17"/>
      <c r="I3" s="17"/>
      <c r="J3" s="19"/>
    </row>
    <row r="4" spans="2:15" s="8" customFormat="1" ht="18" customHeight="1" x14ac:dyDescent="0.3">
      <c r="B4" s="29"/>
      <c r="C4" s="60" t="s">
        <v>228</v>
      </c>
      <c r="D4" s="72"/>
      <c r="E4" s="72"/>
      <c r="F4" s="62" t="str">
        <f>tabellen!B2</f>
        <v>2015/2016</v>
      </c>
      <c r="G4" s="60"/>
      <c r="H4" s="72"/>
      <c r="I4" s="72"/>
      <c r="J4" s="32"/>
    </row>
    <row r="5" spans="2:15" ht="13.5" customHeight="1" x14ac:dyDescent="0.25">
      <c r="B5" s="16"/>
      <c r="C5" s="17"/>
      <c r="D5" s="28"/>
      <c r="E5" s="17"/>
      <c r="F5" s="17"/>
      <c r="G5" s="17"/>
      <c r="H5" s="17"/>
      <c r="I5" s="17"/>
      <c r="J5" s="19"/>
    </row>
    <row r="6" spans="2:15" ht="13.5" customHeight="1" x14ac:dyDescent="0.25">
      <c r="B6" s="16"/>
      <c r="C6" s="17"/>
      <c r="D6" s="28"/>
      <c r="E6" s="17"/>
      <c r="F6" s="17"/>
      <c r="G6" s="17"/>
      <c r="H6" s="17"/>
      <c r="I6" s="17"/>
      <c r="J6" s="19"/>
    </row>
    <row r="7" spans="2:15" ht="13.5" customHeight="1" x14ac:dyDescent="0.25">
      <c r="B7" s="16"/>
      <c r="C7" s="106"/>
      <c r="D7" s="132"/>
      <c r="E7" s="107"/>
      <c r="F7" s="107"/>
      <c r="G7" s="107"/>
      <c r="H7" s="107"/>
      <c r="I7" s="110"/>
      <c r="J7" s="19"/>
    </row>
    <row r="8" spans="2:15" ht="13.5" customHeight="1" x14ac:dyDescent="0.25">
      <c r="B8" s="16"/>
      <c r="C8" s="117"/>
      <c r="D8" s="112" t="s">
        <v>166</v>
      </c>
      <c r="E8" s="114"/>
      <c r="F8" s="114"/>
      <c r="G8" s="114"/>
      <c r="H8" s="114"/>
      <c r="I8" s="116"/>
      <c r="J8" s="19"/>
    </row>
    <row r="9" spans="2:15" ht="13.5" customHeight="1" x14ac:dyDescent="0.25">
      <c r="B9" s="16"/>
      <c r="C9" s="117"/>
      <c r="D9" s="120"/>
      <c r="E9" s="114"/>
      <c r="F9" s="114"/>
      <c r="G9" s="114"/>
      <c r="H9" s="114"/>
      <c r="I9" s="116"/>
      <c r="J9" s="19"/>
    </row>
    <row r="10" spans="2:15" ht="13.5" customHeight="1" x14ac:dyDescent="0.25">
      <c r="B10" s="16"/>
      <c r="C10" s="111"/>
      <c r="D10" s="114" t="s">
        <v>123</v>
      </c>
      <c r="E10" s="114"/>
      <c r="F10" s="672" t="s">
        <v>32</v>
      </c>
      <c r="G10" s="672"/>
      <c r="H10" s="114"/>
      <c r="I10" s="116"/>
      <c r="J10" s="19"/>
      <c r="O10" s="5"/>
    </row>
    <row r="11" spans="2:15" ht="13.5" customHeight="1" x14ac:dyDescent="0.25">
      <c r="B11" s="16"/>
      <c r="C11" s="111"/>
      <c r="D11" s="120"/>
      <c r="E11" s="114"/>
      <c r="F11" s="139"/>
      <c r="G11" s="139"/>
      <c r="H11" s="114"/>
      <c r="I11" s="116"/>
      <c r="J11" s="19"/>
      <c r="O11" s="5"/>
    </row>
    <row r="12" spans="2:15" ht="13.5" customHeight="1" x14ac:dyDescent="0.25">
      <c r="B12" s="16"/>
      <c r="C12" s="111"/>
      <c r="D12" s="120" t="s">
        <v>23</v>
      </c>
      <c r="E12" s="114"/>
      <c r="F12" s="114"/>
      <c r="G12" s="114"/>
      <c r="H12" s="114"/>
      <c r="I12" s="116"/>
      <c r="J12" s="19"/>
      <c r="O12" s="5"/>
    </row>
    <row r="13" spans="2:15" ht="13.5" customHeight="1" x14ac:dyDescent="0.25">
      <c r="B13" s="16"/>
      <c r="C13" s="111"/>
      <c r="D13" s="114" t="s">
        <v>21</v>
      </c>
      <c r="E13" s="114"/>
      <c r="F13" s="118" t="s">
        <v>0</v>
      </c>
      <c r="G13" s="114"/>
      <c r="H13" s="114"/>
      <c r="I13" s="116"/>
      <c r="J13" s="19"/>
    </row>
    <row r="14" spans="2:15" ht="13.5" customHeight="1" x14ac:dyDescent="0.25">
      <c r="B14" s="16"/>
      <c r="C14" s="111"/>
      <c r="D14" s="114" t="s">
        <v>22</v>
      </c>
      <c r="E14" s="114"/>
      <c r="F14" s="118">
        <v>10</v>
      </c>
      <c r="G14" s="218" t="s">
        <v>154</v>
      </c>
      <c r="H14" s="219">
        <f>VLOOKUP(F13,salaristabellen,22,FALSE)</f>
        <v>15</v>
      </c>
      <c r="I14" s="116"/>
      <c r="J14" s="19"/>
    </row>
    <row r="15" spans="2:15" ht="13.5" customHeight="1" x14ac:dyDescent="0.25">
      <c r="B15" s="16"/>
      <c r="C15" s="111"/>
      <c r="D15" s="114" t="s">
        <v>24</v>
      </c>
      <c r="E15" s="114"/>
      <c r="F15" s="274">
        <f>VLOOKUP(F13,salaristabellen,F14+1,FALSE)</f>
        <v>2863</v>
      </c>
      <c r="G15" s="114"/>
      <c r="H15" s="114"/>
      <c r="I15" s="116"/>
      <c r="J15" s="19"/>
    </row>
    <row r="16" spans="2:15" ht="13.5" customHeight="1" x14ac:dyDescent="0.25">
      <c r="B16" s="16"/>
      <c r="C16" s="111"/>
      <c r="D16" s="120" t="s">
        <v>25</v>
      </c>
      <c r="E16" s="114"/>
      <c r="F16" s="220">
        <v>1</v>
      </c>
      <c r="G16" s="114"/>
      <c r="H16" s="114"/>
      <c r="I16" s="116"/>
      <c r="J16" s="19"/>
    </row>
    <row r="17" spans="2:13" ht="13.5" customHeight="1" x14ac:dyDescent="0.25">
      <c r="B17" s="16"/>
      <c r="C17" s="111"/>
      <c r="D17" s="114" t="s">
        <v>26</v>
      </c>
      <c r="E17" s="114"/>
      <c r="F17" s="273">
        <f>+F15*F16</f>
        <v>2863</v>
      </c>
      <c r="G17" s="114"/>
      <c r="H17" s="114"/>
      <c r="I17" s="116"/>
      <c r="J17" s="19"/>
    </row>
    <row r="18" spans="2:13" ht="13.5" customHeight="1" x14ac:dyDescent="0.25">
      <c r="B18" s="16"/>
      <c r="C18" s="111"/>
      <c r="D18" s="114"/>
      <c r="E18" s="114"/>
      <c r="F18" s="113"/>
      <c r="G18" s="114"/>
      <c r="H18" s="114"/>
      <c r="I18" s="116"/>
      <c r="J18" s="19"/>
    </row>
    <row r="19" spans="2:13" ht="13.5" customHeight="1" x14ac:dyDescent="0.25">
      <c r="B19" s="16"/>
      <c r="C19" s="111"/>
      <c r="D19" s="120" t="s">
        <v>167</v>
      </c>
      <c r="E19" s="114"/>
      <c r="F19" s="113"/>
      <c r="G19" s="114"/>
      <c r="H19" s="114"/>
      <c r="I19" s="116"/>
      <c r="J19" s="19"/>
    </row>
    <row r="20" spans="2:13" ht="13.5" customHeight="1" x14ac:dyDescent="0.25">
      <c r="B20" s="16"/>
      <c r="C20" s="111"/>
      <c r="D20" s="114" t="s">
        <v>168</v>
      </c>
      <c r="E20" s="114"/>
      <c r="F20" s="118" t="s">
        <v>125</v>
      </c>
      <c r="G20" s="114"/>
      <c r="H20" s="114"/>
      <c r="I20" s="116"/>
      <c r="J20" s="19"/>
    </row>
    <row r="21" spans="2:13" ht="13.5" customHeight="1" x14ac:dyDescent="0.25">
      <c r="B21" s="16"/>
      <c r="C21" s="111"/>
      <c r="D21" s="114" t="s">
        <v>169</v>
      </c>
      <c r="E21" s="114"/>
      <c r="F21" s="118" t="s">
        <v>125</v>
      </c>
      <c r="G21" s="114"/>
      <c r="H21" s="114"/>
      <c r="I21" s="116"/>
      <c r="J21" s="19"/>
    </row>
    <row r="22" spans="2:13" ht="13.5" customHeight="1" x14ac:dyDescent="0.25">
      <c r="B22" s="16"/>
      <c r="C22" s="111"/>
      <c r="D22" s="114" t="s">
        <v>170</v>
      </c>
      <c r="E22" s="114"/>
      <c r="F22" s="118" t="s">
        <v>122</v>
      </c>
      <c r="G22" s="115"/>
      <c r="H22" s="115"/>
      <c r="I22" s="221"/>
      <c r="J22" s="27"/>
      <c r="K22" s="3"/>
      <c r="L22" s="3"/>
      <c r="M22" s="3"/>
    </row>
    <row r="23" spans="2:13" ht="13.5" customHeight="1" x14ac:dyDescent="0.25">
      <c r="B23" s="16"/>
      <c r="C23" s="111"/>
      <c r="D23" s="114" t="s">
        <v>171</v>
      </c>
      <c r="E23" s="114"/>
      <c r="F23" s="118">
        <v>2</v>
      </c>
      <c r="G23" s="115"/>
      <c r="H23" s="115"/>
      <c r="I23" s="221"/>
      <c r="J23" s="27"/>
      <c r="K23" s="3"/>
      <c r="L23" s="3"/>
      <c r="M23" s="3"/>
    </row>
    <row r="24" spans="2:13" ht="13.5" customHeight="1" x14ac:dyDescent="0.25">
      <c r="B24" s="16"/>
      <c r="C24" s="111"/>
      <c r="D24" s="114"/>
      <c r="E24" s="114"/>
      <c r="F24" s="113"/>
      <c r="G24" s="115"/>
      <c r="H24" s="115"/>
      <c r="I24" s="221"/>
      <c r="J24" s="27"/>
      <c r="K24" s="3"/>
      <c r="L24" s="3"/>
      <c r="M24" s="3"/>
    </row>
    <row r="25" spans="2:13" ht="13.5" customHeight="1" x14ac:dyDescent="0.25">
      <c r="B25" s="16"/>
      <c r="C25" s="111"/>
      <c r="D25" s="114" t="s">
        <v>172</v>
      </c>
      <c r="E25" s="114"/>
      <c r="F25" s="169">
        <f>IF(F14+F23&gt;H14,"verkeerde invoer",(VLOOKUP(F13,salaristabellen,F14+F23+1,FALSE)-VLOOKUP(F13,salaristabellen,F14+1,FALSE))*F16)</f>
        <v>176</v>
      </c>
      <c r="G25" s="115"/>
      <c r="H25" s="115"/>
      <c r="I25" s="221"/>
      <c r="J25" s="27"/>
      <c r="K25" s="3"/>
      <c r="L25" s="3"/>
      <c r="M25" s="3"/>
    </row>
    <row r="26" spans="2:13" ht="13.5" customHeight="1" x14ac:dyDescent="0.25">
      <c r="B26" s="16"/>
      <c r="C26" s="111"/>
      <c r="D26" s="114" t="s">
        <v>160</v>
      </c>
      <c r="E26" s="114"/>
      <c r="F26" s="206">
        <v>0.59</v>
      </c>
      <c r="G26" s="115"/>
      <c r="H26" s="115"/>
      <c r="I26" s="221"/>
      <c r="J26" s="27"/>
      <c r="K26" s="3"/>
      <c r="L26" s="3"/>
      <c r="M26" s="3"/>
    </row>
    <row r="27" spans="2:13" ht="13.5" customHeight="1" x14ac:dyDescent="0.25">
      <c r="B27" s="16"/>
      <c r="C27" s="111"/>
      <c r="D27" s="114" t="s">
        <v>161</v>
      </c>
      <c r="E27" s="114"/>
      <c r="F27" s="273">
        <f>+F25*12*(1+F26)</f>
        <v>3358.08</v>
      </c>
      <c r="G27" s="115"/>
      <c r="H27" s="115"/>
      <c r="I27" s="221"/>
      <c r="J27" s="27"/>
      <c r="K27" s="3"/>
      <c r="L27" s="3"/>
      <c r="M27" s="3"/>
    </row>
    <row r="28" spans="2:13" ht="13.5" customHeight="1" x14ac:dyDescent="0.25">
      <c r="B28" s="16"/>
      <c r="C28" s="111"/>
      <c r="D28" s="114" t="s">
        <v>173</v>
      </c>
      <c r="E28" s="114"/>
      <c r="F28" s="224">
        <f>IF(F23=0,0,+(H14-F14))</f>
        <v>5</v>
      </c>
      <c r="G28" s="115"/>
      <c r="H28" s="115"/>
      <c r="I28" s="221"/>
      <c r="J28" s="27"/>
      <c r="K28" s="3"/>
      <c r="L28" s="3"/>
      <c r="M28" s="3"/>
    </row>
    <row r="29" spans="2:13" ht="13.5" customHeight="1" x14ac:dyDescent="0.25">
      <c r="B29" s="16"/>
      <c r="C29" s="111"/>
      <c r="D29" s="114" t="s">
        <v>163</v>
      </c>
      <c r="E29" s="114"/>
      <c r="F29" s="225">
        <f>+U79*F16</f>
        <v>3106.2239999999993</v>
      </c>
      <c r="G29" s="125"/>
      <c r="H29" s="115"/>
      <c r="I29" s="221"/>
      <c r="J29" s="19"/>
    </row>
    <row r="30" spans="2:13" ht="13.5" customHeight="1" x14ac:dyDescent="0.25">
      <c r="B30" s="16"/>
      <c r="C30" s="111"/>
      <c r="D30" s="114"/>
      <c r="E30" s="114"/>
      <c r="F30" s="226"/>
      <c r="G30" s="125"/>
      <c r="H30" s="115"/>
      <c r="I30" s="221"/>
      <c r="J30" s="19"/>
    </row>
    <row r="31" spans="2:13" ht="13.5" customHeight="1" x14ac:dyDescent="0.25">
      <c r="B31" s="16"/>
      <c r="C31" s="111"/>
      <c r="D31" s="120" t="s">
        <v>174</v>
      </c>
      <c r="E31" s="114"/>
      <c r="F31" s="227">
        <f>+U78*F16</f>
        <v>15531.119999999995</v>
      </c>
      <c r="G31" s="114"/>
      <c r="H31" s="115"/>
      <c r="I31" s="221"/>
      <c r="J31" s="19"/>
    </row>
    <row r="32" spans="2:13" ht="13.5" customHeight="1" x14ac:dyDescent="0.25">
      <c r="B32" s="16"/>
      <c r="C32" s="128"/>
      <c r="D32" s="129"/>
      <c r="E32" s="129"/>
      <c r="F32" s="129"/>
      <c r="G32" s="129"/>
      <c r="H32" s="150"/>
      <c r="I32" s="222"/>
      <c r="J32" s="19"/>
    </row>
    <row r="33" spans="2:10" ht="13.5" customHeight="1" x14ac:dyDescent="0.25">
      <c r="B33" s="16"/>
      <c r="C33" s="17"/>
      <c r="D33" s="17"/>
      <c r="E33" s="17"/>
      <c r="F33" s="17"/>
      <c r="G33" s="17"/>
      <c r="H33" s="20"/>
      <c r="I33" s="20"/>
      <c r="J33" s="19"/>
    </row>
    <row r="34" spans="2:10" ht="13.5" customHeight="1" x14ac:dyDescent="0.25">
      <c r="B34" s="16"/>
      <c r="C34" s="106"/>
      <c r="D34" s="107"/>
      <c r="E34" s="107"/>
      <c r="F34" s="107"/>
      <c r="G34" s="107"/>
      <c r="H34" s="109"/>
      <c r="I34" s="223"/>
      <c r="J34" s="19"/>
    </row>
    <row r="35" spans="2:10" ht="13.5" customHeight="1" x14ac:dyDescent="0.25">
      <c r="B35" s="16"/>
      <c r="C35" s="111"/>
      <c r="D35" s="136" t="s">
        <v>175</v>
      </c>
      <c r="E35" s="115"/>
      <c r="F35" s="115"/>
      <c r="G35" s="115"/>
      <c r="H35" s="115"/>
      <c r="I35" s="221"/>
      <c r="J35" s="19"/>
    </row>
    <row r="36" spans="2:10" ht="13.5" customHeight="1" x14ac:dyDescent="0.25">
      <c r="B36" s="16"/>
      <c r="C36" s="111"/>
      <c r="D36" s="136"/>
      <c r="E36" s="115"/>
      <c r="F36" s="115"/>
      <c r="G36" s="115"/>
      <c r="H36" s="115"/>
      <c r="I36" s="221"/>
      <c r="J36" s="19"/>
    </row>
    <row r="37" spans="2:10" ht="13.5" customHeight="1" x14ac:dyDescent="0.25">
      <c r="B37" s="16"/>
      <c r="C37" s="111"/>
      <c r="D37" s="115" t="s">
        <v>182</v>
      </c>
      <c r="E37" s="114"/>
      <c r="F37" s="138" t="s">
        <v>176</v>
      </c>
      <c r="G37" s="138"/>
      <c r="H37" s="139"/>
      <c r="I37" s="221"/>
      <c r="J37" s="19"/>
    </row>
    <row r="38" spans="2:10" ht="13.5" customHeight="1" x14ac:dyDescent="0.25">
      <c r="B38" s="16"/>
      <c r="C38" s="111"/>
      <c r="D38" s="115"/>
      <c r="E38" s="114"/>
      <c r="F38" s="228"/>
      <c r="G38" s="139"/>
      <c r="H38" s="139"/>
      <c r="I38" s="221"/>
      <c r="J38" s="19"/>
    </row>
    <row r="39" spans="2:10" ht="13.5" customHeight="1" x14ac:dyDescent="0.25">
      <c r="B39" s="16"/>
      <c r="C39" s="111"/>
      <c r="D39" s="176" t="s">
        <v>138</v>
      </c>
      <c r="E39" s="115"/>
      <c r="F39" s="115"/>
      <c r="G39" s="115"/>
      <c r="H39" s="115"/>
      <c r="I39" s="221"/>
      <c r="J39" s="19"/>
    </row>
    <row r="40" spans="2:10" ht="13.5" customHeight="1" x14ac:dyDescent="0.25">
      <c r="B40" s="16"/>
      <c r="C40" s="111"/>
      <c r="D40" s="115" t="s">
        <v>139</v>
      </c>
      <c r="E40" s="115"/>
      <c r="F40" s="202">
        <v>500</v>
      </c>
      <c r="G40" s="115"/>
      <c r="H40" s="115"/>
      <c r="I40" s="221"/>
      <c r="J40" s="19"/>
    </row>
    <row r="41" spans="2:10" ht="13.5" customHeight="1" x14ac:dyDescent="0.25">
      <c r="B41" s="16"/>
      <c r="C41" s="111"/>
      <c r="D41" s="115" t="s">
        <v>141</v>
      </c>
      <c r="E41" s="115"/>
      <c r="F41" s="206">
        <v>0.73899999999999999</v>
      </c>
      <c r="G41" s="115"/>
      <c r="H41" s="115"/>
      <c r="I41" s="221"/>
      <c r="J41" s="19"/>
    </row>
    <row r="42" spans="2:10" ht="13.5" customHeight="1" x14ac:dyDescent="0.25">
      <c r="B42" s="16"/>
      <c r="C42" s="111"/>
      <c r="D42" s="115" t="s">
        <v>177</v>
      </c>
      <c r="E42" s="115"/>
      <c r="F42" s="229">
        <f>ROUND(+F40*F41,0)</f>
        <v>370</v>
      </c>
      <c r="G42" s="115"/>
      <c r="H42" s="115"/>
      <c r="I42" s="221"/>
      <c r="J42" s="19"/>
    </row>
    <row r="43" spans="2:10" ht="13.5" customHeight="1" x14ac:dyDescent="0.25">
      <c r="B43" s="16"/>
      <c r="C43" s="111"/>
      <c r="D43" s="115"/>
      <c r="E43" s="115"/>
      <c r="F43" s="127"/>
      <c r="G43" s="115"/>
      <c r="H43" s="115"/>
      <c r="I43" s="221"/>
      <c r="J43" s="19"/>
    </row>
    <row r="44" spans="2:10" ht="13.5" customHeight="1" x14ac:dyDescent="0.25">
      <c r="B44" s="16"/>
      <c r="C44" s="111"/>
      <c r="D44" s="115" t="s">
        <v>178</v>
      </c>
      <c r="E44" s="115"/>
      <c r="F44" s="230">
        <v>0.02</v>
      </c>
      <c r="G44" s="115"/>
      <c r="H44" s="115"/>
      <c r="I44" s="231"/>
      <c r="J44" s="77"/>
    </row>
    <row r="45" spans="2:10" ht="13.5" customHeight="1" x14ac:dyDescent="0.25">
      <c r="B45" s="16"/>
      <c r="C45" s="111"/>
      <c r="D45" s="115" t="s">
        <v>177</v>
      </c>
      <c r="E45" s="115"/>
      <c r="F45" s="210">
        <f>ROUND(+F42*F44,0)</f>
        <v>7</v>
      </c>
      <c r="G45" s="115"/>
      <c r="H45" s="115"/>
      <c r="I45" s="231"/>
      <c r="J45" s="77"/>
    </row>
    <row r="46" spans="2:10" ht="13.5" customHeight="1" x14ac:dyDescent="0.25">
      <c r="B46" s="16"/>
      <c r="C46" s="111"/>
      <c r="D46" s="115" t="s">
        <v>179</v>
      </c>
      <c r="E46" s="115"/>
      <c r="F46" s="232">
        <v>2400</v>
      </c>
      <c r="G46" s="115"/>
      <c r="H46" s="115"/>
      <c r="I46" s="231"/>
      <c r="J46" s="77"/>
    </row>
    <row r="47" spans="2:10" ht="13.5" customHeight="1" x14ac:dyDescent="0.25">
      <c r="B47" s="16"/>
      <c r="C47" s="111"/>
      <c r="D47" s="115"/>
      <c r="E47" s="115"/>
      <c r="F47" s="233"/>
      <c r="G47" s="115"/>
      <c r="H47" s="115"/>
      <c r="I47" s="231"/>
      <c r="J47" s="77"/>
    </row>
    <row r="48" spans="2:10" s="2" customFormat="1" ht="13.5" customHeight="1" x14ac:dyDescent="0.25">
      <c r="B48" s="23"/>
      <c r="C48" s="117"/>
      <c r="D48" s="142" t="s">
        <v>180</v>
      </c>
      <c r="E48" s="142"/>
      <c r="F48" s="214">
        <f>+F45*F46</f>
        <v>16800</v>
      </c>
      <c r="G48" s="142"/>
      <c r="H48" s="142"/>
      <c r="I48" s="234"/>
      <c r="J48" s="78"/>
    </row>
    <row r="49" spans="2:23" ht="13.5" customHeight="1" x14ac:dyDescent="0.25">
      <c r="B49" s="16"/>
      <c r="C49" s="128"/>
      <c r="D49" s="235"/>
      <c r="E49" s="150"/>
      <c r="F49" s="150"/>
      <c r="G49" s="150"/>
      <c r="H49" s="150"/>
      <c r="I49" s="236"/>
      <c r="J49" s="77"/>
    </row>
    <row r="50" spans="2:23" ht="13.5" customHeight="1" x14ac:dyDescent="0.25">
      <c r="B50" s="16"/>
      <c r="C50" s="17"/>
      <c r="D50" s="17"/>
      <c r="E50" s="17"/>
      <c r="F50" s="17"/>
      <c r="G50" s="17"/>
      <c r="H50" s="17"/>
      <c r="I50" s="33"/>
      <c r="J50" s="77"/>
    </row>
    <row r="51" spans="2:23" ht="13.5" customHeight="1" x14ac:dyDescent="0.25">
      <c r="B51" s="16"/>
      <c r="C51" s="17"/>
      <c r="D51" s="17"/>
      <c r="E51" s="17"/>
      <c r="F51" s="17"/>
      <c r="G51" s="17"/>
      <c r="H51" s="17"/>
      <c r="I51" s="33"/>
      <c r="J51" s="77"/>
    </row>
    <row r="52" spans="2:23" ht="13.5" customHeight="1" x14ac:dyDescent="0.25">
      <c r="B52" s="58"/>
      <c r="C52" s="59"/>
      <c r="D52" s="59"/>
      <c r="E52" s="59"/>
      <c r="F52" s="59"/>
      <c r="G52" s="59"/>
      <c r="H52" s="59"/>
      <c r="I52" s="79" t="s">
        <v>221</v>
      </c>
      <c r="J52" s="80"/>
    </row>
    <row r="53" spans="2:23" ht="13.5" customHeight="1" x14ac:dyDescent="0.25">
      <c r="B53" s="101"/>
      <c r="C53" s="101"/>
      <c r="D53" s="101"/>
      <c r="E53" s="101"/>
      <c r="F53" s="101"/>
      <c r="G53" s="101"/>
      <c r="H53" s="101"/>
      <c r="I53" s="103"/>
      <c r="J53" s="102"/>
    </row>
    <row r="54" spans="2:23" ht="13.5" customHeight="1" x14ac:dyDescent="0.25">
      <c r="B54" s="101"/>
      <c r="C54" s="101"/>
      <c r="D54" s="101"/>
      <c r="E54" s="101"/>
      <c r="F54" s="101"/>
      <c r="G54" s="101"/>
      <c r="H54" s="101"/>
      <c r="I54" s="103"/>
      <c r="J54" s="102"/>
    </row>
    <row r="55" spans="2:23" ht="13.5" customHeight="1" x14ac:dyDescent="0.25">
      <c r="I55" s="81"/>
      <c r="J55" s="81"/>
      <c r="N55" s="1" t="s">
        <v>181</v>
      </c>
    </row>
    <row r="56" spans="2:23" ht="13.5" customHeight="1" x14ac:dyDescent="0.25">
      <c r="I56" s="81"/>
      <c r="J56" s="81"/>
      <c r="K56" s="4" t="s">
        <v>90</v>
      </c>
      <c r="L56" s="4"/>
      <c r="M56" s="4"/>
      <c r="N56" s="1" t="s">
        <v>21</v>
      </c>
      <c r="O56" s="1" t="s">
        <v>29</v>
      </c>
      <c r="P56" s="1" t="s">
        <v>28</v>
      </c>
      <c r="U56" s="1" t="s">
        <v>30</v>
      </c>
    </row>
    <row r="57" spans="2:23" ht="13.5" customHeight="1" x14ac:dyDescent="0.25">
      <c r="I57" s="81"/>
      <c r="J57" s="81"/>
      <c r="K57" s="4" t="s">
        <v>83</v>
      </c>
      <c r="L57" s="4"/>
      <c r="M57" s="4"/>
      <c r="N57" s="1" t="str">
        <f t="shared" ref="N57:N76" si="0">+$F$13</f>
        <v>LA</v>
      </c>
      <c r="O57" s="1">
        <f t="shared" ref="O57:O76" si="1">+$F$14+$F$23+W57</f>
        <v>12</v>
      </c>
      <c r="P57" s="1">
        <f t="shared" ref="P57:P76" si="2">+$F$14+W57</f>
        <v>10</v>
      </c>
      <c r="R57" s="6">
        <f t="shared" ref="R57:R76" si="3">IF(O57&gt;$H$14,VLOOKUP($N57,salaristabellen,$H$14+1,FALSE),VLOOKUP($N57,salaristabellen,O57+1,FALSE))*12*(1+F$26)</f>
        <v>57984.119999999995</v>
      </c>
      <c r="S57" s="6">
        <f t="shared" ref="S57:S76" si="4">IF(P57&gt;$H$14,VLOOKUP($N57,salaristabellen,$H$14+1,FALSE),VLOOKUP($N57,salaristabellen,P57+1,FALSE))*12*(1+F$26)</f>
        <v>54626.039999999994</v>
      </c>
      <c r="U57" s="6">
        <f>+R57-S57</f>
        <v>3358.0800000000017</v>
      </c>
      <c r="W57" s="1">
        <v>0</v>
      </c>
    </row>
    <row r="58" spans="2:23" ht="13.5" customHeight="1" x14ac:dyDescent="0.25">
      <c r="I58" s="81"/>
      <c r="J58" s="81"/>
      <c r="K58" s="4" t="s">
        <v>84</v>
      </c>
      <c r="L58" s="4"/>
      <c r="M58" s="4"/>
      <c r="N58" s="1" t="str">
        <f t="shared" si="0"/>
        <v>LA</v>
      </c>
      <c r="O58" s="1">
        <f t="shared" si="1"/>
        <v>13</v>
      </c>
      <c r="P58" s="1">
        <f t="shared" si="2"/>
        <v>11</v>
      </c>
      <c r="R58" s="6">
        <f t="shared" si="3"/>
        <v>59834.879999999997</v>
      </c>
      <c r="S58" s="6">
        <f t="shared" si="4"/>
        <v>56266.92</v>
      </c>
      <c r="U58" s="6">
        <f t="shared" ref="U58:U76" si="5">+R58-S58</f>
        <v>3567.9599999999991</v>
      </c>
      <c r="W58" s="1">
        <v>1</v>
      </c>
    </row>
    <row r="59" spans="2:23" ht="13.5" customHeight="1" x14ac:dyDescent="0.25">
      <c r="I59" s="81"/>
      <c r="J59" s="81"/>
      <c r="K59" s="4" t="s">
        <v>85</v>
      </c>
      <c r="L59" s="4"/>
      <c r="M59" s="4"/>
      <c r="N59" s="1" t="str">
        <f t="shared" si="0"/>
        <v>LA</v>
      </c>
      <c r="O59" s="1">
        <f t="shared" si="1"/>
        <v>14</v>
      </c>
      <c r="P59" s="1">
        <f t="shared" si="2"/>
        <v>12</v>
      </c>
      <c r="R59" s="6">
        <f t="shared" si="3"/>
        <v>61742.879999999997</v>
      </c>
      <c r="S59" s="6">
        <f t="shared" si="4"/>
        <v>57984.119999999995</v>
      </c>
      <c r="U59" s="6">
        <f t="shared" si="5"/>
        <v>3758.760000000002</v>
      </c>
      <c r="W59" s="1">
        <v>2</v>
      </c>
    </row>
    <row r="60" spans="2:23" ht="13.5" customHeight="1" x14ac:dyDescent="0.25">
      <c r="I60" s="81"/>
      <c r="J60" s="81"/>
      <c r="K60" s="4" t="s">
        <v>86</v>
      </c>
      <c r="L60" s="4"/>
      <c r="M60" s="4"/>
      <c r="N60" s="1" t="str">
        <f t="shared" si="0"/>
        <v>LA</v>
      </c>
      <c r="O60" s="1">
        <f t="shared" si="1"/>
        <v>15</v>
      </c>
      <c r="P60" s="1">
        <f t="shared" si="2"/>
        <v>13</v>
      </c>
      <c r="R60" s="6">
        <f t="shared" si="3"/>
        <v>63212.039999999994</v>
      </c>
      <c r="S60" s="6">
        <f t="shared" si="4"/>
        <v>59834.879999999997</v>
      </c>
      <c r="U60" s="6">
        <f t="shared" si="5"/>
        <v>3377.1599999999962</v>
      </c>
      <c r="W60" s="1">
        <v>3</v>
      </c>
    </row>
    <row r="61" spans="2:23" ht="13.5" customHeight="1" x14ac:dyDescent="0.25">
      <c r="I61" s="81"/>
      <c r="J61" s="81"/>
      <c r="K61" s="4" t="s">
        <v>87</v>
      </c>
      <c r="L61" s="4"/>
      <c r="M61" s="4"/>
      <c r="N61" s="1" t="str">
        <f t="shared" si="0"/>
        <v>LA</v>
      </c>
      <c r="O61" s="1">
        <f t="shared" si="1"/>
        <v>16</v>
      </c>
      <c r="P61" s="1">
        <f t="shared" si="2"/>
        <v>14</v>
      </c>
      <c r="R61" s="6">
        <f t="shared" si="3"/>
        <v>63212.039999999994</v>
      </c>
      <c r="S61" s="6">
        <f t="shared" si="4"/>
        <v>61742.879999999997</v>
      </c>
      <c r="U61" s="6">
        <f t="shared" si="5"/>
        <v>1469.1599999999962</v>
      </c>
      <c r="W61" s="1">
        <v>4</v>
      </c>
    </row>
    <row r="62" spans="2:23" ht="13.5" customHeight="1" x14ac:dyDescent="0.25">
      <c r="I62" s="81"/>
      <c r="J62" s="81"/>
      <c r="K62" s="4" t="s">
        <v>88</v>
      </c>
      <c r="L62" s="4"/>
      <c r="M62" s="4"/>
      <c r="N62" s="1" t="str">
        <f t="shared" si="0"/>
        <v>LA</v>
      </c>
      <c r="O62" s="1">
        <f t="shared" si="1"/>
        <v>17</v>
      </c>
      <c r="P62" s="1">
        <f t="shared" si="2"/>
        <v>15</v>
      </c>
      <c r="R62" s="6">
        <f t="shared" si="3"/>
        <v>63212.039999999994</v>
      </c>
      <c r="S62" s="6">
        <f t="shared" si="4"/>
        <v>63212.039999999994</v>
      </c>
      <c r="U62" s="6">
        <f t="shared" si="5"/>
        <v>0</v>
      </c>
      <c r="W62" s="1">
        <v>5</v>
      </c>
    </row>
    <row r="63" spans="2:23" ht="13.5" customHeight="1" x14ac:dyDescent="0.25">
      <c r="I63" s="81"/>
      <c r="J63" s="81"/>
      <c r="K63" s="4" t="s">
        <v>89</v>
      </c>
      <c r="L63" s="73"/>
      <c r="M63" s="73"/>
      <c r="N63" s="1" t="str">
        <f t="shared" si="0"/>
        <v>LA</v>
      </c>
      <c r="O63" s="1">
        <f t="shared" si="1"/>
        <v>18</v>
      </c>
      <c r="P63" s="1">
        <f t="shared" si="2"/>
        <v>16</v>
      </c>
      <c r="R63" s="6">
        <f t="shared" si="3"/>
        <v>63212.039999999994</v>
      </c>
      <c r="S63" s="6">
        <f t="shared" si="4"/>
        <v>63212.039999999994</v>
      </c>
      <c r="U63" s="6">
        <f t="shared" si="5"/>
        <v>0</v>
      </c>
      <c r="W63" s="1">
        <v>6</v>
      </c>
    </row>
    <row r="64" spans="2:23" ht="13.5" customHeight="1" x14ac:dyDescent="0.25">
      <c r="I64" s="81"/>
      <c r="J64" s="81"/>
      <c r="K64" s="4" t="s">
        <v>3</v>
      </c>
      <c r="L64" s="73"/>
      <c r="M64" s="73"/>
      <c r="N64" s="1" t="str">
        <f t="shared" si="0"/>
        <v>LA</v>
      </c>
      <c r="O64" s="1">
        <f t="shared" si="1"/>
        <v>19</v>
      </c>
      <c r="P64" s="1">
        <f t="shared" si="2"/>
        <v>17</v>
      </c>
      <c r="R64" s="6">
        <f t="shared" si="3"/>
        <v>63212.039999999994</v>
      </c>
      <c r="S64" s="6">
        <f t="shared" si="4"/>
        <v>63212.039999999994</v>
      </c>
      <c r="U64" s="6">
        <f t="shared" si="5"/>
        <v>0</v>
      </c>
      <c r="W64" s="1">
        <v>7</v>
      </c>
    </row>
    <row r="65" spans="9:23" ht="13.5" customHeight="1" x14ac:dyDescent="0.25">
      <c r="I65" s="81"/>
      <c r="J65" s="81"/>
      <c r="K65" s="4" t="s">
        <v>4</v>
      </c>
      <c r="L65" s="4"/>
      <c r="M65" s="4"/>
      <c r="N65" s="1" t="str">
        <f t="shared" si="0"/>
        <v>LA</v>
      </c>
      <c r="O65" s="1">
        <f t="shared" si="1"/>
        <v>20</v>
      </c>
      <c r="P65" s="1">
        <f t="shared" si="2"/>
        <v>18</v>
      </c>
      <c r="R65" s="6">
        <f t="shared" si="3"/>
        <v>63212.039999999994</v>
      </c>
      <c r="S65" s="6">
        <f t="shared" si="4"/>
        <v>63212.039999999994</v>
      </c>
      <c r="U65" s="6">
        <f t="shared" si="5"/>
        <v>0</v>
      </c>
      <c r="W65" s="1">
        <v>8</v>
      </c>
    </row>
    <row r="66" spans="9:23" ht="13.5" customHeight="1" x14ac:dyDescent="0.25">
      <c r="I66" s="81"/>
      <c r="J66" s="81"/>
      <c r="K66" s="4" t="s">
        <v>5</v>
      </c>
      <c r="L66" s="4"/>
      <c r="M66" s="4"/>
      <c r="N66" s="1" t="str">
        <f t="shared" si="0"/>
        <v>LA</v>
      </c>
      <c r="O66" s="1">
        <f t="shared" si="1"/>
        <v>21</v>
      </c>
      <c r="P66" s="1">
        <f t="shared" si="2"/>
        <v>19</v>
      </c>
      <c r="R66" s="6">
        <f t="shared" si="3"/>
        <v>63212.039999999994</v>
      </c>
      <c r="S66" s="6">
        <f t="shared" si="4"/>
        <v>63212.039999999994</v>
      </c>
      <c r="U66" s="6">
        <f t="shared" si="5"/>
        <v>0</v>
      </c>
      <c r="W66" s="1">
        <v>9</v>
      </c>
    </row>
    <row r="67" spans="9:23" ht="13.5" customHeight="1" x14ac:dyDescent="0.25">
      <c r="I67" s="81"/>
      <c r="J67" s="81"/>
      <c r="K67" s="4" t="s">
        <v>6</v>
      </c>
      <c r="L67" s="4"/>
      <c r="M67" s="4"/>
      <c r="N67" s="1" t="str">
        <f t="shared" si="0"/>
        <v>LA</v>
      </c>
      <c r="O67" s="1">
        <f t="shared" si="1"/>
        <v>22</v>
      </c>
      <c r="P67" s="1">
        <f t="shared" si="2"/>
        <v>20</v>
      </c>
      <c r="R67" s="6">
        <f t="shared" si="3"/>
        <v>63212.039999999994</v>
      </c>
      <c r="S67" s="6">
        <f t="shared" si="4"/>
        <v>63212.039999999994</v>
      </c>
      <c r="U67" s="6">
        <f t="shared" si="5"/>
        <v>0</v>
      </c>
      <c r="W67" s="1">
        <v>10</v>
      </c>
    </row>
    <row r="68" spans="9:23" ht="13.5" customHeight="1" x14ac:dyDescent="0.25">
      <c r="I68" s="81"/>
      <c r="J68" s="81"/>
      <c r="K68" s="4" t="s">
        <v>7</v>
      </c>
      <c r="L68" s="4"/>
      <c r="M68" s="4"/>
      <c r="N68" s="1" t="str">
        <f t="shared" si="0"/>
        <v>LA</v>
      </c>
      <c r="O68" s="1">
        <f t="shared" si="1"/>
        <v>23</v>
      </c>
      <c r="P68" s="1">
        <f t="shared" si="2"/>
        <v>21</v>
      </c>
      <c r="R68" s="6">
        <f t="shared" si="3"/>
        <v>63212.039999999994</v>
      </c>
      <c r="S68" s="6">
        <f t="shared" si="4"/>
        <v>63212.039999999994</v>
      </c>
      <c r="U68" s="6">
        <f t="shared" si="5"/>
        <v>0</v>
      </c>
      <c r="W68" s="1">
        <v>11</v>
      </c>
    </row>
    <row r="69" spans="9:23" ht="13.5" customHeight="1" x14ac:dyDescent="0.25">
      <c r="I69" s="81"/>
      <c r="J69" s="81"/>
      <c r="K69" s="4" t="s">
        <v>8</v>
      </c>
      <c r="L69" s="4"/>
      <c r="M69" s="4"/>
      <c r="N69" s="1" t="str">
        <f t="shared" si="0"/>
        <v>LA</v>
      </c>
      <c r="O69" s="1">
        <f t="shared" si="1"/>
        <v>24</v>
      </c>
      <c r="P69" s="1">
        <f t="shared" si="2"/>
        <v>22</v>
      </c>
      <c r="R69" s="6">
        <f t="shared" si="3"/>
        <v>63212.039999999994</v>
      </c>
      <c r="S69" s="6">
        <f t="shared" si="4"/>
        <v>63212.039999999994</v>
      </c>
      <c r="U69" s="6">
        <f t="shared" si="5"/>
        <v>0</v>
      </c>
      <c r="W69" s="1">
        <v>12</v>
      </c>
    </row>
    <row r="70" spans="9:23" ht="13.5" customHeight="1" x14ac:dyDescent="0.25">
      <c r="I70" s="81"/>
      <c r="J70" s="81"/>
      <c r="K70" s="4" t="s">
        <v>9</v>
      </c>
      <c r="L70" s="4"/>
      <c r="M70" s="4"/>
      <c r="N70" s="1" t="str">
        <f t="shared" si="0"/>
        <v>LA</v>
      </c>
      <c r="O70" s="1">
        <f t="shared" si="1"/>
        <v>25</v>
      </c>
      <c r="P70" s="1">
        <f t="shared" si="2"/>
        <v>23</v>
      </c>
      <c r="R70" s="6">
        <f t="shared" si="3"/>
        <v>63212.039999999994</v>
      </c>
      <c r="S70" s="6">
        <f t="shared" si="4"/>
        <v>63212.039999999994</v>
      </c>
      <c r="U70" s="6">
        <f t="shared" si="5"/>
        <v>0</v>
      </c>
      <c r="W70" s="1">
        <v>13</v>
      </c>
    </row>
    <row r="71" spans="9:23" ht="13.5" customHeight="1" x14ac:dyDescent="0.25">
      <c r="I71" s="81"/>
      <c r="J71" s="81"/>
      <c r="K71" s="4" t="s">
        <v>10</v>
      </c>
      <c r="L71" s="4"/>
      <c r="M71" s="4"/>
      <c r="N71" s="1" t="str">
        <f t="shared" si="0"/>
        <v>LA</v>
      </c>
      <c r="O71" s="1">
        <f t="shared" si="1"/>
        <v>26</v>
      </c>
      <c r="P71" s="1">
        <f t="shared" si="2"/>
        <v>24</v>
      </c>
      <c r="R71" s="6">
        <f t="shared" si="3"/>
        <v>63212.039999999994</v>
      </c>
      <c r="S71" s="6">
        <f t="shared" si="4"/>
        <v>63212.039999999994</v>
      </c>
      <c r="U71" s="6">
        <f t="shared" si="5"/>
        <v>0</v>
      </c>
      <c r="W71" s="1">
        <v>14</v>
      </c>
    </row>
    <row r="72" spans="9:23" ht="13.5" customHeight="1" x14ac:dyDescent="0.25">
      <c r="I72" s="81"/>
      <c r="J72" s="81"/>
      <c r="K72" s="4" t="s">
        <v>11</v>
      </c>
      <c r="L72" s="4"/>
      <c r="M72" s="4"/>
      <c r="N72" s="1" t="str">
        <f t="shared" si="0"/>
        <v>LA</v>
      </c>
      <c r="O72" s="1">
        <f t="shared" si="1"/>
        <v>27</v>
      </c>
      <c r="P72" s="1">
        <f t="shared" si="2"/>
        <v>25</v>
      </c>
      <c r="R72" s="6">
        <f t="shared" si="3"/>
        <v>63212.039999999994</v>
      </c>
      <c r="S72" s="6">
        <f t="shared" si="4"/>
        <v>63212.039999999994</v>
      </c>
      <c r="U72" s="6">
        <f t="shared" si="5"/>
        <v>0</v>
      </c>
      <c r="W72" s="1">
        <v>15</v>
      </c>
    </row>
    <row r="73" spans="9:23" ht="13.5" customHeight="1" x14ac:dyDescent="0.25">
      <c r="I73" s="81"/>
      <c r="J73" s="81"/>
      <c r="K73" s="4" t="s">
        <v>12</v>
      </c>
      <c r="L73" s="4"/>
      <c r="M73" s="4"/>
      <c r="N73" s="1" t="str">
        <f t="shared" si="0"/>
        <v>LA</v>
      </c>
      <c r="O73" s="1">
        <f t="shared" si="1"/>
        <v>28</v>
      </c>
      <c r="P73" s="1">
        <f t="shared" si="2"/>
        <v>26</v>
      </c>
      <c r="R73" s="6">
        <f t="shared" si="3"/>
        <v>63212.039999999994</v>
      </c>
      <c r="S73" s="6">
        <f t="shared" si="4"/>
        <v>63212.039999999994</v>
      </c>
      <c r="U73" s="6">
        <f t="shared" si="5"/>
        <v>0</v>
      </c>
      <c r="W73" s="1">
        <v>16</v>
      </c>
    </row>
    <row r="74" spans="9:23" ht="13.5" customHeight="1" x14ac:dyDescent="0.25">
      <c r="I74" s="81"/>
      <c r="J74" s="81"/>
      <c r="K74" s="4" t="s">
        <v>13</v>
      </c>
      <c r="L74" s="4"/>
      <c r="M74" s="4"/>
      <c r="N74" s="1" t="str">
        <f t="shared" si="0"/>
        <v>LA</v>
      </c>
      <c r="O74" s="1">
        <f t="shared" si="1"/>
        <v>29</v>
      </c>
      <c r="P74" s="1">
        <f t="shared" si="2"/>
        <v>27</v>
      </c>
      <c r="R74" s="6">
        <f t="shared" si="3"/>
        <v>63212.039999999994</v>
      </c>
      <c r="S74" s="6">
        <f t="shared" si="4"/>
        <v>63212.039999999994</v>
      </c>
      <c r="U74" s="6">
        <f t="shared" si="5"/>
        <v>0</v>
      </c>
      <c r="W74" s="1">
        <v>17</v>
      </c>
    </row>
    <row r="75" spans="9:23" ht="13.5" customHeight="1" x14ac:dyDescent="0.25">
      <c r="I75" s="81"/>
      <c r="J75" s="81"/>
      <c r="K75" s="4" t="s">
        <v>14</v>
      </c>
      <c r="L75" s="4"/>
      <c r="M75" s="4"/>
      <c r="N75" s="1" t="str">
        <f t="shared" si="0"/>
        <v>LA</v>
      </c>
      <c r="O75" s="1">
        <f t="shared" si="1"/>
        <v>30</v>
      </c>
      <c r="P75" s="1">
        <f t="shared" si="2"/>
        <v>28</v>
      </c>
      <c r="R75" s="6">
        <f t="shared" si="3"/>
        <v>63212.039999999994</v>
      </c>
      <c r="S75" s="6">
        <f t="shared" si="4"/>
        <v>63212.039999999994</v>
      </c>
      <c r="U75" s="6">
        <f t="shared" si="5"/>
        <v>0</v>
      </c>
      <c r="W75" s="1">
        <v>18</v>
      </c>
    </row>
    <row r="76" spans="9:23" ht="13.5" customHeight="1" x14ac:dyDescent="0.25">
      <c r="I76" s="81"/>
      <c r="J76" s="81"/>
      <c r="K76" s="4" t="s">
        <v>0</v>
      </c>
      <c r="L76" s="4"/>
      <c r="M76" s="4"/>
      <c r="N76" s="1" t="str">
        <f t="shared" si="0"/>
        <v>LA</v>
      </c>
      <c r="O76" s="1">
        <f t="shared" si="1"/>
        <v>31</v>
      </c>
      <c r="P76" s="1">
        <f t="shared" si="2"/>
        <v>29</v>
      </c>
      <c r="R76" s="6">
        <f t="shared" si="3"/>
        <v>63212.039999999994</v>
      </c>
      <c r="S76" s="6">
        <f t="shared" si="4"/>
        <v>63212.039999999994</v>
      </c>
      <c r="U76" s="6">
        <f t="shared" si="5"/>
        <v>0</v>
      </c>
      <c r="W76" s="1">
        <v>19</v>
      </c>
    </row>
    <row r="77" spans="9:23" ht="13.5" customHeight="1" x14ac:dyDescent="0.25">
      <c r="I77" s="81"/>
      <c r="J77" s="81"/>
      <c r="K77" s="4" t="s">
        <v>15</v>
      </c>
      <c r="L77" s="4"/>
      <c r="M77" s="4"/>
    </row>
    <row r="78" spans="9:23" ht="13.5" customHeight="1" x14ac:dyDescent="0.25">
      <c r="I78" s="81"/>
      <c r="J78" s="81"/>
      <c r="K78" s="4" t="s">
        <v>16</v>
      </c>
      <c r="L78" s="4"/>
      <c r="M78" s="4"/>
      <c r="U78" s="6">
        <f>SUM(U57:U76)</f>
        <v>15531.119999999995</v>
      </c>
    </row>
    <row r="79" spans="9:23" ht="13.5" customHeight="1" x14ac:dyDescent="0.25">
      <c r="I79" s="81"/>
      <c r="J79" s="81"/>
      <c r="K79" s="4" t="s">
        <v>17</v>
      </c>
      <c r="L79" s="4"/>
      <c r="M79" s="4"/>
      <c r="S79" s="1" t="s">
        <v>31</v>
      </c>
      <c r="U79" s="6">
        <f>IF(F28=0,0,+U78/F28)</f>
        <v>3106.2239999999993</v>
      </c>
    </row>
    <row r="80" spans="9:23" ht="13.5" customHeight="1" x14ac:dyDescent="0.25">
      <c r="I80" s="81"/>
      <c r="J80" s="81"/>
      <c r="K80" s="4" t="s">
        <v>18</v>
      </c>
      <c r="L80" s="4"/>
      <c r="M80" s="4"/>
    </row>
    <row r="81" spans="6:13" ht="13.5" customHeight="1" x14ac:dyDescent="0.25">
      <c r="I81" s="81"/>
      <c r="J81" s="81"/>
      <c r="K81" s="4" t="s">
        <v>19</v>
      </c>
      <c r="L81" s="4"/>
      <c r="M81" s="4"/>
    </row>
    <row r="82" spans="6:13" ht="13.5" customHeight="1" x14ac:dyDescent="0.25">
      <c r="I82" s="81"/>
      <c r="J82" s="81"/>
      <c r="K82" s="4" t="s">
        <v>20</v>
      </c>
      <c r="L82" s="4"/>
      <c r="M82" s="4"/>
    </row>
    <row r="83" spans="6:13" ht="13.5" customHeight="1" x14ac:dyDescent="0.25">
      <c r="I83" s="81"/>
      <c r="J83" s="81"/>
      <c r="K83" s="4">
        <v>1</v>
      </c>
      <c r="L83" s="4"/>
      <c r="M83" s="4"/>
    </row>
    <row r="84" spans="6:13" ht="13.5" customHeight="1" x14ac:dyDescent="0.25">
      <c r="I84" s="81"/>
      <c r="J84" s="81"/>
      <c r="K84" s="4">
        <v>2</v>
      </c>
      <c r="L84" s="4"/>
      <c r="M84" s="4"/>
    </row>
    <row r="85" spans="6:13" ht="13.5" customHeight="1" x14ac:dyDescent="0.25">
      <c r="I85" s="81"/>
      <c r="J85" s="81"/>
      <c r="K85" s="4">
        <v>3</v>
      </c>
      <c r="L85" s="4"/>
      <c r="M85" s="4"/>
    </row>
    <row r="86" spans="6:13" ht="13.5" customHeight="1" x14ac:dyDescent="0.25">
      <c r="I86" s="81"/>
      <c r="J86" s="81"/>
      <c r="K86" s="4">
        <v>4</v>
      </c>
      <c r="L86" s="4"/>
      <c r="M86" s="4"/>
    </row>
    <row r="87" spans="6:13" ht="13.5" customHeight="1" x14ac:dyDescent="0.25">
      <c r="F87" s="6"/>
      <c r="G87" s="6"/>
      <c r="I87" s="81"/>
      <c r="J87" s="81"/>
      <c r="K87" s="4">
        <v>5</v>
      </c>
      <c r="L87" s="4"/>
      <c r="M87" s="4"/>
    </row>
    <row r="88" spans="6:13" ht="13.5" customHeight="1" x14ac:dyDescent="0.25">
      <c r="F88" s="6"/>
      <c r="G88" s="6"/>
      <c r="I88" s="81"/>
      <c r="J88" s="81"/>
      <c r="K88" s="4">
        <v>6</v>
      </c>
      <c r="L88" s="4"/>
      <c r="M88" s="4"/>
    </row>
    <row r="89" spans="6:13" ht="13.5" customHeight="1" x14ac:dyDescent="0.25">
      <c r="F89" s="6"/>
      <c r="G89" s="6"/>
      <c r="I89" s="81"/>
      <c r="J89" s="81"/>
      <c r="K89" s="4">
        <v>7</v>
      </c>
      <c r="L89" s="4"/>
      <c r="M89" s="4"/>
    </row>
    <row r="90" spans="6:13" ht="13.5" customHeight="1" x14ac:dyDescent="0.25">
      <c r="F90" s="6"/>
      <c r="G90" s="6"/>
      <c r="I90" s="81"/>
      <c r="J90" s="81"/>
      <c r="K90" s="4">
        <v>8</v>
      </c>
      <c r="L90" s="4"/>
      <c r="M90" s="4"/>
    </row>
    <row r="91" spans="6:13" ht="13.5" customHeight="1" x14ac:dyDescent="0.25">
      <c r="F91" s="6"/>
      <c r="G91" s="6"/>
      <c r="I91" s="81"/>
      <c r="J91" s="81"/>
      <c r="K91" s="4">
        <v>9</v>
      </c>
      <c r="L91" s="4"/>
      <c r="M91" s="4"/>
    </row>
    <row r="92" spans="6:13" ht="13.5" customHeight="1" x14ac:dyDescent="0.25">
      <c r="F92" s="6"/>
      <c r="G92" s="6"/>
      <c r="I92" s="81"/>
      <c r="J92" s="81"/>
      <c r="K92" s="4">
        <v>10</v>
      </c>
      <c r="L92" s="4"/>
      <c r="M92" s="4"/>
    </row>
    <row r="93" spans="6:13" ht="13.5" customHeight="1" x14ac:dyDescent="0.25">
      <c r="F93" s="6"/>
      <c r="G93" s="6"/>
      <c r="I93" s="81"/>
      <c r="J93" s="81"/>
      <c r="K93" s="4">
        <v>11</v>
      </c>
      <c r="L93" s="4"/>
      <c r="M93" s="4"/>
    </row>
    <row r="94" spans="6:13" ht="13.5" customHeight="1" x14ac:dyDescent="0.25">
      <c r="F94" s="6"/>
      <c r="G94" s="6"/>
      <c r="I94" s="81"/>
      <c r="J94" s="81"/>
      <c r="K94" s="4">
        <v>12</v>
      </c>
      <c r="L94" s="4"/>
      <c r="M94" s="4"/>
    </row>
    <row r="95" spans="6:13" ht="13.5" customHeight="1" x14ac:dyDescent="0.25">
      <c r="F95" s="6"/>
      <c r="G95" s="6"/>
      <c r="I95" s="81"/>
      <c r="J95" s="81"/>
      <c r="K95" s="4">
        <v>13</v>
      </c>
      <c r="L95" s="4"/>
      <c r="M95" s="4"/>
    </row>
    <row r="96" spans="6:13" ht="13.5" customHeight="1" x14ac:dyDescent="0.25">
      <c r="F96" s="87"/>
      <c r="G96" s="93"/>
      <c r="I96" s="81"/>
      <c r="J96" s="81"/>
      <c r="K96" s="4">
        <v>14</v>
      </c>
      <c r="L96" s="4"/>
      <c r="M96" s="4"/>
    </row>
    <row r="97" spans="6:13" ht="13.5" customHeight="1" x14ac:dyDescent="0.25">
      <c r="F97" s="87"/>
      <c r="G97" s="93"/>
      <c r="I97" s="81"/>
      <c r="J97" s="81"/>
      <c r="K97" s="4" t="s">
        <v>91</v>
      </c>
      <c r="L97" s="4"/>
      <c r="M97" s="4"/>
    </row>
    <row r="98" spans="6:13" ht="13.5" customHeight="1" x14ac:dyDescent="0.25">
      <c r="F98" s="87"/>
      <c r="G98" s="93"/>
      <c r="I98" s="81"/>
      <c r="J98" s="81"/>
      <c r="K98" s="4" t="s">
        <v>92</v>
      </c>
      <c r="L98" s="4"/>
      <c r="M98" s="4"/>
    </row>
    <row r="99" spans="6:13" ht="13.5" customHeight="1" x14ac:dyDescent="0.25">
      <c r="F99" s="87"/>
      <c r="G99" s="93"/>
      <c r="I99" s="81"/>
      <c r="J99" s="81"/>
      <c r="K99" s="4" t="s">
        <v>93</v>
      </c>
      <c r="L99" s="4"/>
      <c r="M99" s="4"/>
    </row>
    <row r="100" spans="6:13" ht="13.5" customHeight="1" x14ac:dyDescent="0.25">
      <c r="F100" s="86"/>
      <c r="G100" s="81"/>
      <c r="I100" s="81"/>
      <c r="J100" s="81"/>
    </row>
    <row r="101" spans="6:13" ht="13.5" customHeight="1" x14ac:dyDescent="0.25">
      <c r="F101" s="87"/>
      <c r="G101" s="81"/>
      <c r="I101" s="81"/>
      <c r="J101" s="81"/>
    </row>
    <row r="102" spans="6:13" ht="13.5" customHeight="1" x14ac:dyDescent="0.25">
      <c r="F102" s="74"/>
      <c r="G102" s="6"/>
      <c r="I102" s="81"/>
      <c r="J102" s="81"/>
    </row>
    <row r="103" spans="6:13" ht="13.5" customHeight="1" x14ac:dyDescent="0.25">
      <c r="F103" s="6"/>
      <c r="G103" s="6"/>
      <c r="I103" s="81"/>
      <c r="J103" s="81"/>
    </row>
    <row r="104" spans="6:13" ht="13.5" customHeight="1" x14ac:dyDescent="0.25">
      <c r="F104" s="6"/>
      <c r="G104" s="6"/>
      <c r="I104" s="81"/>
      <c r="J104" s="81"/>
    </row>
    <row r="105" spans="6:13" ht="13.5" customHeight="1" x14ac:dyDescent="0.25">
      <c r="F105" s="6"/>
      <c r="G105" s="6"/>
    </row>
    <row r="106" spans="6:13" ht="13.5" customHeight="1" x14ac:dyDescent="0.25">
      <c r="F106" s="6"/>
      <c r="G106" s="6"/>
    </row>
    <row r="117" spans="6:7" ht="13.5" customHeight="1" x14ac:dyDescent="0.25">
      <c r="F117" s="6"/>
      <c r="G117" s="6"/>
    </row>
    <row r="118" spans="6:7" ht="13.5" customHeight="1" x14ac:dyDescent="0.25">
      <c r="F118" s="6"/>
      <c r="G118" s="6"/>
    </row>
    <row r="119" spans="6:7" ht="13.5" customHeight="1" x14ac:dyDescent="0.25">
      <c r="F119" s="6"/>
      <c r="G119" s="6"/>
    </row>
    <row r="120" spans="6:7" ht="13.5" customHeight="1" x14ac:dyDescent="0.25">
      <c r="F120" s="6"/>
      <c r="G120" s="6"/>
    </row>
    <row r="121" spans="6:7" ht="13.5" customHeight="1" x14ac:dyDescent="0.25">
      <c r="F121" s="6"/>
      <c r="G121" s="6"/>
    </row>
    <row r="122" spans="6:7" ht="13.5" customHeight="1" x14ac:dyDescent="0.25">
      <c r="F122" s="6"/>
      <c r="G122" s="6"/>
    </row>
    <row r="123" spans="6:7" ht="13.5" customHeight="1" x14ac:dyDescent="0.25">
      <c r="F123" s="6"/>
      <c r="G123" s="6"/>
    </row>
    <row r="124" spans="6:7" ht="13.5" customHeight="1" x14ac:dyDescent="0.25">
      <c r="F124" s="6"/>
      <c r="G124" s="6"/>
    </row>
    <row r="125" spans="6:7" ht="13.5" customHeight="1" x14ac:dyDescent="0.25">
      <c r="F125" s="6"/>
      <c r="G125" s="6"/>
    </row>
    <row r="126" spans="6:7" ht="13.5" customHeight="1" x14ac:dyDescent="0.25">
      <c r="F126" s="6"/>
      <c r="G126" s="6"/>
    </row>
    <row r="127" spans="6:7" ht="13.5" customHeight="1" x14ac:dyDescent="0.25">
      <c r="F127" s="6"/>
      <c r="G127" s="6"/>
    </row>
    <row r="128" spans="6:7" ht="13.5" customHeight="1" x14ac:dyDescent="0.25">
      <c r="F128" s="6"/>
      <c r="G128" s="6"/>
    </row>
    <row r="129" spans="6:7" ht="13.5" customHeight="1" x14ac:dyDescent="0.25">
      <c r="F129" s="6"/>
      <c r="G129" s="6"/>
    </row>
    <row r="130" spans="6:7" ht="13.5" customHeight="1" x14ac:dyDescent="0.25">
      <c r="F130" s="6"/>
      <c r="G130" s="6"/>
    </row>
    <row r="131" spans="6:7" ht="13.5" customHeight="1" x14ac:dyDescent="0.25">
      <c r="F131" s="6"/>
      <c r="G131" s="6"/>
    </row>
    <row r="132" spans="6:7" ht="13.5" customHeight="1" x14ac:dyDescent="0.25">
      <c r="F132" s="6"/>
      <c r="G132" s="6"/>
    </row>
    <row r="133" spans="6:7" ht="13.5" customHeight="1" x14ac:dyDescent="0.25">
      <c r="F133" s="6"/>
      <c r="G133" s="6"/>
    </row>
    <row r="134" spans="6:7" ht="13.5" customHeight="1" x14ac:dyDescent="0.25">
      <c r="F134" s="6"/>
      <c r="G134" s="6"/>
    </row>
    <row r="135" spans="6:7" ht="13.5" customHeight="1" x14ac:dyDescent="0.25">
      <c r="F135" s="6"/>
      <c r="G135" s="6"/>
    </row>
    <row r="136" spans="6:7" ht="13.5" customHeight="1" x14ac:dyDescent="0.25">
      <c r="F136" s="6"/>
      <c r="G136" s="6"/>
    </row>
  </sheetData>
  <sheetProtection password="DFB1" sheet="1"/>
  <mergeCells count="1">
    <mergeCell ref="F10:G10"/>
  </mergeCells>
  <phoneticPr fontId="0" type="noConversion"/>
  <dataValidations count="2">
    <dataValidation type="list" allowBlank="1" showInputMessage="1" showErrorMessage="1" sqref="F13">
      <formula1>$K$56:$K$99</formula1>
    </dataValidation>
    <dataValidation type="list" allowBlank="1" showInputMessage="1" showErrorMessage="1" sqref="F20:F22">
      <formula1>"ja, nee"</formula1>
    </dataValidation>
  </dataValidations>
  <printOptions gridLines="1"/>
  <pageMargins left="0.74803149606299213" right="0.74803149606299213" top="0.98425196850393704" bottom="0.98425196850393704" header="0.51181102362204722" footer="0.51181102362204722"/>
  <pageSetup paperSize="9" scale="65" orientation="portrait" r:id="rId1"/>
  <headerFooter alignWithMargins="0">
    <oddHeader>&amp;L&amp;"Arial,Vet"&amp;A&amp;C&amp;"Arial,Vet"&amp;D&amp;R&amp;"Arial,Vet"&amp;F</oddHeader>
    <oddFooter>&amp;L&amp;"Arial,Vet"&amp;8gemaakt door keizer, PO-Raad&amp;R&amp;"Arial,Vet"&amp;P</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Q134"/>
  <sheetViews>
    <sheetView zoomScale="85" zoomScaleNormal="85" zoomScaleSheetLayoutView="85" workbookViewId="0">
      <selection activeCell="B2" sqref="B2"/>
    </sheetView>
  </sheetViews>
  <sheetFormatPr defaultColWidth="9.140625" defaultRowHeight="13.5" customHeight="1" x14ac:dyDescent="0.2"/>
  <cols>
    <col min="1" max="1" width="3.85546875" style="605" customWidth="1"/>
    <col min="2" max="3" width="2.7109375" style="383" customWidth="1"/>
    <col min="4" max="4" width="20.7109375" style="415" customWidth="1"/>
    <col min="5" max="5" width="11.140625" style="383" customWidth="1"/>
    <col min="6" max="13" width="11.7109375" style="383" customWidth="1"/>
    <col min="14" max="14" width="0.85546875" style="383" customWidth="1"/>
    <col min="15" max="15" width="11.7109375" style="383" customWidth="1"/>
    <col min="16" max="16" width="11.28515625" style="383" customWidth="1"/>
    <col min="17" max="17" width="8.7109375" style="383" customWidth="1"/>
    <col min="18" max="24" width="11.7109375" style="383" customWidth="1"/>
    <col min="25" max="25" width="11.7109375" style="657" customWidth="1"/>
    <col min="26" max="27" width="2.7109375" style="383" customWidth="1"/>
    <col min="28" max="28" width="12.7109375" style="416" customWidth="1"/>
    <col min="29" max="32" width="12.7109375" style="383" customWidth="1"/>
    <col min="33" max="33" width="0.85546875" style="383" customWidth="1"/>
    <col min="34" max="37" width="12.7109375" style="383" customWidth="1"/>
    <col min="38" max="38" width="0.85546875" style="383" customWidth="1"/>
    <col min="39" max="44" width="11" style="383" customWidth="1"/>
    <col min="45" max="48" width="11" style="282" customWidth="1"/>
    <col min="49" max="49" width="10.85546875" style="438" customWidth="1"/>
    <col min="50" max="50" width="11" style="282" hidden="1" customWidth="1"/>
    <col min="51" max="52" width="10.7109375" style="383" customWidth="1"/>
    <col min="53" max="53" width="0.85546875" style="383" customWidth="1"/>
    <col min="54" max="54" width="10.85546875" style="383" customWidth="1"/>
    <col min="55" max="56" width="2.5703125" style="383" customWidth="1"/>
    <col min="57" max="58" width="2.7109375" style="605" customWidth="1"/>
    <col min="59" max="84" width="10.7109375" style="613" customWidth="1"/>
    <col min="85" max="87" width="10.7109375" style="614" customWidth="1"/>
    <col min="88" max="93" width="14.28515625" style="613" customWidth="1"/>
    <col min="94" max="94" width="14.85546875" style="605" customWidth="1"/>
    <col min="95" max="95" width="14.28515625" style="605" customWidth="1"/>
    <col min="96" max="16384" width="9.140625" style="383"/>
  </cols>
  <sheetData>
    <row r="1" spans="1:95" s="605" customFormat="1" ht="13.5" customHeight="1" x14ac:dyDescent="0.2">
      <c r="D1" s="609"/>
      <c r="Y1" s="650"/>
      <c r="AB1" s="610"/>
      <c r="AS1" s="611"/>
      <c r="AT1" s="611"/>
      <c r="AU1" s="611"/>
      <c r="AV1" s="611"/>
      <c r="AW1" s="612"/>
      <c r="AX1" s="611"/>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4"/>
      <c r="CH1" s="614"/>
      <c r="CI1" s="614"/>
      <c r="CJ1" s="613"/>
      <c r="CK1" s="613"/>
      <c r="CL1" s="613"/>
      <c r="CM1" s="613"/>
      <c r="CN1" s="613"/>
      <c r="CO1" s="613"/>
    </row>
    <row r="2" spans="1:95" ht="13.5" customHeight="1" x14ac:dyDescent="0.2">
      <c r="B2" s="377"/>
      <c r="C2" s="378"/>
      <c r="D2" s="379"/>
      <c r="E2" s="378"/>
      <c r="F2" s="378"/>
      <c r="G2" s="378"/>
      <c r="H2" s="378"/>
      <c r="I2" s="378"/>
      <c r="J2" s="378"/>
      <c r="K2" s="378"/>
      <c r="L2" s="378"/>
      <c r="M2" s="378"/>
      <c r="N2" s="378"/>
      <c r="O2" s="378"/>
      <c r="P2" s="378"/>
      <c r="Q2" s="378"/>
      <c r="R2" s="378"/>
      <c r="S2" s="378"/>
      <c r="T2" s="378"/>
      <c r="U2" s="378"/>
      <c r="V2" s="378"/>
      <c r="W2" s="378"/>
      <c r="X2" s="378"/>
      <c r="Y2" s="651"/>
      <c r="Z2" s="380"/>
      <c r="AA2" s="377"/>
      <c r="AB2" s="381"/>
      <c r="AC2" s="378"/>
      <c r="AD2" s="378"/>
      <c r="AE2" s="378"/>
      <c r="AF2" s="378"/>
      <c r="AG2" s="378"/>
      <c r="AH2" s="378"/>
      <c r="AI2" s="378"/>
      <c r="AJ2" s="378"/>
      <c r="AK2" s="378"/>
      <c r="AL2" s="378"/>
      <c r="AM2" s="378"/>
      <c r="AN2" s="378"/>
      <c r="AO2" s="378"/>
      <c r="AP2" s="378"/>
      <c r="AQ2" s="378"/>
      <c r="AR2" s="378"/>
      <c r="AS2" s="382"/>
      <c r="AT2" s="382"/>
      <c r="AU2" s="382"/>
      <c r="AV2" s="382"/>
      <c r="AW2" s="428"/>
      <c r="AX2" s="382"/>
      <c r="AY2" s="378"/>
      <c r="AZ2" s="378"/>
      <c r="BA2" s="378"/>
      <c r="BB2" s="378"/>
      <c r="BC2" s="378"/>
      <c r="BD2" s="380"/>
    </row>
    <row r="3" spans="1:95" ht="13.5" customHeight="1" x14ac:dyDescent="0.2">
      <c r="B3" s="384"/>
      <c r="C3" s="375"/>
      <c r="D3" s="281"/>
      <c r="E3" s="375"/>
      <c r="F3" s="375"/>
      <c r="G3" s="375"/>
      <c r="H3" s="375"/>
      <c r="I3" s="375"/>
      <c r="J3" s="375"/>
      <c r="K3" s="375"/>
      <c r="L3" s="375"/>
      <c r="M3" s="375"/>
      <c r="N3" s="375"/>
      <c r="O3" s="375"/>
      <c r="P3" s="375"/>
      <c r="Q3" s="375"/>
      <c r="R3" s="375"/>
      <c r="S3" s="375"/>
      <c r="T3" s="375"/>
      <c r="U3" s="375"/>
      <c r="V3" s="375"/>
      <c r="W3" s="375"/>
      <c r="X3" s="375"/>
      <c r="Y3" s="638"/>
      <c r="Z3" s="385"/>
      <c r="AA3" s="384"/>
      <c r="AB3" s="280"/>
      <c r="AC3" s="375"/>
      <c r="AD3" s="375"/>
      <c r="AE3" s="662"/>
      <c r="AF3" s="375"/>
      <c r="AG3" s="375"/>
      <c r="AH3" s="375"/>
      <c r="AI3" s="375"/>
      <c r="AJ3" s="375"/>
      <c r="AK3" s="375"/>
      <c r="AL3" s="375"/>
      <c r="AM3" s="375"/>
      <c r="AN3" s="375"/>
      <c r="AO3" s="375"/>
      <c r="AP3" s="375"/>
      <c r="AQ3" s="375"/>
      <c r="AR3" s="375"/>
      <c r="AS3" s="386"/>
      <c r="AT3" s="386"/>
      <c r="AU3" s="386"/>
      <c r="AV3" s="386"/>
      <c r="AW3" s="429"/>
      <c r="AX3" s="386"/>
      <c r="AY3" s="375"/>
      <c r="AZ3" s="375"/>
      <c r="BA3" s="375"/>
      <c r="BB3" s="375"/>
      <c r="BC3" s="375"/>
      <c r="BD3" s="385"/>
    </row>
    <row r="4" spans="1:95" s="394" customFormat="1" ht="18.75" customHeight="1" x14ac:dyDescent="0.3">
      <c r="A4" s="606"/>
      <c r="B4" s="387"/>
      <c r="C4" s="388" t="str">
        <f>"WERKGEVERSLASTEN PO "&amp;tabellen!B1</f>
        <v>WERKGEVERSLASTEN PO 2015</v>
      </c>
      <c r="D4" s="389"/>
      <c r="E4" s="390"/>
      <c r="F4" s="390"/>
      <c r="G4" s="390"/>
      <c r="H4" s="390"/>
      <c r="I4" s="390"/>
      <c r="J4" s="390"/>
      <c r="K4" s="390"/>
      <c r="L4" s="390"/>
      <c r="M4" s="390"/>
      <c r="N4" s="390"/>
      <c r="O4" s="390"/>
      <c r="P4" s="390"/>
      <c r="Q4" s="390"/>
      <c r="R4" s="390"/>
      <c r="S4" s="390"/>
      <c r="T4" s="390"/>
      <c r="U4" s="390"/>
      <c r="V4" s="390"/>
      <c r="W4" s="390"/>
      <c r="X4" s="390"/>
      <c r="Y4" s="652"/>
      <c r="Z4" s="391"/>
      <c r="AA4" s="387"/>
      <c r="AB4" s="392"/>
      <c r="AC4" s="390"/>
      <c r="AD4" s="390"/>
      <c r="AE4" s="390"/>
      <c r="AF4" s="390"/>
      <c r="AG4" s="390"/>
      <c r="AH4" s="390"/>
      <c r="AI4" s="390"/>
      <c r="AJ4" s="390"/>
      <c r="AK4" s="390"/>
      <c r="AL4" s="390"/>
      <c r="AM4" s="390"/>
      <c r="AN4" s="390"/>
      <c r="AO4" s="390"/>
      <c r="AP4" s="390"/>
      <c r="AQ4" s="390"/>
      <c r="AR4" s="390"/>
      <c r="AS4" s="393"/>
      <c r="AT4" s="393"/>
      <c r="AU4" s="393"/>
      <c r="AV4" s="393"/>
      <c r="AW4" s="430"/>
      <c r="AX4" s="393"/>
      <c r="AY4" s="390"/>
      <c r="AZ4" s="390"/>
      <c r="BA4" s="390"/>
      <c r="BB4" s="390"/>
      <c r="BC4" s="390"/>
      <c r="BD4" s="391"/>
      <c r="BE4" s="606"/>
      <c r="BF4" s="606"/>
      <c r="BG4" s="615"/>
      <c r="BH4" s="615"/>
      <c r="BI4" s="615"/>
      <c r="BJ4" s="615"/>
      <c r="BK4" s="615"/>
      <c r="BL4" s="615"/>
      <c r="BM4" s="615"/>
      <c r="BN4" s="615"/>
      <c r="BO4" s="615"/>
      <c r="BP4" s="615"/>
      <c r="BQ4" s="615"/>
      <c r="BR4" s="615"/>
      <c r="BS4" s="615"/>
      <c r="BT4" s="615"/>
      <c r="BU4" s="615"/>
      <c r="BV4" s="615"/>
      <c r="BW4" s="615"/>
      <c r="BX4" s="615"/>
      <c r="BY4" s="615"/>
      <c r="BZ4" s="615"/>
      <c r="CA4" s="615"/>
      <c r="CB4" s="615"/>
      <c r="CC4" s="615"/>
      <c r="CD4" s="615"/>
      <c r="CE4" s="615"/>
      <c r="CF4" s="615"/>
      <c r="CG4" s="616"/>
      <c r="CH4" s="616"/>
      <c r="CI4" s="616"/>
      <c r="CJ4" s="615"/>
      <c r="CK4" s="615"/>
      <c r="CL4" s="615"/>
      <c r="CM4" s="615"/>
      <c r="CN4" s="615"/>
      <c r="CO4" s="615"/>
      <c r="CP4" s="606"/>
      <c r="CQ4" s="606"/>
    </row>
    <row r="5" spans="1:95" ht="13.5" customHeight="1" x14ac:dyDescent="0.25">
      <c r="B5" s="384"/>
      <c r="C5" s="417" t="str">
        <f>wgl!C5</f>
        <v xml:space="preserve"> vanaf 1 augustus 2015</v>
      </c>
      <c r="D5" s="281"/>
      <c r="E5" s="375"/>
      <c r="F5" s="375"/>
      <c r="G5" s="375"/>
      <c r="H5" s="375"/>
      <c r="I5" s="375"/>
      <c r="J5" s="375"/>
      <c r="K5" s="375"/>
      <c r="L5" s="375"/>
      <c r="M5" s="375"/>
      <c r="N5" s="375"/>
      <c r="O5" s="375"/>
      <c r="P5" s="375"/>
      <c r="Q5" s="375"/>
      <c r="R5" s="375"/>
      <c r="S5" s="375"/>
      <c r="T5" s="375"/>
      <c r="U5" s="375"/>
      <c r="V5" s="375"/>
      <c r="W5" s="375"/>
      <c r="X5" s="375"/>
      <c r="Y5" s="638"/>
      <c r="Z5" s="385"/>
      <c r="AA5" s="384"/>
      <c r="AB5" s="280"/>
      <c r="AC5" s="375"/>
      <c r="AD5" s="375"/>
      <c r="AE5" s="662"/>
      <c r="AF5" s="375"/>
      <c r="AG5" s="375"/>
      <c r="AH5" s="375"/>
      <c r="AI5" s="375"/>
      <c r="AJ5" s="375"/>
      <c r="AK5" s="375"/>
      <c r="AL5" s="375"/>
      <c r="AM5" s="375"/>
      <c r="AN5" s="375"/>
      <c r="AO5" s="375"/>
      <c r="AP5" s="375"/>
      <c r="AQ5" s="375"/>
      <c r="AR5" s="375"/>
      <c r="AS5" s="386"/>
      <c r="AT5" s="386"/>
      <c r="AU5" s="386"/>
      <c r="AV5" s="386"/>
      <c r="AW5" s="429"/>
      <c r="AX5" s="386"/>
      <c r="AY5" s="375"/>
      <c r="AZ5" s="375"/>
      <c r="BA5" s="375"/>
      <c r="BB5" s="375"/>
      <c r="BC5" s="375"/>
      <c r="BD5" s="385"/>
    </row>
    <row r="6" spans="1:95" ht="13.5" customHeight="1" x14ac:dyDescent="0.2">
      <c r="B6" s="384"/>
      <c r="C6" s="375"/>
      <c r="D6" s="281"/>
      <c r="E6" s="375"/>
      <c r="F6" s="375"/>
      <c r="G6" s="375"/>
      <c r="H6" s="375"/>
      <c r="I6" s="375"/>
      <c r="J6" s="375"/>
      <c r="K6" s="375"/>
      <c r="L6" s="375"/>
      <c r="M6" s="375"/>
      <c r="N6" s="375"/>
      <c r="O6" s="375"/>
      <c r="P6" s="375"/>
      <c r="Q6" s="375"/>
      <c r="R6" s="375"/>
      <c r="S6" s="375"/>
      <c r="T6" s="375"/>
      <c r="U6" s="375"/>
      <c r="V6" s="375"/>
      <c r="W6" s="375"/>
      <c r="X6" s="375"/>
      <c r="Y6" s="638"/>
      <c r="Z6" s="385"/>
      <c r="AA6" s="384"/>
      <c r="AB6" s="280"/>
      <c r="AC6" s="375"/>
      <c r="AD6" s="375"/>
      <c r="AE6" s="662"/>
      <c r="AF6" s="375"/>
      <c r="AG6" s="375"/>
      <c r="AH6" s="375"/>
      <c r="AI6" s="375"/>
      <c r="AJ6" s="400"/>
      <c r="AK6" s="375"/>
      <c r="AL6" s="375"/>
      <c r="AM6" s="375"/>
      <c r="AN6" s="375"/>
      <c r="AO6" s="375"/>
      <c r="AP6" s="375"/>
      <c r="AQ6" s="375"/>
      <c r="AR6" s="375"/>
      <c r="AS6" s="386"/>
      <c r="AT6" s="386"/>
      <c r="AU6" s="386"/>
      <c r="AV6" s="386"/>
      <c r="AW6" s="429"/>
      <c r="AX6" s="386"/>
      <c r="AY6" s="375"/>
      <c r="AZ6" s="375"/>
      <c r="BA6" s="375"/>
      <c r="BB6" s="375"/>
      <c r="BC6" s="375"/>
      <c r="BD6" s="385"/>
    </row>
    <row r="7" spans="1:95" ht="13.5" customHeight="1" x14ac:dyDescent="0.2">
      <c r="B7" s="384"/>
      <c r="C7" s="457"/>
      <c r="D7" s="281"/>
      <c r="E7" s="457"/>
      <c r="F7" s="457"/>
      <c r="G7" s="457"/>
      <c r="H7" s="457"/>
      <c r="I7" s="457"/>
      <c r="J7" s="457"/>
      <c r="K7" s="457"/>
      <c r="L7" s="457"/>
      <c r="M7" s="457"/>
      <c r="N7" s="457"/>
      <c r="O7" s="457"/>
      <c r="P7" s="457"/>
      <c r="Q7" s="457"/>
      <c r="R7" s="457"/>
      <c r="S7" s="457"/>
      <c r="T7" s="457"/>
      <c r="U7" s="457"/>
      <c r="V7" s="457"/>
      <c r="W7" s="457"/>
      <c r="X7" s="457"/>
      <c r="Y7" s="638"/>
      <c r="Z7" s="385"/>
      <c r="AA7" s="384"/>
      <c r="AB7" s="280"/>
      <c r="AC7" s="457"/>
      <c r="AD7" s="457"/>
      <c r="AE7" s="662"/>
      <c r="AF7" s="457"/>
      <c r="AG7" s="457"/>
      <c r="AH7" s="457"/>
      <c r="AI7" s="457"/>
      <c r="AJ7" s="400"/>
      <c r="AK7" s="457"/>
      <c r="AL7" s="457"/>
      <c r="AM7" s="457"/>
      <c r="AN7" s="457"/>
      <c r="AO7" s="457"/>
      <c r="AP7" s="457"/>
      <c r="AQ7" s="457"/>
      <c r="AR7" s="457"/>
      <c r="AS7" s="386"/>
      <c r="AT7" s="386"/>
      <c r="AU7" s="386"/>
      <c r="AV7" s="386"/>
      <c r="AW7" s="429"/>
      <c r="AX7" s="386"/>
      <c r="AY7" s="457"/>
      <c r="AZ7" s="457"/>
      <c r="BA7" s="457"/>
      <c r="BB7" s="457"/>
      <c r="BC7" s="457"/>
      <c r="BD7" s="385"/>
    </row>
    <row r="8" spans="1:95" s="401" customFormat="1" ht="13.5" customHeight="1" x14ac:dyDescent="0.2">
      <c r="A8" s="607"/>
      <c r="B8" s="395"/>
      <c r="C8" s="396"/>
      <c r="D8" s="284" t="s">
        <v>229</v>
      </c>
      <c r="E8" s="396"/>
      <c r="F8" s="285"/>
      <c r="G8" s="396"/>
      <c r="H8" s="396"/>
      <c r="I8" s="396"/>
      <c r="J8" s="396"/>
      <c r="K8" s="396"/>
      <c r="L8" s="396"/>
      <c r="M8" s="396"/>
      <c r="N8" s="396"/>
      <c r="O8" s="396"/>
      <c r="P8" s="396"/>
      <c r="Q8" s="396"/>
      <c r="R8" s="285" t="s">
        <v>36</v>
      </c>
      <c r="S8" s="396"/>
      <c r="T8" s="375"/>
      <c r="U8" s="396"/>
      <c r="V8" s="396"/>
      <c r="W8" s="396"/>
      <c r="X8" s="396"/>
      <c r="Y8" s="653"/>
      <c r="Z8" s="398"/>
      <c r="AA8" s="395"/>
      <c r="AB8" s="399"/>
      <c r="AC8" s="396"/>
      <c r="AD8" s="396"/>
      <c r="AE8" s="396"/>
      <c r="AF8" s="397"/>
      <c r="AG8" s="396"/>
      <c r="AH8" s="396"/>
      <c r="AI8" s="396"/>
      <c r="AJ8" s="397"/>
      <c r="AK8" s="396"/>
      <c r="AL8" s="396"/>
      <c r="AM8" s="284" t="s">
        <v>273</v>
      </c>
      <c r="AN8" s="396"/>
      <c r="AO8" s="396"/>
      <c r="AP8" s="396"/>
      <c r="AQ8" s="400"/>
      <c r="AR8" s="400"/>
      <c r="AS8" s="386"/>
      <c r="AT8" s="386"/>
      <c r="AU8" s="386"/>
      <c r="AV8" s="422"/>
      <c r="AW8" s="431"/>
      <c r="AX8" s="422"/>
      <c r="AY8" s="423"/>
      <c r="AZ8" s="423"/>
      <c r="BA8" s="396"/>
      <c r="BB8" s="396"/>
      <c r="BC8" s="396"/>
      <c r="BD8" s="398"/>
      <c r="BE8" s="607"/>
      <c r="BF8" s="607"/>
      <c r="BG8" s="613"/>
      <c r="BH8" s="613"/>
      <c r="BI8" s="613"/>
      <c r="BJ8" s="613"/>
      <c r="BK8" s="613"/>
      <c r="BL8" s="613"/>
      <c r="BM8" s="613"/>
      <c r="BN8" s="613"/>
      <c r="BO8" s="613"/>
      <c r="BP8" s="613"/>
      <c r="BQ8" s="613"/>
      <c r="BR8" s="613"/>
      <c r="BS8" s="613"/>
      <c r="BT8" s="613"/>
      <c r="BU8" s="613"/>
      <c r="BV8" s="613"/>
      <c r="BW8" s="613"/>
      <c r="BX8" s="613"/>
      <c r="BY8" s="613"/>
      <c r="BZ8" s="613"/>
      <c r="CA8" s="613"/>
      <c r="CB8" s="613"/>
      <c r="CC8" s="613"/>
      <c r="CD8" s="613"/>
      <c r="CE8" s="613"/>
      <c r="CF8" s="613"/>
      <c r="CG8" s="617"/>
      <c r="CH8" s="617"/>
      <c r="CI8" s="614"/>
      <c r="CJ8" s="613"/>
      <c r="CK8" s="613"/>
      <c r="CL8" s="613"/>
      <c r="CM8" s="613"/>
      <c r="CN8" s="613"/>
      <c r="CO8" s="613"/>
      <c r="CP8" s="607"/>
      <c r="CQ8" s="607"/>
    </row>
    <row r="9" spans="1:95" ht="13.5" customHeight="1" x14ac:dyDescent="0.2">
      <c r="B9" s="384"/>
      <c r="C9" s="375"/>
      <c r="D9" s="281"/>
      <c r="E9" s="375" t="s">
        <v>285</v>
      </c>
      <c r="F9" s="675" t="s">
        <v>306</v>
      </c>
      <c r="G9" s="675"/>
      <c r="H9" s="375" t="s">
        <v>242</v>
      </c>
      <c r="I9" s="375" t="s">
        <v>313</v>
      </c>
      <c r="J9" s="375" t="s">
        <v>279</v>
      </c>
      <c r="K9" s="675" t="s">
        <v>73</v>
      </c>
      <c r="L9" s="676"/>
      <c r="M9" s="375" t="s">
        <v>59</v>
      </c>
      <c r="N9" s="375"/>
      <c r="O9" s="375" t="s">
        <v>302</v>
      </c>
      <c r="P9" s="375" t="s">
        <v>267</v>
      </c>
      <c r="Q9" s="375"/>
      <c r="R9" s="375" t="s">
        <v>307</v>
      </c>
      <c r="S9" s="375" t="s">
        <v>279</v>
      </c>
      <c r="T9" s="375" t="s">
        <v>309</v>
      </c>
      <c r="U9" s="375" t="s">
        <v>311</v>
      </c>
      <c r="V9" s="375" t="s">
        <v>268</v>
      </c>
      <c r="W9" s="375" t="s">
        <v>311</v>
      </c>
      <c r="X9" s="375" t="s">
        <v>283</v>
      </c>
      <c r="Y9" s="638" t="s">
        <v>304</v>
      </c>
      <c r="Z9" s="385"/>
      <c r="AA9" s="384"/>
      <c r="AB9" s="280" t="s">
        <v>38</v>
      </c>
      <c r="AC9" s="375" t="s">
        <v>291</v>
      </c>
      <c r="AD9" s="427" t="s">
        <v>319</v>
      </c>
      <c r="AE9" s="427" t="s">
        <v>383</v>
      </c>
      <c r="AF9" s="376" t="s">
        <v>298</v>
      </c>
      <c r="AG9" s="375"/>
      <c r="AH9" s="375" t="s">
        <v>271</v>
      </c>
      <c r="AI9" s="375" t="s">
        <v>295</v>
      </c>
      <c r="AJ9" s="376" t="s">
        <v>296</v>
      </c>
      <c r="AK9" s="280" t="s">
        <v>184</v>
      </c>
      <c r="AL9" s="375"/>
      <c r="AM9" s="375" t="s">
        <v>264</v>
      </c>
      <c r="AN9" s="375" t="s">
        <v>39</v>
      </c>
      <c r="AO9" s="375" t="s">
        <v>196</v>
      </c>
      <c r="AP9" s="440" t="s">
        <v>44</v>
      </c>
      <c r="AQ9" s="442" t="s">
        <v>189</v>
      </c>
      <c r="AR9" s="441" t="s">
        <v>318</v>
      </c>
      <c r="AS9" s="433" t="s">
        <v>58</v>
      </c>
      <c r="AT9" s="433" t="s">
        <v>59</v>
      </c>
      <c r="AU9" s="433" t="s">
        <v>60</v>
      </c>
      <c r="AV9" s="432" t="s">
        <v>293</v>
      </c>
      <c r="AW9" s="439" t="s">
        <v>316</v>
      </c>
      <c r="AX9" s="424"/>
      <c r="AY9" s="673" t="s">
        <v>369</v>
      </c>
      <c r="AZ9" s="674"/>
      <c r="BA9" s="375"/>
      <c r="BB9" s="638" t="s">
        <v>367</v>
      </c>
      <c r="BC9" s="375"/>
      <c r="BD9" s="385"/>
      <c r="BG9" s="613" t="s">
        <v>266</v>
      </c>
      <c r="BH9" s="613" t="s">
        <v>266</v>
      </c>
      <c r="BI9" s="613" t="s">
        <v>266</v>
      </c>
      <c r="BJ9" s="613" t="s">
        <v>266</v>
      </c>
      <c r="BK9" s="613" t="s">
        <v>266</v>
      </c>
      <c r="BL9" s="613" t="s">
        <v>313</v>
      </c>
      <c r="BM9" s="613" t="s">
        <v>266</v>
      </c>
      <c r="BN9" s="613" t="s">
        <v>266</v>
      </c>
      <c r="BO9" s="613" t="s">
        <v>266</v>
      </c>
      <c r="BP9" s="613" t="s">
        <v>266</v>
      </c>
      <c r="BQ9" s="613" t="s">
        <v>266</v>
      </c>
      <c r="BR9" s="613" t="s">
        <v>62</v>
      </c>
      <c r="BS9" s="613" t="s">
        <v>270</v>
      </c>
      <c r="BU9" s="618" t="s">
        <v>39</v>
      </c>
      <c r="BV9" s="618" t="s">
        <v>196</v>
      </c>
      <c r="BW9" s="618" t="s">
        <v>42</v>
      </c>
      <c r="BX9" s="618" t="s">
        <v>289</v>
      </c>
      <c r="BY9" s="618" t="s">
        <v>286</v>
      </c>
      <c r="BZ9" s="618" t="s">
        <v>274</v>
      </c>
      <c r="CA9" s="618" t="s">
        <v>287</v>
      </c>
      <c r="CB9" s="618"/>
      <c r="CC9" s="618"/>
      <c r="CG9" s="613"/>
      <c r="CH9" s="613"/>
      <c r="CI9" s="613"/>
      <c r="CQ9" s="607"/>
    </row>
    <row r="10" spans="1:95" ht="13.5" customHeight="1" x14ac:dyDescent="0.2">
      <c r="B10" s="384"/>
      <c r="C10" s="375"/>
      <c r="D10" s="281"/>
      <c r="E10" s="375" t="s">
        <v>278</v>
      </c>
      <c r="F10" s="280" t="s">
        <v>21</v>
      </c>
      <c r="G10" s="280" t="s">
        <v>22</v>
      </c>
      <c r="H10" s="375"/>
      <c r="I10" s="280" t="s">
        <v>301</v>
      </c>
      <c r="J10" s="375" t="s">
        <v>280</v>
      </c>
      <c r="K10" s="280" t="s">
        <v>300</v>
      </c>
      <c r="L10" s="280" t="s">
        <v>301</v>
      </c>
      <c r="M10" s="375"/>
      <c r="N10" s="375"/>
      <c r="O10" s="375" t="s">
        <v>303</v>
      </c>
      <c r="P10" s="375"/>
      <c r="Q10" s="375"/>
      <c r="R10" s="375" t="s">
        <v>308</v>
      </c>
      <c r="S10" s="375" t="s">
        <v>280</v>
      </c>
      <c r="T10" s="375" t="s">
        <v>310</v>
      </c>
      <c r="U10" s="375" t="s">
        <v>310</v>
      </c>
      <c r="V10" s="375" t="s">
        <v>269</v>
      </c>
      <c r="W10" s="375" t="s">
        <v>312</v>
      </c>
      <c r="X10" s="375" t="s">
        <v>284</v>
      </c>
      <c r="Y10" s="638" t="s">
        <v>305</v>
      </c>
      <c r="Z10" s="385"/>
      <c r="AA10" s="384"/>
      <c r="AB10" s="280"/>
      <c r="AC10" s="375" t="s">
        <v>292</v>
      </c>
      <c r="AD10" s="427" t="s">
        <v>320</v>
      </c>
      <c r="AE10" s="427" t="s">
        <v>384</v>
      </c>
      <c r="AF10" s="375"/>
      <c r="AG10" s="375"/>
      <c r="AH10" s="375"/>
      <c r="AI10" s="375" t="s">
        <v>271</v>
      </c>
      <c r="AJ10" s="376" t="s">
        <v>297</v>
      </c>
      <c r="AK10" s="375"/>
      <c r="AL10" s="375"/>
      <c r="AM10" s="375"/>
      <c r="AN10" s="375"/>
      <c r="AO10" s="375"/>
      <c r="AP10" s="440"/>
      <c r="AQ10" s="440"/>
      <c r="AR10" s="440" t="s">
        <v>40</v>
      </c>
      <c r="AS10" s="429"/>
      <c r="AT10" s="433"/>
      <c r="AU10" s="433"/>
      <c r="AV10" s="432" t="s">
        <v>294</v>
      </c>
      <c r="AW10" s="432"/>
      <c r="AX10" s="424"/>
      <c r="AY10" s="425" t="s">
        <v>48</v>
      </c>
      <c r="AZ10" s="425" t="s">
        <v>299</v>
      </c>
      <c r="BA10" s="375"/>
      <c r="BB10" s="427" t="s">
        <v>385</v>
      </c>
      <c r="BC10" s="375"/>
      <c r="BD10" s="385"/>
      <c r="BG10" s="619">
        <f ca="1">NOW()</f>
        <v>42283.70841446759</v>
      </c>
      <c r="BH10" s="613" t="s">
        <v>278</v>
      </c>
      <c r="BI10" s="613" t="s">
        <v>278</v>
      </c>
      <c r="BJ10" s="613" t="s">
        <v>282</v>
      </c>
      <c r="BK10" s="613" t="s">
        <v>282</v>
      </c>
      <c r="BL10" s="620" t="s">
        <v>21</v>
      </c>
      <c r="BM10" s="613" t="s">
        <v>281</v>
      </c>
      <c r="BN10" s="613" t="s">
        <v>277</v>
      </c>
      <c r="BO10" s="613" t="s">
        <v>276</v>
      </c>
      <c r="BP10" s="617" t="s">
        <v>275</v>
      </c>
      <c r="BQ10" s="613" t="s">
        <v>210</v>
      </c>
      <c r="BS10" s="613" t="s">
        <v>272</v>
      </c>
      <c r="BW10" s="617" t="s">
        <v>239</v>
      </c>
      <c r="BX10" s="613" t="s">
        <v>290</v>
      </c>
      <c r="BY10" s="613" t="s">
        <v>95</v>
      </c>
      <c r="BZ10" s="613" t="s">
        <v>40</v>
      </c>
      <c r="CA10" s="613" t="s">
        <v>288</v>
      </c>
      <c r="CE10" s="613" t="s">
        <v>278</v>
      </c>
      <c r="CF10" s="613" t="s">
        <v>354</v>
      </c>
      <c r="CG10" s="613"/>
      <c r="CH10" s="613"/>
      <c r="CI10" s="613"/>
    </row>
    <row r="11" spans="1:95" ht="13.5" customHeight="1" x14ac:dyDescent="0.2">
      <c r="B11" s="384"/>
      <c r="C11" s="375"/>
      <c r="D11" s="281"/>
      <c r="E11" s="375"/>
      <c r="F11" s="375"/>
      <c r="G11" s="375"/>
      <c r="H11" s="375"/>
      <c r="I11" s="375"/>
      <c r="J11" s="375"/>
      <c r="K11" s="375"/>
      <c r="L11" s="375"/>
      <c r="M11" s="375"/>
      <c r="N11" s="375"/>
      <c r="O11" s="375"/>
      <c r="P11" s="375"/>
      <c r="Q11" s="375"/>
      <c r="R11" s="375"/>
      <c r="S11" s="375"/>
      <c r="T11" s="375"/>
      <c r="U11" s="375"/>
      <c r="V11" s="375"/>
      <c r="W11" s="375"/>
      <c r="X11" s="375"/>
      <c r="Y11" s="638"/>
      <c r="Z11" s="385"/>
      <c r="AA11" s="384"/>
      <c r="AB11" s="280"/>
      <c r="AC11" s="375"/>
      <c r="AD11" s="375"/>
      <c r="AE11" s="662"/>
      <c r="AF11" s="375"/>
      <c r="AG11" s="375"/>
      <c r="AH11" s="375"/>
      <c r="AI11" s="375"/>
      <c r="AJ11" s="375"/>
      <c r="AK11" s="375"/>
      <c r="AL11" s="375"/>
      <c r="AM11" s="375"/>
      <c r="AN11" s="375"/>
      <c r="AO11" s="375"/>
      <c r="AP11" s="375"/>
      <c r="AQ11" s="375"/>
      <c r="AR11" s="375"/>
      <c r="AS11" s="386"/>
      <c r="AT11" s="283"/>
      <c r="AU11" s="283"/>
      <c r="AV11" s="283"/>
      <c r="AW11" s="433"/>
      <c r="AX11" s="283"/>
      <c r="AY11" s="376"/>
      <c r="AZ11" s="376"/>
      <c r="BA11" s="375"/>
      <c r="BB11" s="376"/>
      <c r="BC11" s="375"/>
      <c r="BD11" s="385"/>
      <c r="BG11" s="619"/>
      <c r="CG11" s="613"/>
      <c r="CH11" s="613"/>
      <c r="CI11" s="619"/>
    </row>
    <row r="12" spans="1:95" ht="13.5" hidden="1" customHeight="1" x14ac:dyDescent="0.2">
      <c r="B12" s="384"/>
      <c r="C12" s="402"/>
      <c r="D12" s="403"/>
      <c r="E12" s="402"/>
      <c r="F12" s="402"/>
      <c r="G12" s="402"/>
      <c r="H12" s="402"/>
      <c r="I12" s="402"/>
      <c r="J12" s="402"/>
      <c r="K12" s="402"/>
      <c r="L12" s="402"/>
      <c r="M12" s="402"/>
      <c r="N12" s="402"/>
      <c r="O12" s="402"/>
      <c r="P12" s="402"/>
      <c r="Q12" s="402"/>
      <c r="R12" s="402"/>
      <c r="S12" s="402"/>
      <c r="T12" s="402"/>
      <c r="U12" s="402"/>
      <c r="V12" s="402"/>
      <c r="W12" s="402"/>
      <c r="X12" s="402"/>
      <c r="Y12" s="494"/>
      <c r="Z12" s="404"/>
      <c r="AA12" s="405"/>
      <c r="AB12" s="406"/>
      <c r="AC12" s="402"/>
      <c r="AD12" s="402"/>
      <c r="AE12" s="402"/>
      <c r="AF12" s="402"/>
      <c r="AG12" s="402"/>
      <c r="AH12" s="402"/>
      <c r="AI12" s="402"/>
      <c r="AJ12" s="402"/>
      <c r="AK12" s="402"/>
      <c r="AL12" s="402"/>
      <c r="AM12" s="402"/>
      <c r="AN12" s="402"/>
      <c r="AO12" s="402"/>
      <c r="AP12" s="402"/>
      <c r="AQ12" s="402"/>
      <c r="AR12" s="402"/>
      <c r="AS12" s="407"/>
      <c r="AT12" s="408"/>
      <c r="AU12" s="408"/>
      <c r="AV12" s="408"/>
      <c r="AW12" s="434"/>
      <c r="AX12" s="408"/>
      <c r="AY12" s="402"/>
      <c r="AZ12" s="402"/>
      <c r="BA12" s="402"/>
      <c r="BB12" s="402"/>
      <c r="BC12" s="402"/>
      <c r="BD12" s="385"/>
      <c r="BG12" s="619"/>
      <c r="CG12" s="613"/>
      <c r="CH12" s="613"/>
      <c r="CI12" s="613"/>
    </row>
    <row r="13" spans="1:95" ht="13.5" hidden="1" customHeight="1" x14ac:dyDescent="0.2">
      <c r="B13" s="384"/>
      <c r="C13" s="402"/>
      <c r="D13" s="403"/>
      <c r="E13" s="402"/>
      <c r="F13" s="402"/>
      <c r="G13" s="402"/>
      <c r="H13" s="402"/>
      <c r="I13" s="402"/>
      <c r="J13" s="402"/>
      <c r="K13" s="402"/>
      <c r="L13" s="402"/>
      <c r="M13" s="402"/>
      <c r="N13" s="402"/>
      <c r="O13" s="402"/>
      <c r="P13" s="636">
        <f>P70</f>
        <v>8991</v>
      </c>
      <c r="Q13" s="402"/>
      <c r="R13" s="402"/>
      <c r="S13" s="402"/>
      <c r="T13" s="402"/>
      <c r="U13" s="402"/>
      <c r="V13" s="402"/>
      <c r="W13" s="402"/>
      <c r="X13" s="402"/>
      <c r="Y13" s="494"/>
      <c r="Z13" s="404"/>
      <c r="AA13" s="405"/>
      <c r="AB13" s="406"/>
      <c r="AC13" s="402"/>
      <c r="AD13" s="402"/>
      <c r="AE13" s="402"/>
      <c r="AF13" s="402"/>
      <c r="AG13" s="402"/>
      <c r="AH13" s="402"/>
      <c r="AI13" s="402"/>
      <c r="AJ13" s="402"/>
      <c r="AK13" s="402"/>
      <c r="AL13" s="402"/>
      <c r="AM13" s="402"/>
      <c r="AN13" s="402"/>
      <c r="AO13" s="402"/>
      <c r="AP13" s="402"/>
      <c r="AQ13" s="402"/>
      <c r="AR13" s="402"/>
      <c r="AS13" s="407"/>
      <c r="AT13" s="408"/>
      <c r="AU13" s="408"/>
      <c r="AV13" s="408"/>
      <c r="AW13" s="434"/>
      <c r="AX13" s="408"/>
      <c r="AY13" s="636">
        <f>AY70</f>
        <v>14771.300234675335</v>
      </c>
      <c r="AZ13" s="636">
        <f>AZ70</f>
        <v>177255.60281610402</v>
      </c>
      <c r="BA13" s="402"/>
      <c r="BB13" s="637">
        <f>BB70</f>
        <v>0.64289848011070339</v>
      </c>
      <c r="BC13" s="402"/>
      <c r="BD13" s="385"/>
      <c r="BG13" s="619"/>
      <c r="CG13" s="613"/>
      <c r="CH13" s="613"/>
      <c r="CI13" s="613"/>
    </row>
    <row r="14" spans="1:95" ht="13.5" customHeight="1" x14ac:dyDescent="0.2">
      <c r="B14" s="384"/>
      <c r="C14" s="402"/>
      <c r="D14" s="403"/>
      <c r="E14" s="402"/>
      <c r="F14" s="402"/>
      <c r="G14" s="402"/>
      <c r="H14" s="402"/>
      <c r="I14" s="402"/>
      <c r="J14" s="402"/>
      <c r="K14" s="402"/>
      <c r="L14" s="402"/>
      <c r="M14" s="402"/>
      <c r="N14" s="402"/>
      <c r="O14" s="402"/>
      <c r="P14" s="402"/>
      <c r="Q14" s="402"/>
      <c r="R14" s="402"/>
      <c r="S14" s="402"/>
      <c r="T14" s="402"/>
      <c r="U14" s="402"/>
      <c r="V14" s="402"/>
      <c r="W14" s="402"/>
      <c r="X14" s="402"/>
      <c r="Y14" s="494"/>
      <c r="Z14" s="404"/>
      <c r="AA14" s="405"/>
      <c r="AB14" s="406"/>
      <c r="AC14" s="402"/>
      <c r="AD14" s="402"/>
      <c r="AE14" s="402"/>
      <c r="AF14" s="402"/>
      <c r="AG14" s="402"/>
      <c r="AH14" s="402"/>
      <c r="AI14" s="402"/>
      <c r="AJ14" s="402"/>
      <c r="AK14" s="402"/>
      <c r="AL14" s="402"/>
      <c r="AM14" s="402"/>
      <c r="AN14" s="402"/>
      <c r="AO14" s="402"/>
      <c r="AP14" s="402"/>
      <c r="AQ14" s="402"/>
      <c r="AR14" s="402"/>
      <c r="AS14" s="407"/>
      <c r="AT14" s="408"/>
      <c r="AU14" s="408"/>
      <c r="AV14" s="408"/>
      <c r="AW14" s="434"/>
      <c r="AX14" s="408"/>
      <c r="AY14" s="402"/>
      <c r="AZ14" s="402"/>
      <c r="BA14" s="402"/>
      <c r="BB14" s="402"/>
      <c r="BC14" s="402"/>
      <c r="BD14" s="385"/>
      <c r="BG14" s="619"/>
      <c r="CG14" s="613"/>
      <c r="CH14" s="613"/>
      <c r="CI14" s="613"/>
    </row>
    <row r="15" spans="1:95" ht="13.5" customHeight="1" x14ac:dyDescent="0.2">
      <c r="B15" s="384"/>
      <c r="C15" s="402"/>
      <c r="D15" s="533" t="s">
        <v>32</v>
      </c>
      <c r="E15" s="573">
        <v>19360</v>
      </c>
      <c r="F15" s="459" t="s">
        <v>0</v>
      </c>
      <c r="G15" s="459">
        <v>12</v>
      </c>
      <c r="H15" s="640">
        <v>1</v>
      </c>
      <c r="I15" s="459" t="s">
        <v>71</v>
      </c>
      <c r="J15" s="459" t="s">
        <v>71</v>
      </c>
      <c r="K15" s="459" t="s">
        <v>74</v>
      </c>
      <c r="L15" s="459" t="s">
        <v>71</v>
      </c>
      <c r="M15" s="562">
        <v>1</v>
      </c>
      <c r="N15" s="402"/>
      <c r="O15" s="639">
        <f>IF(F15="",0,(VLOOKUP('wgl tot'!F15,salaristabellen,'wgl tot'!G15+1,FALSE)))</f>
        <v>3039</v>
      </c>
      <c r="P15" s="661">
        <f>O15*H15</f>
        <v>3039</v>
      </c>
      <c r="Q15" s="402"/>
      <c r="R15" s="633">
        <f>ROUND(IF(I15="j",VLOOKUP(BL15,uitlooptoeslag,2,FALSE))*IF('wgl tot'!H15&gt;1,1,'wgl tot'!H15),2)</f>
        <v>29.59</v>
      </c>
      <c r="S15" s="633">
        <f>ROUND(IF(OR('wgl tot'!F15="LA",'wgl tot'!F15="LB"),IF(J15="j",tabellen!$C$77*'wgl tot'!H15,0),0),2)</f>
        <v>61.73</v>
      </c>
      <c r="T15" s="633">
        <f>ROUND(IF(('wgl tot'!P15+'wgl tot'!R15+'wgl tot'!S15)*BN15&lt;'wgl tot'!H15*tabellen!$D$89,'wgl tot'!H15*tabellen!$D$89,('wgl tot'!P15+'wgl tot'!R15+'wgl tot'!S15)*BN15),2)</f>
        <v>250.43</v>
      </c>
      <c r="U15" s="633">
        <f>ROUND(+('wgl tot'!P15+'wgl tot'!R15+'wgl tot'!S15)*BO15,2)</f>
        <v>197.21</v>
      </c>
      <c r="V15" s="633">
        <f>+tabellen!$C$85*'wgl tot'!H15</f>
        <v>32.799999999999997</v>
      </c>
      <c r="W15" s="633">
        <f>VLOOKUP(BP15,eindejaarsuitkering_OOP,2,TRUE)*'wgl tot'!H15/12</f>
        <v>0</v>
      </c>
      <c r="X15" s="633">
        <f>ROUND(IF(BQ15="j",tabellen!$D$99*IF('wgl tot'!H15&gt;1,1,'wgl tot'!H15),0),2)</f>
        <v>0</v>
      </c>
      <c r="Y15" s="654">
        <f>SUM(P15:X15)</f>
        <v>3610.76</v>
      </c>
      <c r="Z15" s="404"/>
      <c r="AA15" s="405"/>
      <c r="AB15" s="632">
        <f>Y15*12</f>
        <v>43329.120000000003</v>
      </c>
      <c r="AC15" s="633">
        <f>ROUND(IF(L15="j",VLOOKUP(K15,bindingstoelage,2,FALSE))*IF('wgl tot'!H15&gt;1,1,'wgl tot'!H15),2)</f>
        <v>723.79</v>
      </c>
      <c r="AD15" s="633">
        <f>ROUND('wgl tot'!H15*tabellen!$D$96,2)</f>
        <v>328</v>
      </c>
      <c r="AE15" s="633">
        <f>ROUND('wgl tot'!H15*tabellen!$D$97,2)</f>
        <v>500</v>
      </c>
      <c r="AF15" s="632">
        <f>ROUND((AB15+AC15+AD15+AE15),0)</f>
        <v>44881</v>
      </c>
      <c r="AG15" s="402"/>
      <c r="AH15" s="633">
        <f>+('wgl tot'!AF15/(1+1.9%))*BR15</f>
        <v>836.83905789990195</v>
      </c>
      <c r="AI15" s="633">
        <f>IF(F15="",0,(791.85))</f>
        <v>791.85</v>
      </c>
      <c r="AJ15" s="632">
        <f>ROUND('wgl tot'!AF15-IF('wgl tot'!AI15&gt;'wgl tot'!AH15,'wgl tot'!AH15,'wgl tot'!AI15),0)</f>
        <v>44089</v>
      </c>
      <c r="AK15" s="634">
        <f>IF('wgl tot'!E15&lt;1950,0,+('wgl tot'!P15+'wgl tot'!R15+'wgl tot'!S15)*tabellen!$C$87)*12</f>
        <v>300.51071999999999</v>
      </c>
      <c r="AL15" s="402"/>
      <c r="AM15" s="633">
        <f>AF15/12</f>
        <v>3740.0833333333335</v>
      </c>
      <c r="AN15" s="633">
        <f>IF(F15="",0,(IF('wgl tot'!AJ15/'wgl tot'!H15&lt;tabellen!$E$57,0,('wgl tot'!AJ15-tabellen!$E$57*'wgl tot'!H15)/12)*tabellen!$C$57))</f>
        <v>351.19982916666663</v>
      </c>
      <c r="AO15" s="633">
        <f>IF(F15="",0,(IF('wgl tot'!AJ15/'wgl tot'!H15&lt;tabellen!$E$58,0,(+'wgl tot'!AJ15-tabellen!$E$58*'wgl tot'!H15)/12)*tabellen!$C$58))</f>
        <v>7.6996874999999996</v>
      </c>
      <c r="AP15" s="633">
        <f>'wgl tot'!AJ15/12*tabellen!$C$59</f>
        <v>110.2225</v>
      </c>
      <c r="AQ15" s="633">
        <f>IF(H15=0,0,IF(BY15&gt;tabellen!$G$60/12,tabellen!$G$60/12,BY15)*(tabellen!$C$60+tabellen!$C$61))</f>
        <v>239.25006677700003</v>
      </c>
      <c r="AR15" s="633">
        <f>IF(F15="",0,('wgl tot'!BZ15))</f>
        <v>249.67</v>
      </c>
      <c r="AS15" s="635">
        <f>IF(F15="",0,(IF('wgl tot'!BY15&gt;tabellen!$G$64*'wgl tot'!H15/12,tabellen!$G$64*'wgl tot'!H15/12,'wgl tot'!BY15)*tabellen!$C$64))</f>
        <v>28.020278091000002</v>
      </c>
      <c r="AT15" s="635">
        <f>IF(F15="",0,('wgl tot'!BY15*IF(M15=1,tabellen!$C$65,IF(M15=2,tabellen!C66,IF(M15=3,tabellen!$C$67,tabellen!$C$68)))))</f>
        <v>215.5406007</v>
      </c>
      <c r="AU15" s="635">
        <f>IF(F15="",0,('wgl tot'!BY15*tabellen!$C$69))</f>
        <v>179.61716725000002</v>
      </c>
      <c r="AV15" s="635">
        <f>+'wgl tot'!AK15/12</f>
        <v>25.042559999999998</v>
      </c>
      <c r="AW15" s="435">
        <v>0</v>
      </c>
      <c r="AX15" s="291">
        <f>SUM(AM15:AV15)</f>
        <v>5146.3460228180011</v>
      </c>
      <c r="AY15" s="658">
        <f>SUM(AM15:AW15)</f>
        <v>5146.3460228180011</v>
      </c>
      <c r="AZ15" s="658">
        <f>AY15*12</f>
        <v>61756.152273816013</v>
      </c>
      <c r="BA15" s="402"/>
      <c r="BB15" s="641">
        <f>IF(AY15=0,"",(AY15/P15-1))</f>
        <v>0.69343403185850638</v>
      </c>
      <c r="BC15" s="402"/>
      <c r="BD15" s="385"/>
      <c r="BG15" s="621">
        <f ca="1">YEAR('wgl tot'!$BG$10)-YEAR('wgl tot'!E15)</f>
        <v>62</v>
      </c>
      <c r="BH15" s="621">
        <f ca="1">MONTH('wgl tot'!$BG$10)-MONTH('wgl tot'!E15)</f>
        <v>9</v>
      </c>
      <c r="BI15" s="621">
        <f ca="1">DAY('wgl tot'!$BG$10)-DAY('wgl tot'!E15)</f>
        <v>5</v>
      </c>
      <c r="BJ15" s="613">
        <f>IF(AND('wgl tot'!F15&gt;0,'wgl tot'!F15&lt;15),0,100)</f>
        <v>100</v>
      </c>
      <c r="BK15" s="613">
        <f>VLOOKUP('wgl tot'!F15,salaristabellen,22,FALSE)</f>
        <v>15</v>
      </c>
      <c r="BL15" s="613" t="str">
        <f>F15</f>
        <v>LA</v>
      </c>
      <c r="BM15" s="619">
        <v>42005</v>
      </c>
      <c r="BN15" s="622">
        <v>0.08</v>
      </c>
      <c r="BO15" s="623">
        <f>+tabellen!$D$90</f>
        <v>6.3E-2</v>
      </c>
      <c r="BP15" s="621">
        <f>IF('wgl tot'!BJ15=100,0,'wgl tot'!F15)</f>
        <v>0</v>
      </c>
      <c r="BQ15" s="623" t="str">
        <f>IF(OR('wgl tot'!F15="DA",'wgl tot'!F15="DB",'wgl tot'!F15="DBuit",'wgl tot'!F15="DC",'wgl tot'!F15="DCuit",MID('wgl tot'!F15,1,5)="meerh"),"j","n")</f>
        <v>n</v>
      </c>
      <c r="BR15" s="623">
        <v>1.9E-2</v>
      </c>
      <c r="BS15" s="624">
        <f>IF(AI15&gt;'wgl tot'!AH15,'wgl tot'!AH15,AI15)</f>
        <v>791.85</v>
      </c>
      <c r="BT15" s="624"/>
      <c r="BU15" s="625">
        <f>IF('wgl tot'!AJ15/'wgl tot'!H15&lt;tabellen!$E$57,0,(+'wgl tot'!AJ15-tabellen!$E$57*'wgl tot'!H15)/12*tabellen!$D$57)</f>
        <v>170.21598583333332</v>
      </c>
      <c r="BV15" s="625">
        <f>IF('wgl tot'!AJ15/'wgl tot'!H15&lt;tabellen!$E$58,0,(+'wgl tot'!AJ15-tabellen!$E$58*'wgl tot'!H15)/12*tabellen!$D$58)</f>
        <v>2.5665624999999999</v>
      </c>
      <c r="BW15" s="625">
        <f>'wgl tot'!AJ15/12*tabellen!$D$59</f>
        <v>0</v>
      </c>
      <c r="BX15" s="626">
        <f t="shared" ref="BX15:BX27" si="0">SUM(BU15:BW15)</f>
        <v>172.78254833333332</v>
      </c>
      <c r="BY15" s="627">
        <f>+('wgl tot'!AF15+'wgl tot'!AK15)/12-'wgl tot'!BX15</f>
        <v>3592.3433450000002</v>
      </c>
      <c r="BZ15" s="627">
        <f>ROUND(IF('wgl tot'!BY15&gt;tabellen!$H$63,tabellen!$H$63,'wgl tot'!BY15)*tabellen!$C$63,2)</f>
        <v>249.67</v>
      </c>
      <c r="CA15" s="627">
        <f>+'wgl tot'!BY15+'wgl tot'!BZ15</f>
        <v>3842.0133450000003</v>
      </c>
      <c r="CB15" s="628">
        <f>YEAR(E15)</f>
        <v>1953</v>
      </c>
      <c r="CC15" s="628">
        <f>MONTH(E15)</f>
        <v>1</v>
      </c>
      <c r="CD15" s="621">
        <f>DAY(E15)</f>
        <v>1</v>
      </c>
      <c r="CE15" s="619">
        <f>DATE(CB15+61,CC15+6,CD15)</f>
        <v>41821</v>
      </c>
      <c r="CF15" s="619">
        <f ca="1">NOW()</f>
        <v>42283.70841446759</v>
      </c>
      <c r="CG15" s="613"/>
      <c r="CH15" s="619"/>
      <c r="CI15" s="613"/>
      <c r="CJ15" s="624"/>
      <c r="CK15" s="624"/>
      <c r="CL15" s="624"/>
      <c r="CM15" s="624"/>
      <c r="CN15" s="624"/>
      <c r="CO15" s="624"/>
    </row>
    <row r="16" spans="1:95" ht="13.5" customHeight="1" x14ac:dyDescent="0.2">
      <c r="B16" s="384"/>
      <c r="C16" s="402"/>
      <c r="D16" s="533" t="s">
        <v>391</v>
      </c>
      <c r="E16" s="573">
        <v>23377</v>
      </c>
      <c r="F16" s="459" t="s">
        <v>0</v>
      </c>
      <c r="G16" s="459">
        <v>10</v>
      </c>
      <c r="H16" s="640">
        <v>1</v>
      </c>
      <c r="I16" s="459" t="s">
        <v>326</v>
      </c>
      <c r="J16" s="459" t="s">
        <v>326</v>
      </c>
      <c r="K16" s="459" t="s">
        <v>74</v>
      </c>
      <c r="L16" s="459" t="s">
        <v>326</v>
      </c>
      <c r="M16" s="562">
        <v>1</v>
      </c>
      <c r="N16" s="402"/>
      <c r="O16" s="639">
        <f>IF(F16="",0,(VLOOKUP('wgl tot'!F16,salaristabellen,'wgl tot'!G16+1,FALSE)))</f>
        <v>2863</v>
      </c>
      <c r="P16" s="661">
        <f>O16*H16</f>
        <v>2863</v>
      </c>
      <c r="Q16" s="402"/>
      <c r="R16" s="633">
        <f>ROUND(IF(I16="j",VLOOKUP(BL16,uitlooptoeslag,2,FALSE))*IF('wgl tot'!H16&gt;1,1,'wgl tot'!H16),2)</f>
        <v>0</v>
      </c>
      <c r="S16" s="633">
        <f>ROUND(IF(OR('wgl tot'!F16="LA",'wgl tot'!F16="LB"),IF(J16="j",tabellen!$C$77*'wgl tot'!H16,0),0),2)</f>
        <v>0</v>
      </c>
      <c r="T16" s="633">
        <f>ROUND(IF(('wgl tot'!P16+'wgl tot'!R16+'wgl tot'!S16)*BN16&lt;'wgl tot'!H16*tabellen!$D$89,'wgl tot'!H16*tabellen!$D$89,('wgl tot'!P16+'wgl tot'!R16+'wgl tot'!S16)*BN16),2)</f>
        <v>229.04</v>
      </c>
      <c r="U16" s="633">
        <f>ROUND(+('wgl tot'!P16+'wgl tot'!R16+'wgl tot'!S16)*BO16,2)</f>
        <v>180.37</v>
      </c>
      <c r="V16" s="633">
        <f>+tabellen!$C$85*'wgl tot'!H16</f>
        <v>32.799999999999997</v>
      </c>
      <c r="W16" s="633">
        <f>VLOOKUP(BP16,eindejaarsuitkering_OOP,2,TRUE)*'wgl tot'!H16/12</f>
        <v>0</v>
      </c>
      <c r="X16" s="633">
        <f>ROUND(IF(BQ16="j",tabellen!$D$99*IF('wgl tot'!H16&gt;1,1,'wgl tot'!H16),0),2)</f>
        <v>0</v>
      </c>
      <c r="Y16" s="654">
        <f t="shared" ref="Y16:Y69" si="1">SUM(P16:X16)</f>
        <v>3305.21</v>
      </c>
      <c r="Z16" s="404"/>
      <c r="AA16" s="405"/>
      <c r="AB16" s="632">
        <f t="shared" ref="AB16:AB69" si="2">Y16*12</f>
        <v>39662.520000000004</v>
      </c>
      <c r="AC16" s="633">
        <f>ROUND(IF(L16="j",VLOOKUP(K16,bindingstoelage,2,FALSE))*IF('wgl tot'!H16&gt;1,1,'wgl tot'!H16),2)</f>
        <v>0</v>
      </c>
      <c r="AD16" s="633">
        <f>ROUND('wgl tot'!H16*tabellen!$D$96,2)</f>
        <v>328</v>
      </c>
      <c r="AE16" s="633">
        <f>ROUND('wgl tot'!H16*tabellen!$D$97,2)</f>
        <v>500</v>
      </c>
      <c r="AF16" s="632">
        <f t="shared" ref="AF16:AF69" si="3">ROUND((AB16+AC16+AD16+AE16),0)</f>
        <v>40491</v>
      </c>
      <c r="AG16" s="402"/>
      <c r="AH16" s="633">
        <f>+('wgl tot'!AF16/(1+1.9%))*BR16</f>
        <v>754.9842983316978</v>
      </c>
      <c r="AI16" s="633">
        <f>IF(F16="",0,(791.85))</f>
        <v>791.85</v>
      </c>
      <c r="AJ16" s="632">
        <f>ROUND('wgl tot'!AF16-IF('wgl tot'!AI16&gt;'wgl tot'!AH16,'wgl tot'!AH16,'wgl tot'!AI16),0)</f>
        <v>39736</v>
      </c>
      <c r="AK16" s="634">
        <f>IF('wgl tot'!E16&lt;1950,0,+('wgl tot'!P16+'wgl tot'!R16+'wgl tot'!S16)*tabellen!$C$87)*12</f>
        <v>274.84800000000001</v>
      </c>
      <c r="AL16" s="402"/>
      <c r="AM16" s="633">
        <f t="shared" ref="AM16:AM69" si="4">AF16/12</f>
        <v>3374.25</v>
      </c>
      <c r="AN16" s="633">
        <f>IF(F16="",0,(IF('wgl tot'!AJ16/'wgl tot'!H16&lt;tabellen!$E$57,0,('wgl tot'!AJ16-tabellen!$E$57*'wgl tot'!H16)/12)*tabellen!$C$57))</f>
        <v>302.57319166666667</v>
      </c>
      <c r="AO16" s="633">
        <f>IF(F16="",0,(IF('wgl tot'!AJ16/'wgl tot'!H16&lt;tabellen!$E$58,0,(+'wgl tot'!AJ16-tabellen!$E$58*'wgl tot'!H16)/12)*tabellen!$C$58))</f>
        <v>6.3393749999999995</v>
      </c>
      <c r="AP16" s="633">
        <f>'wgl tot'!AJ16/12*tabellen!$C$59</f>
        <v>99.34</v>
      </c>
      <c r="AQ16" s="633">
        <f>IF(H16=0,0,IF(BY16&gt;tabellen!$G$60/12,tabellen!$G$60/12,BY16)*(tabellen!$C$60+tabellen!$C$61))</f>
        <v>216.34295759400001</v>
      </c>
      <c r="AR16" s="633">
        <f>IF(F16="",0,('wgl tot'!BZ16))</f>
        <v>225.76</v>
      </c>
      <c r="AS16" s="635">
        <f>IF(F16="",0,(IF('wgl tot'!BY16&gt;tabellen!$G$64*'wgl tot'!H16/12,tabellen!$G$64*'wgl tot'!H16/12,'wgl tot'!BY16)*tabellen!$C$64))</f>
        <v>25.337463501999999</v>
      </c>
      <c r="AT16" s="635">
        <f>IF(F16="",0,('wgl tot'!BY16*IF(M16=1,tabellen!$C$65,IF(M16=2,tabellen!C67,IF(M16=3,tabellen!$C$67,tabellen!$C$68)))))</f>
        <v>194.90356539999999</v>
      </c>
      <c r="AU16" s="635">
        <f>IF(F16="",0,('wgl tot'!BY16*tabellen!$C$69))</f>
        <v>162.41963783333335</v>
      </c>
      <c r="AV16" s="635">
        <f>+'wgl tot'!AK16/12</f>
        <v>22.904</v>
      </c>
      <c r="AW16" s="435">
        <v>0</v>
      </c>
      <c r="AX16" s="291">
        <f t="shared" ref="AX16:AX69" si="5">SUM(AM16:AV16)</f>
        <v>4630.1701909960011</v>
      </c>
      <c r="AY16" s="658">
        <f t="shared" ref="AY16:AY69" si="6">SUM(AM16:AW16)</f>
        <v>4630.1701909960011</v>
      </c>
      <c r="AZ16" s="658">
        <f t="shared" ref="AZ16:AZ69" si="7">AY16*12</f>
        <v>55562.042291952013</v>
      </c>
      <c r="BA16" s="402"/>
      <c r="BB16" s="641">
        <f>IF(AY16=0,"",(+'wgl tot'!AY16/'wgl tot'!P16-1))</f>
        <v>0.61724421620537928</v>
      </c>
      <c r="BC16" s="402"/>
      <c r="BD16" s="385"/>
      <c r="BG16" s="621">
        <f ca="1">YEAR('wgl tot'!$BG$10)-YEAR('wgl tot'!E16)</f>
        <v>51</v>
      </c>
      <c r="BH16" s="621">
        <f ca="1">MONTH('wgl tot'!$BG$10)-MONTH('wgl tot'!E16)</f>
        <v>9</v>
      </c>
      <c r="BI16" s="621">
        <f ca="1">DAY('wgl tot'!$BG$10)-DAY('wgl tot'!E16)</f>
        <v>5</v>
      </c>
      <c r="BJ16" s="613">
        <f>IF(AND('wgl tot'!F16&gt;0,'wgl tot'!F16&lt;16),0,100)</f>
        <v>100</v>
      </c>
      <c r="BK16" s="613">
        <f>VLOOKUP('wgl tot'!F16,salaristabellen,22,FALSE)</f>
        <v>15</v>
      </c>
      <c r="BL16" s="613" t="str">
        <f>F16</f>
        <v>LA</v>
      </c>
      <c r="BM16" s="619">
        <f>$BM$15</f>
        <v>42005</v>
      </c>
      <c r="BN16" s="622">
        <f>$BN$15</f>
        <v>0.08</v>
      </c>
      <c r="BO16" s="623">
        <f>+tabellen!$D$90</f>
        <v>6.3E-2</v>
      </c>
      <c r="BP16" s="621">
        <f>IF('wgl tot'!BJ16=100,0,'wgl tot'!F16)</f>
        <v>0</v>
      </c>
      <c r="BQ16" s="623" t="str">
        <f>IF(OR('wgl tot'!F16="DA",'wgl tot'!F16="DB",'wgl tot'!F16="DBuit",'wgl tot'!F16="DC",'wgl tot'!F16="DCuit",MID('wgl tot'!F16,1,5)="meerh"),"j","n")</f>
        <v>n</v>
      </c>
      <c r="BR16" s="623">
        <f>$BR$15</f>
        <v>1.9E-2</v>
      </c>
      <c r="BS16" s="624">
        <f>IF(AI16&gt;'wgl tot'!AH16,'wgl tot'!AH16,AI16)</f>
        <v>754.9842983316978</v>
      </c>
      <c r="BT16" s="624"/>
      <c r="BU16" s="625">
        <f>IF('wgl tot'!AJ16/'wgl tot'!H16&lt;tabellen!$E$57,0,(+'wgl tot'!AJ16-tabellen!$E$57*'wgl tot'!H16)/12*tabellen!$D$57)</f>
        <v>146.64811833333331</v>
      </c>
      <c r="BV16" s="625">
        <f>IF('wgl tot'!AJ16/'wgl tot'!H16&lt;tabellen!$E$58,0,(+'wgl tot'!AJ16-tabellen!$E$58*'wgl tot'!H16)/12*tabellen!$D$58)</f>
        <v>2.1131250000000001</v>
      </c>
      <c r="BW16" s="625">
        <f>'wgl tot'!AJ16/12*tabellen!$D$59</f>
        <v>0</v>
      </c>
      <c r="BX16" s="626">
        <f t="shared" si="0"/>
        <v>148.76124333333331</v>
      </c>
      <c r="BY16" s="627">
        <f>+('wgl tot'!AF16+'wgl tot'!AK16)/12-'wgl tot'!BX16</f>
        <v>3248.3927566666666</v>
      </c>
      <c r="BZ16" s="627">
        <f>ROUND(IF('wgl tot'!BY16&gt;tabellen!$H$63,tabellen!$H$63,'wgl tot'!BY16)*tabellen!$C$63,2)</f>
        <v>225.76</v>
      </c>
      <c r="CA16" s="627">
        <f>+'wgl tot'!BY16+'wgl tot'!BZ16</f>
        <v>3474.1527566666664</v>
      </c>
      <c r="CB16" s="628">
        <f>YEAR(E16)</f>
        <v>1964</v>
      </c>
      <c r="CC16" s="628">
        <f>MONTH(E16)</f>
        <v>1</v>
      </c>
      <c r="CD16" s="621">
        <f>DAY(E16)</f>
        <v>1</v>
      </c>
      <c r="CE16" s="619">
        <f t="shared" ref="CE16:CE69" si="8">DATE(CB16+61,CC16+6,CD16)</f>
        <v>45839</v>
      </c>
      <c r="CF16" s="619">
        <f t="shared" ref="CF16:CF69" ca="1" si="9">NOW()</f>
        <v>42283.70841446759</v>
      </c>
      <c r="CG16" s="613"/>
      <c r="CH16" s="619"/>
      <c r="CI16" s="613"/>
      <c r="CJ16" s="624"/>
      <c r="CK16" s="624"/>
      <c r="CL16" s="624"/>
      <c r="CM16" s="624"/>
      <c r="CN16" s="624"/>
      <c r="CO16" s="624"/>
    </row>
    <row r="17" spans="2:93" ht="13.5" customHeight="1" x14ac:dyDescent="0.2">
      <c r="B17" s="384"/>
      <c r="C17" s="402"/>
      <c r="D17" s="533" t="s">
        <v>392</v>
      </c>
      <c r="E17" s="287">
        <v>26724</v>
      </c>
      <c r="F17" s="288" t="s">
        <v>15</v>
      </c>
      <c r="G17" s="288">
        <v>10</v>
      </c>
      <c r="H17" s="289">
        <v>1</v>
      </c>
      <c r="I17" s="459" t="s">
        <v>326</v>
      </c>
      <c r="J17" s="459" t="s">
        <v>326</v>
      </c>
      <c r="K17" s="459" t="s">
        <v>74</v>
      </c>
      <c r="L17" s="459" t="s">
        <v>326</v>
      </c>
      <c r="M17" s="290">
        <v>1</v>
      </c>
      <c r="N17" s="402"/>
      <c r="O17" s="639">
        <f>IF(F17="",0,(VLOOKUP('wgl tot'!F17,salaristabellen,'wgl tot'!G17+1,FALSE)))</f>
        <v>3089</v>
      </c>
      <c r="P17" s="661">
        <f>O17*H17</f>
        <v>3089</v>
      </c>
      <c r="Q17" s="402"/>
      <c r="R17" s="633">
        <f>ROUND(IF(I17="j",VLOOKUP(BL17,uitlooptoeslag,2,FALSE))*IF('wgl tot'!H17&gt;1,1,'wgl tot'!H17),2)</f>
        <v>0</v>
      </c>
      <c r="S17" s="633">
        <f>ROUND(IF(OR('wgl tot'!F17="LA",'wgl tot'!F17="LB"),IF(J17="j",tabellen!$C$77*'wgl tot'!H17,0),0),2)</f>
        <v>0</v>
      </c>
      <c r="T17" s="633">
        <f>ROUND(IF(('wgl tot'!P17+'wgl tot'!R17+'wgl tot'!S17)*BN17&lt;'wgl tot'!H17*tabellen!$D$89,'wgl tot'!H17*tabellen!$D$89,('wgl tot'!P17+'wgl tot'!R17+'wgl tot'!S17)*BN17),2)</f>
        <v>247.12</v>
      </c>
      <c r="U17" s="633">
        <f>ROUND(+('wgl tot'!P17+'wgl tot'!R17+'wgl tot'!S17)*BO17,2)</f>
        <v>194.61</v>
      </c>
      <c r="V17" s="633">
        <f>+tabellen!$C$85*'wgl tot'!H17</f>
        <v>32.799999999999997</v>
      </c>
      <c r="W17" s="633">
        <f>VLOOKUP(BP17,eindejaarsuitkering_OOP,2,TRUE)*'wgl tot'!H17/12</f>
        <v>0</v>
      </c>
      <c r="X17" s="633">
        <f>ROUND(IF(BQ17="j",tabellen!$D$99*IF('wgl tot'!H17&gt;1,1,'wgl tot'!H17),0),2)</f>
        <v>0</v>
      </c>
      <c r="Y17" s="654">
        <f t="shared" si="1"/>
        <v>3563.53</v>
      </c>
      <c r="Z17" s="404"/>
      <c r="AA17" s="405"/>
      <c r="AB17" s="632">
        <f t="shared" si="2"/>
        <v>42762.36</v>
      </c>
      <c r="AC17" s="633">
        <f>ROUND(IF(L17="j",VLOOKUP(K17,bindingstoelage,2,FALSE))*IF('wgl tot'!H17&gt;1,1,'wgl tot'!H17),2)</f>
        <v>0</v>
      </c>
      <c r="AD17" s="633">
        <f>ROUND('wgl tot'!H17*tabellen!$D$96,2)</f>
        <v>328</v>
      </c>
      <c r="AE17" s="633">
        <f>ROUND('wgl tot'!H17*tabellen!$D$97,2)</f>
        <v>500</v>
      </c>
      <c r="AF17" s="632">
        <f t="shared" si="3"/>
        <v>43590</v>
      </c>
      <c r="AG17" s="402"/>
      <c r="AH17" s="633">
        <f>+('wgl tot'!AF17/(1+1.9%))*BR17</f>
        <v>812.76741903827292</v>
      </c>
      <c r="AI17" s="633">
        <f>IF(F17="",0,(791.85))</f>
        <v>791.85</v>
      </c>
      <c r="AJ17" s="632">
        <f>ROUND('wgl tot'!AF17-IF('wgl tot'!AI17&gt;'wgl tot'!AH17,'wgl tot'!AH17,'wgl tot'!AI17),0)</f>
        <v>42798</v>
      </c>
      <c r="AK17" s="634">
        <f>IF('wgl tot'!E17&lt;1950,0,+('wgl tot'!P17+'wgl tot'!R17+'wgl tot'!S17)*tabellen!$C$87)*12</f>
        <v>296.54399999999998</v>
      </c>
      <c r="AL17" s="402"/>
      <c r="AM17" s="633">
        <f t="shared" si="4"/>
        <v>3632.5</v>
      </c>
      <c r="AN17" s="633">
        <f>IF(F17="",0,(IF('wgl tot'!AJ17/'wgl tot'!H17&lt;tabellen!$E$57,0,('wgl tot'!AJ17-tabellen!$E$57*'wgl tot'!H17)/12)*tabellen!$C$57))</f>
        <v>336.77828333333338</v>
      </c>
      <c r="AO17" s="633">
        <f>IF(F17="",0,(IF('wgl tot'!AJ17/'wgl tot'!H17&lt;tabellen!$E$58,0,(+'wgl tot'!AJ17-tabellen!$E$58*'wgl tot'!H17)/12)*tabellen!$C$58))</f>
        <v>7.2962499999999997</v>
      </c>
      <c r="AP17" s="633">
        <f>'wgl tot'!AJ17/12*tabellen!$C$59</f>
        <v>106.99499999999999</v>
      </c>
      <c r="AQ17" s="633">
        <f>IF(H17=0,0,IF(BY17&gt;tabellen!$G$60/12,tabellen!$G$60/12,BY17)*(tabellen!$C$60+tabellen!$C$61))</f>
        <v>232.53747109200003</v>
      </c>
      <c r="AR17" s="633">
        <f>IF(F17="",0,('wgl tot'!BZ17))</f>
        <v>242.66</v>
      </c>
      <c r="AS17" s="635">
        <f>IF(F17="",0,(IF('wgl tot'!BY17&gt;tabellen!$G$64*'wgl tot'!H17/12,tabellen!$G$64*'wgl tot'!H17/12,'wgl tot'!BY17)*tabellen!$C$64))</f>
        <v>27.234118236</v>
      </c>
      <c r="AT17" s="635">
        <f>IF(F17="",0,('wgl tot'!BY17*IF(M17=1,tabellen!$C$65,IF(M17=2,tabellen!C68,IF(M17=3,tabellen!$C$67,tabellen!$C$68)))))</f>
        <v>209.4932172</v>
      </c>
      <c r="AU17" s="635">
        <f>IF(F17="",0,('wgl tot'!BY17*tabellen!$C$69))</f>
        <v>174.57768100000001</v>
      </c>
      <c r="AV17" s="635">
        <f>+'wgl tot'!AK17/12</f>
        <v>24.712</v>
      </c>
      <c r="AW17" s="435">
        <v>0</v>
      </c>
      <c r="AX17" s="291">
        <f t="shared" si="5"/>
        <v>4994.7840208613334</v>
      </c>
      <c r="AY17" s="658">
        <f t="shared" si="6"/>
        <v>4994.7840208613334</v>
      </c>
      <c r="AZ17" s="658">
        <f t="shared" si="7"/>
        <v>59937.408250335997</v>
      </c>
      <c r="BA17" s="402"/>
      <c r="BB17" s="641">
        <f>IF(AY17=0,"",(+'wgl tot'!AY17/'wgl tot'!P17-1))</f>
        <v>0.61695824566569546</v>
      </c>
      <c r="BC17" s="402"/>
      <c r="BD17" s="385"/>
      <c r="BG17" s="621">
        <f ca="1">YEAR('wgl tot'!$BG$10)-YEAR('wgl tot'!E17)</f>
        <v>42</v>
      </c>
      <c r="BH17" s="621">
        <f ca="1">MONTH('wgl tot'!$BG$10)-MONTH('wgl tot'!E17)</f>
        <v>7</v>
      </c>
      <c r="BI17" s="621">
        <f ca="1">DAY('wgl tot'!$BG$10)-DAY('wgl tot'!E17)</f>
        <v>5</v>
      </c>
      <c r="BJ17" s="613">
        <f>IF(AND('wgl tot'!F17&gt;0,'wgl tot'!F17&lt;16),0,100)</f>
        <v>100</v>
      </c>
      <c r="BK17" s="613">
        <f>VLOOKUP('wgl tot'!F17,salaristabellen,22,FALSE)</f>
        <v>15</v>
      </c>
      <c r="BL17" s="613" t="str">
        <f>F17</f>
        <v>LB</v>
      </c>
      <c r="BM17" s="619">
        <f t="shared" ref="BM17:BM69" si="10">$BM$15</f>
        <v>42005</v>
      </c>
      <c r="BN17" s="622">
        <f t="shared" ref="BN17:BN69" si="11">$BN$15</f>
        <v>0.08</v>
      </c>
      <c r="BO17" s="623">
        <f>+tabellen!$D$90</f>
        <v>6.3E-2</v>
      </c>
      <c r="BP17" s="621">
        <f>IF('wgl tot'!BJ17=100,0,'wgl tot'!F17)</f>
        <v>0</v>
      </c>
      <c r="BQ17" s="623" t="str">
        <f>IF(OR('wgl tot'!F17="DA",'wgl tot'!F17="DB",'wgl tot'!F17="DBuit",'wgl tot'!F17="DC",'wgl tot'!F17="DCuit",MID('wgl tot'!F17,1,5)="meerh"),"j","n")</f>
        <v>n</v>
      </c>
      <c r="BR17" s="623">
        <f t="shared" ref="BR17:BR69" si="12">$BR$15</f>
        <v>1.9E-2</v>
      </c>
      <c r="BS17" s="624">
        <f>IF(AI17&gt;'wgl tot'!AH17,'wgl tot'!AH17,AI17)</f>
        <v>791.85</v>
      </c>
      <c r="BT17" s="624"/>
      <c r="BU17" s="625">
        <f>IF('wgl tot'!AJ17/'wgl tot'!H17&lt;tabellen!$E$57,0,(+'wgl tot'!AJ17-tabellen!$E$57*'wgl tot'!H17)/12*tabellen!$D$57)</f>
        <v>163.22629666666668</v>
      </c>
      <c r="BV17" s="625">
        <f>IF('wgl tot'!AJ17/'wgl tot'!H17&lt;tabellen!$E$58,0,(+'wgl tot'!AJ17-tabellen!$E$58*'wgl tot'!H17)/12*tabellen!$D$58)</f>
        <v>2.4320833333333334</v>
      </c>
      <c r="BW17" s="625">
        <f>'wgl tot'!AJ17/12*tabellen!$D$59</f>
        <v>0</v>
      </c>
      <c r="BX17" s="626">
        <f>SUM(BU17:BW17)</f>
        <v>165.65838000000002</v>
      </c>
      <c r="BY17" s="627">
        <f>+('wgl tot'!AF17+'wgl tot'!AK17)/12-'wgl tot'!BX17</f>
        <v>3491.5536200000001</v>
      </c>
      <c r="BZ17" s="627">
        <f>ROUND(IF('wgl tot'!BY17&gt;tabellen!$H$63,tabellen!$H$63,'wgl tot'!BY17)*tabellen!$C$63,2)</f>
        <v>242.66</v>
      </c>
      <c r="CA17" s="627">
        <f>+'wgl tot'!BY17+'wgl tot'!BZ17</f>
        <v>3734.21362</v>
      </c>
      <c r="CB17" s="628">
        <f>YEAR(E17)</f>
        <v>1973</v>
      </c>
      <c r="CC17" s="628">
        <f>MONTH(E17)</f>
        <v>3</v>
      </c>
      <c r="CD17" s="621">
        <f>DAY(E17)</f>
        <v>1</v>
      </c>
      <c r="CE17" s="619">
        <f t="shared" si="8"/>
        <v>49188</v>
      </c>
      <c r="CF17" s="619">
        <f t="shared" ca="1" si="9"/>
        <v>42283.70841446759</v>
      </c>
      <c r="CG17" s="613"/>
      <c r="CH17" s="619"/>
      <c r="CI17" s="613"/>
      <c r="CJ17" s="624"/>
      <c r="CK17" s="624"/>
      <c r="CL17" s="624"/>
      <c r="CM17" s="624"/>
      <c r="CN17" s="624"/>
      <c r="CO17" s="624"/>
    </row>
    <row r="18" spans="2:93" ht="13.5" customHeight="1" x14ac:dyDescent="0.2">
      <c r="B18" s="384"/>
      <c r="C18" s="402"/>
      <c r="D18" s="286"/>
      <c r="E18" s="287"/>
      <c r="F18" s="288"/>
      <c r="G18" s="288"/>
      <c r="H18" s="289"/>
      <c r="I18" s="288"/>
      <c r="J18" s="288"/>
      <c r="K18" s="288"/>
      <c r="L18" s="288"/>
      <c r="M18" s="290"/>
      <c r="N18" s="402"/>
      <c r="O18" s="639">
        <f>IF(F18="",0,(VLOOKUP('wgl tot'!F18,salaristabellen,'wgl tot'!G18+1,FALSE)))</f>
        <v>0</v>
      </c>
      <c r="P18" s="661">
        <f>O18*H18</f>
        <v>0</v>
      </c>
      <c r="Q18" s="402"/>
      <c r="R18" s="633">
        <f>ROUND(IF(I18="j",VLOOKUP(BL18,uitlooptoeslag,2,FALSE))*IF('wgl tot'!H18&gt;1,1,'wgl tot'!H18),2)</f>
        <v>0</v>
      </c>
      <c r="S18" s="633">
        <f>ROUND(IF(OR('wgl tot'!F18="LA",'wgl tot'!F18="LB"),IF(J18="j",tabellen!$C$77*'wgl tot'!H18,0),0),2)</f>
        <v>0</v>
      </c>
      <c r="T18" s="633">
        <f>ROUND(IF(('wgl tot'!P18+'wgl tot'!R18+'wgl tot'!S18)*BN18&lt;'wgl tot'!H18*tabellen!$D$89,'wgl tot'!H18*tabellen!$D$89,('wgl tot'!P18+'wgl tot'!R18+'wgl tot'!S18)*BN18),2)</f>
        <v>0</v>
      </c>
      <c r="U18" s="633">
        <f>ROUND(+('wgl tot'!P18+'wgl tot'!R18+'wgl tot'!S18)*BO18,2)</f>
        <v>0</v>
      </c>
      <c r="V18" s="633">
        <f>+tabellen!$C$85*'wgl tot'!H18</f>
        <v>0</v>
      </c>
      <c r="W18" s="633">
        <f>VLOOKUP(BP18,eindejaarsuitkering_OOP,2,TRUE)*'wgl tot'!H18/12</f>
        <v>0</v>
      </c>
      <c r="X18" s="633">
        <f>ROUND(IF(BQ18="j",tabellen!$D$99*IF('wgl tot'!H18&gt;1,1,'wgl tot'!H18),0),2)</f>
        <v>0</v>
      </c>
      <c r="Y18" s="654">
        <f t="shared" si="1"/>
        <v>0</v>
      </c>
      <c r="Z18" s="404"/>
      <c r="AA18" s="405"/>
      <c r="AB18" s="632">
        <f t="shared" si="2"/>
        <v>0</v>
      </c>
      <c r="AC18" s="633">
        <f>ROUND(IF(L18="j",VLOOKUP(K18,bindingstoelage,2,FALSE))*IF('wgl tot'!H18&gt;1,1,'wgl tot'!H18),2)</f>
        <v>0</v>
      </c>
      <c r="AD18" s="633">
        <f>ROUND('wgl tot'!H18*tabellen!$D$96,2)</f>
        <v>0</v>
      </c>
      <c r="AE18" s="633">
        <f>ROUND('wgl tot'!H18*tabellen!$D$97,2)</f>
        <v>0</v>
      </c>
      <c r="AF18" s="632">
        <f t="shared" si="3"/>
        <v>0</v>
      </c>
      <c r="AG18" s="402"/>
      <c r="AH18" s="633">
        <f>+('wgl tot'!AF18/(1+1.9%))*BR18</f>
        <v>0</v>
      </c>
      <c r="AI18" s="633">
        <f>IF(F18="",0,(791.85))</f>
        <v>0</v>
      </c>
      <c r="AJ18" s="632">
        <f>ROUND('wgl tot'!AF18-IF('wgl tot'!AI18&gt;'wgl tot'!AH18,'wgl tot'!AH18,'wgl tot'!AI18),0)</f>
        <v>0</v>
      </c>
      <c r="AK18" s="634">
        <f>IF('wgl tot'!E18&lt;1950,0,+('wgl tot'!P18+'wgl tot'!R18+'wgl tot'!S18)*tabellen!$C$87)*12</f>
        <v>0</v>
      </c>
      <c r="AL18" s="402"/>
      <c r="AM18" s="633">
        <f t="shared" si="4"/>
        <v>0</v>
      </c>
      <c r="AN18" s="633">
        <f>IF(F18="",0,(IF('wgl tot'!AJ18/'wgl tot'!H18&lt;tabellen!$E$57,0,('wgl tot'!AJ18-tabellen!$E$57*'wgl tot'!H18)/12)*tabellen!$C$57))</f>
        <v>0</v>
      </c>
      <c r="AO18" s="633">
        <f>IF(F18="",0,(IF('wgl tot'!AJ18/'wgl tot'!H18&lt;tabellen!$E$58,0,(+'wgl tot'!AJ18-tabellen!$E$58*'wgl tot'!H18)/12)*tabellen!$C$58))</f>
        <v>0</v>
      </c>
      <c r="AP18" s="633">
        <f>'wgl tot'!AJ18/12*tabellen!$C$59</f>
        <v>0</v>
      </c>
      <c r="AQ18" s="633">
        <f>IF(H18=0,0,IF(BY18&gt;tabellen!$G$60/12,tabellen!$G$60/12,BY18)*(tabellen!$C$60+tabellen!$C$61))</f>
        <v>0</v>
      </c>
      <c r="AR18" s="633">
        <f>IF(F18="",0,('wgl tot'!BZ18))</f>
        <v>0</v>
      </c>
      <c r="AS18" s="635">
        <f>IF(F18="",0,(IF('wgl tot'!BY18&gt;tabellen!$G$64*'wgl tot'!H18/12,tabellen!$G$64*'wgl tot'!H18/12,'wgl tot'!BY18)*tabellen!$C$64))</f>
        <v>0</v>
      </c>
      <c r="AT18" s="635">
        <f>IF(F18="",0,('wgl tot'!BY18*IF(M18=1,tabellen!$C$65,IF(M18=2,tabellen!C69,IF(M18=3,tabellen!$C$67,tabellen!$C$68)))))</f>
        <v>0</v>
      </c>
      <c r="AU18" s="635">
        <f>IF(F18="",0,('wgl tot'!BY18*tabellen!$C$69))</f>
        <v>0</v>
      </c>
      <c r="AV18" s="635">
        <f>+'wgl tot'!AK18/12</f>
        <v>0</v>
      </c>
      <c r="AW18" s="435">
        <v>0</v>
      </c>
      <c r="AX18" s="291">
        <f t="shared" si="5"/>
        <v>0</v>
      </c>
      <c r="AY18" s="658">
        <f t="shared" si="6"/>
        <v>0</v>
      </c>
      <c r="AZ18" s="658">
        <f t="shared" si="7"/>
        <v>0</v>
      </c>
      <c r="BA18" s="402"/>
      <c r="BB18" s="641" t="str">
        <f>IF(AY18=0,"",(+'wgl tot'!AY18/'wgl tot'!P18-1))</f>
        <v/>
      </c>
      <c r="BC18" s="402"/>
      <c r="BD18" s="385"/>
      <c r="BG18" s="621">
        <f ca="1">YEAR('wgl tot'!$BG$10)-YEAR('wgl tot'!E18)</f>
        <v>115</v>
      </c>
      <c r="BH18" s="621">
        <f ca="1">MONTH('wgl tot'!$BG$10)-MONTH('wgl tot'!E18)</f>
        <v>9</v>
      </c>
      <c r="BI18" s="621">
        <f ca="1">DAY('wgl tot'!$BG$10)-DAY('wgl tot'!E18)</f>
        <v>6</v>
      </c>
      <c r="BJ18" s="613">
        <f>IF(AND('wgl tot'!F18&gt;0,'wgl tot'!F18&lt;16),0,100)</f>
        <v>100</v>
      </c>
      <c r="BK18" s="613" t="e">
        <f>VLOOKUP('wgl tot'!F18,salaristabellen,22,FALSE)</f>
        <v>#N/A</v>
      </c>
      <c r="BL18" s="613">
        <f>F18</f>
        <v>0</v>
      </c>
      <c r="BM18" s="619">
        <f t="shared" si="10"/>
        <v>42005</v>
      </c>
      <c r="BN18" s="622">
        <f t="shared" si="11"/>
        <v>0.08</v>
      </c>
      <c r="BO18" s="623">
        <f>+tabellen!$D$90</f>
        <v>6.3E-2</v>
      </c>
      <c r="BP18" s="621">
        <f>IF('wgl tot'!BJ18=100,0,'wgl tot'!F18)</f>
        <v>0</v>
      </c>
      <c r="BQ18" s="623" t="str">
        <f>IF(OR('wgl tot'!F18="DA",'wgl tot'!F18="DB",'wgl tot'!F18="DBuit",'wgl tot'!F18="DC",'wgl tot'!F18="DCuit",MID('wgl tot'!F18,1,5)="meerh"),"j","n")</f>
        <v>n</v>
      </c>
      <c r="BR18" s="623">
        <f t="shared" si="12"/>
        <v>1.9E-2</v>
      </c>
      <c r="BS18" s="624">
        <f>IF(AI18&gt;'wgl tot'!AH18,'wgl tot'!AH18,AI18)</f>
        <v>0</v>
      </c>
      <c r="BT18" s="624"/>
      <c r="BU18" s="625" t="e">
        <f>IF('wgl tot'!AJ18/'wgl tot'!H18&lt;tabellen!$E$57,0,(+'wgl tot'!AJ18-tabellen!$E$57*'wgl tot'!H18)/12*tabellen!$D$57)</f>
        <v>#DIV/0!</v>
      </c>
      <c r="BV18" s="625" t="e">
        <f>IF('wgl tot'!AJ18/'wgl tot'!H18&lt;tabellen!$E$58,0,(+'wgl tot'!AJ18-tabellen!$E$58*'wgl tot'!H18)/12*tabellen!$D$58)</f>
        <v>#DIV/0!</v>
      </c>
      <c r="BW18" s="625">
        <f>'wgl tot'!AJ18/12*tabellen!$D$59</f>
        <v>0</v>
      </c>
      <c r="BX18" s="626" t="e">
        <f t="shared" si="0"/>
        <v>#DIV/0!</v>
      </c>
      <c r="BY18" s="627" t="e">
        <f>+('wgl tot'!AF18+'wgl tot'!AK18)/12-'wgl tot'!BX18</f>
        <v>#DIV/0!</v>
      </c>
      <c r="BZ18" s="627" t="e">
        <f>ROUND(IF('wgl tot'!BY18&gt;tabellen!$H$63,tabellen!$H$63,'wgl tot'!BY18)*tabellen!$C$63,2)</f>
        <v>#DIV/0!</v>
      </c>
      <c r="CA18" s="627" t="e">
        <f>+'wgl tot'!BY18+'wgl tot'!BZ18</f>
        <v>#DIV/0!</v>
      </c>
      <c r="CB18" s="628">
        <f>YEAR(E18)</f>
        <v>1900</v>
      </c>
      <c r="CC18" s="628">
        <f>MONTH(E18)</f>
        <v>1</v>
      </c>
      <c r="CD18" s="621">
        <f>DAY(E18)</f>
        <v>0</v>
      </c>
      <c r="CE18" s="619">
        <f t="shared" si="8"/>
        <v>22462</v>
      </c>
      <c r="CF18" s="619">
        <f t="shared" ca="1" si="9"/>
        <v>42283.70841446759</v>
      </c>
      <c r="CG18" s="613"/>
      <c r="CH18" s="619"/>
      <c r="CI18" s="613"/>
      <c r="CJ18" s="624"/>
      <c r="CK18" s="624"/>
      <c r="CL18" s="624"/>
      <c r="CM18" s="624"/>
      <c r="CN18" s="624"/>
      <c r="CO18" s="624"/>
    </row>
    <row r="19" spans="2:93" ht="13.5" customHeight="1" x14ac:dyDescent="0.2">
      <c r="B19" s="384"/>
      <c r="C19" s="402"/>
      <c r="D19" s="286"/>
      <c r="E19" s="287"/>
      <c r="F19" s="288"/>
      <c r="G19" s="288"/>
      <c r="H19" s="289"/>
      <c r="I19" s="288"/>
      <c r="J19" s="288"/>
      <c r="K19" s="288"/>
      <c r="L19" s="288"/>
      <c r="M19" s="290"/>
      <c r="N19" s="402"/>
      <c r="O19" s="639">
        <f>IF(F19="",0,(VLOOKUP('wgl tot'!F19,salaristabellen,'wgl tot'!G19+1,FALSE)))</f>
        <v>0</v>
      </c>
      <c r="P19" s="661">
        <f>O19*H19</f>
        <v>0</v>
      </c>
      <c r="Q19" s="402"/>
      <c r="R19" s="633">
        <f>ROUND(IF(I19="j",VLOOKUP(BL19,uitlooptoeslag,2,FALSE))*IF('wgl tot'!H19&gt;1,1,'wgl tot'!H19),2)</f>
        <v>0</v>
      </c>
      <c r="S19" s="633">
        <f>ROUND(IF(OR('wgl tot'!F19="LA",'wgl tot'!F19="LB"),IF(J19="j",tabellen!$C$77*'wgl tot'!H19,0),0),2)</f>
        <v>0</v>
      </c>
      <c r="T19" s="633">
        <f>ROUND(IF(('wgl tot'!P19+'wgl tot'!R19+'wgl tot'!S19)*BN19&lt;'wgl tot'!H19*tabellen!$D$89,'wgl tot'!H19*tabellen!$D$89,('wgl tot'!P19+'wgl tot'!R19+'wgl tot'!S19)*BN19),2)</f>
        <v>0</v>
      </c>
      <c r="U19" s="633">
        <f>ROUND(+('wgl tot'!P19+'wgl tot'!R19+'wgl tot'!S19)*BO19,2)</f>
        <v>0</v>
      </c>
      <c r="V19" s="633">
        <f>+tabellen!$C$85*'wgl tot'!H19</f>
        <v>0</v>
      </c>
      <c r="W19" s="633">
        <f>VLOOKUP(BP19,eindejaarsuitkering_OOP,2,TRUE)*'wgl tot'!H19/12</f>
        <v>0</v>
      </c>
      <c r="X19" s="633">
        <f>ROUND(IF(BQ19="j",tabellen!$D$99*IF('wgl tot'!H19&gt;1,1,'wgl tot'!H19),0),2)</f>
        <v>0</v>
      </c>
      <c r="Y19" s="654">
        <f t="shared" si="1"/>
        <v>0</v>
      </c>
      <c r="Z19" s="404"/>
      <c r="AA19" s="405"/>
      <c r="AB19" s="632">
        <f t="shared" si="2"/>
        <v>0</v>
      </c>
      <c r="AC19" s="633">
        <f>ROUND(IF(L19="j",VLOOKUP(K19,bindingstoelage,2,FALSE))*IF('wgl tot'!H19&gt;1,1,'wgl tot'!H19),2)</f>
        <v>0</v>
      </c>
      <c r="AD19" s="633">
        <f>ROUND('wgl tot'!H19*tabellen!$D$96,2)</f>
        <v>0</v>
      </c>
      <c r="AE19" s="633">
        <f>ROUND('wgl tot'!H19*tabellen!$D$97,2)</f>
        <v>0</v>
      </c>
      <c r="AF19" s="632">
        <f t="shared" si="3"/>
        <v>0</v>
      </c>
      <c r="AG19" s="402"/>
      <c r="AH19" s="633">
        <f>+('wgl tot'!AF19/(1+1.9%))*BR19</f>
        <v>0</v>
      </c>
      <c r="AI19" s="633">
        <f>IF(F19="",0,(791.85))</f>
        <v>0</v>
      </c>
      <c r="AJ19" s="632">
        <f>ROUND('wgl tot'!AF19-IF('wgl tot'!AI19&gt;'wgl tot'!AH19,'wgl tot'!AH19,'wgl tot'!AI19),0)</f>
        <v>0</v>
      </c>
      <c r="AK19" s="634">
        <f>IF('wgl tot'!E19&lt;1950,0,+('wgl tot'!P19+'wgl tot'!R19+'wgl tot'!S19)*tabellen!$C$87)*12</f>
        <v>0</v>
      </c>
      <c r="AL19" s="402"/>
      <c r="AM19" s="633">
        <f t="shared" si="4"/>
        <v>0</v>
      </c>
      <c r="AN19" s="633">
        <f>IF(F19="",0,(IF('wgl tot'!AJ19/'wgl tot'!H19&lt;tabellen!$E$57,0,('wgl tot'!AJ19-tabellen!$E$57*'wgl tot'!H19)/12)*tabellen!$C$57))</f>
        <v>0</v>
      </c>
      <c r="AO19" s="633">
        <f>IF(F19="",0,(IF('wgl tot'!AJ19/'wgl tot'!H19&lt;tabellen!$E$58,0,(+'wgl tot'!AJ19-tabellen!$E$58*'wgl tot'!H19)/12)*tabellen!$C$58))</f>
        <v>0</v>
      </c>
      <c r="AP19" s="633">
        <f>'wgl tot'!AJ19/12*tabellen!$C$59</f>
        <v>0</v>
      </c>
      <c r="AQ19" s="633">
        <f>IF(H19=0,0,IF(BY19&gt;tabellen!$G$60/12,tabellen!$G$60/12,BY19)*(tabellen!$C$60+tabellen!$C$61))</f>
        <v>0</v>
      </c>
      <c r="AR19" s="633">
        <f>IF(F19="",0,('wgl tot'!BZ19))</f>
        <v>0</v>
      </c>
      <c r="AS19" s="635">
        <f>IF(F19="",0,(IF('wgl tot'!BY19&gt;tabellen!$G$64*'wgl tot'!H19/12,tabellen!$G$64*'wgl tot'!H19/12,'wgl tot'!BY19)*tabellen!$C$64))</f>
        <v>0</v>
      </c>
      <c r="AT19" s="635">
        <f>IF(F19="",0,('wgl tot'!BY19*IF(M19=1,tabellen!$C$65,IF(M19=2,tabellen!C70,IF(M19=3,tabellen!$C$67,tabellen!$C$68)))))</f>
        <v>0</v>
      </c>
      <c r="AU19" s="635">
        <f>IF(F19="",0,('wgl tot'!BY19*tabellen!$C$69))</f>
        <v>0</v>
      </c>
      <c r="AV19" s="635">
        <f>+'wgl tot'!AK19/12</f>
        <v>0</v>
      </c>
      <c r="AW19" s="435">
        <v>0</v>
      </c>
      <c r="AX19" s="291">
        <f t="shared" si="5"/>
        <v>0</v>
      </c>
      <c r="AY19" s="658">
        <f t="shared" si="6"/>
        <v>0</v>
      </c>
      <c r="AZ19" s="658">
        <f t="shared" si="7"/>
        <v>0</v>
      </c>
      <c r="BA19" s="402"/>
      <c r="BB19" s="641" t="str">
        <f>IF(AY19=0,"",(+'wgl tot'!AY19/'wgl tot'!P19-1))</f>
        <v/>
      </c>
      <c r="BC19" s="402"/>
      <c r="BD19" s="385"/>
      <c r="BG19" s="621">
        <f ca="1">YEAR('wgl tot'!$BG$10)-YEAR('wgl tot'!E19)</f>
        <v>115</v>
      </c>
      <c r="BH19" s="621">
        <f ca="1">MONTH('wgl tot'!$BG$10)-MONTH('wgl tot'!E19)</f>
        <v>9</v>
      </c>
      <c r="BI19" s="621">
        <f ca="1">DAY('wgl tot'!$BG$10)-DAY('wgl tot'!E19)</f>
        <v>6</v>
      </c>
      <c r="BJ19" s="613">
        <f>IF(AND('wgl tot'!F19&gt;0,'wgl tot'!F19&lt;16),0,100)</f>
        <v>100</v>
      </c>
      <c r="BK19" s="613" t="e">
        <f>VLOOKUP('wgl tot'!F19,salaristabellen,22,FALSE)</f>
        <v>#N/A</v>
      </c>
      <c r="BL19" s="613">
        <f>F19</f>
        <v>0</v>
      </c>
      <c r="BM19" s="619">
        <f t="shared" si="10"/>
        <v>42005</v>
      </c>
      <c r="BN19" s="622">
        <f t="shared" si="11"/>
        <v>0.08</v>
      </c>
      <c r="BO19" s="623">
        <f>+tabellen!$D$90</f>
        <v>6.3E-2</v>
      </c>
      <c r="BP19" s="621">
        <f>IF('wgl tot'!BJ19=100,0,'wgl tot'!F19)</f>
        <v>0</v>
      </c>
      <c r="BQ19" s="623" t="str">
        <f>IF(OR('wgl tot'!F19="DA",'wgl tot'!F19="DB",'wgl tot'!F19="DBuit",'wgl tot'!F19="DC",'wgl tot'!F19="DCuit",MID('wgl tot'!F19,1,5)="meerh"),"j","n")</f>
        <v>n</v>
      </c>
      <c r="BR19" s="623">
        <f t="shared" si="12"/>
        <v>1.9E-2</v>
      </c>
      <c r="BS19" s="624">
        <f>IF(AI19&gt;'wgl tot'!AH19,'wgl tot'!AH19,AI19)</f>
        <v>0</v>
      </c>
      <c r="BT19" s="624"/>
      <c r="BU19" s="625" t="e">
        <f>IF('wgl tot'!AJ19/'wgl tot'!H19&lt;tabellen!$E$57,0,(+'wgl tot'!AJ19-tabellen!$E$57*'wgl tot'!H19)/12*tabellen!$D$57)</f>
        <v>#DIV/0!</v>
      </c>
      <c r="BV19" s="625" t="e">
        <f>IF('wgl tot'!AJ19/'wgl tot'!H19&lt;tabellen!$E$58,0,(+'wgl tot'!AJ19-tabellen!$E$58*'wgl tot'!H19)/12*tabellen!$D$58)</f>
        <v>#DIV/0!</v>
      </c>
      <c r="BW19" s="625">
        <f>'wgl tot'!AJ19/12*tabellen!$D$59</f>
        <v>0</v>
      </c>
      <c r="BX19" s="626" t="e">
        <f t="shared" si="0"/>
        <v>#DIV/0!</v>
      </c>
      <c r="BY19" s="627" t="e">
        <f>+('wgl tot'!AF19+'wgl tot'!AK19)/12-'wgl tot'!BX19</f>
        <v>#DIV/0!</v>
      </c>
      <c r="BZ19" s="627" t="e">
        <f>ROUND(IF('wgl tot'!BY19&gt;tabellen!$H$63,tabellen!$H$63,'wgl tot'!BY19)*tabellen!$C$63,2)</f>
        <v>#DIV/0!</v>
      </c>
      <c r="CA19" s="627" t="e">
        <f>+'wgl tot'!BY19+'wgl tot'!BZ19</f>
        <v>#DIV/0!</v>
      </c>
      <c r="CB19" s="628">
        <f>YEAR(E19)</f>
        <v>1900</v>
      </c>
      <c r="CC19" s="628">
        <f>MONTH(E19)</f>
        <v>1</v>
      </c>
      <c r="CD19" s="621">
        <f>DAY(E19)</f>
        <v>0</v>
      </c>
      <c r="CE19" s="619">
        <f t="shared" si="8"/>
        <v>22462</v>
      </c>
      <c r="CF19" s="619">
        <f t="shared" ca="1" si="9"/>
        <v>42283.70841446759</v>
      </c>
      <c r="CG19" s="613"/>
      <c r="CH19" s="619"/>
      <c r="CI19" s="613"/>
      <c r="CJ19" s="624"/>
      <c r="CK19" s="624"/>
      <c r="CL19" s="624"/>
      <c r="CM19" s="624"/>
      <c r="CN19" s="624"/>
      <c r="CO19" s="624"/>
    </row>
    <row r="20" spans="2:93" ht="13.5" customHeight="1" x14ac:dyDescent="0.2">
      <c r="B20" s="384"/>
      <c r="C20" s="402"/>
      <c r="D20" s="286"/>
      <c r="E20" s="287"/>
      <c r="F20" s="288"/>
      <c r="G20" s="288"/>
      <c r="H20" s="289"/>
      <c r="I20" s="288"/>
      <c r="J20" s="288"/>
      <c r="K20" s="288"/>
      <c r="L20" s="288"/>
      <c r="M20" s="290"/>
      <c r="N20" s="402"/>
      <c r="O20" s="639">
        <f>IF(F20="",0,(VLOOKUP('wgl tot'!F20,salaristabellen,'wgl tot'!G20+1,FALSE)))</f>
        <v>0</v>
      </c>
      <c r="P20" s="661">
        <f>O20*H20</f>
        <v>0</v>
      </c>
      <c r="Q20" s="402"/>
      <c r="R20" s="633">
        <f>ROUND(IF(I20="j",VLOOKUP(BL20,uitlooptoeslag,2,FALSE))*IF('wgl tot'!H20&gt;1,1,'wgl tot'!H20),2)</f>
        <v>0</v>
      </c>
      <c r="S20" s="633">
        <f>ROUND(IF(OR('wgl tot'!F20="LA",'wgl tot'!F20="LB"),IF(J20="j",tabellen!$C$77*'wgl tot'!H20,0),0),2)</f>
        <v>0</v>
      </c>
      <c r="T20" s="633">
        <f>ROUND(IF(('wgl tot'!P20+'wgl tot'!R20+'wgl tot'!S20)*BN20&lt;'wgl tot'!H20*tabellen!$D$89,'wgl tot'!H20*tabellen!$D$89,('wgl tot'!P20+'wgl tot'!R20+'wgl tot'!S20)*BN20),2)</f>
        <v>0</v>
      </c>
      <c r="U20" s="633">
        <f>ROUND(+('wgl tot'!P20+'wgl tot'!R20+'wgl tot'!S20)*BO20,2)</f>
        <v>0</v>
      </c>
      <c r="V20" s="633">
        <f>+tabellen!$C$85*'wgl tot'!H20</f>
        <v>0</v>
      </c>
      <c r="W20" s="633">
        <f>VLOOKUP(BP20,eindejaarsuitkering_OOP,2,TRUE)*'wgl tot'!H20/12</f>
        <v>0</v>
      </c>
      <c r="X20" s="633">
        <f>ROUND(IF(BQ20="j",tabellen!$D$99*IF('wgl tot'!H20&gt;1,1,'wgl tot'!H20),0),2)</f>
        <v>0</v>
      </c>
      <c r="Y20" s="654">
        <f t="shared" si="1"/>
        <v>0</v>
      </c>
      <c r="Z20" s="404"/>
      <c r="AA20" s="405"/>
      <c r="AB20" s="632">
        <f t="shared" si="2"/>
        <v>0</v>
      </c>
      <c r="AC20" s="633">
        <f>ROUND(IF(L20="j",VLOOKUP(K20,bindingstoelage,2,FALSE))*IF('wgl tot'!H20&gt;1,1,'wgl tot'!H20),2)</f>
        <v>0</v>
      </c>
      <c r="AD20" s="633">
        <f>ROUND('wgl tot'!H20*tabellen!$D$96,2)</f>
        <v>0</v>
      </c>
      <c r="AE20" s="633">
        <f>ROUND('wgl tot'!H20*tabellen!$D$97,2)</f>
        <v>0</v>
      </c>
      <c r="AF20" s="632">
        <f t="shared" si="3"/>
        <v>0</v>
      </c>
      <c r="AG20" s="402"/>
      <c r="AH20" s="633">
        <f>+('wgl tot'!AF20/(1+1.9%))*BR20</f>
        <v>0</v>
      </c>
      <c r="AI20" s="633">
        <f>IF(F20="",0,(791.85))</f>
        <v>0</v>
      </c>
      <c r="AJ20" s="632">
        <f>ROUND('wgl tot'!AF20-IF('wgl tot'!AI20&gt;'wgl tot'!AH20,'wgl tot'!AH20,'wgl tot'!AI20),0)</f>
        <v>0</v>
      </c>
      <c r="AK20" s="634">
        <f>IF('wgl tot'!E20&lt;1950,0,+('wgl tot'!P20+'wgl tot'!R20+'wgl tot'!S20)*tabellen!$C$87)*12</f>
        <v>0</v>
      </c>
      <c r="AL20" s="402"/>
      <c r="AM20" s="633">
        <f t="shared" si="4"/>
        <v>0</v>
      </c>
      <c r="AN20" s="633">
        <f>IF(F20="",0,(IF('wgl tot'!AJ20/'wgl tot'!H20&lt;tabellen!$E$57,0,('wgl tot'!AJ20-tabellen!$E$57*'wgl tot'!H20)/12)*tabellen!$C$57))</f>
        <v>0</v>
      </c>
      <c r="AO20" s="633">
        <f>IF(F20="",0,(IF('wgl tot'!AJ20/'wgl tot'!H20&lt;tabellen!$E$58,0,(+'wgl tot'!AJ20-tabellen!$E$58*'wgl tot'!H20)/12)*tabellen!$C$58))</f>
        <v>0</v>
      </c>
      <c r="AP20" s="633">
        <f>'wgl tot'!AJ20/12*tabellen!$C$59</f>
        <v>0</v>
      </c>
      <c r="AQ20" s="633">
        <f>IF(H20=0,0,IF(BY20&gt;tabellen!$G$60/12,tabellen!$G$60/12,BY20)*(tabellen!$C$60+tabellen!$C$61))</f>
        <v>0</v>
      </c>
      <c r="AR20" s="633">
        <f>IF(F20="",0,('wgl tot'!BZ20))</f>
        <v>0</v>
      </c>
      <c r="AS20" s="635">
        <f>IF(F20="",0,(IF('wgl tot'!BY20&gt;tabellen!$G$64*'wgl tot'!H20/12,tabellen!$G$64*'wgl tot'!H20/12,'wgl tot'!BY20)*tabellen!$C$64))</f>
        <v>0</v>
      </c>
      <c r="AT20" s="635">
        <f>IF(F20="",0,('wgl tot'!BY20*IF(M20=1,tabellen!$C$65,IF(M20=2,tabellen!C71,IF(M20=3,tabellen!$C$67,tabellen!$C$68)))))</f>
        <v>0</v>
      </c>
      <c r="AU20" s="635">
        <f>IF(F20="",0,('wgl tot'!BY20*tabellen!$C$69))</f>
        <v>0</v>
      </c>
      <c r="AV20" s="635">
        <f>+'wgl tot'!AK20/12</f>
        <v>0</v>
      </c>
      <c r="AW20" s="435">
        <v>0</v>
      </c>
      <c r="AX20" s="291">
        <f t="shared" si="5"/>
        <v>0</v>
      </c>
      <c r="AY20" s="658">
        <f t="shared" si="6"/>
        <v>0</v>
      </c>
      <c r="AZ20" s="658">
        <f t="shared" si="7"/>
        <v>0</v>
      </c>
      <c r="BA20" s="402"/>
      <c r="BB20" s="641" t="str">
        <f>IF(AY20=0,"",(+'wgl tot'!AY20/'wgl tot'!P20-1))</f>
        <v/>
      </c>
      <c r="BC20" s="402"/>
      <c r="BD20" s="385"/>
      <c r="BG20" s="621">
        <f ca="1">YEAR('wgl tot'!$BG$10)-YEAR('wgl tot'!E20)</f>
        <v>115</v>
      </c>
      <c r="BH20" s="621">
        <f ca="1">MONTH('wgl tot'!$BG$10)-MONTH('wgl tot'!E20)</f>
        <v>9</v>
      </c>
      <c r="BI20" s="621">
        <f ca="1">DAY('wgl tot'!$BG$10)-DAY('wgl tot'!E20)</f>
        <v>6</v>
      </c>
      <c r="BJ20" s="613">
        <f>IF(AND('wgl tot'!F20&gt;0,'wgl tot'!F20&lt;16),0,100)</f>
        <v>100</v>
      </c>
      <c r="BK20" s="613" t="e">
        <f>VLOOKUP('wgl tot'!F20,salaristabellen,22,FALSE)</f>
        <v>#N/A</v>
      </c>
      <c r="BL20" s="613">
        <f>F20</f>
        <v>0</v>
      </c>
      <c r="BM20" s="619">
        <f t="shared" si="10"/>
        <v>42005</v>
      </c>
      <c r="BN20" s="622">
        <f t="shared" si="11"/>
        <v>0.08</v>
      </c>
      <c r="BO20" s="623">
        <f>+tabellen!$D$90</f>
        <v>6.3E-2</v>
      </c>
      <c r="BP20" s="621">
        <f>IF('wgl tot'!BJ20=100,0,'wgl tot'!F20)</f>
        <v>0</v>
      </c>
      <c r="BQ20" s="623" t="str">
        <f>IF(OR('wgl tot'!F20="DA",'wgl tot'!F20="DB",'wgl tot'!F20="DBuit",'wgl tot'!F20="DC",'wgl tot'!F20="DCuit",MID('wgl tot'!F20,1,5)="meerh"),"j","n")</f>
        <v>n</v>
      </c>
      <c r="BR20" s="623">
        <f t="shared" si="12"/>
        <v>1.9E-2</v>
      </c>
      <c r="BS20" s="624">
        <f>IF(AI20&gt;'wgl tot'!AH20,'wgl tot'!AH20,AI20)</f>
        <v>0</v>
      </c>
      <c r="BT20" s="624"/>
      <c r="BU20" s="625" t="e">
        <f>IF('wgl tot'!AJ20/'wgl tot'!H20&lt;tabellen!$E$57,0,(+'wgl tot'!AJ20-tabellen!$E$57*'wgl tot'!H20)/12*tabellen!$D$57)</f>
        <v>#DIV/0!</v>
      </c>
      <c r="BV20" s="625" t="e">
        <f>IF('wgl tot'!AJ20/'wgl tot'!H20&lt;tabellen!$E$58,0,(+'wgl tot'!AJ20-tabellen!$E$58*'wgl tot'!H20)/12*tabellen!$D$58)</f>
        <v>#DIV/0!</v>
      </c>
      <c r="BW20" s="625">
        <f>'wgl tot'!AJ20/12*tabellen!$D$59</f>
        <v>0</v>
      </c>
      <c r="BX20" s="626" t="e">
        <f t="shared" si="0"/>
        <v>#DIV/0!</v>
      </c>
      <c r="BY20" s="627" t="e">
        <f>+('wgl tot'!AF20+'wgl tot'!AK20)/12-'wgl tot'!BX20</f>
        <v>#DIV/0!</v>
      </c>
      <c r="BZ20" s="627" t="e">
        <f>ROUND(IF('wgl tot'!BY20&gt;tabellen!$H$63,tabellen!$H$63,'wgl tot'!BY20)*tabellen!$C$63,2)</f>
        <v>#DIV/0!</v>
      </c>
      <c r="CA20" s="627" t="e">
        <f>+'wgl tot'!BY20+'wgl tot'!BZ20</f>
        <v>#DIV/0!</v>
      </c>
      <c r="CB20" s="628">
        <f>YEAR(E20)</f>
        <v>1900</v>
      </c>
      <c r="CC20" s="628">
        <f>MONTH(E20)</f>
        <v>1</v>
      </c>
      <c r="CD20" s="621">
        <f>DAY(E20)</f>
        <v>0</v>
      </c>
      <c r="CE20" s="619">
        <f t="shared" si="8"/>
        <v>22462</v>
      </c>
      <c r="CF20" s="619">
        <f t="shared" ca="1" si="9"/>
        <v>42283.70841446759</v>
      </c>
      <c r="CG20" s="613"/>
      <c r="CH20" s="619"/>
      <c r="CI20" s="613"/>
      <c r="CJ20" s="624"/>
      <c r="CK20" s="624"/>
      <c r="CL20" s="624"/>
      <c r="CM20" s="624"/>
      <c r="CN20" s="624"/>
      <c r="CO20" s="624"/>
    </row>
    <row r="21" spans="2:93" ht="13.5" customHeight="1" x14ac:dyDescent="0.2">
      <c r="B21" s="384"/>
      <c r="C21" s="402"/>
      <c r="D21" s="286"/>
      <c r="E21" s="287"/>
      <c r="F21" s="288"/>
      <c r="G21" s="288"/>
      <c r="H21" s="289"/>
      <c r="I21" s="288"/>
      <c r="J21" s="288"/>
      <c r="K21" s="288"/>
      <c r="L21" s="288"/>
      <c r="M21" s="290"/>
      <c r="N21" s="402"/>
      <c r="O21" s="639">
        <f>IF(F21="",0,(VLOOKUP('wgl tot'!F21,salaristabellen,'wgl tot'!G21+1,FALSE)))</f>
        <v>0</v>
      </c>
      <c r="P21" s="661">
        <f>O21*H21</f>
        <v>0</v>
      </c>
      <c r="Q21" s="402"/>
      <c r="R21" s="633">
        <f>ROUND(IF(I21="j",VLOOKUP(BL21,uitlooptoeslag,2,FALSE))*IF('wgl tot'!H21&gt;1,1,'wgl tot'!H21),2)</f>
        <v>0</v>
      </c>
      <c r="S21" s="633">
        <f>ROUND(IF(OR('wgl tot'!F21="LA",'wgl tot'!F21="LB"),IF(J21="j",tabellen!$C$77*'wgl tot'!H21,0),0),2)</f>
        <v>0</v>
      </c>
      <c r="T21" s="633">
        <f>ROUND(IF(('wgl tot'!P21+'wgl tot'!R21+'wgl tot'!S21)*BN21&lt;'wgl tot'!H21*tabellen!$D$89,'wgl tot'!H21*tabellen!$D$89,('wgl tot'!P21+'wgl tot'!R21+'wgl tot'!S21)*BN21),2)</f>
        <v>0</v>
      </c>
      <c r="U21" s="633">
        <f>ROUND(+('wgl tot'!P21+'wgl tot'!R21+'wgl tot'!S21)*BO21,2)</f>
        <v>0</v>
      </c>
      <c r="V21" s="633">
        <f>+tabellen!$C$85*'wgl tot'!H21</f>
        <v>0</v>
      </c>
      <c r="W21" s="633">
        <f>VLOOKUP(BP21,eindejaarsuitkering_OOP,2,TRUE)*'wgl tot'!H21/12</f>
        <v>0</v>
      </c>
      <c r="X21" s="633">
        <f>ROUND(IF(BQ21="j",tabellen!$D$99*IF('wgl tot'!H21&gt;1,1,'wgl tot'!H21),0),2)</f>
        <v>0</v>
      </c>
      <c r="Y21" s="654">
        <f t="shared" si="1"/>
        <v>0</v>
      </c>
      <c r="Z21" s="404"/>
      <c r="AA21" s="405"/>
      <c r="AB21" s="632">
        <f t="shared" si="2"/>
        <v>0</v>
      </c>
      <c r="AC21" s="633">
        <f>ROUND(IF(L21="j",VLOOKUP(K21,bindingstoelage,2,FALSE))*IF('wgl tot'!H21&gt;1,1,'wgl tot'!H21),2)</f>
        <v>0</v>
      </c>
      <c r="AD21" s="633">
        <f>ROUND('wgl tot'!H21*tabellen!$D$96,2)</f>
        <v>0</v>
      </c>
      <c r="AE21" s="633">
        <f>ROUND('wgl tot'!H21*tabellen!$D$97,2)</f>
        <v>0</v>
      </c>
      <c r="AF21" s="632">
        <f t="shared" si="3"/>
        <v>0</v>
      </c>
      <c r="AG21" s="402"/>
      <c r="AH21" s="633">
        <f>+('wgl tot'!AF21/(1+1.9%))*BR21</f>
        <v>0</v>
      </c>
      <c r="AI21" s="633">
        <f>IF(F21="",0,(791.85))</f>
        <v>0</v>
      </c>
      <c r="AJ21" s="632">
        <f>ROUND('wgl tot'!AF21-IF('wgl tot'!AI21&gt;'wgl tot'!AH21,'wgl tot'!AH21,'wgl tot'!AI21),0)</f>
        <v>0</v>
      </c>
      <c r="AK21" s="634">
        <f>IF('wgl tot'!E21&lt;1950,0,+('wgl tot'!P21+'wgl tot'!R21+'wgl tot'!S21)*tabellen!$C$87)*12</f>
        <v>0</v>
      </c>
      <c r="AL21" s="402"/>
      <c r="AM21" s="633">
        <f t="shared" si="4"/>
        <v>0</v>
      </c>
      <c r="AN21" s="633">
        <f>IF(F21="",0,(IF('wgl tot'!AJ21/'wgl tot'!H21&lt;tabellen!$E$57,0,('wgl tot'!AJ21-tabellen!$E$57*'wgl tot'!H21)/12)*tabellen!$C$57))</f>
        <v>0</v>
      </c>
      <c r="AO21" s="633">
        <f>IF(F21="",0,(IF('wgl tot'!AJ21/'wgl tot'!H21&lt;tabellen!$E$58,0,(+'wgl tot'!AJ21-tabellen!$E$58*'wgl tot'!H21)/12)*tabellen!$C$58))</f>
        <v>0</v>
      </c>
      <c r="AP21" s="633">
        <f>'wgl tot'!AJ21/12*tabellen!$C$59</f>
        <v>0</v>
      </c>
      <c r="AQ21" s="633">
        <f>IF(H21=0,0,IF(BY21&gt;tabellen!$G$60/12,tabellen!$G$60/12,BY21)*(tabellen!$C$60+tabellen!$C$61))</f>
        <v>0</v>
      </c>
      <c r="AR21" s="633">
        <f>IF(F21="",0,('wgl tot'!BZ21))</f>
        <v>0</v>
      </c>
      <c r="AS21" s="635">
        <f>IF(F21="",0,(IF('wgl tot'!BY21&gt;tabellen!$G$64*'wgl tot'!H21/12,tabellen!$G$64*'wgl tot'!H21/12,'wgl tot'!BY21)*tabellen!$C$64))</f>
        <v>0</v>
      </c>
      <c r="AT21" s="635">
        <f>IF(F21="",0,('wgl tot'!BY21*IF(M21=1,tabellen!$C$65,IF(M21=2,tabellen!C72,IF(M21=3,tabellen!$C$67,tabellen!$C$68)))))</f>
        <v>0</v>
      </c>
      <c r="AU21" s="635">
        <f>IF(F21="",0,('wgl tot'!BY21*tabellen!$C$69))</f>
        <v>0</v>
      </c>
      <c r="AV21" s="635">
        <f>+'wgl tot'!AK21/12</f>
        <v>0</v>
      </c>
      <c r="AW21" s="435">
        <v>0</v>
      </c>
      <c r="AX21" s="291">
        <f t="shared" si="5"/>
        <v>0</v>
      </c>
      <c r="AY21" s="658">
        <f t="shared" si="6"/>
        <v>0</v>
      </c>
      <c r="AZ21" s="658">
        <f t="shared" si="7"/>
        <v>0</v>
      </c>
      <c r="BA21" s="402"/>
      <c r="BB21" s="641" t="str">
        <f>IF(AY21=0,"",(+'wgl tot'!AY21/'wgl tot'!P21-1))</f>
        <v/>
      </c>
      <c r="BC21" s="402"/>
      <c r="BD21" s="385"/>
      <c r="BG21" s="621">
        <f ca="1">YEAR('wgl tot'!$BG$10)-YEAR('wgl tot'!E21)</f>
        <v>115</v>
      </c>
      <c r="BH21" s="621">
        <f ca="1">MONTH('wgl tot'!$BG$10)-MONTH('wgl tot'!E21)</f>
        <v>9</v>
      </c>
      <c r="BI21" s="621">
        <f ca="1">DAY('wgl tot'!$BG$10)-DAY('wgl tot'!E21)</f>
        <v>6</v>
      </c>
      <c r="BJ21" s="613">
        <f>IF(AND('wgl tot'!F21&gt;0,'wgl tot'!F21&lt;16),0,100)</f>
        <v>100</v>
      </c>
      <c r="BK21" s="613" t="e">
        <f>VLOOKUP('wgl tot'!F21,salaristabellen,22,FALSE)</f>
        <v>#N/A</v>
      </c>
      <c r="BL21" s="613">
        <f>F21</f>
        <v>0</v>
      </c>
      <c r="BM21" s="619">
        <f t="shared" si="10"/>
        <v>42005</v>
      </c>
      <c r="BN21" s="622">
        <f t="shared" si="11"/>
        <v>0.08</v>
      </c>
      <c r="BO21" s="623">
        <f>+tabellen!$D$90</f>
        <v>6.3E-2</v>
      </c>
      <c r="BP21" s="621">
        <f>IF('wgl tot'!BJ21=100,0,'wgl tot'!F21)</f>
        <v>0</v>
      </c>
      <c r="BQ21" s="623" t="str">
        <f>IF(OR('wgl tot'!F21="DA",'wgl tot'!F21="DB",'wgl tot'!F21="DBuit",'wgl tot'!F21="DC",'wgl tot'!F21="DCuit",MID('wgl tot'!F21,1,5)="meerh"),"j","n")</f>
        <v>n</v>
      </c>
      <c r="BR21" s="623">
        <f t="shared" si="12"/>
        <v>1.9E-2</v>
      </c>
      <c r="BS21" s="624">
        <f>IF(AI21&gt;'wgl tot'!AH21,'wgl tot'!AH21,AI21)</f>
        <v>0</v>
      </c>
      <c r="BT21" s="624"/>
      <c r="BU21" s="625" t="e">
        <f>IF('wgl tot'!AJ21/'wgl tot'!H21&lt;tabellen!$E$57,0,(+'wgl tot'!AJ21-tabellen!$E$57*'wgl tot'!H21)/12*tabellen!$D$57)</f>
        <v>#DIV/0!</v>
      </c>
      <c r="BV21" s="625" t="e">
        <f>IF('wgl tot'!AJ21/'wgl tot'!H21&lt;tabellen!$E$58,0,(+'wgl tot'!AJ21-tabellen!$E$58*'wgl tot'!H21)/12*tabellen!$D$58)</f>
        <v>#DIV/0!</v>
      </c>
      <c r="BW21" s="625">
        <f>'wgl tot'!AJ21/12*tabellen!$D$59</f>
        <v>0</v>
      </c>
      <c r="BX21" s="626" t="e">
        <f t="shared" si="0"/>
        <v>#DIV/0!</v>
      </c>
      <c r="BY21" s="627" t="e">
        <f>+('wgl tot'!AF21+'wgl tot'!AK21)/12-'wgl tot'!BX21</f>
        <v>#DIV/0!</v>
      </c>
      <c r="BZ21" s="627" t="e">
        <f>ROUND(IF('wgl tot'!BY21&gt;tabellen!$H$63,tabellen!$H$63,'wgl tot'!BY21)*tabellen!$C$63,2)</f>
        <v>#DIV/0!</v>
      </c>
      <c r="CA21" s="627" t="e">
        <f>+'wgl tot'!BY21+'wgl tot'!BZ21</f>
        <v>#DIV/0!</v>
      </c>
      <c r="CB21" s="628">
        <f>YEAR(E21)</f>
        <v>1900</v>
      </c>
      <c r="CC21" s="628">
        <f>MONTH(E21)</f>
        <v>1</v>
      </c>
      <c r="CD21" s="621">
        <f>DAY(E21)</f>
        <v>0</v>
      </c>
      <c r="CE21" s="619">
        <f t="shared" si="8"/>
        <v>22462</v>
      </c>
      <c r="CF21" s="619">
        <f t="shared" ca="1" si="9"/>
        <v>42283.70841446759</v>
      </c>
      <c r="CG21" s="613"/>
      <c r="CH21" s="619"/>
      <c r="CI21" s="613"/>
      <c r="CJ21" s="624"/>
      <c r="CK21" s="624"/>
      <c r="CL21" s="624"/>
      <c r="CM21" s="624"/>
      <c r="CN21" s="624"/>
      <c r="CO21" s="624"/>
    </row>
    <row r="22" spans="2:93" ht="13.5" customHeight="1" x14ac:dyDescent="0.2">
      <c r="B22" s="384"/>
      <c r="C22" s="402"/>
      <c r="D22" s="286"/>
      <c r="E22" s="287"/>
      <c r="F22" s="288"/>
      <c r="G22" s="288"/>
      <c r="H22" s="289"/>
      <c r="I22" s="288"/>
      <c r="J22" s="288"/>
      <c r="K22" s="288"/>
      <c r="L22" s="288"/>
      <c r="M22" s="290"/>
      <c r="N22" s="402"/>
      <c r="O22" s="639">
        <f>IF(F22="",0,(VLOOKUP('wgl tot'!F22,salaristabellen,'wgl tot'!G22+1,FALSE)))</f>
        <v>0</v>
      </c>
      <c r="P22" s="661">
        <f>O22*H22</f>
        <v>0</v>
      </c>
      <c r="Q22" s="402"/>
      <c r="R22" s="633">
        <f>ROUND(IF(I22="j",VLOOKUP(BL22,uitlooptoeslag,2,FALSE))*IF('wgl tot'!H22&gt;1,1,'wgl tot'!H22),2)</f>
        <v>0</v>
      </c>
      <c r="S22" s="633">
        <f>ROUND(IF(OR('wgl tot'!F22="LA",'wgl tot'!F22="LB"),IF(J22="j",tabellen!$C$77*'wgl tot'!H22,0),0),2)</f>
        <v>0</v>
      </c>
      <c r="T22" s="633">
        <f>ROUND(IF(('wgl tot'!P22+'wgl tot'!R22+'wgl tot'!S22)*BN22&lt;'wgl tot'!H22*tabellen!$D$89,'wgl tot'!H22*tabellen!$D$89,('wgl tot'!P22+'wgl tot'!R22+'wgl tot'!S22)*BN22),2)</f>
        <v>0</v>
      </c>
      <c r="U22" s="633">
        <f>ROUND(+('wgl tot'!P22+'wgl tot'!R22+'wgl tot'!S22)*BO22,2)</f>
        <v>0</v>
      </c>
      <c r="V22" s="633">
        <f>+tabellen!$C$85*'wgl tot'!H22</f>
        <v>0</v>
      </c>
      <c r="W22" s="633">
        <f>VLOOKUP(BP22,eindejaarsuitkering_OOP,2,TRUE)*'wgl tot'!H22/12</f>
        <v>0</v>
      </c>
      <c r="X22" s="633">
        <f>ROUND(IF(BQ22="j",tabellen!$D$99*IF('wgl tot'!H22&gt;1,1,'wgl tot'!H22),0),2)</f>
        <v>0</v>
      </c>
      <c r="Y22" s="654">
        <f t="shared" si="1"/>
        <v>0</v>
      </c>
      <c r="Z22" s="404"/>
      <c r="AA22" s="405"/>
      <c r="AB22" s="632">
        <f t="shared" si="2"/>
        <v>0</v>
      </c>
      <c r="AC22" s="633">
        <f>ROUND(IF(L22="j",VLOOKUP(K22,bindingstoelage,2,FALSE))*IF('wgl tot'!H22&gt;1,1,'wgl tot'!H22),2)</f>
        <v>0</v>
      </c>
      <c r="AD22" s="633">
        <f>ROUND('wgl tot'!H22*tabellen!$D$96,2)</f>
        <v>0</v>
      </c>
      <c r="AE22" s="633">
        <f>ROUND('wgl tot'!H22*tabellen!$D$97,2)</f>
        <v>0</v>
      </c>
      <c r="AF22" s="632">
        <f t="shared" si="3"/>
        <v>0</v>
      </c>
      <c r="AG22" s="402"/>
      <c r="AH22" s="633">
        <f>+('wgl tot'!AF22/(1+1.9%))*BR22</f>
        <v>0</v>
      </c>
      <c r="AI22" s="633">
        <f>IF(F22="",0,(791.85))</f>
        <v>0</v>
      </c>
      <c r="AJ22" s="632">
        <f>ROUND('wgl tot'!AF22-IF('wgl tot'!AI22&gt;'wgl tot'!AH22,'wgl tot'!AH22,'wgl tot'!AI22),0)</f>
        <v>0</v>
      </c>
      <c r="AK22" s="634">
        <f>IF('wgl tot'!E22&lt;1950,0,+('wgl tot'!P22+'wgl tot'!R22+'wgl tot'!S22)*tabellen!$C$87)*12</f>
        <v>0</v>
      </c>
      <c r="AL22" s="402"/>
      <c r="AM22" s="633">
        <f t="shared" si="4"/>
        <v>0</v>
      </c>
      <c r="AN22" s="633">
        <f>IF(F22="",0,(IF('wgl tot'!AJ22/'wgl tot'!H22&lt;tabellen!$E$57,0,('wgl tot'!AJ22-tabellen!$E$57*'wgl tot'!H22)/12)*tabellen!$C$57))</f>
        <v>0</v>
      </c>
      <c r="AO22" s="633">
        <f>IF(F22="",0,(IF('wgl tot'!AJ22/'wgl tot'!H22&lt;tabellen!$E$58,0,(+'wgl tot'!AJ22-tabellen!$E$58*'wgl tot'!H22)/12)*tabellen!$C$58))</f>
        <v>0</v>
      </c>
      <c r="AP22" s="633">
        <f>'wgl tot'!AJ22/12*tabellen!$C$59</f>
        <v>0</v>
      </c>
      <c r="AQ22" s="633">
        <f>IF(H22=0,0,IF(BY22&gt;tabellen!$G$60/12,tabellen!$G$60/12,BY22)*(tabellen!$C$60+tabellen!$C$61))</f>
        <v>0</v>
      </c>
      <c r="AR22" s="633">
        <f>IF(F22="",0,('wgl tot'!BZ22))</f>
        <v>0</v>
      </c>
      <c r="AS22" s="635">
        <f>IF(F22="",0,(IF('wgl tot'!BY22&gt;tabellen!$G$64*'wgl tot'!H22/12,tabellen!$G$64*'wgl tot'!H22/12,'wgl tot'!BY22)*tabellen!$C$64))</f>
        <v>0</v>
      </c>
      <c r="AT22" s="635">
        <f>IF(F22="",0,('wgl tot'!BY22*IF(M22=1,tabellen!$C$65,IF(M22=2,tabellen!C73,IF(M22=3,tabellen!$C$67,tabellen!$C$68)))))</f>
        <v>0</v>
      </c>
      <c r="AU22" s="635">
        <f>IF(F22="",0,('wgl tot'!BY22*tabellen!$C$69))</f>
        <v>0</v>
      </c>
      <c r="AV22" s="635">
        <f>+'wgl tot'!AK22/12</f>
        <v>0</v>
      </c>
      <c r="AW22" s="435">
        <v>0</v>
      </c>
      <c r="AX22" s="291">
        <f t="shared" si="5"/>
        <v>0</v>
      </c>
      <c r="AY22" s="658">
        <f t="shared" si="6"/>
        <v>0</v>
      </c>
      <c r="AZ22" s="658">
        <f t="shared" si="7"/>
        <v>0</v>
      </c>
      <c r="BA22" s="402"/>
      <c r="BB22" s="641" t="str">
        <f>IF(AY22=0,"",(+'wgl tot'!AY22/'wgl tot'!P22-1))</f>
        <v/>
      </c>
      <c r="BC22" s="402"/>
      <c r="BD22" s="385"/>
      <c r="BG22" s="621">
        <f ca="1">YEAR('wgl tot'!$BG$10)-YEAR('wgl tot'!E22)</f>
        <v>115</v>
      </c>
      <c r="BH22" s="621">
        <f ca="1">MONTH('wgl tot'!$BG$10)-MONTH('wgl tot'!E22)</f>
        <v>9</v>
      </c>
      <c r="BI22" s="621">
        <f ca="1">DAY('wgl tot'!$BG$10)-DAY('wgl tot'!E22)</f>
        <v>6</v>
      </c>
      <c r="BJ22" s="613">
        <f>IF(AND('wgl tot'!F22&gt;0,'wgl tot'!F22&lt;16),0,100)</f>
        <v>100</v>
      </c>
      <c r="BK22" s="613" t="e">
        <f>VLOOKUP('wgl tot'!F22,salaristabellen,22,FALSE)</f>
        <v>#N/A</v>
      </c>
      <c r="BL22" s="613">
        <f>F22</f>
        <v>0</v>
      </c>
      <c r="BM22" s="619">
        <f t="shared" si="10"/>
        <v>42005</v>
      </c>
      <c r="BN22" s="622">
        <f t="shared" si="11"/>
        <v>0.08</v>
      </c>
      <c r="BO22" s="623">
        <f>+tabellen!$D$90</f>
        <v>6.3E-2</v>
      </c>
      <c r="BP22" s="621">
        <f>IF('wgl tot'!BJ22=100,0,'wgl tot'!F22)</f>
        <v>0</v>
      </c>
      <c r="BQ22" s="623" t="str">
        <f>IF(OR('wgl tot'!F22="DA",'wgl tot'!F22="DB",'wgl tot'!F22="DBuit",'wgl tot'!F22="DC",'wgl tot'!F22="DCuit",MID('wgl tot'!F22,1,5)="meerh"),"j","n")</f>
        <v>n</v>
      </c>
      <c r="BR22" s="623">
        <f t="shared" si="12"/>
        <v>1.9E-2</v>
      </c>
      <c r="BS22" s="624">
        <f>IF(AI22&gt;'wgl tot'!AH22,'wgl tot'!AH22,AI22)</f>
        <v>0</v>
      </c>
      <c r="BT22" s="624"/>
      <c r="BU22" s="625" t="e">
        <f>IF('wgl tot'!AJ22/'wgl tot'!H22&lt;tabellen!$E$57,0,(+'wgl tot'!AJ22-tabellen!$E$57*'wgl tot'!H22)/12*tabellen!$D$57)</f>
        <v>#DIV/0!</v>
      </c>
      <c r="BV22" s="625" t="e">
        <f>IF('wgl tot'!AJ22/'wgl tot'!H22&lt;tabellen!$E$58,0,(+'wgl tot'!AJ22-tabellen!$E$58*'wgl tot'!H22)/12*tabellen!$D$58)</f>
        <v>#DIV/0!</v>
      </c>
      <c r="BW22" s="625">
        <f>'wgl tot'!AJ22/12*tabellen!$D$59</f>
        <v>0</v>
      </c>
      <c r="BX22" s="626" t="e">
        <f t="shared" si="0"/>
        <v>#DIV/0!</v>
      </c>
      <c r="BY22" s="627" t="e">
        <f>+('wgl tot'!AF22+'wgl tot'!AK22)/12-'wgl tot'!BX22</f>
        <v>#DIV/0!</v>
      </c>
      <c r="BZ22" s="627" t="e">
        <f>ROUND(IF('wgl tot'!BY22&gt;tabellen!$H$63,tabellen!$H$63,'wgl tot'!BY22)*tabellen!$C$63,2)</f>
        <v>#DIV/0!</v>
      </c>
      <c r="CA22" s="627" t="e">
        <f>+'wgl tot'!BY22+'wgl tot'!BZ22</f>
        <v>#DIV/0!</v>
      </c>
      <c r="CB22" s="628">
        <f>YEAR(E22)</f>
        <v>1900</v>
      </c>
      <c r="CC22" s="628">
        <f>MONTH(E22)</f>
        <v>1</v>
      </c>
      <c r="CD22" s="621">
        <f>DAY(E22)</f>
        <v>0</v>
      </c>
      <c r="CE22" s="619">
        <f t="shared" si="8"/>
        <v>22462</v>
      </c>
      <c r="CF22" s="619">
        <f t="shared" ca="1" si="9"/>
        <v>42283.70841446759</v>
      </c>
      <c r="CG22" s="613"/>
      <c r="CH22" s="619"/>
      <c r="CI22" s="613"/>
      <c r="CJ22" s="624"/>
      <c r="CK22" s="624"/>
      <c r="CL22" s="624"/>
      <c r="CM22" s="624"/>
      <c r="CN22" s="624"/>
      <c r="CO22" s="624"/>
    </row>
    <row r="23" spans="2:93" ht="13.5" customHeight="1" x14ac:dyDescent="0.2">
      <c r="B23" s="384"/>
      <c r="C23" s="402"/>
      <c r="D23" s="286"/>
      <c r="E23" s="287"/>
      <c r="F23" s="288"/>
      <c r="G23" s="288"/>
      <c r="H23" s="289"/>
      <c r="I23" s="288"/>
      <c r="J23" s="288"/>
      <c r="K23" s="288"/>
      <c r="L23" s="288"/>
      <c r="M23" s="290"/>
      <c r="N23" s="402"/>
      <c r="O23" s="639">
        <f>IF(F23="",0,(VLOOKUP('wgl tot'!F23,salaristabellen,'wgl tot'!G23+1,FALSE)))</f>
        <v>0</v>
      </c>
      <c r="P23" s="661">
        <f>O23*H23</f>
        <v>0</v>
      </c>
      <c r="Q23" s="402"/>
      <c r="R23" s="633">
        <f>ROUND(IF(I23="j",VLOOKUP(BL23,uitlooptoeslag,2,FALSE))*IF('wgl tot'!H23&gt;1,1,'wgl tot'!H23),2)</f>
        <v>0</v>
      </c>
      <c r="S23" s="633">
        <f>ROUND(IF(OR('wgl tot'!F23="LA",'wgl tot'!F23="LB"),IF(J23="j",tabellen!$C$77*'wgl tot'!H23,0),0),2)</f>
        <v>0</v>
      </c>
      <c r="T23" s="633">
        <f>ROUND(IF(('wgl tot'!P23+'wgl tot'!R23+'wgl tot'!S23)*BN23&lt;'wgl tot'!H23*tabellen!$D$89,'wgl tot'!H23*tabellen!$D$89,('wgl tot'!P23+'wgl tot'!R23+'wgl tot'!S23)*BN23),2)</f>
        <v>0</v>
      </c>
      <c r="U23" s="633">
        <f>ROUND(+('wgl tot'!P23+'wgl tot'!R23+'wgl tot'!S23)*BO23,2)</f>
        <v>0</v>
      </c>
      <c r="V23" s="633">
        <f>+tabellen!$C$85*'wgl tot'!H23</f>
        <v>0</v>
      </c>
      <c r="W23" s="633">
        <f>VLOOKUP(BP23,eindejaarsuitkering_OOP,2,TRUE)*'wgl tot'!H23/12</f>
        <v>0</v>
      </c>
      <c r="X23" s="633">
        <f>ROUND(IF(BQ23="j",tabellen!$D$99*IF('wgl tot'!H23&gt;1,1,'wgl tot'!H23),0),2)</f>
        <v>0</v>
      </c>
      <c r="Y23" s="654">
        <f t="shared" si="1"/>
        <v>0</v>
      </c>
      <c r="Z23" s="404"/>
      <c r="AA23" s="405"/>
      <c r="AB23" s="632">
        <f t="shared" si="2"/>
        <v>0</v>
      </c>
      <c r="AC23" s="633">
        <f>ROUND(IF(L23="j",VLOOKUP(K23,bindingstoelage,2,FALSE))*IF('wgl tot'!H23&gt;1,1,'wgl tot'!H23),2)</f>
        <v>0</v>
      </c>
      <c r="AD23" s="633">
        <f>ROUND('wgl tot'!H23*tabellen!$D$96,2)</f>
        <v>0</v>
      </c>
      <c r="AE23" s="633">
        <f>ROUND('wgl tot'!H23*tabellen!$D$97,2)</f>
        <v>0</v>
      </c>
      <c r="AF23" s="632">
        <f t="shared" si="3"/>
        <v>0</v>
      </c>
      <c r="AG23" s="402"/>
      <c r="AH23" s="633">
        <f>+('wgl tot'!AF23/(1+1.9%))*BR23</f>
        <v>0</v>
      </c>
      <c r="AI23" s="633">
        <f>IF(F23="",0,(791.85))</f>
        <v>0</v>
      </c>
      <c r="AJ23" s="632">
        <f>ROUND('wgl tot'!AF23-IF('wgl tot'!AI23&gt;'wgl tot'!AH23,'wgl tot'!AH23,'wgl tot'!AI23),0)</f>
        <v>0</v>
      </c>
      <c r="AK23" s="634">
        <f>IF('wgl tot'!E23&lt;1950,0,+('wgl tot'!P23+'wgl tot'!R23+'wgl tot'!S23)*tabellen!$C$87)*12</f>
        <v>0</v>
      </c>
      <c r="AL23" s="402"/>
      <c r="AM23" s="633">
        <f t="shared" si="4"/>
        <v>0</v>
      </c>
      <c r="AN23" s="633">
        <f>IF(F23="",0,(IF('wgl tot'!AJ23/'wgl tot'!H23&lt;tabellen!$E$57,0,('wgl tot'!AJ23-tabellen!$E$57*'wgl tot'!H23)/12)*tabellen!$C$57))</f>
        <v>0</v>
      </c>
      <c r="AO23" s="633">
        <f>IF(F23="",0,(IF('wgl tot'!AJ23/'wgl tot'!H23&lt;tabellen!$E$58,0,(+'wgl tot'!AJ23-tabellen!$E$58*'wgl tot'!H23)/12)*tabellen!$C$58))</f>
        <v>0</v>
      </c>
      <c r="AP23" s="633">
        <f>'wgl tot'!AJ23/12*tabellen!$C$59</f>
        <v>0</v>
      </c>
      <c r="AQ23" s="633">
        <f>IF(H23=0,0,IF(BY23&gt;tabellen!$G$60/12,tabellen!$G$60/12,BY23)*(tabellen!$C$60+tabellen!$C$61))</f>
        <v>0</v>
      </c>
      <c r="AR23" s="633">
        <f>IF(F23="",0,('wgl tot'!BZ23))</f>
        <v>0</v>
      </c>
      <c r="AS23" s="635">
        <f>IF(F23="",0,(IF('wgl tot'!BY23&gt;tabellen!$G$64*'wgl tot'!H23/12,tabellen!$G$64*'wgl tot'!H23/12,'wgl tot'!BY23)*tabellen!$C$64))</f>
        <v>0</v>
      </c>
      <c r="AT23" s="635">
        <f>IF(F23="",0,('wgl tot'!BY23*IF(M23=1,tabellen!$C$65,IF(M23=2,tabellen!C74,IF(M23=3,tabellen!$C$67,tabellen!$C$68)))))</f>
        <v>0</v>
      </c>
      <c r="AU23" s="635">
        <f>IF(F23="",0,('wgl tot'!BY23*tabellen!$C$69))</f>
        <v>0</v>
      </c>
      <c r="AV23" s="635">
        <f>+'wgl tot'!AK23/12</f>
        <v>0</v>
      </c>
      <c r="AW23" s="435">
        <v>0</v>
      </c>
      <c r="AX23" s="291">
        <f t="shared" si="5"/>
        <v>0</v>
      </c>
      <c r="AY23" s="658">
        <f t="shared" si="6"/>
        <v>0</v>
      </c>
      <c r="AZ23" s="658">
        <f t="shared" si="7"/>
        <v>0</v>
      </c>
      <c r="BA23" s="402"/>
      <c r="BB23" s="641" t="str">
        <f>IF(AY23=0,"",(+'wgl tot'!AY23/'wgl tot'!P23-1))</f>
        <v/>
      </c>
      <c r="BC23" s="402"/>
      <c r="BD23" s="385"/>
      <c r="BG23" s="621">
        <f ca="1">YEAR('wgl tot'!$BG$10)-YEAR('wgl tot'!E23)</f>
        <v>115</v>
      </c>
      <c r="BH23" s="621">
        <f ca="1">MONTH('wgl tot'!$BG$10)-MONTH('wgl tot'!E23)</f>
        <v>9</v>
      </c>
      <c r="BI23" s="621">
        <f ca="1">DAY('wgl tot'!$BG$10)-DAY('wgl tot'!E23)</f>
        <v>6</v>
      </c>
      <c r="BJ23" s="613">
        <f>IF(AND('wgl tot'!F23&gt;0,'wgl tot'!F23&lt;16),0,100)</f>
        <v>100</v>
      </c>
      <c r="BK23" s="613" t="e">
        <f>VLOOKUP('wgl tot'!F23,salaristabellen,22,FALSE)</f>
        <v>#N/A</v>
      </c>
      <c r="BL23" s="613">
        <f>F23</f>
        <v>0</v>
      </c>
      <c r="BM23" s="619">
        <f t="shared" si="10"/>
        <v>42005</v>
      </c>
      <c r="BN23" s="622">
        <f t="shared" si="11"/>
        <v>0.08</v>
      </c>
      <c r="BO23" s="623">
        <f>+tabellen!$D$90</f>
        <v>6.3E-2</v>
      </c>
      <c r="BP23" s="621">
        <f>IF('wgl tot'!BJ23=100,0,'wgl tot'!F23)</f>
        <v>0</v>
      </c>
      <c r="BQ23" s="623" t="str">
        <f>IF(OR('wgl tot'!F23="DA",'wgl tot'!F23="DB",'wgl tot'!F23="DBuit",'wgl tot'!F23="DC",'wgl tot'!F23="DCuit",MID('wgl tot'!F23,1,5)="meerh"),"j","n")</f>
        <v>n</v>
      </c>
      <c r="BR23" s="623">
        <f t="shared" si="12"/>
        <v>1.9E-2</v>
      </c>
      <c r="BS23" s="624">
        <f>IF(AI23&gt;'wgl tot'!AH23,'wgl tot'!AH23,AI23)</f>
        <v>0</v>
      </c>
      <c r="BT23" s="624"/>
      <c r="BU23" s="625" t="e">
        <f>IF('wgl tot'!AJ23/'wgl tot'!H23&lt;tabellen!$E$57,0,(+'wgl tot'!AJ23-tabellen!$E$57*'wgl tot'!H23)/12*tabellen!$D$57)</f>
        <v>#DIV/0!</v>
      </c>
      <c r="BV23" s="625" t="e">
        <f>IF('wgl tot'!AJ23/'wgl tot'!H23&lt;tabellen!$E$58,0,(+'wgl tot'!AJ23-tabellen!$E$58*'wgl tot'!H23)/12*tabellen!$D$58)</f>
        <v>#DIV/0!</v>
      </c>
      <c r="BW23" s="625">
        <f>'wgl tot'!AJ23/12*tabellen!$D$59</f>
        <v>0</v>
      </c>
      <c r="BX23" s="626" t="e">
        <f t="shared" si="0"/>
        <v>#DIV/0!</v>
      </c>
      <c r="BY23" s="627" t="e">
        <f>+('wgl tot'!AF23+'wgl tot'!AK23)/12-'wgl tot'!BX23</f>
        <v>#DIV/0!</v>
      </c>
      <c r="BZ23" s="627" t="e">
        <f>ROUND(IF('wgl tot'!BY23&gt;tabellen!$H$63,tabellen!$H$63,'wgl tot'!BY23)*tabellen!$C$63,2)</f>
        <v>#DIV/0!</v>
      </c>
      <c r="CA23" s="627" t="e">
        <f>+'wgl tot'!BY23+'wgl tot'!BZ23</f>
        <v>#DIV/0!</v>
      </c>
      <c r="CB23" s="628">
        <f>YEAR(E23)</f>
        <v>1900</v>
      </c>
      <c r="CC23" s="628">
        <f>MONTH(E23)</f>
        <v>1</v>
      </c>
      <c r="CD23" s="621">
        <f>DAY(E23)</f>
        <v>0</v>
      </c>
      <c r="CE23" s="619">
        <f t="shared" si="8"/>
        <v>22462</v>
      </c>
      <c r="CF23" s="619">
        <f t="shared" ca="1" si="9"/>
        <v>42283.70841446759</v>
      </c>
      <c r="CG23" s="613"/>
      <c r="CH23" s="619"/>
      <c r="CI23" s="613"/>
      <c r="CJ23" s="624"/>
      <c r="CK23" s="624"/>
      <c r="CL23" s="624"/>
      <c r="CM23" s="624"/>
      <c r="CN23" s="624"/>
      <c r="CO23" s="624"/>
    </row>
    <row r="24" spans="2:93" ht="13.5" customHeight="1" x14ac:dyDescent="0.2">
      <c r="B24" s="384"/>
      <c r="C24" s="402"/>
      <c r="D24" s="286"/>
      <c r="E24" s="287"/>
      <c r="F24" s="288"/>
      <c r="G24" s="288"/>
      <c r="H24" s="289"/>
      <c r="I24" s="288"/>
      <c r="J24" s="288"/>
      <c r="K24" s="288"/>
      <c r="L24" s="288"/>
      <c r="M24" s="290"/>
      <c r="N24" s="402"/>
      <c r="O24" s="639">
        <f>IF(F24="",0,(VLOOKUP('wgl tot'!F24,salaristabellen,'wgl tot'!G24+1,FALSE)))</f>
        <v>0</v>
      </c>
      <c r="P24" s="661">
        <f>O24*H24</f>
        <v>0</v>
      </c>
      <c r="Q24" s="402"/>
      <c r="R24" s="633">
        <f>ROUND(IF(I24="j",VLOOKUP(BL24,uitlooptoeslag,2,FALSE))*IF('wgl tot'!H24&gt;1,1,'wgl tot'!H24),2)</f>
        <v>0</v>
      </c>
      <c r="S24" s="633">
        <f>ROUND(IF(OR('wgl tot'!F24="LA",'wgl tot'!F24="LB"),IF(J24="j",tabellen!$C$77*'wgl tot'!H24,0),0),2)</f>
        <v>0</v>
      </c>
      <c r="T24" s="633">
        <f>ROUND(IF(('wgl tot'!P24+'wgl tot'!R24+'wgl tot'!S24)*BN24&lt;'wgl tot'!H24*tabellen!$D$89,'wgl tot'!H24*tabellen!$D$89,('wgl tot'!P24+'wgl tot'!R24+'wgl tot'!S24)*BN24),2)</f>
        <v>0</v>
      </c>
      <c r="U24" s="633">
        <f>ROUND(+('wgl tot'!P24+'wgl tot'!R24+'wgl tot'!S24)*BO24,2)</f>
        <v>0</v>
      </c>
      <c r="V24" s="633">
        <f>+tabellen!$C$85*'wgl tot'!H24</f>
        <v>0</v>
      </c>
      <c r="W24" s="633">
        <f>VLOOKUP(BP24,eindejaarsuitkering_OOP,2,TRUE)*'wgl tot'!H24/12</f>
        <v>0</v>
      </c>
      <c r="X24" s="633">
        <f>ROUND(IF(BQ24="j",tabellen!$D$99*IF('wgl tot'!H24&gt;1,1,'wgl tot'!H24),0),2)</f>
        <v>0</v>
      </c>
      <c r="Y24" s="654">
        <f t="shared" si="1"/>
        <v>0</v>
      </c>
      <c r="Z24" s="404"/>
      <c r="AA24" s="405"/>
      <c r="AB24" s="632">
        <f t="shared" si="2"/>
        <v>0</v>
      </c>
      <c r="AC24" s="633">
        <f>ROUND(IF(L24="j",VLOOKUP(K24,bindingstoelage,2,FALSE))*IF('wgl tot'!H24&gt;1,1,'wgl tot'!H24),2)</f>
        <v>0</v>
      </c>
      <c r="AD24" s="633">
        <f>ROUND('wgl tot'!H24*tabellen!$D$96,2)</f>
        <v>0</v>
      </c>
      <c r="AE24" s="633">
        <f>ROUND('wgl tot'!H24*tabellen!$D$97,2)</f>
        <v>0</v>
      </c>
      <c r="AF24" s="632">
        <f t="shared" si="3"/>
        <v>0</v>
      </c>
      <c r="AG24" s="402"/>
      <c r="AH24" s="633">
        <f>+('wgl tot'!AF24/(1+1.9%))*BR24</f>
        <v>0</v>
      </c>
      <c r="AI24" s="633">
        <f>IF(F24="",0,(791.85))</f>
        <v>0</v>
      </c>
      <c r="AJ24" s="632">
        <f>ROUND('wgl tot'!AF24-IF('wgl tot'!AI24&gt;'wgl tot'!AH24,'wgl tot'!AH24,'wgl tot'!AI24),0)</f>
        <v>0</v>
      </c>
      <c r="AK24" s="634">
        <f>IF('wgl tot'!E24&lt;1950,0,+('wgl tot'!P24+'wgl tot'!R24+'wgl tot'!S24)*tabellen!$C$87)*12</f>
        <v>0</v>
      </c>
      <c r="AL24" s="402"/>
      <c r="AM24" s="633">
        <f t="shared" si="4"/>
        <v>0</v>
      </c>
      <c r="AN24" s="633">
        <f>IF(F24="",0,(IF('wgl tot'!AJ24/'wgl tot'!H24&lt;tabellen!$E$57,0,('wgl tot'!AJ24-tabellen!$E$57*'wgl tot'!H24)/12)*tabellen!$C$57))</f>
        <v>0</v>
      </c>
      <c r="AO24" s="633">
        <f>IF(F24="",0,(IF('wgl tot'!AJ24/'wgl tot'!H24&lt;tabellen!$E$58,0,(+'wgl tot'!AJ24-tabellen!$E$58*'wgl tot'!H24)/12)*tabellen!$C$58))</f>
        <v>0</v>
      </c>
      <c r="AP24" s="633">
        <f>'wgl tot'!AJ24/12*tabellen!$C$59</f>
        <v>0</v>
      </c>
      <c r="AQ24" s="633">
        <f>IF(H24=0,0,IF(BY24&gt;tabellen!$G$60/12,tabellen!$G$60/12,BY24)*(tabellen!$C$60+tabellen!$C$61))</f>
        <v>0</v>
      </c>
      <c r="AR24" s="633">
        <f>IF(F24="",0,('wgl tot'!BZ24))</f>
        <v>0</v>
      </c>
      <c r="AS24" s="635">
        <f>IF(F24="",0,(IF('wgl tot'!BY24&gt;tabellen!$G$64*'wgl tot'!H24/12,tabellen!$G$64*'wgl tot'!H24/12,'wgl tot'!BY24)*tabellen!$C$64))</f>
        <v>0</v>
      </c>
      <c r="AT24" s="635">
        <f>IF(F24="",0,('wgl tot'!BY24*IF(M24=1,tabellen!$C$65,IF(M24=2,tabellen!C75,IF(M24=3,tabellen!$C$67,tabellen!$C$68)))))</f>
        <v>0</v>
      </c>
      <c r="AU24" s="635">
        <f>IF(F24="",0,('wgl tot'!BY24*tabellen!$C$69))</f>
        <v>0</v>
      </c>
      <c r="AV24" s="635">
        <f>+'wgl tot'!AK24/12</f>
        <v>0</v>
      </c>
      <c r="AW24" s="435">
        <v>0</v>
      </c>
      <c r="AX24" s="291">
        <f t="shared" si="5"/>
        <v>0</v>
      </c>
      <c r="AY24" s="658">
        <f t="shared" si="6"/>
        <v>0</v>
      </c>
      <c r="AZ24" s="658">
        <f t="shared" si="7"/>
        <v>0</v>
      </c>
      <c r="BA24" s="402"/>
      <c r="BB24" s="641" t="str">
        <f>IF(AY24=0,"",(+'wgl tot'!AY24/'wgl tot'!P24-1))</f>
        <v/>
      </c>
      <c r="BC24" s="402"/>
      <c r="BD24" s="385"/>
      <c r="BG24" s="621">
        <f ca="1">YEAR('wgl tot'!$BG$10)-YEAR('wgl tot'!E24)</f>
        <v>115</v>
      </c>
      <c r="BH24" s="621">
        <f ca="1">MONTH('wgl tot'!$BG$10)-MONTH('wgl tot'!E24)</f>
        <v>9</v>
      </c>
      <c r="BI24" s="621">
        <f ca="1">DAY('wgl tot'!$BG$10)-DAY('wgl tot'!E24)</f>
        <v>6</v>
      </c>
      <c r="BJ24" s="613">
        <f>IF(AND('wgl tot'!F24&gt;0,'wgl tot'!F24&lt;16),0,100)</f>
        <v>100</v>
      </c>
      <c r="BK24" s="613" t="e">
        <f>VLOOKUP('wgl tot'!F24,salaristabellen,22,FALSE)</f>
        <v>#N/A</v>
      </c>
      <c r="BL24" s="613">
        <f>F24</f>
        <v>0</v>
      </c>
      <c r="BM24" s="619">
        <f t="shared" si="10"/>
        <v>42005</v>
      </c>
      <c r="BN24" s="622">
        <f t="shared" si="11"/>
        <v>0.08</v>
      </c>
      <c r="BO24" s="623">
        <f>+tabellen!$D$90</f>
        <v>6.3E-2</v>
      </c>
      <c r="BP24" s="621">
        <f>IF('wgl tot'!BJ24=100,0,'wgl tot'!F24)</f>
        <v>0</v>
      </c>
      <c r="BQ24" s="623" t="str">
        <f>IF(OR('wgl tot'!F24="DA",'wgl tot'!F24="DB",'wgl tot'!F24="DBuit",'wgl tot'!F24="DC",'wgl tot'!F24="DCuit",MID('wgl tot'!F24,1,5)="meerh"),"j","n")</f>
        <v>n</v>
      </c>
      <c r="BR24" s="623">
        <f t="shared" si="12"/>
        <v>1.9E-2</v>
      </c>
      <c r="BS24" s="624">
        <f>IF(AI24&gt;'wgl tot'!AH24,'wgl tot'!AH24,AI24)</f>
        <v>0</v>
      </c>
      <c r="BT24" s="624"/>
      <c r="BU24" s="625" t="e">
        <f>IF('wgl tot'!AJ24/'wgl tot'!H24&lt;tabellen!$E$57,0,(+'wgl tot'!AJ24-tabellen!$E$57*'wgl tot'!H24)/12*tabellen!$D$57)</f>
        <v>#DIV/0!</v>
      </c>
      <c r="BV24" s="625" t="e">
        <f>IF('wgl tot'!AJ24/'wgl tot'!H24&lt;tabellen!$E$58,0,(+'wgl tot'!AJ24-tabellen!$E$58*'wgl tot'!H24)/12*tabellen!$D$58)</f>
        <v>#DIV/0!</v>
      </c>
      <c r="BW24" s="625">
        <f>'wgl tot'!AJ24/12*tabellen!$D$59</f>
        <v>0</v>
      </c>
      <c r="BX24" s="626" t="e">
        <f t="shared" si="0"/>
        <v>#DIV/0!</v>
      </c>
      <c r="BY24" s="627" t="e">
        <f>+('wgl tot'!AF24+'wgl tot'!AK24)/12-'wgl tot'!BX24</f>
        <v>#DIV/0!</v>
      </c>
      <c r="BZ24" s="627" t="e">
        <f>ROUND(IF('wgl tot'!BY24&gt;tabellen!$H$63,tabellen!$H$63,'wgl tot'!BY24)*tabellen!$C$63,2)</f>
        <v>#DIV/0!</v>
      </c>
      <c r="CA24" s="627" t="e">
        <f>+'wgl tot'!BY24+'wgl tot'!BZ24</f>
        <v>#DIV/0!</v>
      </c>
      <c r="CB24" s="628">
        <f>YEAR(E24)</f>
        <v>1900</v>
      </c>
      <c r="CC24" s="628">
        <f>MONTH(E24)</f>
        <v>1</v>
      </c>
      <c r="CD24" s="621">
        <f>DAY(E24)</f>
        <v>0</v>
      </c>
      <c r="CE24" s="619">
        <f t="shared" si="8"/>
        <v>22462</v>
      </c>
      <c r="CF24" s="619">
        <f t="shared" ca="1" si="9"/>
        <v>42283.70841446759</v>
      </c>
      <c r="CG24" s="613"/>
      <c r="CH24" s="619"/>
      <c r="CI24" s="613"/>
      <c r="CJ24" s="624"/>
      <c r="CK24" s="624"/>
      <c r="CL24" s="624"/>
      <c r="CM24" s="624"/>
      <c r="CN24" s="624"/>
      <c r="CO24" s="624"/>
    </row>
    <row r="25" spans="2:93" ht="13.5" customHeight="1" x14ac:dyDescent="0.2">
      <c r="B25" s="384"/>
      <c r="C25" s="402"/>
      <c r="D25" s="286"/>
      <c r="E25" s="287"/>
      <c r="F25" s="288"/>
      <c r="G25" s="288"/>
      <c r="H25" s="289"/>
      <c r="I25" s="288"/>
      <c r="J25" s="288"/>
      <c r="K25" s="288"/>
      <c r="L25" s="288"/>
      <c r="M25" s="290"/>
      <c r="N25" s="402"/>
      <c r="O25" s="639">
        <f>IF(F25="",0,(VLOOKUP('wgl tot'!F25,salaristabellen,'wgl tot'!G25+1,FALSE)))</f>
        <v>0</v>
      </c>
      <c r="P25" s="661">
        <f>O25*H25</f>
        <v>0</v>
      </c>
      <c r="Q25" s="402"/>
      <c r="R25" s="633">
        <f>ROUND(IF(I25="j",VLOOKUP(BL25,uitlooptoeslag,2,FALSE))*IF('wgl tot'!H25&gt;1,1,'wgl tot'!H25),2)</f>
        <v>0</v>
      </c>
      <c r="S25" s="633">
        <f>ROUND(IF(OR('wgl tot'!F25="LA",'wgl tot'!F25="LB"),IF(J25="j",tabellen!$C$77*'wgl tot'!H25,0),0),2)</f>
        <v>0</v>
      </c>
      <c r="T25" s="633">
        <f>ROUND(IF(('wgl tot'!P25+'wgl tot'!R25+'wgl tot'!S25)*BN25&lt;'wgl tot'!H25*tabellen!$D$89,'wgl tot'!H25*tabellen!$D$89,('wgl tot'!P25+'wgl tot'!R25+'wgl tot'!S25)*BN25),2)</f>
        <v>0</v>
      </c>
      <c r="U25" s="633">
        <f>ROUND(+('wgl tot'!P25+'wgl tot'!R25+'wgl tot'!S25)*BO25,2)</f>
        <v>0</v>
      </c>
      <c r="V25" s="633">
        <f>+tabellen!$C$85*'wgl tot'!H25</f>
        <v>0</v>
      </c>
      <c r="W25" s="633">
        <f>VLOOKUP(BP25,eindejaarsuitkering_OOP,2,TRUE)*'wgl tot'!H25/12</f>
        <v>0</v>
      </c>
      <c r="X25" s="633">
        <f>ROUND(IF(BQ25="j",tabellen!$D$99*IF('wgl tot'!H25&gt;1,1,'wgl tot'!H25),0),2)</f>
        <v>0</v>
      </c>
      <c r="Y25" s="654">
        <f t="shared" si="1"/>
        <v>0</v>
      </c>
      <c r="Z25" s="404"/>
      <c r="AA25" s="405"/>
      <c r="AB25" s="632">
        <f t="shared" si="2"/>
        <v>0</v>
      </c>
      <c r="AC25" s="633">
        <f>ROUND(IF(L25="j",VLOOKUP(K25,bindingstoelage,2,FALSE))*IF('wgl tot'!H25&gt;1,1,'wgl tot'!H25),2)</f>
        <v>0</v>
      </c>
      <c r="AD25" s="633">
        <f>ROUND('wgl tot'!H25*tabellen!$D$96,2)</f>
        <v>0</v>
      </c>
      <c r="AE25" s="633">
        <f>ROUND('wgl tot'!H25*tabellen!$D$97,2)</f>
        <v>0</v>
      </c>
      <c r="AF25" s="632">
        <f t="shared" si="3"/>
        <v>0</v>
      </c>
      <c r="AG25" s="402"/>
      <c r="AH25" s="633">
        <f>+('wgl tot'!AF25/(1+1.9%))*BR25</f>
        <v>0</v>
      </c>
      <c r="AI25" s="633">
        <f>IF(F25="",0,(791.85))</f>
        <v>0</v>
      </c>
      <c r="AJ25" s="632">
        <f>ROUND('wgl tot'!AF25-IF('wgl tot'!AI25&gt;'wgl tot'!AH25,'wgl tot'!AH25,'wgl tot'!AI25),0)</f>
        <v>0</v>
      </c>
      <c r="AK25" s="634">
        <f>IF('wgl tot'!E25&lt;1950,0,+('wgl tot'!P25+'wgl tot'!R25+'wgl tot'!S25)*tabellen!$C$87)*12</f>
        <v>0</v>
      </c>
      <c r="AL25" s="402"/>
      <c r="AM25" s="633">
        <f t="shared" si="4"/>
        <v>0</v>
      </c>
      <c r="AN25" s="633">
        <f>IF(F25="",0,(IF('wgl tot'!AJ25/'wgl tot'!H25&lt;tabellen!$E$57,0,('wgl tot'!AJ25-tabellen!$E$57*'wgl tot'!H25)/12)*tabellen!$C$57))</f>
        <v>0</v>
      </c>
      <c r="AO25" s="633">
        <f>IF(F25="",0,(IF('wgl tot'!AJ25/'wgl tot'!H25&lt;tabellen!$E$58,0,(+'wgl tot'!AJ25-tabellen!$E$58*'wgl tot'!H25)/12)*tabellen!$C$58))</f>
        <v>0</v>
      </c>
      <c r="AP25" s="633">
        <f>'wgl tot'!AJ25/12*tabellen!$C$59</f>
        <v>0</v>
      </c>
      <c r="AQ25" s="633">
        <f>IF(H25=0,0,IF(BY25&gt;tabellen!$G$60/12,tabellen!$G$60/12,BY25)*(tabellen!$C$60+tabellen!$C$61))</f>
        <v>0</v>
      </c>
      <c r="AR25" s="633">
        <f>IF(F25="",0,('wgl tot'!BZ25))</f>
        <v>0</v>
      </c>
      <c r="AS25" s="635">
        <f>IF(F25="",0,(IF('wgl tot'!BY25&gt;tabellen!$G$64*'wgl tot'!H25/12,tabellen!$G$64*'wgl tot'!H25/12,'wgl tot'!BY25)*tabellen!$C$64))</f>
        <v>0</v>
      </c>
      <c r="AT25" s="635">
        <f>IF(F25="",0,('wgl tot'!BY25*IF(M25=1,tabellen!$C$65,IF(M25=2,tabellen!C76,IF(M25=3,tabellen!$C$67,tabellen!$C$68)))))</f>
        <v>0</v>
      </c>
      <c r="AU25" s="635">
        <f>IF(F25="",0,('wgl tot'!BY25*tabellen!$C$69))</f>
        <v>0</v>
      </c>
      <c r="AV25" s="635">
        <f>+'wgl tot'!AK25/12</f>
        <v>0</v>
      </c>
      <c r="AW25" s="435">
        <v>0</v>
      </c>
      <c r="AX25" s="291">
        <f t="shared" si="5"/>
        <v>0</v>
      </c>
      <c r="AY25" s="658">
        <f t="shared" si="6"/>
        <v>0</v>
      </c>
      <c r="AZ25" s="658">
        <f t="shared" si="7"/>
        <v>0</v>
      </c>
      <c r="BA25" s="402"/>
      <c r="BB25" s="641" t="str">
        <f>IF(AY25=0,"",(+'wgl tot'!AY25/'wgl tot'!P25-1))</f>
        <v/>
      </c>
      <c r="BC25" s="402"/>
      <c r="BD25" s="385"/>
      <c r="BG25" s="621">
        <f ca="1">YEAR('wgl tot'!$BG$10)-YEAR('wgl tot'!E25)</f>
        <v>115</v>
      </c>
      <c r="BH25" s="621">
        <f ca="1">MONTH('wgl tot'!$BG$10)-MONTH('wgl tot'!E25)</f>
        <v>9</v>
      </c>
      <c r="BI25" s="621">
        <f ca="1">DAY('wgl tot'!$BG$10)-DAY('wgl tot'!E25)</f>
        <v>6</v>
      </c>
      <c r="BJ25" s="613">
        <f>IF(AND('wgl tot'!F25&gt;0,'wgl tot'!F25&lt;16),0,100)</f>
        <v>100</v>
      </c>
      <c r="BK25" s="613" t="e">
        <f>VLOOKUP('wgl tot'!F25,salaristabellen,22,FALSE)</f>
        <v>#N/A</v>
      </c>
      <c r="BL25" s="613">
        <f>F25</f>
        <v>0</v>
      </c>
      <c r="BM25" s="619">
        <f t="shared" si="10"/>
        <v>42005</v>
      </c>
      <c r="BN25" s="622">
        <f t="shared" si="11"/>
        <v>0.08</v>
      </c>
      <c r="BO25" s="623">
        <f>+tabellen!$D$90</f>
        <v>6.3E-2</v>
      </c>
      <c r="BP25" s="621">
        <f>IF('wgl tot'!BJ25=100,0,'wgl tot'!F25)</f>
        <v>0</v>
      </c>
      <c r="BQ25" s="623" t="str">
        <f>IF(OR('wgl tot'!F25="DA",'wgl tot'!F25="DB",'wgl tot'!F25="DBuit",'wgl tot'!F25="DC",'wgl tot'!F25="DCuit",MID('wgl tot'!F25,1,5)="meerh"),"j","n")</f>
        <v>n</v>
      </c>
      <c r="BR25" s="623">
        <f t="shared" si="12"/>
        <v>1.9E-2</v>
      </c>
      <c r="BS25" s="624">
        <f>IF(AI25&gt;'wgl tot'!AH25,'wgl tot'!AH25,AI25)</f>
        <v>0</v>
      </c>
      <c r="BT25" s="624"/>
      <c r="BU25" s="625" t="e">
        <f>IF('wgl tot'!AJ25/'wgl tot'!H25&lt;tabellen!$E$57,0,(+'wgl tot'!AJ25-tabellen!$E$57*'wgl tot'!H25)/12*tabellen!$D$57)</f>
        <v>#DIV/0!</v>
      </c>
      <c r="BV25" s="625" t="e">
        <f>IF('wgl tot'!AJ25/'wgl tot'!H25&lt;tabellen!$E$58,0,(+'wgl tot'!AJ25-tabellen!$E$58*'wgl tot'!H25)/12*tabellen!$D$58)</f>
        <v>#DIV/0!</v>
      </c>
      <c r="BW25" s="625">
        <f>'wgl tot'!AJ25/12*tabellen!$D$59</f>
        <v>0</v>
      </c>
      <c r="BX25" s="626" t="e">
        <f t="shared" si="0"/>
        <v>#DIV/0!</v>
      </c>
      <c r="BY25" s="627" t="e">
        <f>+('wgl tot'!AF25+'wgl tot'!AK25)/12-'wgl tot'!BX25</f>
        <v>#DIV/0!</v>
      </c>
      <c r="BZ25" s="627" t="e">
        <f>ROUND(IF('wgl tot'!BY25&gt;tabellen!$H$63,tabellen!$H$63,'wgl tot'!BY25)*tabellen!$C$63,2)</f>
        <v>#DIV/0!</v>
      </c>
      <c r="CA25" s="627" t="e">
        <f>+'wgl tot'!BY25+'wgl tot'!BZ25</f>
        <v>#DIV/0!</v>
      </c>
      <c r="CB25" s="628">
        <f>YEAR(E25)</f>
        <v>1900</v>
      </c>
      <c r="CC25" s="628">
        <f>MONTH(E25)</f>
        <v>1</v>
      </c>
      <c r="CD25" s="621">
        <f>DAY(E25)</f>
        <v>0</v>
      </c>
      <c r="CE25" s="619">
        <f t="shared" si="8"/>
        <v>22462</v>
      </c>
      <c r="CF25" s="619">
        <f t="shared" ca="1" si="9"/>
        <v>42283.70841446759</v>
      </c>
      <c r="CG25" s="613"/>
      <c r="CH25" s="619"/>
      <c r="CI25" s="613"/>
      <c r="CJ25" s="624"/>
      <c r="CK25" s="624"/>
      <c r="CL25" s="624"/>
      <c r="CM25" s="624"/>
      <c r="CN25" s="624"/>
      <c r="CO25" s="624"/>
    </row>
    <row r="26" spans="2:93" ht="13.5" customHeight="1" x14ac:dyDescent="0.2">
      <c r="B26" s="384"/>
      <c r="C26" s="402"/>
      <c r="D26" s="286"/>
      <c r="E26" s="287"/>
      <c r="F26" s="288"/>
      <c r="G26" s="288"/>
      <c r="H26" s="289"/>
      <c r="I26" s="288"/>
      <c r="J26" s="288"/>
      <c r="K26" s="288"/>
      <c r="L26" s="288"/>
      <c r="M26" s="290"/>
      <c r="N26" s="402"/>
      <c r="O26" s="639">
        <f>IF(F26="",0,(VLOOKUP('wgl tot'!F26,salaristabellen,'wgl tot'!G26+1,FALSE)))</f>
        <v>0</v>
      </c>
      <c r="P26" s="661">
        <f>O26*H26</f>
        <v>0</v>
      </c>
      <c r="Q26" s="402"/>
      <c r="R26" s="633">
        <f>ROUND(IF(I26="j",VLOOKUP(BL26,uitlooptoeslag,2,FALSE))*IF('wgl tot'!H26&gt;1,1,'wgl tot'!H26),2)</f>
        <v>0</v>
      </c>
      <c r="S26" s="633">
        <f>ROUND(IF(OR('wgl tot'!F26="LA",'wgl tot'!F26="LB"),IF(J26="j",tabellen!$C$77*'wgl tot'!H26,0),0),2)</f>
        <v>0</v>
      </c>
      <c r="T26" s="633">
        <f>ROUND(IF(('wgl tot'!P26+'wgl tot'!R26+'wgl tot'!S26)*BN26&lt;'wgl tot'!H26*tabellen!$D$89,'wgl tot'!H26*tabellen!$D$89,('wgl tot'!P26+'wgl tot'!R26+'wgl tot'!S26)*BN26),2)</f>
        <v>0</v>
      </c>
      <c r="U26" s="633">
        <f>ROUND(+('wgl tot'!P26+'wgl tot'!R26+'wgl tot'!S26)*BO26,2)</f>
        <v>0</v>
      </c>
      <c r="V26" s="633">
        <f>+tabellen!$C$85*'wgl tot'!H26</f>
        <v>0</v>
      </c>
      <c r="W26" s="633">
        <f>VLOOKUP(BP26,eindejaarsuitkering_OOP,2,TRUE)*'wgl tot'!H26/12</f>
        <v>0</v>
      </c>
      <c r="X26" s="633">
        <f>ROUND(IF(BQ26="j",tabellen!$D$99*IF('wgl tot'!H26&gt;1,1,'wgl tot'!H26),0),2)</f>
        <v>0</v>
      </c>
      <c r="Y26" s="654">
        <f t="shared" si="1"/>
        <v>0</v>
      </c>
      <c r="Z26" s="404"/>
      <c r="AA26" s="405"/>
      <c r="AB26" s="632">
        <f t="shared" si="2"/>
        <v>0</v>
      </c>
      <c r="AC26" s="633">
        <f>ROUND(IF(L26="j",VLOOKUP(K26,bindingstoelage,2,FALSE))*IF('wgl tot'!H26&gt;1,1,'wgl tot'!H26),2)</f>
        <v>0</v>
      </c>
      <c r="AD26" s="633">
        <f>ROUND('wgl tot'!H26*tabellen!$D$96,2)</f>
        <v>0</v>
      </c>
      <c r="AE26" s="633">
        <f>ROUND('wgl tot'!H26*tabellen!$D$97,2)</f>
        <v>0</v>
      </c>
      <c r="AF26" s="632">
        <f t="shared" si="3"/>
        <v>0</v>
      </c>
      <c r="AG26" s="402"/>
      <c r="AH26" s="633">
        <f>+('wgl tot'!AF26/(1+1.9%))*BR26</f>
        <v>0</v>
      </c>
      <c r="AI26" s="633">
        <f>IF(F26="",0,(791.85))</f>
        <v>0</v>
      </c>
      <c r="AJ26" s="632">
        <f>ROUND('wgl tot'!AF26-IF('wgl tot'!AI26&gt;'wgl tot'!AH26,'wgl tot'!AH26,'wgl tot'!AI26),0)</f>
        <v>0</v>
      </c>
      <c r="AK26" s="634">
        <f>IF('wgl tot'!E26&lt;1950,0,+('wgl tot'!P26+'wgl tot'!R26+'wgl tot'!S26)*tabellen!$C$87)*12</f>
        <v>0</v>
      </c>
      <c r="AL26" s="402"/>
      <c r="AM26" s="633">
        <f t="shared" si="4"/>
        <v>0</v>
      </c>
      <c r="AN26" s="633">
        <f>IF(F26="",0,(IF('wgl tot'!AJ26/'wgl tot'!H26&lt;tabellen!$E$57,0,('wgl tot'!AJ26-tabellen!$E$57*'wgl tot'!H26)/12)*tabellen!$C$57))</f>
        <v>0</v>
      </c>
      <c r="AO26" s="633">
        <f>IF(F26="",0,(IF('wgl tot'!AJ26/'wgl tot'!H26&lt;tabellen!$E$58,0,(+'wgl tot'!AJ26-tabellen!$E$58*'wgl tot'!H26)/12)*tabellen!$C$58))</f>
        <v>0</v>
      </c>
      <c r="AP26" s="633">
        <f>'wgl tot'!AJ26/12*tabellen!$C$59</f>
        <v>0</v>
      </c>
      <c r="AQ26" s="633">
        <f>IF(H26=0,0,IF(BY26&gt;tabellen!$G$60/12,tabellen!$G$60/12,BY26)*(tabellen!$C$60+tabellen!$C$61))</f>
        <v>0</v>
      </c>
      <c r="AR26" s="633">
        <f>IF(F26="",0,('wgl tot'!BZ26))</f>
        <v>0</v>
      </c>
      <c r="AS26" s="635">
        <f>IF(F26="",0,(IF('wgl tot'!BY26&gt;tabellen!$G$64*'wgl tot'!H26/12,tabellen!$G$64*'wgl tot'!H26/12,'wgl tot'!BY26)*tabellen!$C$64))</f>
        <v>0</v>
      </c>
      <c r="AT26" s="635">
        <f>IF(F26="",0,('wgl tot'!BY26*IF(M26=1,tabellen!$C$65,IF(M26=2,tabellen!C77,IF(M26=3,tabellen!$C$67,tabellen!$C$68)))))</f>
        <v>0</v>
      </c>
      <c r="AU26" s="635">
        <f>IF(F26="",0,('wgl tot'!BY26*tabellen!$C$69))</f>
        <v>0</v>
      </c>
      <c r="AV26" s="635">
        <f>+'wgl tot'!AK26/12</f>
        <v>0</v>
      </c>
      <c r="AW26" s="435">
        <v>0</v>
      </c>
      <c r="AX26" s="291">
        <f t="shared" si="5"/>
        <v>0</v>
      </c>
      <c r="AY26" s="658">
        <f t="shared" si="6"/>
        <v>0</v>
      </c>
      <c r="AZ26" s="658">
        <f t="shared" si="7"/>
        <v>0</v>
      </c>
      <c r="BA26" s="402"/>
      <c r="BB26" s="641" t="str">
        <f>IF(AY26=0,"",(+'wgl tot'!AY26/'wgl tot'!P26-1))</f>
        <v/>
      </c>
      <c r="BC26" s="402"/>
      <c r="BD26" s="385"/>
      <c r="BG26" s="621">
        <f ca="1">YEAR('wgl tot'!$BG$10)-YEAR('wgl tot'!E26)</f>
        <v>115</v>
      </c>
      <c r="BH26" s="621">
        <f ca="1">MONTH('wgl tot'!$BG$10)-MONTH('wgl tot'!E26)</f>
        <v>9</v>
      </c>
      <c r="BI26" s="621">
        <f ca="1">DAY('wgl tot'!$BG$10)-DAY('wgl tot'!E26)</f>
        <v>6</v>
      </c>
      <c r="BJ26" s="613">
        <f>IF(AND('wgl tot'!F26&gt;0,'wgl tot'!F26&lt;16),0,100)</f>
        <v>100</v>
      </c>
      <c r="BK26" s="613" t="e">
        <f>VLOOKUP('wgl tot'!F26,salaristabellen,22,FALSE)</f>
        <v>#N/A</v>
      </c>
      <c r="BL26" s="613">
        <f>F26</f>
        <v>0</v>
      </c>
      <c r="BM26" s="619">
        <f t="shared" si="10"/>
        <v>42005</v>
      </c>
      <c r="BN26" s="622">
        <f t="shared" si="11"/>
        <v>0.08</v>
      </c>
      <c r="BO26" s="623">
        <f>+tabellen!$D$90</f>
        <v>6.3E-2</v>
      </c>
      <c r="BP26" s="621">
        <f>IF('wgl tot'!BJ26=100,0,'wgl tot'!F26)</f>
        <v>0</v>
      </c>
      <c r="BQ26" s="623" t="str">
        <f>IF(OR('wgl tot'!F26="DA",'wgl tot'!F26="DB",'wgl tot'!F26="DBuit",'wgl tot'!F26="DC",'wgl tot'!F26="DCuit",MID('wgl tot'!F26,1,5)="meerh"),"j","n")</f>
        <v>n</v>
      </c>
      <c r="BR26" s="623">
        <f t="shared" si="12"/>
        <v>1.9E-2</v>
      </c>
      <c r="BS26" s="624">
        <f>IF(AI26&gt;'wgl tot'!AH26,'wgl tot'!AH26,AI26)</f>
        <v>0</v>
      </c>
      <c r="BT26" s="624"/>
      <c r="BU26" s="625" t="e">
        <f>IF('wgl tot'!AJ26/'wgl tot'!H26&lt;tabellen!$E$57,0,(+'wgl tot'!AJ26-tabellen!$E$57*'wgl tot'!H26)/12*tabellen!$D$57)</f>
        <v>#DIV/0!</v>
      </c>
      <c r="BV26" s="625" t="e">
        <f>IF('wgl tot'!AJ26/'wgl tot'!H26&lt;tabellen!$E$58,0,(+'wgl tot'!AJ26-tabellen!$E$58*'wgl tot'!H26)/12*tabellen!$D$58)</f>
        <v>#DIV/0!</v>
      </c>
      <c r="BW26" s="625">
        <f>'wgl tot'!AJ26/12*tabellen!$D$59</f>
        <v>0</v>
      </c>
      <c r="BX26" s="626" t="e">
        <f t="shared" si="0"/>
        <v>#DIV/0!</v>
      </c>
      <c r="BY26" s="627" t="e">
        <f>+('wgl tot'!AF26+'wgl tot'!AK26)/12-'wgl tot'!BX26</f>
        <v>#DIV/0!</v>
      </c>
      <c r="BZ26" s="627" t="e">
        <f>ROUND(IF('wgl tot'!BY26&gt;tabellen!$H$63,tabellen!$H$63,'wgl tot'!BY26)*tabellen!$C$63,2)</f>
        <v>#DIV/0!</v>
      </c>
      <c r="CA26" s="627" t="e">
        <f>+'wgl tot'!BY26+'wgl tot'!BZ26</f>
        <v>#DIV/0!</v>
      </c>
      <c r="CB26" s="628">
        <f>YEAR(E26)</f>
        <v>1900</v>
      </c>
      <c r="CC26" s="628">
        <f>MONTH(E26)</f>
        <v>1</v>
      </c>
      <c r="CD26" s="621">
        <f>DAY(E26)</f>
        <v>0</v>
      </c>
      <c r="CE26" s="619">
        <f t="shared" si="8"/>
        <v>22462</v>
      </c>
      <c r="CF26" s="619">
        <f t="shared" ca="1" si="9"/>
        <v>42283.70841446759</v>
      </c>
      <c r="CG26" s="613"/>
      <c r="CH26" s="619"/>
      <c r="CI26" s="613"/>
      <c r="CJ26" s="624"/>
      <c r="CK26" s="624"/>
      <c r="CL26" s="624"/>
      <c r="CM26" s="624"/>
      <c r="CN26" s="624"/>
      <c r="CO26" s="624"/>
    </row>
    <row r="27" spans="2:93" ht="13.5" customHeight="1" x14ac:dyDescent="0.2">
      <c r="B27" s="384"/>
      <c r="C27" s="402"/>
      <c r="D27" s="286"/>
      <c r="E27" s="287"/>
      <c r="F27" s="288"/>
      <c r="G27" s="288"/>
      <c r="H27" s="289"/>
      <c r="I27" s="288"/>
      <c r="J27" s="288"/>
      <c r="K27" s="288"/>
      <c r="L27" s="288"/>
      <c r="M27" s="290"/>
      <c r="N27" s="402"/>
      <c r="O27" s="639">
        <f>IF(F27="",0,(VLOOKUP('wgl tot'!F27,salaristabellen,'wgl tot'!G27+1,FALSE)))</f>
        <v>0</v>
      </c>
      <c r="P27" s="661">
        <f>O27*H27</f>
        <v>0</v>
      </c>
      <c r="Q27" s="402"/>
      <c r="R27" s="633">
        <f>ROUND(IF(I27="j",VLOOKUP(BL27,uitlooptoeslag,2,FALSE))*IF('wgl tot'!H27&gt;1,1,'wgl tot'!H27),2)</f>
        <v>0</v>
      </c>
      <c r="S27" s="633">
        <f>ROUND(IF(OR('wgl tot'!F27="LA",'wgl tot'!F27="LB"),IF(J27="j",tabellen!$C$77*'wgl tot'!H27,0),0),2)</f>
        <v>0</v>
      </c>
      <c r="T27" s="633">
        <f>ROUND(IF(('wgl tot'!P27+'wgl tot'!R27+'wgl tot'!S27)*BN27&lt;'wgl tot'!H27*tabellen!$D$89,'wgl tot'!H27*tabellen!$D$89,('wgl tot'!P27+'wgl tot'!R27+'wgl tot'!S27)*BN27),2)</f>
        <v>0</v>
      </c>
      <c r="U27" s="633">
        <f>ROUND(+('wgl tot'!P27+'wgl tot'!R27+'wgl tot'!S27)*BO27,2)</f>
        <v>0</v>
      </c>
      <c r="V27" s="633">
        <f>+tabellen!$C$85*'wgl tot'!H27</f>
        <v>0</v>
      </c>
      <c r="W27" s="633">
        <f>VLOOKUP(BP27,eindejaarsuitkering_OOP,2,TRUE)*'wgl tot'!H27/12</f>
        <v>0</v>
      </c>
      <c r="X27" s="633">
        <f>ROUND(IF(BQ27="j",tabellen!$D$99*IF('wgl tot'!H27&gt;1,1,'wgl tot'!H27),0),2)</f>
        <v>0</v>
      </c>
      <c r="Y27" s="654">
        <f t="shared" si="1"/>
        <v>0</v>
      </c>
      <c r="Z27" s="404"/>
      <c r="AA27" s="405"/>
      <c r="AB27" s="632">
        <f t="shared" si="2"/>
        <v>0</v>
      </c>
      <c r="AC27" s="633">
        <f>ROUND(IF(L27="j",VLOOKUP(K27,bindingstoelage,2,FALSE))*IF('wgl tot'!H27&gt;1,1,'wgl tot'!H27),2)</f>
        <v>0</v>
      </c>
      <c r="AD27" s="633">
        <f>ROUND('wgl tot'!H27*tabellen!$D$96,2)</f>
        <v>0</v>
      </c>
      <c r="AE27" s="633">
        <f>ROUND('wgl tot'!H27*tabellen!$D$97,2)</f>
        <v>0</v>
      </c>
      <c r="AF27" s="632">
        <f t="shared" si="3"/>
        <v>0</v>
      </c>
      <c r="AG27" s="402"/>
      <c r="AH27" s="633">
        <f>+('wgl tot'!AF27/(1+1.9%))*BR27</f>
        <v>0</v>
      </c>
      <c r="AI27" s="633">
        <f>IF(F27="",0,(791.85))</f>
        <v>0</v>
      </c>
      <c r="AJ27" s="632">
        <f>ROUND('wgl tot'!AF27-IF('wgl tot'!AI27&gt;'wgl tot'!AH27,'wgl tot'!AH27,'wgl tot'!AI27),0)</f>
        <v>0</v>
      </c>
      <c r="AK27" s="634">
        <f>IF('wgl tot'!E27&lt;1950,0,+('wgl tot'!P27+'wgl tot'!R27+'wgl tot'!S27)*tabellen!$C$87)*12</f>
        <v>0</v>
      </c>
      <c r="AL27" s="402"/>
      <c r="AM27" s="633">
        <f t="shared" si="4"/>
        <v>0</v>
      </c>
      <c r="AN27" s="633">
        <f>IF(F27="",0,(IF('wgl tot'!AJ27/'wgl tot'!H27&lt;tabellen!$E$57,0,('wgl tot'!AJ27-tabellen!$E$57*'wgl tot'!H27)/12)*tabellen!$C$57))</f>
        <v>0</v>
      </c>
      <c r="AO27" s="633">
        <f>IF(F27="",0,(IF('wgl tot'!AJ27/'wgl tot'!H27&lt;tabellen!$E$58,0,(+'wgl tot'!AJ27-tabellen!$E$58*'wgl tot'!H27)/12)*tabellen!$C$58))</f>
        <v>0</v>
      </c>
      <c r="AP27" s="633">
        <f>'wgl tot'!AJ27/12*tabellen!$C$59</f>
        <v>0</v>
      </c>
      <c r="AQ27" s="633">
        <f>IF(H27=0,0,IF(BY27&gt;tabellen!$G$60/12,tabellen!$G$60/12,BY27)*(tabellen!$C$60+tabellen!$C$61))</f>
        <v>0</v>
      </c>
      <c r="AR27" s="633">
        <f>IF(F27="",0,('wgl tot'!BZ27))</f>
        <v>0</v>
      </c>
      <c r="AS27" s="635">
        <f>IF(F27="",0,(IF('wgl tot'!BY27&gt;tabellen!$G$64*'wgl tot'!H27/12,tabellen!$G$64*'wgl tot'!H27/12,'wgl tot'!BY27)*tabellen!$C$64))</f>
        <v>0</v>
      </c>
      <c r="AT27" s="635">
        <f>IF(F27="",0,('wgl tot'!BY27*IF(M27=1,tabellen!$C$65,IF(M27=2,tabellen!C78,IF(M27=3,tabellen!$C$67,tabellen!$C$68)))))</f>
        <v>0</v>
      </c>
      <c r="AU27" s="635">
        <f>IF(F27="",0,('wgl tot'!BY27*tabellen!$C$69))</f>
        <v>0</v>
      </c>
      <c r="AV27" s="635">
        <f>+'wgl tot'!AK27/12</f>
        <v>0</v>
      </c>
      <c r="AW27" s="435">
        <v>0</v>
      </c>
      <c r="AX27" s="291">
        <f t="shared" si="5"/>
        <v>0</v>
      </c>
      <c r="AY27" s="658">
        <f t="shared" si="6"/>
        <v>0</v>
      </c>
      <c r="AZ27" s="658">
        <f t="shared" si="7"/>
        <v>0</v>
      </c>
      <c r="BA27" s="402"/>
      <c r="BB27" s="641" t="str">
        <f>IF(AY27=0,"",(+'wgl tot'!AY27/'wgl tot'!P27-1))</f>
        <v/>
      </c>
      <c r="BC27" s="402"/>
      <c r="BD27" s="385"/>
      <c r="BG27" s="621">
        <f ca="1">YEAR('wgl tot'!$BG$10)-YEAR('wgl tot'!E27)</f>
        <v>115</v>
      </c>
      <c r="BH27" s="621">
        <f ca="1">MONTH('wgl tot'!$BG$10)-MONTH('wgl tot'!E27)</f>
        <v>9</v>
      </c>
      <c r="BI27" s="621">
        <f ca="1">DAY('wgl tot'!$BG$10)-DAY('wgl tot'!E27)</f>
        <v>6</v>
      </c>
      <c r="BJ27" s="613">
        <f>IF(AND('wgl tot'!F27&gt;0,'wgl tot'!F27&lt;16),0,100)</f>
        <v>100</v>
      </c>
      <c r="BK27" s="613" t="e">
        <f>VLOOKUP('wgl tot'!F27,salaristabellen,22,FALSE)</f>
        <v>#N/A</v>
      </c>
      <c r="BL27" s="613">
        <f>F27</f>
        <v>0</v>
      </c>
      <c r="BM27" s="619">
        <f t="shared" si="10"/>
        <v>42005</v>
      </c>
      <c r="BN27" s="622">
        <f t="shared" si="11"/>
        <v>0.08</v>
      </c>
      <c r="BO27" s="623">
        <f>+tabellen!$D$90</f>
        <v>6.3E-2</v>
      </c>
      <c r="BP27" s="621">
        <f>IF('wgl tot'!BJ27=100,0,'wgl tot'!F27)</f>
        <v>0</v>
      </c>
      <c r="BQ27" s="623" t="str">
        <f>IF(OR('wgl tot'!F27="DA",'wgl tot'!F27="DB",'wgl tot'!F27="DBuit",'wgl tot'!F27="DC",'wgl tot'!F27="DCuit",MID('wgl tot'!F27,1,5)="meerh"),"j","n")</f>
        <v>n</v>
      </c>
      <c r="BR27" s="623">
        <f t="shared" si="12"/>
        <v>1.9E-2</v>
      </c>
      <c r="BS27" s="624">
        <f>IF(AI27&gt;'wgl tot'!AH27,'wgl tot'!AH27,AI27)</f>
        <v>0</v>
      </c>
      <c r="BT27" s="624"/>
      <c r="BU27" s="625" t="e">
        <f>IF('wgl tot'!AJ27/'wgl tot'!H27&lt;tabellen!$E$57,0,(+'wgl tot'!AJ27-tabellen!$E$57*'wgl tot'!H27)/12*tabellen!$D$57)</f>
        <v>#DIV/0!</v>
      </c>
      <c r="BV27" s="625" t="e">
        <f>IF('wgl tot'!AJ27/'wgl tot'!H27&lt;tabellen!$E$58,0,(+'wgl tot'!AJ27-tabellen!$E$58*'wgl tot'!H27)/12*tabellen!$D$58)</f>
        <v>#DIV/0!</v>
      </c>
      <c r="BW27" s="625">
        <f>'wgl tot'!AJ27/12*tabellen!$D$59</f>
        <v>0</v>
      </c>
      <c r="BX27" s="626" t="e">
        <f t="shared" si="0"/>
        <v>#DIV/0!</v>
      </c>
      <c r="BY27" s="627" t="e">
        <f>+('wgl tot'!AF27+'wgl tot'!AK27)/12-'wgl tot'!BX27</f>
        <v>#DIV/0!</v>
      </c>
      <c r="BZ27" s="627" t="e">
        <f>ROUND(IF('wgl tot'!BY27&gt;tabellen!$H$63,tabellen!$H$63,'wgl tot'!BY27)*tabellen!$C$63,2)</f>
        <v>#DIV/0!</v>
      </c>
      <c r="CA27" s="627" t="e">
        <f>+'wgl tot'!BY27+'wgl tot'!BZ27</f>
        <v>#DIV/0!</v>
      </c>
      <c r="CB27" s="628">
        <f>YEAR(E27)</f>
        <v>1900</v>
      </c>
      <c r="CC27" s="628">
        <f>MONTH(E27)</f>
        <v>1</v>
      </c>
      <c r="CD27" s="621">
        <f>DAY(E27)</f>
        <v>0</v>
      </c>
      <c r="CE27" s="619">
        <f t="shared" si="8"/>
        <v>22462</v>
      </c>
      <c r="CF27" s="619">
        <f t="shared" ca="1" si="9"/>
        <v>42283.70841446759</v>
      </c>
      <c r="CG27" s="613"/>
      <c r="CH27" s="619"/>
      <c r="CI27" s="613"/>
      <c r="CJ27" s="624"/>
      <c r="CK27" s="624"/>
      <c r="CL27" s="624"/>
      <c r="CM27" s="624"/>
      <c r="CN27" s="624"/>
      <c r="CO27" s="624"/>
    </row>
    <row r="28" spans="2:93" ht="13.5" customHeight="1" x14ac:dyDescent="0.2">
      <c r="B28" s="384"/>
      <c r="C28" s="402"/>
      <c r="D28" s="286"/>
      <c r="E28" s="287"/>
      <c r="F28" s="288"/>
      <c r="G28" s="288"/>
      <c r="H28" s="289"/>
      <c r="I28" s="288"/>
      <c r="J28" s="288"/>
      <c r="K28" s="288"/>
      <c r="L28" s="288"/>
      <c r="M28" s="290"/>
      <c r="N28" s="402"/>
      <c r="O28" s="639">
        <f>IF(F28="",0,(VLOOKUP('wgl tot'!F28,salaristabellen,'wgl tot'!G28+1,FALSE)))</f>
        <v>0</v>
      </c>
      <c r="P28" s="661">
        <f>O28*H28</f>
        <v>0</v>
      </c>
      <c r="Q28" s="402"/>
      <c r="R28" s="633">
        <f>ROUND(IF(I28="j",VLOOKUP(BL28,uitlooptoeslag,2,FALSE))*IF('wgl tot'!H28&gt;1,1,'wgl tot'!H28),2)</f>
        <v>0</v>
      </c>
      <c r="S28" s="633">
        <f>ROUND(IF(OR('wgl tot'!F28="LA",'wgl tot'!F28="LB"),IF(J28="j",tabellen!$C$77*'wgl tot'!H28,0),0),2)</f>
        <v>0</v>
      </c>
      <c r="T28" s="633">
        <f>ROUND(IF(('wgl tot'!P28+'wgl tot'!R28+'wgl tot'!S28)*BN28&lt;'wgl tot'!H28*tabellen!$D$89,'wgl tot'!H28*tabellen!$D$89,('wgl tot'!P28+'wgl tot'!R28+'wgl tot'!S28)*BN28),2)</f>
        <v>0</v>
      </c>
      <c r="U28" s="633">
        <f>ROUND(+('wgl tot'!P28+'wgl tot'!R28+'wgl tot'!S28)*BO28,2)</f>
        <v>0</v>
      </c>
      <c r="V28" s="633">
        <f>+tabellen!$C$85*'wgl tot'!H28</f>
        <v>0</v>
      </c>
      <c r="W28" s="633">
        <f>VLOOKUP(BP28,eindejaarsuitkering_OOP,2,TRUE)*'wgl tot'!H28/12</f>
        <v>0</v>
      </c>
      <c r="X28" s="633">
        <f>ROUND(IF(BQ28="j",tabellen!$D$99*IF('wgl tot'!H28&gt;1,1,'wgl tot'!H28),0),2)</f>
        <v>0</v>
      </c>
      <c r="Y28" s="654">
        <f t="shared" si="1"/>
        <v>0</v>
      </c>
      <c r="Z28" s="404"/>
      <c r="AA28" s="405"/>
      <c r="AB28" s="632">
        <f t="shared" si="2"/>
        <v>0</v>
      </c>
      <c r="AC28" s="633">
        <f>ROUND(IF(L28="j",VLOOKUP(K28,bindingstoelage,2,FALSE))*IF('wgl tot'!H28&gt;1,1,'wgl tot'!H28),2)</f>
        <v>0</v>
      </c>
      <c r="AD28" s="633">
        <f>ROUND('wgl tot'!H28*tabellen!$D$96,2)</f>
        <v>0</v>
      </c>
      <c r="AE28" s="633">
        <f>ROUND('wgl tot'!H28*tabellen!$D$97,2)</f>
        <v>0</v>
      </c>
      <c r="AF28" s="632">
        <f t="shared" si="3"/>
        <v>0</v>
      </c>
      <c r="AG28" s="402"/>
      <c r="AH28" s="633">
        <f>+('wgl tot'!AF28/(1+1.9%))*BR28</f>
        <v>0</v>
      </c>
      <c r="AI28" s="633">
        <f>IF(F28="",0,(791.85))</f>
        <v>0</v>
      </c>
      <c r="AJ28" s="632">
        <f>ROUND('wgl tot'!AF28-IF('wgl tot'!AI28&gt;'wgl tot'!AH28,'wgl tot'!AH28,'wgl tot'!AI28),0)</f>
        <v>0</v>
      </c>
      <c r="AK28" s="634">
        <f>IF('wgl tot'!E28&lt;1950,0,+('wgl tot'!P28+'wgl tot'!R28+'wgl tot'!S28)*tabellen!$C$87)*12</f>
        <v>0</v>
      </c>
      <c r="AL28" s="402"/>
      <c r="AM28" s="633">
        <f t="shared" si="4"/>
        <v>0</v>
      </c>
      <c r="AN28" s="633">
        <f>IF(F28="",0,(IF('wgl tot'!AJ28/'wgl tot'!H28&lt;tabellen!$E$57,0,('wgl tot'!AJ28-tabellen!$E$57*'wgl tot'!H28)/12)*tabellen!$C$57))</f>
        <v>0</v>
      </c>
      <c r="AO28" s="633">
        <f>IF(F28="",0,(IF('wgl tot'!AJ28/'wgl tot'!H28&lt;tabellen!$E$58,0,(+'wgl tot'!AJ28-tabellen!$E$58*'wgl tot'!H28)/12)*tabellen!$C$58))</f>
        <v>0</v>
      </c>
      <c r="AP28" s="633">
        <f>'wgl tot'!AJ28/12*tabellen!$C$59</f>
        <v>0</v>
      </c>
      <c r="AQ28" s="633">
        <f>IF(H28=0,0,IF(BY28&gt;tabellen!$G$60/12,tabellen!$G$60/12,BY28)*(tabellen!$C$60+tabellen!$C$61))</f>
        <v>0</v>
      </c>
      <c r="AR28" s="633">
        <f>IF(F28="",0,('wgl tot'!BZ28))</f>
        <v>0</v>
      </c>
      <c r="AS28" s="635">
        <f>IF(F28="",0,(IF('wgl tot'!BY28&gt;tabellen!$G$64*'wgl tot'!H28/12,tabellen!$G$64*'wgl tot'!H28/12,'wgl tot'!BY28)*tabellen!$C$64))</f>
        <v>0</v>
      </c>
      <c r="AT28" s="635">
        <f>IF(F28="",0,('wgl tot'!BY28*IF(M28=1,tabellen!$C$65,IF(M28=2,tabellen!C79,IF(M28=3,tabellen!$C$67,tabellen!$C$68)))))</f>
        <v>0</v>
      </c>
      <c r="AU28" s="635">
        <f>IF(F28="",0,('wgl tot'!BY28*tabellen!$C$69))</f>
        <v>0</v>
      </c>
      <c r="AV28" s="635">
        <f>+'wgl tot'!AK28/12</f>
        <v>0</v>
      </c>
      <c r="AW28" s="435">
        <v>0</v>
      </c>
      <c r="AX28" s="291">
        <f t="shared" si="5"/>
        <v>0</v>
      </c>
      <c r="AY28" s="658">
        <f t="shared" si="6"/>
        <v>0</v>
      </c>
      <c r="AZ28" s="658">
        <f t="shared" si="7"/>
        <v>0</v>
      </c>
      <c r="BA28" s="402"/>
      <c r="BB28" s="641" t="str">
        <f>IF(AY28=0,"",(+'wgl tot'!AY28/'wgl tot'!P28-1))</f>
        <v/>
      </c>
      <c r="BC28" s="402"/>
      <c r="BD28" s="385"/>
      <c r="BG28" s="621">
        <f ca="1">YEAR('wgl tot'!$BG$10)-YEAR('wgl tot'!E28)</f>
        <v>115</v>
      </c>
      <c r="BH28" s="621">
        <f ca="1">MONTH('wgl tot'!$BG$10)-MONTH('wgl tot'!E28)</f>
        <v>9</v>
      </c>
      <c r="BI28" s="621">
        <f ca="1">DAY('wgl tot'!$BG$10)-DAY('wgl tot'!E28)</f>
        <v>6</v>
      </c>
      <c r="BJ28" s="613">
        <f>IF(AND('wgl tot'!F28&gt;0,'wgl tot'!F28&lt;16),0,100)</f>
        <v>100</v>
      </c>
      <c r="BK28" s="613" t="e">
        <f>VLOOKUP('wgl tot'!F28,salaristabellen,22,FALSE)</f>
        <v>#N/A</v>
      </c>
      <c r="BL28" s="613">
        <f>F28</f>
        <v>0</v>
      </c>
      <c r="BM28" s="619">
        <f t="shared" si="10"/>
        <v>42005</v>
      </c>
      <c r="BN28" s="622">
        <f t="shared" si="11"/>
        <v>0.08</v>
      </c>
      <c r="BO28" s="623">
        <f>+tabellen!$D$90</f>
        <v>6.3E-2</v>
      </c>
      <c r="BP28" s="621">
        <f>IF('wgl tot'!BJ28=100,0,'wgl tot'!F28)</f>
        <v>0</v>
      </c>
      <c r="BQ28" s="623" t="str">
        <f>IF(OR('wgl tot'!F28="DA",'wgl tot'!F28="DB",'wgl tot'!F28="DBuit",'wgl tot'!F28="DC",'wgl tot'!F28="DCuit",MID('wgl tot'!F28,1,5)="meerh"),"j","n")</f>
        <v>n</v>
      </c>
      <c r="BR28" s="623">
        <f t="shared" si="12"/>
        <v>1.9E-2</v>
      </c>
      <c r="BS28" s="624">
        <f>IF(AI28&gt;'wgl tot'!AH28,'wgl tot'!AH28,AI28)</f>
        <v>0</v>
      </c>
      <c r="BT28" s="624"/>
      <c r="BU28" s="625" t="e">
        <f>IF('wgl tot'!AJ28/'wgl tot'!H28&lt;tabellen!$E$57,0,(+'wgl tot'!AJ28-tabellen!$E$57*'wgl tot'!H28)/12*tabellen!$D$57)</f>
        <v>#DIV/0!</v>
      </c>
      <c r="BV28" s="625" t="e">
        <f>IF('wgl tot'!AJ28/'wgl tot'!H28&lt;tabellen!$E$58,0,(+'wgl tot'!AJ28-tabellen!$E$58*'wgl tot'!H28)/12*tabellen!$D$58)</f>
        <v>#DIV/0!</v>
      </c>
      <c r="BW28" s="625">
        <f>'wgl tot'!AJ28/12*tabellen!$D$59</f>
        <v>0</v>
      </c>
      <c r="BX28" s="626" t="e">
        <f t="shared" ref="BX28:BX69" si="13">SUM(BU28:BW28)</f>
        <v>#DIV/0!</v>
      </c>
      <c r="BY28" s="627" t="e">
        <f>+('wgl tot'!AF28+'wgl tot'!AK28)/12-'wgl tot'!BX28</f>
        <v>#DIV/0!</v>
      </c>
      <c r="BZ28" s="627" t="e">
        <f>ROUND(IF('wgl tot'!BY28&gt;tabellen!$H$63,tabellen!$H$63,'wgl tot'!BY28)*tabellen!$C$63,2)</f>
        <v>#DIV/0!</v>
      </c>
      <c r="CA28" s="627" t="e">
        <f>+'wgl tot'!BY28+'wgl tot'!BZ28</f>
        <v>#DIV/0!</v>
      </c>
      <c r="CB28" s="628">
        <f>YEAR(E28)</f>
        <v>1900</v>
      </c>
      <c r="CC28" s="628">
        <f>MONTH(E28)</f>
        <v>1</v>
      </c>
      <c r="CD28" s="621">
        <f>DAY(E28)</f>
        <v>0</v>
      </c>
      <c r="CE28" s="619">
        <f t="shared" si="8"/>
        <v>22462</v>
      </c>
      <c r="CF28" s="619">
        <f t="shared" ca="1" si="9"/>
        <v>42283.70841446759</v>
      </c>
      <c r="CG28" s="613"/>
      <c r="CH28" s="619"/>
      <c r="CI28" s="613"/>
      <c r="CJ28" s="624"/>
      <c r="CK28" s="624"/>
      <c r="CL28" s="624"/>
      <c r="CM28" s="624"/>
      <c r="CN28" s="624"/>
      <c r="CO28" s="624"/>
    </row>
    <row r="29" spans="2:93" ht="13.5" customHeight="1" x14ac:dyDescent="0.2">
      <c r="B29" s="384"/>
      <c r="C29" s="402"/>
      <c r="D29" s="286"/>
      <c r="E29" s="287"/>
      <c r="F29" s="288"/>
      <c r="G29" s="288"/>
      <c r="H29" s="289"/>
      <c r="I29" s="288"/>
      <c r="J29" s="288"/>
      <c r="K29" s="288"/>
      <c r="L29" s="288"/>
      <c r="M29" s="290"/>
      <c r="N29" s="402"/>
      <c r="O29" s="639">
        <f>IF(F29="",0,(VLOOKUP('wgl tot'!F29,salaristabellen,'wgl tot'!G29+1,FALSE)))</f>
        <v>0</v>
      </c>
      <c r="P29" s="661">
        <f>O29*H29</f>
        <v>0</v>
      </c>
      <c r="Q29" s="402"/>
      <c r="R29" s="633">
        <f>ROUND(IF(I29="j",VLOOKUP(BL29,uitlooptoeslag,2,FALSE))*IF('wgl tot'!H29&gt;1,1,'wgl tot'!H29),2)</f>
        <v>0</v>
      </c>
      <c r="S29" s="633">
        <f>ROUND(IF(OR('wgl tot'!F29="LA",'wgl tot'!F29="LB"),IF(J29="j",tabellen!$C$77*'wgl tot'!H29,0),0),2)</f>
        <v>0</v>
      </c>
      <c r="T29" s="633">
        <f>ROUND(IF(('wgl tot'!P29+'wgl tot'!R29+'wgl tot'!S29)*BN29&lt;'wgl tot'!H29*tabellen!$D$89,'wgl tot'!H29*tabellen!$D$89,('wgl tot'!P29+'wgl tot'!R29+'wgl tot'!S29)*BN29),2)</f>
        <v>0</v>
      </c>
      <c r="U29" s="633">
        <f>ROUND(+('wgl tot'!P29+'wgl tot'!R29+'wgl tot'!S29)*BO29,2)</f>
        <v>0</v>
      </c>
      <c r="V29" s="633">
        <f>+tabellen!$C$85*'wgl tot'!H29</f>
        <v>0</v>
      </c>
      <c r="W29" s="633">
        <f>VLOOKUP(BP29,eindejaarsuitkering_OOP,2,TRUE)*'wgl tot'!H29/12</f>
        <v>0</v>
      </c>
      <c r="X29" s="633">
        <f>ROUND(IF(BQ29="j",tabellen!$D$99*IF('wgl tot'!H29&gt;1,1,'wgl tot'!H29),0),2)</f>
        <v>0</v>
      </c>
      <c r="Y29" s="654">
        <f t="shared" si="1"/>
        <v>0</v>
      </c>
      <c r="Z29" s="404"/>
      <c r="AA29" s="405"/>
      <c r="AB29" s="632">
        <f t="shared" si="2"/>
        <v>0</v>
      </c>
      <c r="AC29" s="633">
        <f>ROUND(IF(L29="j",VLOOKUP(K29,bindingstoelage,2,FALSE))*IF('wgl tot'!H29&gt;1,1,'wgl tot'!H29),2)</f>
        <v>0</v>
      </c>
      <c r="AD29" s="633">
        <f>ROUND('wgl tot'!H29*tabellen!$D$96,2)</f>
        <v>0</v>
      </c>
      <c r="AE29" s="633">
        <f>ROUND('wgl tot'!H29*tabellen!$D$97,2)</f>
        <v>0</v>
      </c>
      <c r="AF29" s="632">
        <f t="shared" si="3"/>
        <v>0</v>
      </c>
      <c r="AG29" s="402"/>
      <c r="AH29" s="633">
        <f>+('wgl tot'!AF29/(1+1.9%))*BR29</f>
        <v>0</v>
      </c>
      <c r="AI29" s="633">
        <f>IF(F29="",0,(791.85))</f>
        <v>0</v>
      </c>
      <c r="AJ29" s="632">
        <f>ROUND('wgl tot'!AF29-IF('wgl tot'!AI29&gt;'wgl tot'!AH29,'wgl tot'!AH29,'wgl tot'!AI29),0)</f>
        <v>0</v>
      </c>
      <c r="AK29" s="634">
        <f>IF('wgl tot'!E29&lt;1950,0,+('wgl tot'!P29+'wgl tot'!R29+'wgl tot'!S29)*tabellen!$C$87)*12</f>
        <v>0</v>
      </c>
      <c r="AL29" s="402"/>
      <c r="AM29" s="633">
        <f t="shared" si="4"/>
        <v>0</v>
      </c>
      <c r="AN29" s="633">
        <f>IF(F29="",0,(IF('wgl tot'!AJ29/'wgl tot'!H29&lt;tabellen!$E$57,0,('wgl tot'!AJ29-tabellen!$E$57*'wgl tot'!H29)/12)*tabellen!$C$57))</f>
        <v>0</v>
      </c>
      <c r="AO29" s="633">
        <f>IF(F29="",0,(IF('wgl tot'!AJ29/'wgl tot'!H29&lt;tabellen!$E$58,0,(+'wgl tot'!AJ29-tabellen!$E$58*'wgl tot'!H29)/12)*tabellen!$C$58))</f>
        <v>0</v>
      </c>
      <c r="AP29" s="633">
        <f>'wgl tot'!AJ29/12*tabellen!$C$59</f>
        <v>0</v>
      </c>
      <c r="AQ29" s="633">
        <f>IF(H29=0,0,IF(BY29&gt;tabellen!$G$60/12,tabellen!$G$60/12,BY29)*(tabellen!$C$60+tabellen!$C$61))</f>
        <v>0</v>
      </c>
      <c r="AR29" s="633">
        <f>IF(F29="",0,('wgl tot'!BZ29))</f>
        <v>0</v>
      </c>
      <c r="AS29" s="635">
        <f>IF(F29="",0,(IF('wgl tot'!BY29&gt;tabellen!$G$64*'wgl tot'!H29/12,tabellen!$G$64*'wgl tot'!H29/12,'wgl tot'!BY29)*tabellen!$C$64))</f>
        <v>0</v>
      </c>
      <c r="AT29" s="635">
        <f>IF(F29="",0,('wgl tot'!BY29*IF(M29=1,tabellen!$C$65,IF(M29=2,tabellen!C80,IF(M29=3,tabellen!$C$67,tabellen!$C$68)))))</f>
        <v>0</v>
      </c>
      <c r="AU29" s="635">
        <f>IF(F29="",0,('wgl tot'!BY29*tabellen!$C$69))</f>
        <v>0</v>
      </c>
      <c r="AV29" s="635">
        <f>+'wgl tot'!AK29/12</f>
        <v>0</v>
      </c>
      <c r="AW29" s="435">
        <v>0</v>
      </c>
      <c r="AX29" s="291">
        <f t="shared" si="5"/>
        <v>0</v>
      </c>
      <c r="AY29" s="658">
        <f t="shared" si="6"/>
        <v>0</v>
      </c>
      <c r="AZ29" s="658">
        <f t="shared" si="7"/>
        <v>0</v>
      </c>
      <c r="BA29" s="402"/>
      <c r="BB29" s="641" t="str">
        <f>IF(AY29=0,"",(+'wgl tot'!AY29/'wgl tot'!P29-1))</f>
        <v/>
      </c>
      <c r="BC29" s="402"/>
      <c r="BD29" s="385"/>
      <c r="BG29" s="621">
        <f ca="1">YEAR('wgl tot'!$BG$10)-YEAR('wgl tot'!E29)</f>
        <v>115</v>
      </c>
      <c r="BH29" s="621">
        <f ca="1">MONTH('wgl tot'!$BG$10)-MONTH('wgl tot'!E29)</f>
        <v>9</v>
      </c>
      <c r="BI29" s="621">
        <f ca="1">DAY('wgl tot'!$BG$10)-DAY('wgl tot'!E29)</f>
        <v>6</v>
      </c>
      <c r="BJ29" s="613">
        <f>IF(AND('wgl tot'!F29&gt;0,'wgl tot'!F29&lt;16),0,100)</f>
        <v>100</v>
      </c>
      <c r="BK29" s="613" t="e">
        <f>VLOOKUP('wgl tot'!F29,salaristabellen,22,FALSE)</f>
        <v>#N/A</v>
      </c>
      <c r="BL29" s="613">
        <f>F29</f>
        <v>0</v>
      </c>
      <c r="BM29" s="619">
        <f t="shared" si="10"/>
        <v>42005</v>
      </c>
      <c r="BN29" s="622">
        <f t="shared" si="11"/>
        <v>0.08</v>
      </c>
      <c r="BO29" s="623">
        <f>+tabellen!$D$90</f>
        <v>6.3E-2</v>
      </c>
      <c r="BP29" s="621">
        <f>IF('wgl tot'!BJ29=100,0,'wgl tot'!F29)</f>
        <v>0</v>
      </c>
      <c r="BQ29" s="623" t="str">
        <f>IF(OR('wgl tot'!F29="DA",'wgl tot'!F29="DB",'wgl tot'!F29="DBuit",'wgl tot'!F29="DC",'wgl tot'!F29="DCuit",MID('wgl tot'!F29,1,5)="meerh"),"j","n")</f>
        <v>n</v>
      </c>
      <c r="BR29" s="623">
        <f t="shared" si="12"/>
        <v>1.9E-2</v>
      </c>
      <c r="BS29" s="624">
        <f>IF(AI29&gt;'wgl tot'!AH29,'wgl tot'!AH29,AI29)</f>
        <v>0</v>
      </c>
      <c r="BT29" s="624"/>
      <c r="BU29" s="625" t="e">
        <f>IF('wgl tot'!AJ29/'wgl tot'!H29&lt;tabellen!$E$57,0,(+'wgl tot'!AJ29-tabellen!$E$57*'wgl tot'!H29)/12*tabellen!$D$57)</f>
        <v>#DIV/0!</v>
      </c>
      <c r="BV29" s="625" t="e">
        <f>IF('wgl tot'!AJ29/'wgl tot'!H29&lt;tabellen!$E$58,0,(+'wgl tot'!AJ29-tabellen!$E$58*'wgl tot'!H29)/12*tabellen!$D$58)</f>
        <v>#DIV/0!</v>
      </c>
      <c r="BW29" s="625">
        <f>'wgl tot'!AJ29/12*tabellen!$D$59</f>
        <v>0</v>
      </c>
      <c r="BX29" s="626" t="e">
        <f t="shared" si="13"/>
        <v>#DIV/0!</v>
      </c>
      <c r="BY29" s="627" t="e">
        <f>+('wgl tot'!AF29+'wgl tot'!AK29)/12-'wgl tot'!BX29</f>
        <v>#DIV/0!</v>
      </c>
      <c r="BZ29" s="627" t="e">
        <f>ROUND(IF('wgl tot'!BY29&gt;tabellen!$H$63,tabellen!$H$63,'wgl tot'!BY29)*tabellen!$C$63,2)</f>
        <v>#DIV/0!</v>
      </c>
      <c r="CA29" s="627" t="e">
        <f>+'wgl tot'!BY29+'wgl tot'!BZ29</f>
        <v>#DIV/0!</v>
      </c>
      <c r="CB29" s="628">
        <f>YEAR(E29)</f>
        <v>1900</v>
      </c>
      <c r="CC29" s="628">
        <f>MONTH(E29)</f>
        <v>1</v>
      </c>
      <c r="CD29" s="621">
        <f>DAY(E29)</f>
        <v>0</v>
      </c>
      <c r="CE29" s="619">
        <f t="shared" si="8"/>
        <v>22462</v>
      </c>
      <c r="CF29" s="619">
        <f t="shared" ca="1" si="9"/>
        <v>42283.70841446759</v>
      </c>
      <c r="CG29" s="613"/>
      <c r="CH29" s="619"/>
      <c r="CI29" s="613"/>
      <c r="CJ29" s="624"/>
      <c r="CK29" s="624"/>
      <c r="CL29" s="624"/>
      <c r="CM29" s="624"/>
      <c r="CN29" s="624"/>
      <c r="CO29" s="624"/>
    </row>
    <row r="30" spans="2:93" ht="13.5" customHeight="1" x14ac:dyDescent="0.2">
      <c r="B30" s="384"/>
      <c r="C30" s="402"/>
      <c r="D30" s="286"/>
      <c r="E30" s="287"/>
      <c r="F30" s="288"/>
      <c r="G30" s="288"/>
      <c r="H30" s="289"/>
      <c r="I30" s="288"/>
      <c r="J30" s="288"/>
      <c r="K30" s="288"/>
      <c r="L30" s="288"/>
      <c r="M30" s="290"/>
      <c r="N30" s="402"/>
      <c r="O30" s="639">
        <f>IF(F30="",0,(VLOOKUP('wgl tot'!F30,salaristabellen,'wgl tot'!G30+1,FALSE)))</f>
        <v>0</v>
      </c>
      <c r="P30" s="661">
        <f>O30*H30</f>
        <v>0</v>
      </c>
      <c r="Q30" s="402"/>
      <c r="R30" s="633">
        <f>ROUND(IF(I30="j",VLOOKUP(BL30,uitlooptoeslag,2,FALSE))*IF('wgl tot'!H30&gt;1,1,'wgl tot'!H30),2)</f>
        <v>0</v>
      </c>
      <c r="S30" s="633">
        <f>ROUND(IF(OR('wgl tot'!F30="LA",'wgl tot'!F30="LB"),IF(J30="j",tabellen!$C$77*'wgl tot'!H30,0),0),2)</f>
        <v>0</v>
      </c>
      <c r="T30" s="633">
        <f>ROUND(IF(('wgl tot'!P30+'wgl tot'!R30+'wgl tot'!S30)*BN30&lt;'wgl tot'!H30*tabellen!$D$89,'wgl tot'!H30*tabellen!$D$89,('wgl tot'!P30+'wgl tot'!R30+'wgl tot'!S30)*BN30),2)</f>
        <v>0</v>
      </c>
      <c r="U30" s="633">
        <f>ROUND(+('wgl tot'!P30+'wgl tot'!R30+'wgl tot'!S30)*BO30,2)</f>
        <v>0</v>
      </c>
      <c r="V30" s="633">
        <f>+tabellen!$C$85*'wgl tot'!H30</f>
        <v>0</v>
      </c>
      <c r="W30" s="633">
        <f>VLOOKUP(BP30,eindejaarsuitkering_OOP,2,TRUE)*'wgl tot'!H30/12</f>
        <v>0</v>
      </c>
      <c r="X30" s="633">
        <f>ROUND(IF(BQ30="j",tabellen!$D$99*IF('wgl tot'!H30&gt;1,1,'wgl tot'!H30),0),2)</f>
        <v>0</v>
      </c>
      <c r="Y30" s="654">
        <f t="shared" si="1"/>
        <v>0</v>
      </c>
      <c r="Z30" s="404"/>
      <c r="AA30" s="405"/>
      <c r="AB30" s="632">
        <f t="shared" si="2"/>
        <v>0</v>
      </c>
      <c r="AC30" s="633">
        <f>ROUND(IF(L30="j",VLOOKUP(K30,bindingstoelage,2,FALSE))*IF('wgl tot'!H30&gt;1,1,'wgl tot'!H30),2)</f>
        <v>0</v>
      </c>
      <c r="AD30" s="633">
        <f>ROUND('wgl tot'!H30*tabellen!$D$96,2)</f>
        <v>0</v>
      </c>
      <c r="AE30" s="633">
        <f>ROUND('wgl tot'!H30*tabellen!$D$97,2)</f>
        <v>0</v>
      </c>
      <c r="AF30" s="632">
        <f t="shared" si="3"/>
        <v>0</v>
      </c>
      <c r="AG30" s="402"/>
      <c r="AH30" s="633">
        <f>+('wgl tot'!AF30/(1+1.9%))*BR30</f>
        <v>0</v>
      </c>
      <c r="AI30" s="633">
        <f>IF(F30="",0,(791.85))</f>
        <v>0</v>
      </c>
      <c r="AJ30" s="632">
        <f>ROUND('wgl tot'!AF30-IF('wgl tot'!AI30&gt;'wgl tot'!AH30,'wgl tot'!AH30,'wgl tot'!AI30),0)</f>
        <v>0</v>
      </c>
      <c r="AK30" s="634">
        <f>IF('wgl tot'!E30&lt;1950,0,+('wgl tot'!P30+'wgl tot'!R30+'wgl tot'!S30)*tabellen!$C$87)*12</f>
        <v>0</v>
      </c>
      <c r="AL30" s="402"/>
      <c r="AM30" s="633">
        <f t="shared" si="4"/>
        <v>0</v>
      </c>
      <c r="AN30" s="633">
        <f>IF(F30="",0,(IF('wgl tot'!AJ30/'wgl tot'!H30&lt;tabellen!$E$57,0,('wgl tot'!AJ30-tabellen!$E$57*'wgl tot'!H30)/12)*tabellen!$C$57))</f>
        <v>0</v>
      </c>
      <c r="AO30" s="633">
        <f>IF(F30="",0,(IF('wgl tot'!AJ30/'wgl tot'!H30&lt;tabellen!$E$58,0,(+'wgl tot'!AJ30-tabellen!$E$58*'wgl tot'!H30)/12)*tabellen!$C$58))</f>
        <v>0</v>
      </c>
      <c r="AP30" s="633">
        <f>'wgl tot'!AJ30/12*tabellen!$C$59</f>
        <v>0</v>
      </c>
      <c r="AQ30" s="633">
        <f>IF(H30=0,0,IF(BY30&gt;tabellen!$G$60/12,tabellen!$G$60/12,BY30)*(tabellen!$C$60+tabellen!$C$61))</f>
        <v>0</v>
      </c>
      <c r="AR30" s="633">
        <f>IF(F30="",0,('wgl tot'!BZ30))</f>
        <v>0</v>
      </c>
      <c r="AS30" s="635">
        <f>IF(F30="",0,(IF('wgl tot'!BY30&gt;tabellen!$G$64*'wgl tot'!H30/12,tabellen!$G$64*'wgl tot'!H30/12,'wgl tot'!BY30)*tabellen!$C$64))</f>
        <v>0</v>
      </c>
      <c r="AT30" s="635">
        <f>IF(F30="",0,('wgl tot'!BY30*IF(M30=1,tabellen!$C$65,IF(M30=2,tabellen!C81,IF(M30=3,tabellen!$C$67,tabellen!$C$68)))))</f>
        <v>0</v>
      </c>
      <c r="AU30" s="635">
        <f>IF(F30="",0,('wgl tot'!BY30*tabellen!$C$69))</f>
        <v>0</v>
      </c>
      <c r="AV30" s="635">
        <f>+'wgl tot'!AK30/12</f>
        <v>0</v>
      </c>
      <c r="AW30" s="435">
        <v>0</v>
      </c>
      <c r="AX30" s="291">
        <f t="shared" si="5"/>
        <v>0</v>
      </c>
      <c r="AY30" s="658">
        <f t="shared" si="6"/>
        <v>0</v>
      </c>
      <c r="AZ30" s="658">
        <f t="shared" si="7"/>
        <v>0</v>
      </c>
      <c r="BA30" s="402"/>
      <c r="BB30" s="641" t="str">
        <f>IF(AY30=0,"",(+'wgl tot'!AY30/'wgl tot'!P30-1))</f>
        <v/>
      </c>
      <c r="BC30" s="402"/>
      <c r="BD30" s="385"/>
      <c r="BG30" s="621">
        <f ca="1">YEAR('wgl tot'!$BG$10)-YEAR('wgl tot'!E30)</f>
        <v>115</v>
      </c>
      <c r="BH30" s="621">
        <f ca="1">MONTH('wgl tot'!$BG$10)-MONTH('wgl tot'!E30)</f>
        <v>9</v>
      </c>
      <c r="BI30" s="621">
        <f ca="1">DAY('wgl tot'!$BG$10)-DAY('wgl tot'!E30)</f>
        <v>6</v>
      </c>
      <c r="BJ30" s="613">
        <f>IF(AND('wgl tot'!F30&gt;0,'wgl tot'!F30&lt;16),0,100)</f>
        <v>100</v>
      </c>
      <c r="BK30" s="613" t="e">
        <f>VLOOKUP('wgl tot'!F30,salaristabellen,22,FALSE)</f>
        <v>#N/A</v>
      </c>
      <c r="BL30" s="613">
        <f>F30</f>
        <v>0</v>
      </c>
      <c r="BM30" s="619">
        <f t="shared" si="10"/>
        <v>42005</v>
      </c>
      <c r="BN30" s="622">
        <f t="shared" si="11"/>
        <v>0.08</v>
      </c>
      <c r="BO30" s="623">
        <f>+tabellen!$D$90</f>
        <v>6.3E-2</v>
      </c>
      <c r="BP30" s="621">
        <f>IF('wgl tot'!BJ30=100,0,'wgl tot'!F30)</f>
        <v>0</v>
      </c>
      <c r="BQ30" s="623" t="str">
        <f>IF(OR('wgl tot'!F30="DA",'wgl tot'!F30="DB",'wgl tot'!F30="DBuit",'wgl tot'!F30="DC",'wgl tot'!F30="DCuit",MID('wgl tot'!F30,1,5)="meerh"),"j","n")</f>
        <v>n</v>
      </c>
      <c r="BR30" s="623">
        <f t="shared" si="12"/>
        <v>1.9E-2</v>
      </c>
      <c r="BS30" s="624">
        <f>IF(AI30&gt;'wgl tot'!AH30,'wgl tot'!AH30,AI30)</f>
        <v>0</v>
      </c>
      <c r="BT30" s="624"/>
      <c r="BU30" s="625" t="e">
        <f>IF('wgl tot'!AJ30/'wgl tot'!H30&lt;tabellen!$E$57,0,(+'wgl tot'!AJ30-tabellen!$E$57*'wgl tot'!H30)/12*tabellen!$D$57)</f>
        <v>#DIV/0!</v>
      </c>
      <c r="BV30" s="625" t="e">
        <f>IF('wgl tot'!AJ30/'wgl tot'!H30&lt;tabellen!$E$58,0,(+'wgl tot'!AJ30-tabellen!$E$58*'wgl tot'!H30)/12*tabellen!$D$58)</f>
        <v>#DIV/0!</v>
      </c>
      <c r="BW30" s="625">
        <f>'wgl tot'!AJ30/12*tabellen!$D$59</f>
        <v>0</v>
      </c>
      <c r="BX30" s="626" t="e">
        <f t="shared" si="13"/>
        <v>#DIV/0!</v>
      </c>
      <c r="BY30" s="627" t="e">
        <f>+('wgl tot'!AF30+'wgl tot'!AK30)/12-'wgl tot'!BX30</f>
        <v>#DIV/0!</v>
      </c>
      <c r="BZ30" s="627" t="e">
        <f>ROUND(IF('wgl tot'!BY30&gt;tabellen!$H$63,tabellen!$H$63,'wgl tot'!BY30)*tabellen!$C$63,2)</f>
        <v>#DIV/0!</v>
      </c>
      <c r="CA30" s="627" t="e">
        <f>+'wgl tot'!BY30+'wgl tot'!BZ30</f>
        <v>#DIV/0!</v>
      </c>
      <c r="CB30" s="628">
        <f>YEAR(E30)</f>
        <v>1900</v>
      </c>
      <c r="CC30" s="628">
        <f>MONTH(E30)</f>
        <v>1</v>
      </c>
      <c r="CD30" s="621">
        <f>DAY(E30)</f>
        <v>0</v>
      </c>
      <c r="CE30" s="619">
        <f t="shared" si="8"/>
        <v>22462</v>
      </c>
      <c r="CF30" s="619">
        <f t="shared" ca="1" si="9"/>
        <v>42283.70841446759</v>
      </c>
      <c r="CG30" s="613"/>
      <c r="CH30" s="619"/>
      <c r="CI30" s="613"/>
      <c r="CJ30" s="624"/>
      <c r="CK30" s="624"/>
      <c r="CL30" s="624"/>
      <c r="CM30" s="624"/>
      <c r="CN30" s="624"/>
      <c r="CO30" s="624"/>
    </row>
    <row r="31" spans="2:93" ht="13.5" customHeight="1" x14ac:dyDescent="0.2">
      <c r="B31" s="384"/>
      <c r="C31" s="402"/>
      <c r="D31" s="286"/>
      <c r="E31" s="287"/>
      <c r="F31" s="288"/>
      <c r="G31" s="288"/>
      <c r="H31" s="289"/>
      <c r="I31" s="288"/>
      <c r="J31" s="288"/>
      <c r="K31" s="288"/>
      <c r="L31" s="288"/>
      <c r="M31" s="290"/>
      <c r="N31" s="402"/>
      <c r="O31" s="639">
        <f>IF(F31="",0,(VLOOKUP('wgl tot'!F31,salaristabellen,'wgl tot'!G31+1,FALSE)))</f>
        <v>0</v>
      </c>
      <c r="P31" s="661">
        <f>O31*H31</f>
        <v>0</v>
      </c>
      <c r="Q31" s="402"/>
      <c r="R31" s="633">
        <f>ROUND(IF(I31="j",VLOOKUP(BL31,uitlooptoeslag,2,FALSE))*IF('wgl tot'!H31&gt;1,1,'wgl tot'!H31),2)</f>
        <v>0</v>
      </c>
      <c r="S31" s="633">
        <f>ROUND(IF(OR('wgl tot'!F31="LA",'wgl tot'!F31="LB"),IF(J31="j",tabellen!$C$77*'wgl tot'!H31,0),0),2)</f>
        <v>0</v>
      </c>
      <c r="T31" s="633">
        <f>ROUND(IF(('wgl tot'!P31+'wgl tot'!R31+'wgl tot'!S31)*BN31&lt;'wgl tot'!H31*tabellen!$D$89,'wgl tot'!H31*tabellen!$D$89,('wgl tot'!P31+'wgl tot'!R31+'wgl tot'!S31)*BN31),2)</f>
        <v>0</v>
      </c>
      <c r="U31" s="633">
        <f>ROUND(+('wgl tot'!P31+'wgl tot'!R31+'wgl tot'!S31)*BO31,2)</f>
        <v>0</v>
      </c>
      <c r="V31" s="633">
        <f>+tabellen!$C$85*'wgl tot'!H31</f>
        <v>0</v>
      </c>
      <c r="W31" s="633">
        <f>VLOOKUP(BP31,eindejaarsuitkering_OOP,2,TRUE)*'wgl tot'!H31/12</f>
        <v>0</v>
      </c>
      <c r="X31" s="633">
        <f>ROUND(IF(BQ31="j",tabellen!$D$99*IF('wgl tot'!H31&gt;1,1,'wgl tot'!H31),0),2)</f>
        <v>0</v>
      </c>
      <c r="Y31" s="654">
        <f t="shared" si="1"/>
        <v>0</v>
      </c>
      <c r="Z31" s="404"/>
      <c r="AA31" s="405"/>
      <c r="AB31" s="632">
        <f t="shared" si="2"/>
        <v>0</v>
      </c>
      <c r="AC31" s="633">
        <f>ROUND(IF(L31="j",VLOOKUP(K31,bindingstoelage,2,FALSE))*IF('wgl tot'!H31&gt;1,1,'wgl tot'!H31),2)</f>
        <v>0</v>
      </c>
      <c r="AD31" s="633">
        <f>ROUND('wgl tot'!H31*tabellen!$D$96,2)</f>
        <v>0</v>
      </c>
      <c r="AE31" s="633">
        <f>ROUND('wgl tot'!H31*tabellen!$D$97,2)</f>
        <v>0</v>
      </c>
      <c r="AF31" s="632">
        <f t="shared" si="3"/>
        <v>0</v>
      </c>
      <c r="AG31" s="402"/>
      <c r="AH31" s="633">
        <f>+('wgl tot'!AF31/(1+1.9%))*BR31</f>
        <v>0</v>
      </c>
      <c r="AI31" s="633">
        <f>IF(F31="",0,(791.85))</f>
        <v>0</v>
      </c>
      <c r="AJ31" s="632">
        <f>ROUND('wgl tot'!AF31-IF('wgl tot'!AI31&gt;'wgl tot'!AH31,'wgl tot'!AH31,'wgl tot'!AI31),0)</f>
        <v>0</v>
      </c>
      <c r="AK31" s="634">
        <f>IF('wgl tot'!E31&lt;1950,0,+('wgl tot'!P31+'wgl tot'!R31+'wgl tot'!S31)*tabellen!$C$87)*12</f>
        <v>0</v>
      </c>
      <c r="AL31" s="402"/>
      <c r="AM31" s="633">
        <f t="shared" si="4"/>
        <v>0</v>
      </c>
      <c r="AN31" s="633">
        <f>IF(F31="",0,(IF('wgl tot'!AJ31/'wgl tot'!H31&lt;tabellen!$E$57,0,('wgl tot'!AJ31-tabellen!$E$57*'wgl tot'!H31)/12)*tabellen!$C$57))</f>
        <v>0</v>
      </c>
      <c r="AO31" s="633">
        <f>IF(F31="",0,(IF('wgl tot'!AJ31/'wgl tot'!H31&lt;tabellen!$E$58,0,(+'wgl tot'!AJ31-tabellen!$E$58*'wgl tot'!H31)/12)*tabellen!$C$58))</f>
        <v>0</v>
      </c>
      <c r="AP31" s="633">
        <f>'wgl tot'!AJ31/12*tabellen!$C$59</f>
        <v>0</v>
      </c>
      <c r="AQ31" s="633">
        <f>IF(H31=0,0,IF(BY31&gt;tabellen!$G$60/12,tabellen!$G$60/12,BY31)*(tabellen!$C$60+tabellen!$C$61))</f>
        <v>0</v>
      </c>
      <c r="AR31" s="633">
        <f>IF(F31="",0,('wgl tot'!BZ31))</f>
        <v>0</v>
      </c>
      <c r="AS31" s="635">
        <f>IF(F31="",0,(IF('wgl tot'!BY31&gt;tabellen!$G$64*'wgl tot'!H31/12,tabellen!$G$64*'wgl tot'!H31/12,'wgl tot'!BY31)*tabellen!$C$64))</f>
        <v>0</v>
      </c>
      <c r="AT31" s="635">
        <f>IF(F31="",0,('wgl tot'!BY31*IF(M31=1,tabellen!$C$65,IF(M31=2,tabellen!C82,IF(M31=3,tabellen!$C$67,tabellen!$C$68)))))</f>
        <v>0</v>
      </c>
      <c r="AU31" s="635">
        <f>IF(F31="",0,('wgl tot'!BY31*tabellen!$C$69))</f>
        <v>0</v>
      </c>
      <c r="AV31" s="635">
        <f>+'wgl tot'!AK31/12</f>
        <v>0</v>
      </c>
      <c r="AW31" s="435">
        <v>0</v>
      </c>
      <c r="AX31" s="291">
        <f t="shared" si="5"/>
        <v>0</v>
      </c>
      <c r="AY31" s="658">
        <f t="shared" si="6"/>
        <v>0</v>
      </c>
      <c r="AZ31" s="658">
        <f t="shared" si="7"/>
        <v>0</v>
      </c>
      <c r="BA31" s="402"/>
      <c r="BB31" s="641" t="str">
        <f>IF(AY31=0,"",(+'wgl tot'!AY31/'wgl tot'!P31-1))</f>
        <v/>
      </c>
      <c r="BC31" s="402"/>
      <c r="BD31" s="385"/>
      <c r="BG31" s="621">
        <f ca="1">YEAR('wgl tot'!$BG$10)-YEAR('wgl tot'!E31)</f>
        <v>115</v>
      </c>
      <c r="BH31" s="621">
        <f ca="1">MONTH('wgl tot'!$BG$10)-MONTH('wgl tot'!E31)</f>
        <v>9</v>
      </c>
      <c r="BI31" s="621">
        <f ca="1">DAY('wgl tot'!$BG$10)-DAY('wgl tot'!E31)</f>
        <v>6</v>
      </c>
      <c r="BJ31" s="613">
        <f>IF(AND('wgl tot'!F31&gt;0,'wgl tot'!F31&lt;16),0,100)</f>
        <v>100</v>
      </c>
      <c r="BK31" s="613" t="e">
        <f>VLOOKUP('wgl tot'!F31,salaristabellen,22,FALSE)</f>
        <v>#N/A</v>
      </c>
      <c r="BL31" s="613">
        <f>F31</f>
        <v>0</v>
      </c>
      <c r="BM31" s="619">
        <f t="shared" si="10"/>
        <v>42005</v>
      </c>
      <c r="BN31" s="622">
        <f t="shared" si="11"/>
        <v>0.08</v>
      </c>
      <c r="BO31" s="623">
        <f>+tabellen!$D$90</f>
        <v>6.3E-2</v>
      </c>
      <c r="BP31" s="621">
        <f>IF('wgl tot'!BJ31=100,0,'wgl tot'!F31)</f>
        <v>0</v>
      </c>
      <c r="BQ31" s="623" t="str">
        <f>IF(OR('wgl tot'!F31="DA",'wgl tot'!F31="DB",'wgl tot'!F31="DBuit",'wgl tot'!F31="DC",'wgl tot'!F31="DCuit",MID('wgl tot'!F31,1,5)="meerh"),"j","n")</f>
        <v>n</v>
      </c>
      <c r="BR31" s="623">
        <f t="shared" si="12"/>
        <v>1.9E-2</v>
      </c>
      <c r="BS31" s="624">
        <f>IF(AI31&gt;'wgl tot'!AH31,'wgl tot'!AH31,AI31)</f>
        <v>0</v>
      </c>
      <c r="BT31" s="624"/>
      <c r="BU31" s="625" t="e">
        <f>IF('wgl tot'!AJ31/'wgl tot'!H31&lt;tabellen!$E$57,0,(+'wgl tot'!AJ31-tabellen!$E$57*'wgl tot'!H31)/12*tabellen!$D$57)</f>
        <v>#DIV/0!</v>
      </c>
      <c r="BV31" s="625" t="e">
        <f>IF('wgl tot'!AJ31/'wgl tot'!H31&lt;tabellen!$E$58,0,(+'wgl tot'!AJ31-tabellen!$E$58*'wgl tot'!H31)/12*tabellen!$D$58)</f>
        <v>#DIV/0!</v>
      </c>
      <c r="BW31" s="625">
        <f>'wgl tot'!AJ31/12*tabellen!$D$59</f>
        <v>0</v>
      </c>
      <c r="BX31" s="626" t="e">
        <f t="shared" si="13"/>
        <v>#DIV/0!</v>
      </c>
      <c r="BY31" s="627" t="e">
        <f>+('wgl tot'!AF31+'wgl tot'!AK31)/12-'wgl tot'!BX31</f>
        <v>#DIV/0!</v>
      </c>
      <c r="BZ31" s="627" t="e">
        <f>ROUND(IF('wgl tot'!BY31&gt;tabellen!$H$63,tabellen!$H$63,'wgl tot'!BY31)*tabellen!$C$63,2)</f>
        <v>#DIV/0!</v>
      </c>
      <c r="CA31" s="627" t="e">
        <f>+'wgl tot'!BY31+'wgl tot'!BZ31</f>
        <v>#DIV/0!</v>
      </c>
      <c r="CB31" s="628">
        <f>YEAR(E31)</f>
        <v>1900</v>
      </c>
      <c r="CC31" s="628">
        <f>MONTH(E31)</f>
        <v>1</v>
      </c>
      <c r="CD31" s="621">
        <f>DAY(E31)</f>
        <v>0</v>
      </c>
      <c r="CE31" s="619">
        <f t="shared" si="8"/>
        <v>22462</v>
      </c>
      <c r="CF31" s="619">
        <f t="shared" ca="1" si="9"/>
        <v>42283.70841446759</v>
      </c>
      <c r="CG31" s="613"/>
      <c r="CH31" s="619"/>
      <c r="CI31" s="613"/>
      <c r="CJ31" s="624"/>
      <c r="CK31" s="624"/>
      <c r="CL31" s="624"/>
      <c r="CM31" s="624"/>
      <c r="CN31" s="624"/>
      <c r="CO31" s="624"/>
    </row>
    <row r="32" spans="2:93" ht="13.5" customHeight="1" x14ac:dyDescent="0.2">
      <c r="B32" s="384"/>
      <c r="C32" s="402"/>
      <c r="D32" s="286"/>
      <c r="E32" s="287"/>
      <c r="F32" s="288"/>
      <c r="G32" s="288"/>
      <c r="H32" s="289"/>
      <c r="I32" s="288"/>
      <c r="J32" s="288"/>
      <c r="K32" s="288"/>
      <c r="L32" s="288"/>
      <c r="M32" s="290"/>
      <c r="N32" s="402"/>
      <c r="O32" s="639">
        <f>IF(F32="",0,(VLOOKUP('wgl tot'!F32,salaristabellen,'wgl tot'!G32+1,FALSE)))</f>
        <v>0</v>
      </c>
      <c r="P32" s="661">
        <f>O32*H32</f>
        <v>0</v>
      </c>
      <c r="Q32" s="402"/>
      <c r="R32" s="633">
        <f>ROUND(IF(I32="j",VLOOKUP(BL32,uitlooptoeslag,2,FALSE))*IF('wgl tot'!H32&gt;1,1,'wgl tot'!H32),2)</f>
        <v>0</v>
      </c>
      <c r="S32" s="633">
        <f>ROUND(IF(OR('wgl tot'!F32="LA",'wgl tot'!F32="LB"),IF(J32="j",tabellen!$C$77*'wgl tot'!H32,0),0),2)</f>
        <v>0</v>
      </c>
      <c r="T32" s="633">
        <f>ROUND(IF(('wgl tot'!P32+'wgl tot'!R32+'wgl tot'!S32)*BN32&lt;'wgl tot'!H32*tabellen!$D$89,'wgl tot'!H32*tabellen!$D$89,('wgl tot'!P32+'wgl tot'!R32+'wgl tot'!S32)*BN32),2)</f>
        <v>0</v>
      </c>
      <c r="U32" s="633">
        <f>ROUND(+('wgl tot'!P32+'wgl tot'!R32+'wgl tot'!S32)*BO32,2)</f>
        <v>0</v>
      </c>
      <c r="V32" s="633">
        <f>+tabellen!$C$85*'wgl tot'!H32</f>
        <v>0</v>
      </c>
      <c r="W32" s="633">
        <f>VLOOKUP(BP32,eindejaarsuitkering_OOP,2,TRUE)*'wgl tot'!H32/12</f>
        <v>0</v>
      </c>
      <c r="X32" s="633">
        <f>ROUND(IF(BQ32="j",tabellen!$D$99*IF('wgl tot'!H32&gt;1,1,'wgl tot'!H32),0),2)</f>
        <v>0</v>
      </c>
      <c r="Y32" s="654">
        <f t="shared" si="1"/>
        <v>0</v>
      </c>
      <c r="Z32" s="404"/>
      <c r="AA32" s="405"/>
      <c r="AB32" s="632">
        <f t="shared" si="2"/>
        <v>0</v>
      </c>
      <c r="AC32" s="633">
        <f>ROUND(IF(L32="j",VLOOKUP(K32,bindingstoelage,2,FALSE))*IF('wgl tot'!H32&gt;1,1,'wgl tot'!H32),2)</f>
        <v>0</v>
      </c>
      <c r="AD32" s="633">
        <f>ROUND('wgl tot'!H32*tabellen!$D$96,2)</f>
        <v>0</v>
      </c>
      <c r="AE32" s="633">
        <f>ROUND('wgl tot'!H32*tabellen!$D$97,2)</f>
        <v>0</v>
      </c>
      <c r="AF32" s="632">
        <f t="shared" si="3"/>
        <v>0</v>
      </c>
      <c r="AG32" s="402"/>
      <c r="AH32" s="633">
        <f>+('wgl tot'!AF32/(1+1.9%))*BR32</f>
        <v>0</v>
      </c>
      <c r="AI32" s="633">
        <f>IF(F32="",0,(791.85))</f>
        <v>0</v>
      </c>
      <c r="AJ32" s="632">
        <f>ROUND('wgl tot'!AF32-IF('wgl tot'!AI32&gt;'wgl tot'!AH32,'wgl tot'!AH32,'wgl tot'!AI32),0)</f>
        <v>0</v>
      </c>
      <c r="AK32" s="634">
        <f>IF('wgl tot'!E32&lt;1950,0,+('wgl tot'!P32+'wgl tot'!R32+'wgl tot'!S32)*tabellen!$C$87)*12</f>
        <v>0</v>
      </c>
      <c r="AL32" s="402"/>
      <c r="AM32" s="633">
        <f t="shared" si="4"/>
        <v>0</v>
      </c>
      <c r="AN32" s="633">
        <f>IF(F32="",0,(IF('wgl tot'!AJ32/'wgl tot'!H32&lt;tabellen!$E$57,0,('wgl tot'!AJ32-tabellen!$E$57*'wgl tot'!H32)/12)*tabellen!$C$57))</f>
        <v>0</v>
      </c>
      <c r="AO32" s="633">
        <f>IF(F32="",0,(IF('wgl tot'!AJ32/'wgl tot'!H32&lt;tabellen!$E$58,0,(+'wgl tot'!AJ32-tabellen!$E$58*'wgl tot'!H32)/12)*tabellen!$C$58))</f>
        <v>0</v>
      </c>
      <c r="AP32" s="633">
        <f>'wgl tot'!AJ32/12*tabellen!$C$59</f>
        <v>0</v>
      </c>
      <c r="AQ32" s="633">
        <f>IF(H32=0,0,IF(BY32&gt;tabellen!$G$60/12,tabellen!$G$60/12,BY32)*(tabellen!$C$60+tabellen!$C$61))</f>
        <v>0</v>
      </c>
      <c r="AR32" s="633">
        <f>IF(F32="",0,('wgl tot'!BZ32))</f>
        <v>0</v>
      </c>
      <c r="AS32" s="635">
        <f>IF(F32="",0,(IF('wgl tot'!BY32&gt;tabellen!$G$64*'wgl tot'!H32/12,tabellen!$G$64*'wgl tot'!H32/12,'wgl tot'!BY32)*tabellen!$C$64))</f>
        <v>0</v>
      </c>
      <c r="AT32" s="635">
        <f>IF(F32="",0,('wgl tot'!BY32*IF(M32=1,tabellen!$C$65,IF(M32=2,tabellen!C83,IF(M32=3,tabellen!$C$67,tabellen!$C$68)))))</f>
        <v>0</v>
      </c>
      <c r="AU32" s="635">
        <f>IF(F32="",0,('wgl tot'!BY32*tabellen!$C$69))</f>
        <v>0</v>
      </c>
      <c r="AV32" s="635">
        <f>+'wgl tot'!AK32/12</f>
        <v>0</v>
      </c>
      <c r="AW32" s="435">
        <v>0</v>
      </c>
      <c r="AX32" s="291">
        <f t="shared" si="5"/>
        <v>0</v>
      </c>
      <c r="AY32" s="658">
        <f t="shared" si="6"/>
        <v>0</v>
      </c>
      <c r="AZ32" s="658">
        <f t="shared" si="7"/>
        <v>0</v>
      </c>
      <c r="BA32" s="402"/>
      <c r="BB32" s="641" t="str">
        <f>IF(AY32=0,"",(+'wgl tot'!AY32/'wgl tot'!P32-1))</f>
        <v/>
      </c>
      <c r="BC32" s="402"/>
      <c r="BD32" s="385"/>
      <c r="BG32" s="621">
        <f ca="1">YEAR('wgl tot'!$BG$10)-YEAR('wgl tot'!E32)</f>
        <v>115</v>
      </c>
      <c r="BH32" s="621">
        <f ca="1">MONTH('wgl tot'!$BG$10)-MONTH('wgl tot'!E32)</f>
        <v>9</v>
      </c>
      <c r="BI32" s="621">
        <f ca="1">DAY('wgl tot'!$BG$10)-DAY('wgl tot'!E32)</f>
        <v>6</v>
      </c>
      <c r="BJ32" s="613">
        <f>IF(AND('wgl tot'!F32&gt;0,'wgl tot'!F32&lt;16),0,100)</f>
        <v>100</v>
      </c>
      <c r="BK32" s="613" t="e">
        <f>VLOOKUP('wgl tot'!F32,salaristabellen,22,FALSE)</f>
        <v>#N/A</v>
      </c>
      <c r="BL32" s="613">
        <f>F32</f>
        <v>0</v>
      </c>
      <c r="BM32" s="619">
        <f t="shared" si="10"/>
        <v>42005</v>
      </c>
      <c r="BN32" s="622">
        <f t="shared" si="11"/>
        <v>0.08</v>
      </c>
      <c r="BO32" s="623">
        <f>+tabellen!$D$90</f>
        <v>6.3E-2</v>
      </c>
      <c r="BP32" s="621">
        <f>IF('wgl tot'!BJ32=100,0,'wgl tot'!F32)</f>
        <v>0</v>
      </c>
      <c r="BQ32" s="623" t="str">
        <f>IF(OR('wgl tot'!F32="DA",'wgl tot'!F32="DB",'wgl tot'!F32="DBuit",'wgl tot'!F32="DC",'wgl tot'!F32="DCuit",MID('wgl tot'!F32,1,5)="meerh"),"j","n")</f>
        <v>n</v>
      </c>
      <c r="BR32" s="623">
        <f t="shared" si="12"/>
        <v>1.9E-2</v>
      </c>
      <c r="BS32" s="624">
        <f>IF(AI32&gt;'wgl tot'!AH32,'wgl tot'!AH32,AI32)</f>
        <v>0</v>
      </c>
      <c r="BT32" s="624"/>
      <c r="BU32" s="625" t="e">
        <f>IF('wgl tot'!AJ32/'wgl tot'!H32&lt;tabellen!$E$57,0,(+'wgl tot'!AJ32-tabellen!$E$57*'wgl tot'!H32)/12*tabellen!$D$57)</f>
        <v>#DIV/0!</v>
      </c>
      <c r="BV32" s="625" t="e">
        <f>IF('wgl tot'!AJ32/'wgl tot'!H32&lt;tabellen!$E$58,0,(+'wgl tot'!AJ32-tabellen!$E$58*'wgl tot'!H32)/12*tabellen!$D$58)</f>
        <v>#DIV/0!</v>
      </c>
      <c r="BW32" s="625">
        <f>'wgl tot'!AJ32/12*tabellen!$D$59</f>
        <v>0</v>
      </c>
      <c r="BX32" s="626" t="e">
        <f t="shared" si="13"/>
        <v>#DIV/0!</v>
      </c>
      <c r="BY32" s="627" t="e">
        <f>+('wgl tot'!AF32+'wgl tot'!AK32)/12-'wgl tot'!BX32</f>
        <v>#DIV/0!</v>
      </c>
      <c r="BZ32" s="627" t="e">
        <f>ROUND(IF('wgl tot'!BY32&gt;tabellen!$H$63,tabellen!$H$63,'wgl tot'!BY32)*tabellen!$C$63,2)</f>
        <v>#DIV/0!</v>
      </c>
      <c r="CA32" s="627" t="e">
        <f>+'wgl tot'!BY32+'wgl tot'!BZ32</f>
        <v>#DIV/0!</v>
      </c>
      <c r="CB32" s="628">
        <f>YEAR(E32)</f>
        <v>1900</v>
      </c>
      <c r="CC32" s="628">
        <f>MONTH(E32)</f>
        <v>1</v>
      </c>
      <c r="CD32" s="621">
        <f>DAY(E32)</f>
        <v>0</v>
      </c>
      <c r="CE32" s="619">
        <f t="shared" si="8"/>
        <v>22462</v>
      </c>
      <c r="CF32" s="619">
        <f t="shared" ca="1" si="9"/>
        <v>42283.70841446759</v>
      </c>
      <c r="CG32" s="613"/>
      <c r="CH32" s="619"/>
      <c r="CI32" s="613"/>
      <c r="CJ32" s="624"/>
      <c r="CK32" s="624"/>
      <c r="CL32" s="624"/>
      <c r="CM32" s="624"/>
      <c r="CN32" s="624"/>
      <c r="CO32" s="624"/>
    </row>
    <row r="33" spans="2:93" ht="13.5" customHeight="1" x14ac:dyDescent="0.2">
      <c r="B33" s="384"/>
      <c r="C33" s="402"/>
      <c r="D33" s="286"/>
      <c r="E33" s="287"/>
      <c r="F33" s="288"/>
      <c r="G33" s="288"/>
      <c r="H33" s="289"/>
      <c r="I33" s="288"/>
      <c r="J33" s="288"/>
      <c r="K33" s="288"/>
      <c r="L33" s="288"/>
      <c r="M33" s="290"/>
      <c r="N33" s="402"/>
      <c r="O33" s="639">
        <f>IF(F33="",0,(VLOOKUP('wgl tot'!F33,salaristabellen,'wgl tot'!G33+1,FALSE)))</f>
        <v>0</v>
      </c>
      <c r="P33" s="661">
        <f>O33*H33</f>
        <v>0</v>
      </c>
      <c r="Q33" s="402"/>
      <c r="R33" s="633">
        <f>ROUND(IF(I33="j",VLOOKUP(BL33,uitlooptoeslag,2,FALSE))*IF('wgl tot'!H33&gt;1,1,'wgl tot'!H33),2)</f>
        <v>0</v>
      </c>
      <c r="S33" s="633">
        <f>ROUND(IF(OR('wgl tot'!F33="LA",'wgl tot'!F33="LB"),IF(J33="j",tabellen!$C$77*'wgl tot'!H33,0),0),2)</f>
        <v>0</v>
      </c>
      <c r="T33" s="633">
        <f>ROUND(IF(('wgl tot'!P33+'wgl tot'!R33+'wgl tot'!S33)*BN33&lt;'wgl tot'!H33*tabellen!$D$89,'wgl tot'!H33*tabellen!$D$89,('wgl tot'!P33+'wgl tot'!R33+'wgl tot'!S33)*BN33),2)</f>
        <v>0</v>
      </c>
      <c r="U33" s="633">
        <f>ROUND(+('wgl tot'!P33+'wgl tot'!R33+'wgl tot'!S33)*BO33,2)</f>
        <v>0</v>
      </c>
      <c r="V33" s="633">
        <f>+tabellen!$C$85*'wgl tot'!H33</f>
        <v>0</v>
      </c>
      <c r="W33" s="633">
        <f>VLOOKUP(BP33,eindejaarsuitkering_OOP,2,TRUE)*'wgl tot'!H33/12</f>
        <v>0</v>
      </c>
      <c r="X33" s="633">
        <f>ROUND(IF(BQ33="j",tabellen!$D$99*IF('wgl tot'!H33&gt;1,1,'wgl tot'!H33),0),2)</f>
        <v>0</v>
      </c>
      <c r="Y33" s="654">
        <f t="shared" si="1"/>
        <v>0</v>
      </c>
      <c r="Z33" s="404"/>
      <c r="AA33" s="405"/>
      <c r="AB33" s="632">
        <f t="shared" si="2"/>
        <v>0</v>
      </c>
      <c r="AC33" s="633">
        <f>ROUND(IF(L33="j",VLOOKUP(K33,bindingstoelage,2,FALSE))*IF('wgl tot'!H33&gt;1,1,'wgl tot'!H33),2)</f>
        <v>0</v>
      </c>
      <c r="AD33" s="633">
        <f>ROUND('wgl tot'!H33*tabellen!$D$96,2)</f>
        <v>0</v>
      </c>
      <c r="AE33" s="633">
        <f>ROUND('wgl tot'!H33*tabellen!$D$97,2)</f>
        <v>0</v>
      </c>
      <c r="AF33" s="632">
        <f t="shared" si="3"/>
        <v>0</v>
      </c>
      <c r="AG33" s="402"/>
      <c r="AH33" s="633">
        <f>+('wgl tot'!AF33/(1+1.9%))*BR33</f>
        <v>0</v>
      </c>
      <c r="AI33" s="633">
        <f>IF(F33="",0,(791.85))</f>
        <v>0</v>
      </c>
      <c r="AJ33" s="632">
        <f>ROUND('wgl tot'!AF33-IF('wgl tot'!AI33&gt;'wgl tot'!AH33,'wgl tot'!AH33,'wgl tot'!AI33),0)</f>
        <v>0</v>
      </c>
      <c r="AK33" s="634">
        <f>IF('wgl tot'!E33&lt;1950,0,+('wgl tot'!P33+'wgl tot'!R33+'wgl tot'!S33)*tabellen!$C$87)*12</f>
        <v>0</v>
      </c>
      <c r="AL33" s="402"/>
      <c r="AM33" s="633">
        <f t="shared" si="4"/>
        <v>0</v>
      </c>
      <c r="AN33" s="633">
        <f>IF(F33="",0,(IF('wgl tot'!AJ33/'wgl tot'!H33&lt;tabellen!$E$57,0,('wgl tot'!AJ33-tabellen!$E$57*'wgl tot'!H33)/12)*tabellen!$C$57))</f>
        <v>0</v>
      </c>
      <c r="AO33" s="633">
        <f>IF(F33="",0,(IF('wgl tot'!AJ33/'wgl tot'!H33&lt;tabellen!$E$58,0,(+'wgl tot'!AJ33-tabellen!$E$58*'wgl tot'!H33)/12)*tabellen!$C$58))</f>
        <v>0</v>
      </c>
      <c r="AP33" s="633">
        <f>'wgl tot'!AJ33/12*tabellen!$C$59</f>
        <v>0</v>
      </c>
      <c r="AQ33" s="633">
        <f>IF(H33=0,0,IF(BY33&gt;tabellen!$G$60/12,tabellen!$G$60/12,BY33)*(tabellen!$C$60+tabellen!$C$61))</f>
        <v>0</v>
      </c>
      <c r="AR33" s="633">
        <f>IF(F33="",0,('wgl tot'!BZ33))</f>
        <v>0</v>
      </c>
      <c r="AS33" s="635">
        <f>IF(F33="",0,(IF('wgl tot'!BY33&gt;tabellen!$G$64*'wgl tot'!H33/12,tabellen!$G$64*'wgl tot'!H33/12,'wgl tot'!BY33)*tabellen!$C$64))</f>
        <v>0</v>
      </c>
      <c r="AT33" s="635">
        <f>IF(F33="",0,('wgl tot'!BY33*IF(M33=1,tabellen!$C$65,IF(M33=2,tabellen!C84,IF(M33=3,tabellen!$C$67,tabellen!$C$68)))))</f>
        <v>0</v>
      </c>
      <c r="AU33" s="635">
        <f>IF(F33="",0,('wgl tot'!BY33*tabellen!$C$69))</f>
        <v>0</v>
      </c>
      <c r="AV33" s="635">
        <f>+'wgl tot'!AK33/12</f>
        <v>0</v>
      </c>
      <c r="AW33" s="435">
        <v>0</v>
      </c>
      <c r="AX33" s="291">
        <f t="shared" si="5"/>
        <v>0</v>
      </c>
      <c r="AY33" s="658">
        <f t="shared" si="6"/>
        <v>0</v>
      </c>
      <c r="AZ33" s="658">
        <f t="shared" si="7"/>
        <v>0</v>
      </c>
      <c r="BA33" s="402"/>
      <c r="BB33" s="641" t="str">
        <f>IF(AY33=0,"",(+'wgl tot'!AY33/'wgl tot'!P33-1))</f>
        <v/>
      </c>
      <c r="BC33" s="402"/>
      <c r="BD33" s="385"/>
      <c r="BG33" s="621">
        <f ca="1">YEAR('wgl tot'!$BG$10)-YEAR('wgl tot'!E33)</f>
        <v>115</v>
      </c>
      <c r="BH33" s="621">
        <f ca="1">MONTH('wgl tot'!$BG$10)-MONTH('wgl tot'!E33)</f>
        <v>9</v>
      </c>
      <c r="BI33" s="621">
        <f ca="1">DAY('wgl tot'!$BG$10)-DAY('wgl tot'!E33)</f>
        <v>6</v>
      </c>
      <c r="BJ33" s="613">
        <f>IF(AND('wgl tot'!F33&gt;0,'wgl tot'!F33&lt;16),0,100)</f>
        <v>100</v>
      </c>
      <c r="BK33" s="613" t="e">
        <f>VLOOKUP('wgl tot'!F33,salaristabellen,22,FALSE)</f>
        <v>#N/A</v>
      </c>
      <c r="BL33" s="613">
        <f>F33</f>
        <v>0</v>
      </c>
      <c r="BM33" s="619">
        <f t="shared" si="10"/>
        <v>42005</v>
      </c>
      <c r="BN33" s="622">
        <f t="shared" si="11"/>
        <v>0.08</v>
      </c>
      <c r="BO33" s="623">
        <f>+tabellen!$D$90</f>
        <v>6.3E-2</v>
      </c>
      <c r="BP33" s="621">
        <f>IF('wgl tot'!BJ33=100,0,'wgl tot'!F33)</f>
        <v>0</v>
      </c>
      <c r="BQ33" s="623" t="str">
        <f>IF(OR('wgl tot'!F33="DA",'wgl tot'!F33="DB",'wgl tot'!F33="DBuit",'wgl tot'!F33="DC",'wgl tot'!F33="DCuit",MID('wgl tot'!F33,1,5)="meerh"),"j","n")</f>
        <v>n</v>
      </c>
      <c r="BR33" s="623">
        <f t="shared" si="12"/>
        <v>1.9E-2</v>
      </c>
      <c r="BS33" s="624">
        <f>IF(AI33&gt;'wgl tot'!AH33,'wgl tot'!AH33,AI33)</f>
        <v>0</v>
      </c>
      <c r="BT33" s="624"/>
      <c r="BU33" s="625" t="e">
        <f>IF('wgl tot'!AJ33/'wgl tot'!H33&lt;tabellen!$E$57,0,(+'wgl tot'!AJ33-tabellen!$E$57*'wgl tot'!H33)/12*tabellen!$D$57)</f>
        <v>#DIV/0!</v>
      </c>
      <c r="BV33" s="625" t="e">
        <f>IF('wgl tot'!AJ33/'wgl tot'!H33&lt;tabellen!$E$58,0,(+'wgl tot'!AJ33-tabellen!$E$58*'wgl tot'!H33)/12*tabellen!$D$58)</f>
        <v>#DIV/0!</v>
      </c>
      <c r="BW33" s="625">
        <f>'wgl tot'!AJ33/12*tabellen!$D$59</f>
        <v>0</v>
      </c>
      <c r="BX33" s="626" t="e">
        <f t="shared" si="13"/>
        <v>#DIV/0!</v>
      </c>
      <c r="BY33" s="627" t="e">
        <f>+('wgl tot'!AF33+'wgl tot'!AK33)/12-'wgl tot'!BX33</f>
        <v>#DIV/0!</v>
      </c>
      <c r="BZ33" s="627" t="e">
        <f>ROUND(IF('wgl tot'!BY33&gt;tabellen!$H$63,tabellen!$H$63,'wgl tot'!BY33)*tabellen!$C$63,2)</f>
        <v>#DIV/0!</v>
      </c>
      <c r="CA33" s="627" t="e">
        <f>+'wgl tot'!BY33+'wgl tot'!BZ33</f>
        <v>#DIV/0!</v>
      </c>
      <c r="CB33" s="628">
        <f>YEAR(E33)</f>
        <v>1900</v>
      </c>
      <c r="CC33" s="628">
        <f>MONTH(E33)</f>
        <v>1</v>
      </c>
      <c r="CD33" s="621">
        <f>DAY(E33)</f>
        <v>0</v>
      </c>
      <c r="CE33" s="619">
        <f t="shared" si="8"/>
        <v>22462</v>
      </c>
      <c r="CF33" s="619">
        <f t="shared" ca="1" si="9"/>
        <v>42283.70841446759</v>
      </c>
      <c r="CG33" s="613"/>
      <c r="CH33" s="619"/>
      <c r="CI33" s="613"/>
      <c r="CJ33" s="624"/>
      <c r="CK33" s="624"/>
      <c r="CL33" s="624"/>
      <c r="CM33" s="624"/>
      <c r="CN33" s="624"/>
      <c r="CO33" s="624"/>
    </row>
    <row r="34" spans="2:93" ht="13.5" customHeight="1" x14ac:dyDescent="0.2">
      <c r="B34" s="384"/>
      <c r="C34" s="402"/>
      <c r="D34" s="286"/>
      <c r="E34" s="287"/>
      <c r="F34" s="288"/>
      <c r="G34" s="288"/>
      <c r="H34" s="289"/>
      <c r="I34" s="288"/>
      <c r="J34" s="288"/>
      <c r="K34" s="288"/>
      <c r="L34" s="288"/>
      <c r="M34" s="290"/>
      <c r="N34" s="402"/>
      <c r="O34" s="639">
        <f>IF(F34="",0,(VLOOKUP('wgl tot'!F34,salaristabellen,'wgl tot'!G34+1,FALSE)))</f>
        <v>0</v>
      </c>
      <c r="P34" s="661">
        <f>O34*H34</f>
        <v>0</v>
      </c>
      <c r="Q34" s="402"/>
      <c r="R34" s="633">
        <f>ROUND(IF(I34="j",VLOOKUP(BL34,uitlooptoeslag,2,FALSE))*IF('wgl tot'!H34&gt;1,1,'wgl tot'!H34),2)</f>
        <v>0</v>
      </c>
      <c r="S34" s="633">
        <f>ROUND(IF(OR('wgl tot'!F34="LA",'wgl tot'!F34="LB"),IF(J34="j",tabellen!$C$77*'wgl tot'!H34,0),0),2)</f>
        <v>0</v>
      </c>
      <c r="T34" s="633">
        <f>ROUND(IF(('wgl tot'!P34+'wgl tot'!R34+'wgl tot'!S34)*BN34&lt;'wgl tot'!H34*tabellen!$D$89,'wgl tot'!H34*tabellen!$D$89,('wgl tot'!P34+'wgl tot'!R34+'wgl tot'!S34)*BN34),2)</f>
        <v>0</v>
      </c>
      <c r="U34" s="633">
        <f>ROUND(+('wgl tot'!P34+'wgl tot'!R34+'wgl tot'!S34)*BO34,2)</f>
        <v>0</v>
      </c>
      <c r="V34" s="633">
        <f>+tabellen!$C$85*'wgl tot'!H34</f>
        <v>0</v>
      </c>
      <c r="W34" s="633">
        <f>VLOOKUP(BP34,eindejaarsuitkering_OOP,2,TRUE)*'wgl tot'!H34/12</f>
        <v>0</v>
      </c>
      <c r="X34" s="633">
        <f>ROUND(IF(BQ34="j",tabellen!$D$99*IF('wgl tot'!H34&gt;1,1,'wgl tot'!H34),0),2)</f>
        <v>0</v>
      </c>
      <c r="Y34" s="654">
        <f t="shared" si="1"/>
        <v>0</v>
      </c>
      <c r="Z34" s="404"/>
      <c r="AA34" s="405"/>
      <c r="AB34" s="632">
        <f t="shared" si="2"/>
        <v>0</v>
      </c>
      <c r="AC34" s="633">
        <f>ROUND(IF(L34="j",VLOOKUP(K34,bindingstoelage,2,FALSE))*IF('wgl tot'!H34&gt;1,1,'wgl tot'!H34),2)</f>
        <v>0</v>
      </c>
      <c r="AD34" s="633">
        <f>ROUND('wgl tot'!H34*tabellen!$D$96,2)</f>
        <v>0</v>
      </c>
      <c r="AE34" s="633">
        <f>ROUND('wgl tot'!H34*tabellen!$D$97,2)</f>
        <v>0</v>
      </c>
      <c r="AF34" s="632">
        <f t="shared" si="3"/>
        <v>0</v>
      </c>
      <c r="AG34" s="402"/>
      <c r="AH34" s="633">
        <f>+('wgl tot'!AF34/(1+1.9%))*BR34</f>
        <v>0</v>
      </c>
      <c r="AI34" s="633">
        <f>IF(F34="",0,(791.85))</f>
        <v>0</v>
      </c>
      <c r="AJ34" s="632">
        <f>ROUND('wgl tot'!AF34-IF('wgl tot'!AI34&gt;'wgl tot'!AH34,'wgl tot'!AH34,'wgl tot'!AI34),0)</f>
        <v>0</v>
      </c>
      <c r="AK34" s="634">
        <f>IF('wgl tot'!E34&lt;1950,0,+('wgl tot'!P34+'wgl tot'!R34+'wgl tot'!S34)*tabellen!$C$87)*12</f>
        <v>0</v>
      </c>
      <c r="AL34" s="402"/>
      <c r="AM34" s="633">
        <f t="shared" si="4"/>
        <v>0</v>
      </c>
      <c r="AN34" s="633">
        <f>IF(F34="",0,(IF('wgl tot'!AJ34/'wgl tot'!H34&lt;tabellen!$E$57,0,('wgl tot'!AJ34-tabellen!$E$57*'wgl tot'!H34)/12)*tabellen!$C$57))</f>
        <v>0</v>
      </c>
      <c r="AO34" s="633">
        <f>IF(F34="",0,(IF('wgl tot'!AJ34/'wgl tot'!H34&lt;tabellen!$E$58,0,(+'wgl tot'!AJ34-tabellen!$E$58*'wgl tot'!H34)/12)*tabellen!$C$58))</f>
        <v>0</v>
      </c>
      <c r="AP34" s="633">
        <f>'wgl tot'!AJ34/12*tabellen!$C$59</f>
        <v>0</v>
      </c>
      <c r="AQ34" s="633">
        <f>IF(H34=0,0,IF(BY34&gt;tabellen!$G$60/12,tabellen!$G$60/12,BY34)*(tabellen!$C$60+tabellen!$C$61))</f>
        <v>0</v>
      </c>
      <c r="AR34" s="633">
        <f>IF(F34="",0,('wgl tot'!BZ34))</f>
        <v>0</v>
      </c>
      <c r="AS34" s="635">
        <f>IF(F34="",0,(IF('wgl tot'!BY34&gt;tabellen!$G$64*'wgl tot'!H34/12,tabellen!$G$64*'wgl tot'!H34/12,'wgl tot'!BY34)*tabellen!$C$64))</f>
        <v>0</v>
      </c>
      <c r="AT34" s="635">
        <f>IF(F34="",0,('wgl tot'!BY34*IF(M34=1,tabellen!$C$65,IF(M34=2,tabellen!C85,IF(M34=3,tabellen!$C$67,tabellen!$C$68)))))</f>
        <v>0</v>
      </c>
      <c r="AU34" s="635">
        <f>IF(F34="",0,('wgl tot'!BY34*tabellen!$C$69))</f>
        <v>0</v>
      </c>
      <c r="AV34" s="635">
        <f>+'wgl tot'!AK34/12</f>
        <v>0</v>
      </c>
      <c r="AW34" s="435">
        <v>0</v>
      </c>
      <c r="AX34" s="291">
        <f t="shared" si="5"/>
        <v>0</v>
      </c>
      <c r="AY34" s="658">
        <f t="shared" si="6"/>
        <v>0</v>
      </c>
      <c r="AZ34" s="658">
        <f t="shared" si="7"/>
        <v>0</v>
      </c>
      <c r="BA34" s="402"/>
      <c r="BB34" s="641" t="str">
        <f>IF(AY34=0,"",(+'wgl tot'!AY34/'wgl tot'!P34-1))</f>
        <v/>
      </c>
      <c r="BC34" s="402"/>
      <c r="BD34" s="385"/>
      <c r="BG34" s="621">
        <f ca="1">YEAR('wgl tot'!$BG$10)-YEAR('wgl tot'!E34)</f>
        <v>115</v>
      </c>
      <c r="BH34" s="621">
        <f ca="1">MONTH('wgl tot'!$BG$10)-MONTH('wgl tot'!E34)</f>
        <v>9</v>
      </c>
      <c r="BI34" s="621">
        <f ca="1">DAY('wgl tot'!$BG$10)-DAY('wgl tot'!E34)</f>
        <v>6</v>
      </c>
      <c r="BJ34" s="613">
        <f>IF(AND('wgl tot'!F34&gt;0,'wgl tot'!F34&lt;16),0,100)</f>
        <v>100</v>
      </c>
      <c r="BK34" s="613" t="e">
        <f>VLOOKUP('wgl tot'!F34,salaristabellen,22,FALSE)</f>
        <v>#N/A</v>
      </c>
      <c r="BL34" s="613">
        <f>F34</f>
        <v>0</v>
      </c>
      <c r="BM34" s="619">
        <f t="shared" si="10"/>
        <v>42005</v>
      </c>
      <c r="BN34" s="622">
        <f t="shared" si="11"/>
        <v>0.08</v>
      </c>
      <c r="BO34" s="623">
        <f>+tabellen!$D$90</f>
        <v>6.3E-2</v>
      </c>
      <c r="BP34" s="621">
        <f>IF('wgl tot'!BJ34=100,0,'wgl tot'!F34)</f>
        <v>0</v>
      </c>
      <c r="BQ34" s="623" t="str">
        <f>IF(OR('wgl tot'!F34="DA",'wgl tot'!F34="DB",'wgl tot'!F34="DBuit",'wgl tot'!F34="DC",'wgl tot'!F34="DCuit",MID('wgl tot'!F34,1,5)="meerh"),"j","n")</f>
        <v>n</v>
      </c>
      <c r="BR34" s="623">
        <f t="shared" si="12"/>
        <v>1.9E-2</v>
      </c>
      <c r="BS34" s="624">
        <f>IF(AI34&gt;'wgl tot'!AH34,'wgl tot'!AH34,AI34)</f>
        <v>0</v>
      </c>
      <c r="BT34" s="624"/>
      <c r="BU34" s="625" t="e">
        <f>IF('wgl tot'!AJ34/'wgl tot'!H34&lt;tabellen!$E$57,0,(+'wgl tot'!AJ34-tabellen!$E$57*'wgl tot'!H34)/12*tabellen!$D$57)</f>
        <v>#DIV/0!</v>
      </c>
      <c r="BV34" s="625" t="e">
        <f>IF('wgl tot'!AJ34/'wgl tot'!H34&lt;tabellen!$E$58,0,(+'wgl tot'!AJ34-tabellen!$E$58*'wgl tot'!H34)/12*tabellen!$D$58)</f>
        <v>#DIV/0!</v>
      </c>
      <c r="BW34" s="625">
        <f>'wgl tot'!AJ34/12*tabellen!$D$59</f>
        <v>0</v>
      </c>
      <c r="BX34" s="626" t="e">
        <f t="shared" si="13"/>
        <v>#DIV/0!</v>
      </c>
      <c r="BY34" s="627" t="e">
        <f>+('wgl tot'!AF34+'wgl tot'!AK34)/12-'wgl tot'!BX34</f>
        <v>#DIV/0!</v>
      </c>
      <c r="BZ34" s="627" t="e">
        <f>ROUND(IF('wgl tot'!BY34&gt;tabellen!$H$63,tabellen!$H$63,'wgl tot'!BY34)*tabellen!$C$63,2)</f>
        <v>#DIV/0!</v>
      </c>
      <c r="CA34" s="627" t="e">
        <f>+'wgl tot'!BY34+'wgl tot'!BZ34</f>
        <v>#DIV/0!</v>
      </c>
      <c r="CB34" s="628">
        <f>YEAR(E34)</f>
        <v>1900</v>
      </c>
      <c r="CC34" s="628">
        <f>MONTH(E34)</f>
        <v>1</v>
      </c>
      <c r="CD34" s="621">
        <f>DAY(E34)</f>
        <v>0</v>
      </c>
      <c r="CE34" s="619">
        <f t="shared" si="8"/>
        <v>22462</v>
      </c>
      <c r="CF34" s="619">
        <f t="shared" ca="1" si="9"/>
        <v>42283.70841446759</v>
      </c>
      <c r="CG34" s="613"/>
      <c r="CH34" s="619"/>
      <c r="CI34" s="613"/>
      <c r="CJ34" s="624"/>
      <c r="CK34" s="624"/>
      <c r="CL34" s="624"/>
      <c r="CM34" s="624"/>
      <c r="CN34" s="624"/>
      <c r="CO34" s="624"/>
    </row>
    <row r="35" spans="2:93" ht="13.5" customHeight="1" x14ac:dyDescent="0.2">
      <c r="B35" s="384"/>
      <c r="C35" s="402"/>
      <c r="D35" s="286"/>
      <c r="E35" s="287"/>
      <c r="F35" s="288"/>
      <c r="G35" s="288"/>
      <c r="H35" s="289"/>
      <c r="I35" s="288"/>
      <c r="J35" s="288"/>
      <c r="K35" s="288"/>
      <c r="L35" s="288"/>
      <c r="M35" s="290"/>
      <c r="N35" s="402"/>
      <c r="O35" s="639">
        <f>IF(F35="",0,(VLOOKUP('wgl tot'!F35,salaristabellen,'wgl tot'!G35+1,FALSE)))</f>
        <v>0</v>
      </c>
      <c r="P35" s="661">
        <f>O35*H35</f>
        <v>0</v>
      </c>
      <c r="Q35" s="402"/>
      <c r="R35" s="633">
        <f>ROUND(IF(I35="j",VLOOKUP(BL35,uitlooptoeslag,2,FALSE))*IF('wgl tot'!H35&gt;1,1,'wgl tot'!H35),2)</f>
        <v>0</v>
      </c>
      <c r="S35" s="633">
        <f>ROUND(IF(OR('wgl tot'!F35="LA",'wgl tot'!F35="LB"),IF(J35="j",tabellen!$C$77*'wgl tot'!H35,0),0),2)</f>
        <v>0</v>
      </c>
      <c r="T35" s="633">
        <f>ROUND(IF(('wgl tot'!P35+'wgl tot'!R35+'wgl tot'!S35)*BN35&lt;'wgl tot'!H35*tabellen!$D$89,'wgl tot'!H35*tabellen!$D$89,('wgl tot'!P35+'wgl tot'!R35+'wgl tot'!S35)*BN35),2)</f>
        <v>0</v>
      </c>
      <c r="U35" s="633">
        <f>ROUND(+('wgl tot'!P35+'wgl tot'!R35+'wgl tot'!S35)*BO35,2)</f>
        <v>0</v>
      </c>
      <c r="V35" s="633">
        <f>+tabellen!$C$85*'wgl tot'!H35</f>
        <v>0</v>
      </c>
      <c r="W35" s="633">
        <f>VLOOKUP(BP35,eindejaarsuitkering_OOP,2,TRUE)*'wgl tot'!H35/12</f>
        <v>0</v>
      </c>
      <c r="X35" s="633">
        <f>ROUND(IF(BQ35="j",tabellen!$D$99*IF('wgl tot'!H35&gt;1,1,'wgl tot'!H35),0),2)</f>
        <v>0</v>
      </c>
      <c r="Y35" s="654">
        <f t="shared" si="1"/>
        <v>0</v>
      </c>
      <c r="Z35" s="404"/>
      <c r="AA35" s="405"/>
      <c r="AB35" s="632">
        <f t="shared" si="2"/>
        <v>0</v>
      </c>
      <c r="AC35" s="633">
        <f>ROUND(IF(L35="j",VLOOKUP(K35,bindingstoelage,2,FALSE))*IF('wgl tot'!H35&gt;1,1,'wgl tot'!H35),2)</f>
        <v>0</v>
      </c>
      <c r="AD35" s="633">
        <f>ROUND('wgl tot'!H35*tabellen!$D$96,2)</f>
        <v>0</v>
      </c>
      <c r="AE35" s="633">
        <f>ROUND('wgl tot'!H35*tabellen!$D$97,2)</f>
        <v>0</v>
      </c>
      <c r="AF35" s="632">
        <f t="shared" si="3"/>
        <v>0</v>
      </c>
      <c r="AG35" s="402"/>
      <c r="AH35" s="633">
        <f>+('wgl tot'!AF35/(1+1.9%))*BR35</f>
        <v>0</v>
      </c>
      <c r="AI35" s="633">
        <f>IF(F35="",0,(791.85))</f>
        <v>0</v>
      </c>
      <c r="AJ35" s="632">
        <f>ROUND('wgl tot'!AF35-IF('wgl tot'!AI35&gt;'wgl tot'!AH35,'wgl tot'!AH35,'wgl tot'!AI35),0)</f>
        <v>0</v>
      </c>
      <c r="AK35" s="634">
        <f>IF('wgl tot'!E35&lt;1950,0,+('wgl tot'!P35+'wgl tot'!R35+'wgl tot'!S35)*tabellen!$C$87)*12</f>
        <v>0</v>
      </c>
      <c r="AL35" s="402"/>
      <c r="AM35" s="633">
        <f t="shared" si="4"/>
        <v>0</v>
      </c>
      <c r="AN35" s="633">
        <f>IF(F35="",0,(IF('wgl tot'!AJ35/'wgl tot'!H35&lt;tabellen!$E$57,0,('wgl tot'!AJ35-tabellen!$E$57*'wgl tot'!H35)/12)*tabellen!$C$57))</f>
        <v>0</v>
      </c>
      <c r="AO35" s="633">
        <f>IF(F35="",0,(IF('wgl tot'!AJ35/'wgl tot'!H35&lt;tabellen!$E$58,0,(+'wgl tot'!AJ35-tabellen!$E$58*'wgl tot'!H35)/12)*tabellen!$C$58))</f>
        <v>0</v>
      </c>
      <c r="AP35" s="633">
        <f>'wgl tot'!AJ35/12*tabellen!$C$59</f>
        <v>0</v>
      </c>
      <c r="AQ35" s="633">
        <f>IF(H35=0,0,IF(BY35&gt;tabellen!$G$60/12,tabellen!$G$60/12,BY35)*(tabellen!$C$60+tabellen!$C$61))</f>
        <v>0</v>
      </c>
      <c r="AR35" s="633">
        <f>IF(F35="",0,('wgl tot'!BZ35))</f>
        <v>0</v>
      </c>
      <c r="AS35" s="635">
        <f>IF(F35="",0,(IF('wgl tot'!BY35&gt;tabellen!$G$64*'wgl tot'!H35/12,tabellen!$G$64*'wgl tot'!H35/12,'wgl tot'!BY35)*tabellen!$C$64))</f>
        <v>0</v>
      </c>
      <c r="AT35" s="635">
        <f>IF(F35="",0,('wgl tot'!BY35*IF(M35=1,tabellen!$C$65,IF(M35=2,tabellen!C86,IF(M35=3,tabellen!$C$67,tabellen!$C$68)))))</f>
        <v>0</v>
      </c>
      <c r="AU35" s="635">
        <f>IF(F35="",0,('wgl tot'!BY35*tabellen!$C$69))</f>
        <v>0</v>
      </c>
      <c r="AV35" s="635">
        <f>+'wgl tot'!AK35/12</f>
        <v>0</v>
      </c>
      <c r="AW35" s="435">
        <v>0</v>
      </c>
      <c r="AX35" s="291">
        <f t="shared" si="5"/>
        <v>0</v>
      </c>
      <c r="AY35" s="658">
        <f t="shared" si="6"/>
        <v>0</v>
      </c>
      <c r="AZ35" s="658">
        <f t="shared" si="7"/>
        <v>0</v>
      </c>
      <c r="BA35" s="402"/>
      <c r="BB35" s="641" t="str">
        <f>IF(AY35=0,"",(+'wgl tot'!AY35/'wgl tot'!P35-1))</f>
        <v/>
      </c>
      <c r="BC35" s="402"/>
      <c r="BD35" s="385"/>
      <c r="BG35" s="621">
        <f ca="1">YEAR('wgl tot'!$BG$10)-YEAR('wgl tot'!E35)</f>
        <v>115</v>
      </c>
      <c r="BH35" s="621">
        <f ca="1">MONTH('wgl tot'!$BG$10)-MONTH('wgl tot'!E35)</f>
        <v>9</v>
      </c>
      <c r="BI35" s="621">
        <f ca="1">DAY('wgl tot'!$BG$10)-DAY('wgl tot'!E35)</f>
        <v>6</v>
      </c>
      <c r="BJ35" s="613">
        <f>IF(AND('wgl tot'!F35&gt;0,'wgl tot'!F35&lt;16),0,100)</f>
        <v>100</v>
      </c>
      <c r="BK35" s="613" t="e">
        <f>VLOOKUP('wgl tot'!F35,salaristabellen,22,FALSE)</f>
        <v>#N/A</v>
      </c>
      <c r="BL35" s="613">
        <f>F35</f>
        <v>0</v>
      </c>
      <c r="BM35" s="619">
        <f t="shared" si="10"/>
        <v>42005</v>
      </c>
      <c r="BN35" s="622">
        <f t="shared" si="11"/>
        <v>0.08</v>
      </c>
      <c r="BO35" s="623">
        <f>+tabellen!$D$90</f>
        <v>6.3E-2</v>
      </c>
      <c r="BP35" s="621">
        <f>IF('wgl tot'!BJ35=100,0,'wgl tot'!F35)</f>
        <v>0</v>
      </c>
      <c r="BQ35" s="623" t="str">
        <f>IF(OR('wgl tot'!F35="DA",'wgl tot'!F35="DB",'wgl tot'!F35="DBuit",'wgl tot'!F35="DC",'wgl tot'!F35="DCuit",MID('wgl tot'!F35,1,5)="meerh"),"j","n")</f>
        <v>n</v>
      </c>
      <c r="BR35" s="623">
        <f t="shared" si="12"/>
        <v>1.9E-2</v>
      </c>
      <c r="BS35" s="624">
        <f>IF(AI35&gt;'wgl tot'!AH35,'wgl tot'!AH35,AI35)</f>
        <v>0</v>
      </c>
      <c r="BT35" s="624"/>
      <c r="BU35" s="625" t="e">
        <f>IF('wgl tot'!AJ35/'wgl tot'!H35&lt;tabellen!$E$57,0,(+'wgl tot'!AJ35-tabellen!$E$57*'wgl tot'!H35)/12*tabellen!$D$57)</f>
        <v>#DIV/0!</v>
      </c>
      <c r="BV35" s="625" t="e">
        <f>IF('wgl tot'!AJ35/'wgl tot'!H35&lt;tabellen!$E$58,0,(+'wgl tot'!AJ35-tabellen!$E$58*'wgl tot'!H35)/12*tabellen!$D$58)</f>
        <v>#DIV/0!</v>
      </c>
      <c r="BW35" s="625">
        <f>'wgl tot'!AJ35/12*tabellen!$D$59</f>
        <v>0</v>
      </c>
      <c r="BX35" s="626" t="e">
        <f t="shared" si="13"/>
        <v>#DIV/0!</v>
      </c>
      <c r="BY35" s="627" t="e">
        <f>+('wgl tot'!AF35+'wgl tot'!AK35)/12-'wgl tot'!BX35</f>
        <v>#DIV/0!</v>
      </c>
      <c r="BZ35" s="627" t="e">
        <f>ROUND(IF('wgl tot'!BY35&gt;tabellen!$H$63,tabellen!$H$63,'wgl tot'!BY35)*tabellen!$C$63,2)</f>
        <v>#DIV/0!</v>
      </c>
      <c r="CA35" s="627" t="e">
        <f>+'wgl tot'!BY35+'wgl tot'!BZ35</f>
        <v>#DIV/0!</v>
      </c>
      <c r="CB35" s="628">
        <f>YEAR(E35)</f>
        <v>1900</v>
      </c>
      <c r="CC35" s="628">
        <f>MONTH(E35)</f>
        <v>1</v>
      </c>
      <c r="CD35" s="621">
        <f>DAY(E35)</f>
        <v>0</v>
      </c>
      <c r="CE35" s="619">
        <f t="shared" si="8"/>
        <v>22462</v>
      </c>
      <c r="CF35" s="619">
        <f t="shared" ca="1" si="9"/>
        <v>42283.70841446759</v>
      </c>
      <c r="CG35" s="613"/>
      <c r="CH35" s="619"/>
      <c r="CI35" s="613"/>
      <c r="CJ35" s="624"/>
      <c r="CK35" s="624"/>
      <c r="CL35" s="624"/>
      <c r="CM35" s="624"/>
      <c r="CN35" s="624"/>
      <c r="CO35" s="624"/>
    </row>
    <row r="36" spans="2:93" ht="13.5" customHeight="1" x14ac:dyDescent="0.2">
      <c r="B36" s="384"/>
      <c r="C36" s="402"/>
      <c r="D36" s="286"/>
      <c r="E36" s="287"/>
      <c r="F36" s="288"/>
      <c r="G36" s="288"/>
      <c r="H36" s="289"/>
      <c r="I36" s="288"/>
      <c r="J36" s="288"/>
      <c r="K36" s="288"/>
      <c r="L36" s="288"/>
      <c r="M36" s="290"/>
      <c r="N36" s="402"/>
      <c r="O36" s="639">
        <f>IF(F36="",0,(VLOOKUP('wgl tot'!F36,salaristabellen,'wgl tot'!G36+1,FALSE)))</f>
        <v>0</v>
      </c>
      <c r="P36" s="661">
        <f>O36*H36</f>
        <v>0</v>
      </c>
      <c r="Q36" s="402"/>
      <c r="R36" s="633">
        <f>ROUND(IF(I36="j",VLOOKUP(BL36,uitlooptoeslag,2,FALSE))*IF('wgl tot'!H36&gt;1,1,'wgl tot'!H36),2)</f>
        <v>0</v>
      </c>
      <c r="S36" s="633">
        <f>ROUND(IF(OR('wgl tot'!F36="LA",'wgl tot'!F36="LB"),IF(J36="j",tabellen!$C$77*'wgl tot'!H36,0),0),2)</f>
        <v>0</v>
      </c>
      <c r="T36" s="633">
        <f>ROUND(IF(('wgl tot'!P36+'wgl tot'!R36+'wgl tot'!S36)*BN36&lt;'wgl tot'!H36*tabellen!$D$89,'wgl tot'!H36*tabellen!$D$89,('wgl tot'!P36+'wgl tot'!R36+'wgl tot'!S36)*BN36),2)</f>
        <v>0</v>
      </c>
      <c r="U36" s="633">
        <f>ROUND(+('wgl tot'!P36+'wgl tot'!R36+'wgl tot'!S36)*BO36,2)</f>
        <v>0</v>
      </c>
      <c r="V36" s="633">
        <f>+tabellen!$C$85*'wgl tot'!H36</f>
        <v>0</v>
      </c>
      <c r="W36" s="633">
        <f>VLOOKUP(BP36,eindejaarsuitkering_OOP,2,TRUE)*'wgl tot'!H36/12</f>
        <v>0</v>
      </c>
      <c r="X36" s="633">
        <f>ROUND(IF(BQ36="j",tabellen!$D$99*IF('wgl tot'!H36&gt;1,1,'wgl tot'!H36),0),2)</f>
        <v>0</v>
      </c>
      <c r="Y36" s="654">
        <f t="shared" si="1"/>
        <v>0</v>
      </c>
      <c r="Z36" s="404"/>
      <c r="AA36" s="405"/>
      <c r="AB36" s="632">
        <f t="shared" si="2"/>
        <v>0</v>
      </c>
      <c r="AC36" s="633">
        <f>ROUND(IF(L36="j",VLOOKUP(K36,bindingstoelage,2,FALSE))*IF('wgl tot'!H36&gt;1,1,'wgl tot'!H36),2)</f>
        <v>0</v>
      </c>
      <c r="AD36" s="633">
        <f>ROUND('wgl tot'!H36*tabellen!$D$96,2)</f>
        <v>0</v>
      </c>
      <c r="AE36" s="633">
        <f>ROUND('wgl tot'!H36*tabellen!$D$97,2)</f>
        <v>0</v>
      </c>
      <c r="AF36" s="632">
        <f t="shared" si="3"/>
        <v>0</v>
      </c>
      <c r="AG36" s="402"/>
      <c r="AH36" s="633">
        <f>+('wgl tot'!AF36/(1+1.9%))*BR36</f>
        <v>0</v>
      </c>
      <c r="AI36" s="633">
        <f>IF(F36="",0,(791.85))</f>
        <v>0</v>
      </c>
      <c r="AJ36" s="632">
        <f>ROUND('wgl tot'!AF36-IF('wgl tot'!AI36&gt;'wgl tot'!AH36,'wgl tot'!AH36,'wgl tot'!AI36),0)</f>
        <v>0</v>
      </c>
      <c r="AK36" s="634">
        <f>IF('wgl tot'!E36&lt;1950,0,+('wgl tot'!P36+'wgl tot'!R36+'wgl tot'!S36)*tabellen!$C$87)*12</f>
        <v>0</v>
      </c>
      <c r="AL36" s="402"/>
      <c r="AM36" s="633">
        <f t="shared" si="4"/>
        <v>0</v>
      </c>
      <c r="AN36" s="633">
        <f>IF(F36="",0,(IF('wgl tot'!AJ36/'wgl tot'!H36&lt;tabellen!$E$57,0,('wgl tot'!AJ36-tabellen!$E$57*'wgl tot'!H36)/12)*tabellen!$C$57))</f>
        <v>0</v>
      </c>
      <c r="AO36" s="633">
        <f>IF(F36="",0,(IF('wgl tot'!AJ36/'wgl tot'!H36&lt;tabellen!$E$58,0,(+'wgl tot'!AJ36-tabellen!$E$58*'wgl tot'!H36)/12)*tabellen!$C$58))</f>
        <v>0</v>
      </c>
      <c r="AP36" s="633">
        <f>'wgl tot'!AJ36/12*tabellen!$C$59</f>
        <v>0</v>
      </c>
      <c r="AQ36" s="633">
        <f>IF(H36=0,0,IF(BY36&gt;tabellen!$G$60/12,tabellen!$G$60/12,BY36)*(tabellen!$C$60+tabellen!$C$61))</f>
        <v>0</v>
      </c>
      <c r="AR36" s="633">
        <f>IF(F36="",0,('wgl tot'!BZ36))</f>
        <v>0</v>
      </c>
      <c r="AS36" s="635">
        <f>IF(F36="",0,(IF('wgl tot'!BY36&gt;tabellen!$G$64*'wgl tot'!H36/12,tabellen!$G$64*'wgl tot'!H36/12,'wgl tot'!BY36)*tabellen!$C$64))</f>
        <v>0</v>
      </c>
      <c r="AT36" s="635">
        <f>IF(F36="",0,('wgl tot'!BY36*IF(M36=1,tabellen!$C$65,IF(M36=2,tabellen!C87,IF(M36=3,tabellen!$C$67,tabellen!$C$68)))))</f>
        <v>0</v>
      </c>
      <c r="AU36" s="635">
        <f>IF(F36="",0,('wgl tot'!BY36*tabellen!$C$69))</f>
        <v>0</v>
      </c>
      <c r="AV36" s="635">
        <f>+'wgl tot'!AK36/12</f>
        <v>0</v>
      </c>
      <c r="AW36" s="435">
        <v>0</v>
      </c>
      <c r="AX36" s="291">
        <f t="shared" si="5"/>
        <v>0</v>
      </c>
      <c r="AY36" s="658">
        <f t="shared" si="6"/>
        <v>0</v>
      </c>
      <c r="AZ36" s="658">
        <f t="shared" si="7"/>
        <v>0</v>
      </c>
      <c r="BA36" s="402"/>
      <c r="BB36" s="641" t="str">
        <f>IF(AY36=0,"",(+'wgl tot'!AY36/'wgl tot'!P36-1))</f>
        <v/>
      </c>
      <c r="BC36" s="402"/>
      <c r="BD36" s="385"/>
      <c r="BG36" s="621">
        <f ca="1">YEAR('wgl tot'!$BG$10)-YEAR('wgl tot'!E36)</f>
        <v>115</v>
      </c>
      <c r="BH36" s="621">
        <f ca="1">MONTH('wgl tot'!$BG$10)-MONTH('wgl tot'!E36)</f>
        <v>9</v>
      </c>
      <c r="BI36" s="621">
        <f ca="1">DAY('wgl tot'!$BG$10)-DAY('wgl tot'!E36)</f>
        <v>6</v>
      </c>
      <c r="BJ36" s="613">
        <f>IF(AND('wgl tot'!F36&gt;0,'wgl tot'!F36&lt;16),0,100)</f>
        <v>100</v>
      </c>
      <c r="BK36" s="613" t="e">
        <f>VLOOKUP('wgl tot'!F36,salaristabellen,22,FALSE)</f>
        <v>#N/A</v>
      </c>
      <c r="BL36" s="613">
        <f>F36</f>
        <v>0</v>
      </c>
      <c r="BM36" s="619">
        <f t="shared" si="10"/>
        <v>42005</v>
      </c>
      <c r="BN36" s="622">
        <f t="shared" si="11"/>
        <v>0.08</v>
      </c>
      <c r="BO36" s="623">
        <f>+tabellen!$D$90</f>
        <v>6.3E-2</v>
      </c>
      <c r="BP36" s="621">
        <f>IF('wgl tot'!BJ36=100,0,'wgl tot'!F36)</f>
        <v>0</v>
      </c>
      <c r="BQ36" s="623" t="str">
        <f>IF(OR('wgl tot'!F36="DA",'wgl tot'!F36="DB",'wgl tot'!F36="DBuit",'wgl tot'!F36="DC",'wgl tot'!F36="DCuit",MID('wgl tot'!F36,1,5)="meerh"),"j","n")</f>
        <v>n</v>
      </c>
      <c r="BR36" s="623">
        <f t="shared" si="12"/>
        <v>1.9E-2</v>
      </c>
      <c r="BS36" s="624">
        <f>IF(AI36&gt;'wgl tot'!AH36,'wgl tot'!AH36,AI36)</f>
        <v>0</v>
      </c>
      <c r="BT36" s="624"/>
      <c r="BU36" s="625" t="e">
        <f>IF('wgl tot'!AJ36/'wgl tot'!H36&lt;tabellen!$E$57,0,(+'wgl tot'!AJ36-tabellen!$E$57*'wgl tot'!H36)/12*tabellen!$D$57)</f>
        <v>#DIV/0!</v>
      </c>
      <c r="BV36" s="625" t="e">
        <f>IF('wgl tot'!AJ36/'wgl tot'!H36&lt;tabellen!$E$58,0,(+'wgl tot'!AJ36-tabellen!$E$58*'wgl tot'!H36)/12*tabellen!$D$58)</f>
        <v>#DIV/0!</v>
      </c>
      <c r="BW36" s="625">
        <f>'wgl tot'!AJ36/12*tabellen!$D$59</f>
        <v>0</v>
      </c>
      <c r="BX36" s="626" t="e">
        <f t="shared" si="13"/>
        <v>#DIV/0!</v>
      </c>
      <c r="BY36" s="627" t="e">
        <f>+('wgl tot'!AF36+'wgl tot'!AK36)/12-'wgl tot'!BX36</f>
        <v>#DIV/0!</v>
      </c>
      <c r="BZ36" s="627" t="e">
        <f>ROUND(IF('wgl tot'!BY36&gt;tabellen!$H$63,tabellen!$H$63,'wgl tot'!BY36)*tabellen!$C$63,2)</f>
        <v>#DIV/0!</v>
      </c>
      <c r="CA36" s="627" t="e">
        <f>+'wgl tot'!BY36+'wgl tot'!BZ36</f>
        <v>#DIV/0!</v>
      </c>
      <c r="CB36" s="628">
        <f>YEAR(E36)</f>
        <v>1900</v>
      </c>
      <c r="CC36" s="628">
        <f>MONTH(E36)</f>
        <v>1</v>
      </c>
      <c r="CD36" s="621">
        <f>DAY(E36)</f>
        <v>0</v>
      </c>
      <c r="CE36" s="619">
        <f t="shared" si="8"/>
        <v>22462</v>
      </c>
      <c r="CF36" s="619">
        <f t="shared" ca="1" si="9"/>
        <v>42283.70841446759</v>
      </c>
      <c r="CG36" s="613"/>
      <c r="CH36" s="619"/>
      <c r="CI36" s="613"/>
      <c r="CJ36" s="624"/>
      <c r="CK36" s="624"/>
      <c r="CL36" s="624"/>
      <c r="CM36" s="624"/>
      <c r="CN36" s="624"/>
      <c r="CO36" s="624"/>
    </row>
    <row r="37" spans="2:93" ht="13.5" customHeight="1" x14ac:dyDescent="0.2">
      <c r="B37" s="384"/>
      <c r="C37" s="402"/>
      <c r="D37" s="286"/>
      <c r="E37" s="287"/>
      <c r="F37" s="288"/>
      <c r="G37" s="288"/>
      <c r="H37" s="289"/>
      <c r="I37" s="288"/>
      <c r="J37" s="288"/>
      <c r="K37" s="288"/>
      <c r="L37" s="288"/>
      <c r="M37" s="290"/>
      <c r="N37" s="402"/>
      <c r="O37" s="639">
        <f>IF(F37="",0,(VLOOKUP('wgl tot'!F37,salaristabellen,'wgl tot'!G37+1,FALSE)))</f>
        <v>0</v>
      </c>
      <c r="P37" s="661">
        <f>O37*H37</f>
        <v>0</v>
      </c>
      <c r="Q37" s="402"/>
      <c r="R37" s="633">
        <f>ROUND(IF(I37="j",VLOOKUP(BL37,uitlooptoeslag,2,FALSE))*IF('wgl tot'!H37&gt;1,1,'wgl tot'!H37),2)</f>
        <v>0</v>
      </c>
      <c r="S37" s="633">
        <f>ROUND(IF(OR('wgl tot'!F37="LA",'wgl tot'!F37="LB"),IF(J37="j",tabellen!$C$77*'wgl tot'!H37,0),0),2)</f>
        <v>0</v>
      </c>
      <c r="T37" s="633">
        <f>ROUND(IF(('wgl tot'!P37+'wgl tot'!R37+'wgl tot'!S37)*BN37&lt;'wgl tot'!H37*tabellen!$D$89,'wgl tot'!H37*tabellen!$D$89,('wgl tot'!P37+'wgl tot'!R37+'wgl tot'!S37)*BN37),2)</f>
        <v>0</v>
      </c>
      <c r="U37" s="633">
        <f>ROUND(+('wgl tot'!P37+'wgl tot'!R37+'wgl tot'!S37)*BO37,2)</f>
        <v>0</v>
      </c>
      <c r="V37" s="633">
        <f>+tabellen!$C$85*'wgl tot'!H37</f>
        <v>0</v>
      </c>
      <c r="W37" s="633">
        <f>VLOOKUP(BP37,eindejaarsuitkering_OOP,2,TRUE)*'wgl tot'!H37/12</f>
        <v>0</v>
      </c>
      <c r="X37" s="633">
        <f>ROUND(IF(BQ37="j",tabellen!$D$99*IF('wgl tot'!H37&gt;1,1,'wgl tot'!H37),0),2)</f>
        <v>0</v>
      </c>
      <c r="Y37" s="654">
        <f t="shared" si="1"/>
        <v>0</v>
      </c>
      <c r="Z37" s="404"/>
      <c r="AA37" s="405"/>
      <c r="AB37" s="632">
        <f t="shared" si="2"/>
        <v>0</v>
      </c>
      <c r="AC37" s="633">
        <f>ROUND(IF(L37="j",VLOOKUP(K37,bindingstoelage,2,FALSE))*IF('wgl tot'!H37&gt;1,1,'wgl tot'!H37),2)</f>
        <v>0</v>
      </c>
      <c r="AD37" s="633">
        <f>ROUND('wgl tot'!H37*tabellen!$D$96,2)</f>
        <v>0</v>
      </c>
      <c r="AE37" s="633">
        <f>ROUND('wgl tot'!H37*tabellen!$D$97,2)</f>
        <v>0</v>
      </c>
      <c r="AF37" s="632">
        <f t="shared" si="3"/>
        <v>0</v>
      </c>
      <c r="AG37" s="402"/>
      <c r="AH37" s="633">
        <f>+('wgl tot'!AF37/(1+1.9%))*BR37</f>
        <v>0</v>
      </c>
      <c r="AI37" s="633">
        <f>IF(F37="",0,(791.85))</f>
        <v>0</v>
      </c>
      <c r="AJ37" s="632">
        <f>ROUND('wgl tot'!AF37-IF('wgl tot'!AI37&gt;'wgl tot'!AH37,'wgl tot'!AH37,'wgl tot'!AI37),0)</f>
        <v>0</v>
      </c>
      <c r="AK37" s="634">
        <f>IF('wgl tot'!E37&lt;1950,0,+('wgl tot'!P37+'wgl tot'!R37+'wgl tot'!S37)*tabellen!$C$87)*12</f>
        <v>0</v>
      </c>
      <c r="AL37" s="402"/>
      <c r="AM37" s="633">
        <f t="shared" si="4"/>
        <v>0</v>
      </c>
      <c r="AN37" s="633">
        <f>IF(F37="",0,(IF('wgl tot'!AJ37/'wgl tot'!H37&lt;tabellen!$E$57,0,('wgl tot'!AJ37-tabellen!$E$57*'wgl tot'!H37)/12)*tabellen!$C$57))</f>
        <v>0</v>
      </c>
      <c r="AO37" s="633">
        <f>IF(F37="",0,(IF('wgl tot'!AJ37/'wgl tot'!H37&lt;tabellen!$E$58,0,(+'wgl tot'!AJ37-tabellen!$E$58*'wgl tot'!H37)/12)*tabellen!$C$58))</f>
        <v>0</v>
      </c>
      <c r="AP37" s="633">
        <f>'wgl tot'!AJ37/12*tabellen!$C$59</f>
        <v>0</v>
      </c>
      <c r="AQ37" s="633">
        <f>IF(H37=0,0,IF(BY37&gt;tabellen!$G$60/12,tabellen!$G$60/12,BY37)*(tabellen!$C$60+tabellen!$C$61))</f>
        <v>0</v>
      </c>
      <c r="AR37" s="633">
        <f>IF(F37="",0,('wgl tot'!BZ37))</f>
        <v>0</v>
      </c>
      <c r="AS37" s="635">
        <f>IF(F37="",0,(IF('wgl tot'!BY37&gt;tabellen!$G$64*'wgl tot'!H37/12,tabellen!$G$64*'wgl tot'!H37/12,'wgl tot'!BY37)*tabellen!$C$64))</f>
        <v>0</v>
      </c>
      <c r="AT37" s="635">
        <f>IF(F37="",0,('wgl tot'!BY37*IF(M37=1,tabellen!$C$65,IF(M37=2,tabellen!C88,IF(M37=3,tabellen!$C$67,tabellen!$C$68)))))</f>
        <v>0</v>
      </c>
      <c r="AU37" s="635">
        <f>IF(F37="",0,('wgl tot'!BY37*tabellen!$C$69))</f>
        <v>0</v>
      </c>
      <c r="AV37" s="635">
        <f>+'wgl tot'!AK37/12</f>
        <v>0</v>
      </c>
      <c r="AW37" s="435">
        <v>0</v>
      </c>
      <c r="AX37" s="291">
        <f t="shared" si="5"/>
        <v>0</v>
      </c>
      <c r="AY37" s="658">
        <f t="shared" si="6"/>
        <v>0</v>
      </c>
      <c r="AZ37" s="658">
        <f t="shared" si="7"/>
        <v>0</v>
      </c>
      <c r="BA37" s="402"/>
      <c r="BB37" s="641" t="str">
        <f>IF(AY37=0,"",(+'wgl tot'!AY37/'wgl tot'!P37-1))</f>
        <v/>
      </c>
      <c r="BC37" s="402"/>
      <c r="BD37" s="385"/>
      <c r="BG37" s="621">
        <f ca="1">YEAR('wgl tot'!$BG$10)-YEAR('wgl tot'!E37)</f>
        <v>115</v>
      </c>
      <c r="BH37" s="621">
        <f ca="1">MONTH('wgl tot'!$BG$10)-MONTH('wgl tot'!E37)</f>
        <v>9</v>
      </c>
      <c r="BI37" s="621">
        <f ca="1">DAY('wgl tot'!$BG$10)-DAY('wgl tot'!E37)</f>
        <v>6</v>
      </c>
      <c r="BJ37" s="613">
        <f>IF(AND('wgl tot'!F37&gt;0,'wgl tot'!F37&lt;16),0,100)</f>
        <v>100</v>
      </c>
      <c r="BK37" s="613" t="e">
        <f>VLOOKUP('wgl tot'!F37,salaristabellen,22,FALSE)</f>
        <v>#N/A</v>
      </c>
      <c r="BL37" s="613">
        <f>F37</f>
        <v>0</v>
      </c>
      <c r="BM37" s="619">
        <f t="shared" si="10"/>
        <v>42005</v>
      </c>
      <c r="BN37" s="622">
        <f t="shared" si="11"/>
        <v>0.08</v>
      </c>
      <c r="BO37" s="623">
        <f>+tabellen!$D$90</f>
        <v>6.3E-2</v>
      </c>
      <c r="BP37" s="621">
        <f>IF('wgl tot'!BJ37=100,0,'wgl tot'!F37)</f>
        <v>0</v>
      </c>
      <c r="BQ37" s="623" t="str">
        <f>IF(OR('wgl tot'!F37="DA",'wgl tot'!F37="DB",'wgl tot'!F37="DBuit",'wgl tot'!F37="DC",'wgl tot'!F37="DCuit",MID('wgl tot'!F37,1,5)="meerh"),"j","n")</f>
        <v>n</v>
      </c>
      <c r="BR37" s="623">
        <f t="shared" si="12"/>
        <v>1.9E-2</v>
      </c>
      <c r="BS37" s="624">
        <f>IF(AI37&gt;'wgl tot'!AH37,'wgl tot'!AH37,AI37)</f>
        <v>0</v>
      </c>
      <c r="BT37" s="624"/>
      <c r="BU37" s="625" t="e">
        <f>IF('wgl tot'!AJ37/'wgl tot'!H37&lt;tabellen!$E$57,0,(+'wgl tot'!AJ37-tabellen!$E$57*'wgl tot'!H37)/12*tabellen!$D$57)</f>
        <v>#DIV/0!</v>
      </c>
      <c r="BV37" s="625" t="e">
        <f>IF('wgl tot'!AJ37/'wgl tot'!H37&lt;tabellen!$E$58,0,(+'wgl tot'!AJ37-tabellen!$E$58*'wgl tot'!H37)/12*tabellen!$D$58)</f>
        <v>#DIV/0!</v>
      </c>
      <c r="BW37" s="625">
        <f>'wgl tot'!AJ37/12*tabellen!$D$59</f>
        <v>0</v>
      </c>
      <c r="BX37" s="626" t="e">
        <f t="shared" si="13"/>
        <v>#DIV/0!</v>
      </c>
      <c r="BY37" s="627" t="e">
        <f>+('wgl tot'!AF37+'wgl tot'!AK37)/12-'wgl tot'!BX37</f>
        <v>#DIV/0!</v>
      </c>
      <c r="BZ37" s="627" t="e">
        <f>ROUND(IF('wgl tot'!BY37&gt;tabellen!$H$63,tabellen!$H$63,'wgl tot'!BY37)*tabellen!$C$63,2)</f>
        <v>#DIV/0!</v>
      </c>
      <c r="CA37" s="627" t="e">
        <f>+'wgl tot'!BY37+'wgl tot'!BZ37</f>
        <v>#DIV/0!</v>
      </c>
      <c r="CB37" s="628">
        <f>YEAR(E37)</f>
        <v>1900</v>
      </c>
      <c r="CC37" s="628">
        <f>MONTH(E37)</f>
        <v>1</v>
      </c>
      <c r="CD37" s="621">
        <f>DAY(E37)</f>
        <v>0</v>
      </c>
      <c r="CE37" s="619">
        <f t="shared" si="8"/>
        <v>22462</v>
      </c>
      <c r="CF37" s="619">
        <f t="shared" ca="1" si="9"/>
        <v>42283.70841446759</v>
      </c>
      <c r="CG37" s="613"/>
      <c r="CH37" s="619"/>
      <c r="CI37" s="613"/>
      <c r="CJ37" s="624"/>
      <c r="CK37" s="624"/>
      <c r="CL37" s="624"/>
      <c r="CM37" s="624"/>
      <c r="CN37" s="624"/>
      <c r="CO37" s="624"/>
    </row>
    <row r="38" spans="2:93" ht="13.5" customHeight="1" x14ac:dyDescent="0.2">
      <c r="B38" s="384"/>
      <c r="C38" s="402"/>
      <c r="D38" s="286"/>
      <c r="E38" s="287"/>
      <c r="F38" s="288"/>
      <c r="G38" s="288"/>
      <c r="H38" s="289"/>
      <c r="I38" s="288"/>
      <c r="J38" s="288"/>
      <c r="K38" s="288"/>
      <c r="L38" s="288"/>
      <c r="M38" s="290"/>
      <c r="N38" s="402"/>
      <c r="O38" s="639">
        <f>IF(F38="",0,(VLOOKUP('wgl tot'!F38,salaristabellen,'wgl tot'!G38+1,FALSE)))</f>
        <v>0</v>
      </c>
      <c r="P38" s="661">
        <f>O38*H38</f>
        <v>0</v>
      </c>
      <c r="Q38" s="402"/>
      <c r="R38" s="633">
        <f>ROUND(IF(I38="j",VLOOKUP(BL38,uitlooptoeslag,2,FALSE))*IF('wgl tot'!H38&gt;1,1,'wgl tot'!H38),2)</f>
        <v>0</v>
      </c>
      <c r="S38" s="633">
        <f>ROUND(IF(OR('wgl tot'!F38="LA",'wgl tot'!F38="LB"),IF(J38="j",tabellen!$C$77*'wgl tot'!H38,0),0),2)</f>
        <v>0</v>
      </c>
      <c r="T38" s="633">
        <f>ROUND(IF(('wgl tot'!P38+'wgl tot'!R38+'wgl tot'!S38)*BN38&lt;'wgl tot'!H38*tabellen!$D$89,'wgl tot'!H38*tabellen!$D$89,('wgl tot'!P38+'wgl tot'!R38+'wgl tot'!S38)*BN38),2)</f>
        <v>0</v>
      </c>
      <c r="U38" s="633">
        <f>ROUND(+('wgl tot'!P38+'wgl tot'!R38+'wgl tot'!S38)*BO38,2)</f>
        <v>0</v>
      </c>
      <c r="V38" s="633">
        <f>+tabellen!$C$85*'wgl tot'!H38</f>
        <v>0</v>
      </c>
      <c r="W38" s="633">
        <f>VLOOKUP(BP38,eindejaarsuitkering_OOP,2,TRUE)*'wgl tot'!H38/12</f>
        <v>0</v>
      </c>
      <c r="X38" s="633">
        <f>ROUND(IF(BQ38="j",tabellen!$D$99*IF('wgl tot'!H38&gt;1,1,'wgl tot'!H38),0),2)</f>
        <v>0</v>
      </c>
      <c r="Y38" s="654">
        <f t="shared" si="1"/>
        <v>0</v>
      </c>
      <c r="Z38" s="404"/>
      <c r="AA38" s="405"/>
      <c r="AB38" s="632">
        <f t="shared" si="2"/>
        <v>0</v>
      </c>
      <c r="AC38" s="633">
        <f>ROUND(IF(L38="j",VLOOKUP(K38,bindingstoelage,2,FALSE))*IF('wgl tot'!H38&gt;1,1,'wgl tot'!H38),2)</f>
        <v>0</v>
      </c>
      <c r="AD38" s="633">
        <f>ROUND('wgl tot'!H38*tabellen!$D$96,2)</f>
        <v>0</v>
      </c>
      <c r="AE38" s="633">
        <f>ROUND('wgl tot'!H38*tabellen!$D$97,2)</f>
        <v>0</v>
      </c>
      <c r="AF38" s="632">
        <f t="shared" si="3"/>
        <v>0</v>
      </c>
      <c r="AG38" s="402"/>
      <c r="AH38" s="633">
        <f>+('wgl tot'!AF38/(1+1.9%))*BR38</f>
        <v>0</v>
      </c>
      <c r="AI38" s="633">
        <f>IF(F38="",0,(791.85))</f>
        <v>0</v>
      </c>
      <c r="AJ38" s="632">
        <f>ROUND('wgl tot'!AF38-IF('wgl tot'!AI38&gt;'wgl tot'!AH38,'wgl tot'!AH38,'wgl tot'!AI38),0)</f>
        <v>0</v>
      </c>
      <c r="AK38" s="634">
        <f>IF('wgl tot'!E38&lt;1950,0,+('wgl tot'!P38+'wgl tot'!R38+'wgl tot'!S38)*tabellen!$C$87)*12</f>
        <v>0</v>
      </c>
      <c r="AL38" s="402"/>
      <c r="AM38" s="633">
        <f t="shared" si="4"/>
        <v>0</v>
      </c>
      <c r="AN38" s="633">
        <f>IF(F38="",0,(IF('wgl tot'!AJ38/'wgl tot'!H38&lt;tabellen!$E$57,0,('wgl tot'!AJ38-tabellen!$E$57*'wgl tot'!H38)/12)*tabellen!$C$57))</f>
        <v>0</v>
      </c>
      <c r="AO38" s="633">
        <f>IF(F38="",0,(IF('wgl tot'!AJ38/'wgl tot'!H38&lt;tabellen!$E$58,0,(+'wgl tot'!AJ38-tabellen!$E$58*'wgl tot'!H38)/12)*tabellen!$C$58))</f>
        <v>0</v>
      </c>
      <c r="AP38" s="633">
        <f>'wgl tot'!AJ38/12*tabellen!$C$59</f>
        <v>0</v>
      </c>
      <c r="AQ38" s="633">
        <f>IF(H38=0,0,IF(BY38&gt;tabellen!$G$60/12,tabellen!$G$60/12,BY38)*(tabellen!$C$60+tabellen!$C$61))</f>
        <v>0</v>
      </c>
      <c r="AR38" s="633">
        <f>IF(F38="",0,('wgl tot'!BZ38))</f>
        <v>0</v>
      </c>
      <c r="AS38" s="635">
        <f>IF(F38="",0,(IF('wgl tot'!BY38&gt;tabellen!$G$64*'wgl tot'!H38/12,tabellen!$G$64*'wgl tot'!H38/12,'wgl tot'!BY38)*tabellen!$C$64))</f>
        <v>0</v>
      </c>
      <c r="AT38" s="635">
        <f>IF(F38="",0,('wgl tot'!BY38*IF(M38=1,tabellen!$C$65,IF(M38=2,tabellen!C89,IF(M38=3,tabellen!$C$67,tabellen!$C$68)))))</f>
        <v>0</v>
      </c>
      <c r="AU38" s="635">
        <f>IF(F38="",0,('wgl tot'!BY38*tabellen!$C$69))</f>
        <v>0</v>
      </c>
      <c r="AV38" s="635">
        <f>+'wgl tot'!AK38/12</f>
        <v>0</v>
      </c>
      <c r="AW38" s="435">
        <v>0</v>
      </c>
      <c r="AX38" s="291">
        <f t="shared" si="5"/>
        <v>0</v>
      </c>
      <c r="AY38" s="658">
        <f t="shared" si="6"/>
        <v>0</v>
      </c>
      <c r="AZ38" s="658">
        <f t="shared" si="7"/>
        <v>0</v>
      </c>
      <c r="BA38" s="402"/>
      <c r="BB38" s="641" t="str">
        <f>IF(AY38=0,"",(+'wgl tot'!AY38/'wgl tot'!P38-1))</f>
        <v/>
      </c>
      <c r="BC38" s="402"/>
      <c r="BD38" s="385"/>
      <c r="BG38" s="621">
        <f ca="1">YEAR('wgl tot'!$BG$10)-YEAR('wgl tot'!E38)</f>
        <v>115</v>
      </c>
      <c r="BH38" s="621">
        <f ca="1">MONTH('wgl tot'!$BG$10)-MONTH('wgl tot'!E38)</f>
        <v>9</v>
      </c>
      <c r="BI38" s="621">
        <f ca="1">DAY('wgl tot'!$BG$10)-DAY('wgl tot'!E38)</f>
        <v>6</v>
      </c>
      <c r="BJ38" s="613">
        <f>IF(AND('wgl tot'!F38&gt;0,'wgl tot'!F38&lt;16),0,100)</f>
        <v>100</v>
      </c>
      <c r="BK38" s="613" t="e">
        <f>VLOOKUP('wgl tot'!F38,salaristabellen,22,FALSE)</f>
        <v>#N/A</v>
      </c>
      <c r="BL38" s="613">
        <f>F38</f>
        <v>0</v>
      </c>
      <c r="BM38" s="619">
        <f t="shared" si="10"/>
        <v>42005</v>
      </c>
      <c r="BN38" s="622">
        <f t="shared" si="11"/>
        <v>0.08</v>
      </c>
      <c r="BO38" s="623">
        <f>+tabellen!$D$90</f>
        <v>6.3E-2</v>
      </c>
      <c r="BP38" s="621">
        <f>IF('wgl tot'!BJ38=100,0,'wgl tot'!F38)</f>
        <v>0</v>
      </c>
      <c r="BQ38" s="623" t="str">
        <f>IF(OR('wgl tot'!F38="DA",'wgl tot'!F38="DB",'wgl tot'!F38="DBuit",'wgl tot'!F38="DC",'wgl tot'!F38="DCuit",MID('wgl tot'!F38,1,5)="meerh"),"j","n")</f>
        <v>n</v>
      </c>
      <c r="BR38" s="623">
        <f t="shared" si="12"/>
        <v>1.9E-2</v>
      </c>
      <c r="BS38" s="624">
        <f>IF(AI38&gt;'wgl tot'!AH38,'wgl tot'!AH38,AI38)</f>
        <v>0</v>
      </c>
      <c r="BT38" s="624"/>
      <c r="BU38" s="625" t="e">
        <f>IF('wgl tot'!AJ38/'wgl tot'!H38&lt;tabellen!$E$57,0,(+'wgl tot'!AJ38-tabellen!$E$57*'wgl tot'!H38)/12*tabellen!$D$57)</f>
        <v>#DIV/0!</v>
      </c>
      <c r="BV38" s="625" t="e">
        <f>IF('wgl tot'!AJ38/'wgl tot'!H38&lt;tabellen!$E$58,0,(+'wgl tot'!AJ38-tabellen!$E$58*'wgl tot'!H38)/12*tabellen!$D$58)</f>
        <v>#DIV/0!</v>
      </c>
      <c r="BW38" s="625">
        <f>'wgl tot'!AJ38/12*tabellen!$D$59</f>
        <v>0</v>
      </c>
      <c r="BX38" s="626" t="e">
        <f t="shared" si="13"/>
        <v>#DIV/0!</v>
      </c>
      <c r="BY38" s="627" t="e">
        <f>+('wgl tot'!AF38+'wgl tot'!AK38)/12-'wgl tot'!BX38</f>
        <v>#DIV/0!</v>
      </c>
      <c r="BZ38" s="627" t="e">
        <f>ROUND(IF('wgl tot'!BY38&gt;tabellen!$H$63,tabellen!$H$63,'wgl tot'!BY38)*tabellen!$C$63,2)</f>
        <v>#DIV/0!</v>
      </c>
      <c r="CA38" s="627" t="e">
        <f>+'wgl tot'!BY38+'wgl tot'!BZ38</f>
        <v>#DIV/0!</v>
      </c>
      <c r="CB38" s="628">
        <f>YEAR(E38)</f>
        <v>1900</v>
      </c>
      <c r="CC38" s="628">
        <f>MONTH(E38)</f>
        <v>1</v>
      </c>
      <c r="CD38" s="621">
        <f>DAY(E38)</f>
        <v>0</v>
      </c>
      <c r="CE38" s="619">
        <f t="shared" si="8"/>
        <v>22462</v>
      </c>
      <c r="CF38" s="619">
        <f t="shared" ca="1" si="9"/>
        <v>42283.70841446759</v>
      </c>
      <c r="CG38" s="613"/>
      <c r="CH38" s="619"/>
      <c r="CI38" s="613"/>
      <c r="CJ38" s="624"/>
      <c r="CK38" s="624"/>
      <c r="CL38" s="624"/>
      <c r="CM38" s="624"/>
      <c r="CN38" s="624"/>
      <c r="CO38" s="624"/>
    </row>
    <row r="39" spans="2:93" ht="13.5" customHeight="1" x14ac:dyDescent="0.2">
      <c r="B39" s="384"/>
      <c r="C39" s="402"/>
      <c r="D39" s="286"/>
      <c r="E39" s="287"/>
      <c r="F39" s="288"/>
      <c r="G39" s="288"/>
      <c r="H39" s="289"/>
      <c r="I39" s="288"/>
      <c r="J39" s="288"/>
      <c r="K39" s="288"/>
      <c r="L39" s="288"/>
      <c r="M39" s="290"/>
      <c r="N39" s="402"/>
      <c r="O39" s="639">
        <f>IF(F39="",0,(VLOOKUP('wgl tot'!F39,salaristabellen,'wgl tot'!G39+1,FALSE)))</f>
        <v>0</v>
      </c>
      <c r="P39" s="661">
        <f>O39*H39</f>
        <v>0</v>
      </c>
      <c r="Q39" s="402"/>
      <c r="R39" s="633">
        <f>ROUND(IF(I39="j",VLOOKUP(BL39,uitlooptoeslag,2,FALSE))*IF('wgl tot'!H39&gt;1,1,'wgl tot'!H39),2)</f>
        <v>0</v>
      </c>
      <c r="S39" s="633">
        <f>ROUND(IF(OR('wgl tot'!F39="LA",'wgl tot'!F39="LB"),IF(J39="j",tabellen!$C$77*'wgl tot'!H39,0),0),2)</f>
        <v>0</v>
      </c>
      <c r="T39" s="633">
        <f>ROUND(IF(('wgl tot'!P39+'wgl tot'!R39+'wgl tot'!S39)*BN39&lt;'wgl tot'!H39*tabellen!$D$89,'wgl tot'!H39*tabellen!$D$89,('wgl tot'!P39+'wgl tot'!R39+'wgl tot'!S39)*BN39),2)</f>
        <v>0</v>
      </c>
      <c r="U39" s="633">
        <f>ROUND(+('wgl tot'!P39+'wgl tot'!R39+'wgl tot'!S39)*BO39,2)</f>
        <v>0</v>
      </c>
      <c r="V39" s="633">
        <f>+tabellen!$C$85*'wgl tot'!H39</f>
        <v>0</v>
      </c>
      <c r="W39" s="633">
        <f>VLOOKUP(BP39,eindejaarsuitkering_OOP,2,TRUE)*'wgl tot'!H39/12</f>
        <v>0</v>
      </c>
      <c r="X39" s="633">
        <f>ROUND(IF(BQ39="j",tabellen!$D$99*IF('wgl tot'!H39&gt;1,1,'wgl tot'!H39),0),2)</f>
        <v>0</v>
      </c>
      <c r="Y39" s="654">
        <f t="shared" si="1"/>
        <v>0</v>
      </c>
      <c r="Z39" s="404"/>
      <c r="AA39" s="405"/>
      <c r="AB39" s="632">
        <f t="shared" si="2"/>
        <v>0</v>
      </c>
      <c r="AC39" s="633">
        <f>ROUND(IF(L39="j",VLOOKUP(K39,bindingstoelage,2,FALSE))*IF('wgl tot'!H39&gt;1,1,'wgl tot'!H39),2)</f>
        <v>0</v>
      </c>
      <c r="AD39" s="633">
        <f>ROUND('wgl tot'!H39*tabellen!$D$96,2)</f>
        <v>0</v>
      </c>
      <c r="AE39" s="633">
        <f>ROUND('wgl tot'!H39*tabellen!$D$97,2)</f>
        <v>0</v>
      </c>
      <c r="AF39" s="632">
        <f t="shared" si="3"/>
        <v>0</v>
      </c>
      <c r="AG39" s="402"/>
      <c r="AH39" s="633">
        <f>+('wgl tot'!AF39/(1+1.9%))*BR39</f>
        <v>0</v>
      </c>
      <c r="AI39" s="633">
        <f>IF(F39="",0,(791.85))</f>
        <v>0</v>
      </c>
      <c r="AJ39" s="632">
        <f>ROUND('wgl tot'!AF39-IF('wgl tot'!AI39&gt;'wgl tot'!AH39,'wgl tot'!AH39,'wgl tot'!AI39),0)</f>
        <v>0</v>
      </c>
      <c r="AK39" s="634">
        <f>IF('wgl tot'!E39&lt;1950,0,+('wgl tot'!P39+'wgl tot'!R39+'wgl tot'!S39)*tabellen!$C$87)*12</f>
        <v>0</v>
      </c>
      <c r="AL39" s="402"/>
      <c r="AM39" s="633">
        <f t="shared" si="4"/>
        <v>0</v>
      </c>
      <c r="AN39" s="633">
        <f>IF(F39="",0,(IF('wgl tot'!AJ39/'wgl tot'!H39&lt;tabellen!$E$57,0,('wgl tot'!AJ39-tabellen!$E$57*'wgl tot'!H39)/12)*tabellen!$C$57))</f>
        <v>0</v>
      </c>
      <c r="AO39" s="633">
        <f>IF(F39="",0,(IF('wgl tot'!AJ39/'wgl tot'!H39&lt;tabellen!$E$58,0,(+'wgl tot'!AJ39-tabellen!$E$58*'wgl tot'!H39)/12)*tabellen!$C$58))</f>
        <v>0</v>
      </c>
      <c r="AP39" s="633">
        <f>'wgl tot'!AJ39/12*tabellen!$C$59</f>
        <v>0</v>
      </c>
      <c r="AQ39" s="633">
        <f>IF(H39=0,0,IF(BY39&gt;tabellen!$G$60/12,tabellen!$G$60/12,BY39)*(tabellen!$C$60+tabellen!$C$61))</f>
        <v>0</v>
      </c>
      <c r="AR39" s="633">
        <f>IF(F39="",0,('wgl tot'!BZ39))</f>
        <v>0</v>
      </c>
      <c r="AS39" s="635">
        <f>IF(F39="",0,(IF('wgl tot'!BY39&gt;tabellen!$G$64*'wgl tot'!H39/12,tabellen!$G$64*'wgl tot'!H39/12,'wgl tot'!BY39)*tabellen!$C$64))</f>
        <v>0</v>
      </c>
      <c r="AT39" s="635">
        <f>IF(F39="",0,('wgl tot'!BY39*IF(M39=1,tabellen!$C$65,IF(M39=2,tabellen!C90,IF(M39=3,tabellen!$C$67,tabellen!$C$68)))))</f>
        <v>0</v>
      </c>
      <c r="AU39" s="635">
        <f>IF(F39="",0,('wgl tot'!BY39*tabellen!$C$69))</f>
        <v>0</v>
      </c>
      <c r="AV39" s="635">
        <f>+'wgl tot'!AK39/12</f>
        <v>0</v>
      </c>
      <c r="AW39" s="435">
        <v>0</v>
      </c>
      <c r="AX39" s="291">
        <f t="shared" si="5"/>
        <v>0</v>
      </c>
      <c r="AY39" s="658">
        <f t="shared" si="6"/>
        <v>0</v>
      </c>
      <c r="AZ39" s="658">
        <f t="shared" si="7"/>
        <v>0</v>
      </c>
      <c r="BA39" s="402"/>
      <c r="BB39" s="641" t="str">
        <f>IF(AY39=0,"",(+'wgl tot'!AY39/'wgl tot'!P39-1))</f>
        <v/>
      </c>
      <c r="BC39" s="402"/>
      <c r="BD39" s="385"/>
      <c r="BG39" s="621">
        <f ca="1">YEAR('wgl tot'!$BG$10)-YEAR('wgl tot'!E39)</f>
        <v>115</v>
      </c>
      <c r="BH39" s="621">
        <f ca="1">MONTH('wgl tot'!$BG$10)-MONTH('wgl tot'!E39)</f>
        <v>9</v>
      </c>
      <c r="BI39" s="621">
        <f ca="1">DAY('wgl tot'!$BG$10)-DAY('wgl tot'!E39)</f>
        <v>6</v>
      </c>
      <c r="BJ39" s="613">
        <f>IF(AND('wgl tot'!F39&gt;0,'wgl tot'!F39&lt;16),0,100)</f>
        <v>100</v>
      </c>
      <c r="BK39" s="613" t="e">
        <f>VLOOKUP('wgl tot'!F39,salaristabellen,22,FALSE)</f>
        <v>#N/A</v>
      </c>
      <c r="BL39" s="613">
        <f>F39</f>
        <v>0</v>
      </c>
      <c r="BM39" s="619">
        <f t="shared" si="10"/>
        <v>42005</v>
      </c>
      <c r="BN39" s="622">
        <f t="shared" si="11"/>
        <v>0.08</v>
      </c>
      <c r="BO39" s="623">
        <f>+tabellen!$D$90</f>
        <v>6.3E-2</v>
      </c>
      <c r="BP39" s="621">
        <f>IF('wgl tot'!BJ39=100,0,'wgl tot'!F39)</f>
        <v>0</v>
      </c>
      <c r="BQ39" s="623" t="str">
        <f>IF(OR('wgl tot'!F39="DA",'wgl tot'!F39="DB",'wgl tot'!F39="DBuit",'wgl tot'!F39="DC",'wgl tot'!F39="DCuit",MID('wgl tot'!F39,1,5)="meerh"),"j","n")</f>
        <v>n</v>
      </c>
      <c r="BR39" s="623">
        <f t="shared" si="12"/>
        <v>1.9E-2</v>
      </c>
      <c r="BS39" s="624">
        <f>IF(AI39&gt;'wgl tot'!AH39,'wgl tot'!AH39,AI39)</f>
        <v>0</v>
      </c>
      <c r="BT39" s="624"/>
      <c r="BU39" s="625" t="e">
        <f>IF('wgl tot'!AJ39/'wgl tot'!H39&lt;tabellen!$E$57,0,(+'wgl tot'!AJ39-tabellen!$E$57*'wgl tot'!H39)/12*tabellen!$D$57)</f>
        <v>#DIV/0!</v>
      </c>
      <c r="BV39" s="625" t="e">
        <f>IF('wgl tot'!AJ39/'wgl tot'!H39&lt;tabellen!$E$58,0,(+'wgl tot'!AJ39-tabellen!$E$58*'wgl tot'!H39)/12*tabellen!$D$58)</f>
        <v>#DIV/0!</v>
      </c>
      <c r="BW39" s="625">
        <f>'wgl tot'!AJ39/12*tabellen!$D$59</f>
        <v>0</v>
      </c>
      <c r="BX39" s="626" t="e">
        <f t="shared" si="13"/>
        <v>#DIV/0!</v>
      </c>
      <c r="BY39" s="627" t="e">
        <f>+('wgl tot'!AF39+'wgl tot'!AK39)/12-'wgl tot'!BX39</f>
        <v>#DIV/0!</v>
      </c>
      <c r="BZ39" s="627" t="e">
        <f>ROUND(IF('wgl tot'!BY39&gt;tabellen!$H$63,tabellen!$H$63,'wgl tot'!BY39)*tabellen!$C$63,2)</f>
        <v>#DIV/0!</v>
      </c>
      <c r="CA39" s="627" t="e">
        <f>+'wgl tot'!BY39+'wgl tot'!BZ39</f>
        <v>#DIV/0!</v>
      </c>
      <c r="CB39" s="628">
        <f>YEAR(E39)</f>
        <v>1900</v>
      </c>
      <c r="CC39" s="628">
        <f>MONTH(E39)</f>
        <v>1</v>
      </c>
      <c r="CD39" s="621">
        <f>DAY(E39)</f>
        <v>0</v>
      </c>
      <c r="CE39" s="619">
        <f t="shared" si="8"/>
        <v>22462</v>
      </c>
      <c r="CF39" s="619">
        <f t="shared" ca="1" si="9"/>
        <v>42283.70841446759</v>
      </c>
      <c r="CG39" s="613"/>
      <c r="CH39" s="619"/>
      <c r="CI39" s="613"/>
      <c r="CJ39" s="624"/>
      <c r="CK39" s="624"/>
      <c r="CL39" s="624"/>
      <c r="CM39" s="624"/>
      <c r="CN39" s="624"/>
      <c r="CO39" s="624"/>
    </row>
    <row r="40" spans="2:93" ht="13.5" customHeight="1" x14ac:dyDescent="0.2">
      <c r="B40" s="384"/>
      <c r="C40" s="402"/>
      <c r="D40" s="286"/>
      <c r="E40" s="287"/>
      <c r="F40" s="288"/>
      <c r="G40" s="288"/>
      <c r="H40" s="289"/>
      <c r="I40" s="288"/>
      <c r="J40" s="288"/>
      <c r="K40" s="288"/>
      <c r="L40" s="288"/>
      <c r="M40" s="290"/>
      <c r="N40" s="402"/>
      <c r="O40" s="639">
        <f>IF(F40="",0,(VLOOKUP('wgl tot'!F40,salaristabellen,'wgl tot'!G40+1,FALSE)))</f>
        <v>0</v>
      </c>
      <c r="P40" s="661">
        <f>O40*H40</f>
        <v>0</v>
      </c>
      <c r="Q40" s="402"/>
      <c r="R40" s="633">
        <f>ROUND(IF(I40="j",VLOOKUP(BL40,uitlooptoeslag,2,FALSE))*IF('wgl tot'!H40&gt;1,1,'wgl tot'!H40),2)</f>
        <v>0</v>
      </c>
      <c r="S40" s="633">
        <f>ROUND(IF(OR('wgl tot'!F40="LA",'wgl tot'!F40="LB"),IF(J40="j",tabellen!$C$77*'wgl tot'!H40,0),0),2)</f>
        <v>0</v>
      </c>
      <c r="T40" s="633">
        <f>ROUND(IF(('wgl tot'!P40+'wgl tot'!R40+'wgl tot'!S40)*BN40&lt;'wgl tot'!H40*tabellen!$D$89,'wgl tot'!H40*tabellen!$D$89,('wgl tot'!P40+'wgl tot'!R40+'wgl tot'!S40)*BN40),2)</f>
        <v>0</v>
      </c>
      <c r="U40" s="633">
        <f>ROUND(+('wgl tot'!P40+'wgl tot'!R40+'wgl tot'!S40)*BO40,2)</f>
        <v>0</v>
      </c>
      <c r="V40" s="633">
        <f>+tabellen!$C$85*'wgl tot'!H40</f>
        <v>0</v>
      </c>
      <c r="W40" s="633">
        <f>VLOOKUP(BP40,eindejaarsuitkering_OOP,2,TRUE)*'wgl tot'!H40/12</f>
        <v>0</v>
      </c>
      <c r="X40" s="633">
        <f>ROUND(IF(BQ40="j",tabellen!$D$99*IF('wgl tot'!H40&gt;1,1,'wgl tot'!H40),0),2)</f>
        <v>0</v>
      </c>
      <c r="Y40" s="654">
        <f t="shared" si="1"/>
        <v>0</v>
      </c>
      <c r="Z40" s="404"/>
      <c r="AA40" s="405"/>
      <c r="AB40" s="632">
        <f t="shared" si="2"/>
        <v>0</v>
      </c>
      <c r="AC40" s="633">
        <f>ROUND(IF(L40="j",VLOOKUP(K40,bindingstoelage,2,FALSE))*IF('wgl tot'!H40&gt;1,1,'wgl tot'!H40),2)</f>
        <v>0</v>
      </c>
      <c r="AD40" s="633">
        <f>ROUND('wgl tot'!H40*tabellen!$D$96,2)</f>
        <v>0</v>
      </c>
      <c r="AE40" s="633">
        <f>ROUND('wgl tot'!H40*tabellen!$D$97,2)</f>
        <v>0</v>
      </c>
      <c r="AF40" s="632">
        <f t="shared" si="3"/>
        <v>0</v>
      </c>
      <c r="AG40" s="402"/>
      <c r="AH40" s="633">
        <f>+('wgl tot'!AF40/(1+1.9%))*BR40</f>
        <v>0</v>
      </c>
      <c r="AI40" s="633">
        <f>IF(F40="",0,(791.85))</f>
        <v>0</v>
      </c>
      <c r="AJ40" s="632">
        <f>ROUND('wgl tot'!AF40-IF('wgl tot'!AI40&gt;'wgl tot'!AH40,'wgl tot'!AH40,'wgl tot'!AI40),0)</f>
        <v>0</v>
      </c>
      <c r="AK40" s="634">
        <f>IF('wgl tot'!E40&lt;1950,0,+('wgl tot'!P40+'wgl tot'!R40+'wgl tot'!S40)*tabellen!$C$87)*12</f>
        <v>0</v>
      </c>
      <c r="AL40" s="402"/>
      <c r="AM40" s="633">
        <f t="shared" si="4"/>
        <v>0</v>
      </c>
      <c r="AN40" s="633">
        <f>IF(F40="",0,(IF('wgl tot'!AJ40/'wgl tot'!H40&lt;tabellen!$E$57,0,('wgl tot'!AJ40-tabellen!$E$57*'wgl tot'!H40)/12)*tabellen!$C$57))</f>
        <v>0</v>
      </c>
      <c r="AO40" s="633">
        <f>IF(F40="",0,(IF('wgl tot'!AJ40/'wgl tot'!H40&lt;tabellen!$E$58,0,(+'wgl tot'!AJ40-tabellen!$E$58*'wgl tot'!H40)/12)*tabellen!$C$58))</f>
        <v>0</v>
      </c>
      <c r="AP40" s="633">
        <f>'wgl tot'!AJ40/12*tabellen!$C$59</f>
        <v>0</v>
      </c>
      <c r="AQ40" s="633">
        <f>IF(H40=0,0,IF(BY40&gt;tabellen!$G$60/12,tabellen!$G$60/12,BY40)*(tabellen!$C$60+tabellen!$C$61))</f>
        <v>0</v>
      </c>
      <c r="AR40" s="633">
        <f>IF(F40="",0,('wgl tot'!BZ40))</f>
        <v>0</v>
      </c>
      <c r="AS40" s="635">
        <f>IF(F40="",0,(IF('wgl tot'!BY40&gt;tabellen!$G$64*'wgl tot'!H40/12,tabellen!$G$64*'wgl tot'!H40/12,'wgl tot'!BY40)*tabellen!$C$64))</f>
        <v>0</v>
      </c>
      <c r="AT40" s="635">
        <f>IF(F40="",0,('wgl tot'!BY40*IF(M40=1,tabellen!$C$65,IF(M40=2,tabellen!C91,IF(M40=3,tabellen!$C$67,tabellen!$C$68)))))</f>
        <v>0</v>
      </c>
      <c r="AU40" s="635">
        <f>IF(F40="",0,('wgl tot'!BY40*tabellen!$C$69))</f>
        <v>0</v>
      </c>
      <c r="AV40" s="635">
        <f>+'wgl tot'!AK40/12</f>
        <v>0</v>
      </c>
      <c r="AW40" s="435">
        <v>0</v>
      </c>
      <c r="AX40" s="291">
        <f t="shared" si="5"/>
        <v>0</v>
      </c>
      <c r="AY40" s="658">
        <f t="shared" si="6"/>
        <v>0</v>
      </c>
      <c r="AZ40" s="658">
        <f t="shared" si="7"/>
        <v>0</v>
      </c>
      <c r="BA40" s="402"/>
      <c r="BB40" s="641" t="str">
        <f>IF(AY40=0,"",(+'wgl tot'!AY40/'wgl tot'!P40-1))</f>
        <v/>
      </c>
      <c r="BC40" s="402"/>
      <c r="BD40" s="385"/>
      <c r="BG40" s="621">
        <f ca="1">YEAR('wgl tot'!$BG$10)-YEAR('wgl tot'!E40)</f>
        <v>115</v>
      </c>
      <c r="BH40" s="621">
        <f ca="1">MONTH('wgl tot'!$BG$10)-MONTH('wgl tot'!E40)</f>
        <v>9</v>
      </c>
      <c r="BI40" s="621">
        <f ca="1">DAY('wgl tot'!$BG$10)-DAY('wgl tot'!E40)</f>
        <v>6</v>
      </c>
      <c r="BJ40" s="613">
        <f>IF(AND('wgl tot'!F40&gt;0,'wgl tot'!F40&lt;16),0,100)</f>
        <v>100</v>
      </c>
      <c r="BK40" s="613" t="e">
        <f>VLOOKUP('wgl tot'!F40,salaristabellen,22,FALSE)</f>
        <v>#N/A</v>
      </c>
      <c r="BL40" s="613">
        <f>F40</f>
        <v>0</v>
      </c>
      <c r="BM40" s="619">
        <f t="shared" si="10"/>
        <v>42005</v>
      </c>
      <c r="BN40" s="622">
        <f t="shared" si="11"/>
        <v>0.08</v>
      </c>
      <c r="BO40" s="623">
        <f>+tabellen!$D$90</f>
        <v>6.3E-2</v>
      </c>
      <c r="BP40" s="621">
        <f>IF('wgl tot'!BJ40=100,0,'wgl tot'!F40)</f>
        <v>0</v>
      </c>
      <c r="BQ40" s="623" t="str">
        <f>IF(OR('wgl tot'!F40="DA",'wgl tot'!F40="DB",'wgl tot'!F40="DBuit",'wgl tot'!F40="DC",'wgl tot'!F40="DCuit",MID('wgl tot'!F40,1,5)="meerh"),"j","n")</f>
        <v>n</v>
      </c>
      <c r="BR40" s="623">
        <f t="shared" si="12"/>
        <v>1.9E-2</v>
      </c>
      <c r="BS40" s="624">
        <f>IF(AI40&gt;'wgl tot'!AH40,'wgl tot'!AH40,AI40)</f>
        <v>0</v>
      </c>
      <c r="BT40" s="624"/>
      <c r="BU40" s="625" t="e">
        <f>IF('wgl tot'!AJ40/'wgl tot'!H40&lt;tabellen!$E$57,0,(+'wgl tot'!AJ40-tabellen!$E$57*'wgl tot'!H40)/12*tabellen!$D$57)</f>
        <v>#DIV/0!</v>
      </c>
      <c r="BV40" s="625" t="e">
        <f>IF('wgl tot'!AJ40/'wgl tot'!H40&lt;tabellen!$E$58,0,(+'wgl tot'!AJ40-tabellen!$E$58*'wgl tot'!H40)/12*tabellen!$D$58)</f>
        <v>#DIV/0!</v>
      </c>
      <c r="BW40" s="625">
        <f>'wgl tot'!AJ40/12*tabellen!$D$59</f>
        <v>0</v>
      </c>
      <c r="BX40" s="626" t="e">
        <f t="shared" si="13"/>
        <v>#DIV/0!</v>
      </c>
      <c r="BY40" s="627" t="e">
        <f>+('wgl tot'!AF40+'wgl tot'!AK40)/12-'wgl tot'!BX40</f>
        <v>#DIV/0!</v>
      </c>
      <c r="BZ40" s="627" t="e">
        <f>ROUND(IF('wgl tot'!BY40&gt;tabellen!$H$63,tabellen!$H$63,'wgl tot'!BY40)*tabellen!$C$63,2)</f>
        <v>#DIV/0!</v>
      </c>
      <c r="CA40" s="627" t="e">
        <f>+'wgl tot'!BY40+'wgl tot'!BZ40</f>
        <v>#DIV/0!</v>
      </c>
      <c r="CB40" s="628">
        <f>YEAR(E40)</f>
        <v>1900</v>
      </c>
      <c r="CC40" s="628">
        <f>MONTH(E40)</f>
        <v>1</v>
      </c>
      <c r="CD40" s="621">
        <f>DAY(E40)</f>
        <v>0</v>
      </c>
      <c r="CE40" s="619">
        <f t="shared" si="8"/>
        <v>22462</v>
      </c>
      <c r="CF40" s="619">
        <f t="shared" ca="1" si="9"/>
        <v>42283.70841446759</v>
      </c>
      <c r="CG40" s="613"/>
      <c r="CH40" s="619"/>
      <c r="CI40" s="613"/>
      <c r="CJ40" s="624"/>
      <c r="CK40" s="624"/>
      <c r="CL40" s="624"/>
      <c r="CM40" s="624"/>
      <c r="CN40" s="624"/>
      <c r="CO40" s="624"/>
    </row>
    <row r="41" spans="2:93" ht="13.5" customHeight="1" x14ac:dyDescent="0.2">
      <c r="B41" s="384"/>
      <c r="C41" s="402"/>
      <c r="D41" s="286"/>
      <c r="E41" s="287"/>
      <c r="F41" s="288"/>
      <c r="G41" s="288"/>
      <c r="H41" s="289"/>
      <c r="I41" s="288"/>
      <c r="J41" s="288"/>
      <c r="K41" s="288"/>
      <c r="L41" s="288"/>
      <c r="M41" s="290"/>
      <c r="N41" s="402"/>
      <c r="O41" s="639">
        <f>IF(F41="",0,(VLOOKUP('wgl tot'!F41,salaristabellen,'wgl tot'!G41+1,FALSE)))</f>
        <v>0</v>
      </c>
      <c r="P41" s="661">
        <f>O41*H41</f>
        <v>0</v>
      </c>
      <c r="Q41" s="402"/>
      <c r="R41" s="633">
        <f>ROUND(IF(I41="j",VLOOKUP(BL41,uitlooptoeslag,2,FALSE))*IF('wgl tot'!H41&gt;1,1,'wgl tot'!H41),2)</f>
        <v>0</v>
      </c>
      <c r="S41" s="633">
        <f>ROUND(IF(OR('wgl tot'!F41="LA",'wgl tot'!F41="LB"),IF(J41="j",tabellen!$C$77*'wgl tot'!H41,0),0),2)</f>
        <v>0</v>
      </c>
      <c r="T41" s="633">
        <f>ROUND(IF(('wgl tot'!P41+'wgl tot'!R41+'wgl tot'!S41)*BN41&lt;'wgl tot'!H41*tabellen!$D$89,'wgl tot'!H41*tabellen!$D$89,('wgl tot'!P41+'wgl tot'!R41+'wgl tot'!S41)*BN41),2)</f>
        <v>0</v>
      </c>
      <c r="U41" s="633">
        <f>ROUND(+('wgl tot'!P41+'wgl tot'!R41+'wgl tot'!S41)*BO41,2)</f>
        <v>0</v>
      </c>
      <c r="V41" s="633">
        <f>+tabellen!$C$85*'wgl tot'!H41</f>
        <v>0</v>
      </c>
      <c r="W41" s="633">
        <f>VLOOKUP(BP41,eindejaarsuitkering_OOP,2,TRUE)*'wgl tot'!H41/12</f>
        <v>0</v>
      </c>
      <c r="X41" s="633">
        <f>ROUND(IF(BQ41="j",tabellen!$D$99*IF('wgl tot'!H41&gt;1,1,'wgl tot'!H41),0),2)</f>
        <v>0</v>
      </c>
      <c r="Y41" s="654">
        <f t="shared" si="1"/>
        <v>0</v>
      </c>
      <c r="Z41" s="404"/>
      <c r="AA41" s="405"/>
      <c r="AB41" s="632">
        <f t="shared" si="2"/>
        <v>0</v>
      </c>
      <c r="AC41" s="633">
        <f>ROUND(IF(L41="j",VLOOKUP(K41,bindingstoelage,2,FALSE))*IF('wgl tot'!H41&gt;1,1,'wgl tot'!H41),2)</f>
        <v>0</v>
      </c>
      <c r="AD41" s="633">
        <f>ROUND('wgl tot'!H41*tabellen!$D$96,2)</f>
        <v>0</v>
      </c>
      <c r="AE41" s="633">
        <f>ROUND('wgl tot'!H41*tabellen!$D$97,2)</f>
        <v>0</v>
      </c>
      <c r="AF41" s="632">
        <f t="shared" si="3"/>
        <v>0</v>
      </c>
      <c r="AG41" s="402"/>
      <c r="AH41" s="633">
        <f>+('wgl tot'!AF41/(1+1.9%))*BR41</f>
        <v>0</v>
      </c>
      <c r="AI41" s="633">
        <f>IF(F41="",0,(791.85))</f>
        <v>0</v>
      </c>
      <c r="AJ41" s="632">
        <f>ROUND('wgl tot'!AF41-IF('wgl tot'!AI41&gt;'wgl tot'!AH41,'wgl tot'!AH41,'wgl tot'!AI41),0)</f>
        <v>0</v>
      </c>
      <c r="AK41" s="634">
        <f>IF('wgl tot'!E41&lt;1950,0,+('wgl tot'!P41+'wgl tot'!R41+'wgl tot'!S41)*tabellen!$C$87)*12</f>
        <v>0</v>
      </c>
      <c r="AL41" s="402"/>
      <c r="AM41" s="633">
        <f t="shared" si="4"/>
        <v>0</v>
      </c>
      <c r="AN41" s="633">
        <f>IF(F41="",0,(IF('wgl tot'!AJ41/'wgl tot'!H41&lt;tabellen!$E$57,0,('wgl tot'!AJ41-tabellen!$E$57*'wgl tot'!H41)/12)*tabellen!$C$57))</f>
        <v>0</v>
      </c>
      <c r="AO41" s="633">
        <f>IF(F41="",0,(IF('wgl tot'!AJ41/'wgl tot'!H41&lt;tabellen!$E$58,0,(+'wgl tot'!AJ41-tabellen!$E$58*'wgl tot'!H41)/12)*tabellen!$C$58))</f>
        <v>0</v>
      </c>
      <c r="AP41" s="633">
        <f>'wgl tot'!AJ41/12*tabellen!$C$59</f>
        <v>0</v>
      </c>
      <c r="AQ41" s="633">
        <f>IF(H41=0,0,IF(BY41&gt;tabellen!$G$60/12,tabellen!$G$60/12,BY41)*(tabellen!$C$60+tabellen!$C$61))</f>
        <v>0</v>
      </c>
      <c r="AR41" s="633">
        <f>IF(F41="",0,('wgl tot'!BZ41))</f>
        <v>0</v>
      </c>
      <c r="AS41" s="635">
        <f>IF(F41="",0,(IF('wgl tot'!BY41&gt;tabellen!$G$64*'wgl tot'!H41/12,tabellen!$G$64*'wgl tot'!H41/12,'wgl tot'!BY41)*tabellen!$C$64))</f>
        <v>0</v>
      </c>
      <c r="AT41" s="635">
        <f>IF(F41="",0,('wgl tot'!BY41*IF(M41=1,tabellen!$C$65,IF(M41=2,tabellen!C92,IF(M41=3,tabellen!$C$67,tabellen!$C$68)))))</f>
        <v>0</v>
      </c>
      <c r="AU41" s="635">
        <f>IF(F41="",0,('wgl tot'!BY41*tabellen!$C$69))</f>
        <v>0</v>
      </c>
      <c r="AV41" s="635">
        <f>+'wgl tot'!AK41/12</f>
        <v>0</v>
      </c>
      <c r="AW41" s="435">
        <v>0</v>
      </c>
      <c r="AX41" s="291">
        <f t="shared" si="5"/>
        <v>0</v>
      </c>
      <c r="AY41" s="658">
        <f t="shared" si="6"/>
        <v>0</v>
      </c>
      <c r="AZ41" s="658">
        <f t="shared" si="7"/>
        <v>0</v>
      </c>
      <c r="BA41" s="402"/>
      <c r="BB41" s="641" t="str">
        <f>IF(AY41=0,"",(+'wgl tot'!AY41/'wgl tot'!P41-1))</f>
        <v/>
      </c>
      <c r="BC41" s="402"/>
      <c r="BD41" s="385"/>
      <c r="BG41" s="621">
        <f ca="1">YEAR('wgl tot'!$BG$10)-YEAR('wgl tot'!E41)</f>
        <v>115</v>
      </c>
      <c r="BH41" s="621">
        <f ca="1">MONTH('wgl tot'!$BG$10)-MONTH('wgl tot'!E41)</f>
        <v>9</v>
      </c>
      <c r="BI41" s="621">
        <f ca="1">DAY('wgl tot'!$BG$10)-DAY('wgl tot'!E41)</f>
        <v>6</v>
      </c>
      <c r="BJ41" s="613">
        <f>IF(AND('wgl tot'!F41&gt;0,'wgl tot'!F41&lt;16),0,100)</f>
        <v>100</v>
      </c>
      <c r="BK41" s="613" t="e">
        <f>VLOOKUP('wgl tot'!F41,salaristabellen,22,FALSE)</f>
        <v>#N/A</v>
      </c>
      <c r="BL41" s="613">
        <f>F41</f>
        <v>0</v>
      </c>
      <c r="BM41" s="619">
        <f t="shared" si="10"/>
        <v>42005</v>
      </c>
      <c r="BN41" s="622">
        <f t="shared" si="11"/>
        <v>0.08</v>
      </c>
      <c r="BO41" s="623">
        <f>+tabellen!$D$90</f>
        <v>6.3E-2</v>
      </c>
      <c r="BP41" s="621">
        <f>IF('wgl tot'!BJ41=100,0,'wgl tot'!F41)</f>
        <v>0</v>
      </c>
      <c r="BQ41" s="623" t="str">
        <f>IF(OR('wgl tot'!F41="DA",'wgl tot'!F41="DB",'wgl tot'!F41="DBuit",'wgl tot'!F41="DC",'wgl tot'!F41="DCuit",MID('wgl tot'!F41,1,5)="meerh"),"j","n")</f>
        <v>n</v>
      </c>
      <c r="BR41" s="623">
        <f t="shared" si="12"/>
        <v>1.9E-2</v>
      </c>
      <c r="BS41" s="624">
        <f>IF(AI41&gt;'wgl tot'!AH41,'wgl tot'!AH41,AI41)</f>
        <v>0</v>
      </c>
      <c r="BT41" s="624"/>
      <c r="BU41" s="625" t="e">
        <f>IF('wgl tot'!AJ41/'wgl tot'!H41&lt;tabellen!$E$57,0,(+'wgl tot'!AJ41-tabellen!$E$57*'wgl tot'!H41)/12*tabellen!$D$57)</f>
        <v>#DIV/0!</v>
      </c>
      <c r="BV41" s="625" t="e">
        <f>IF('wgl tot'!AJ41/'wgl tot'!H41&lt;tabellen!$E$58,0,(+'wgl tot'!AJ41-tabellen!$E$58*'wgl tot'!H41)/12*tabellen!$D$58)</f>
        <v>#DIV/0!</v>
      </c>
      <c r="BW41" s="625">
        <f>'wgl tot'!AJ41/12*tabellen!$D$59</f>
        <v>0</v>
      </c>
      <c r="BX41" s="626" t="e">
        <f t="shared" si="13"/>
        <v>#DIV/0!</v>
      </c>
      <c r="BY41" s="627" t="e">
        <f>+('wgl tot'!AF41+'wgl tot'!AK41)/12-'wgl tot'!BX41</f>
        <v>#DIV/0!</v>
      </c>
      <c r="BZ41" s="627" t="e">
        <f>ROUND(IF('wgl tot'!BY41&gt;tabellen!$H$63,tabellen!$H$63,'wgl tot'!BY41)*tabellen!$C$63,2)</f>
        <v>#DIV/0!</v>
      </c>
      <c r="CA41" s="627" t="e">
        <f>+'wgl tot'!BY41+'wgl tot'!BZ41</f>
        <v>#DIV/0!</v>
      </c>
      <c r="CB41" s="628">
        <f>YEAR(E41)</f>
        <v>1900</v>
      </c>
      <c r="CC41" s="628">
        <f>MONTH(E41)</f>
        <v>1</v>
      </c>
      <c r="CD41" s="621">
        <f>DAY(E41)</f>
        <v>0</v>
      </c>
      <c r="CE41" s="619">
        <f t="shared" si="8"/>
        <v>22462</v>
      </c>
      <c r="CF41" s="619">
        <f t="shared" ca="1" si="9"/>
        <v>42283.70841446759</v>
      </c>
      <c r="CG41" s="613"/>
      <c r="CH41" s="619"/>
      <c r="CI41" s="613"/>
      <c r="CJ41" s="624"/>
      <c r="CK41" s="624"/>
      <c r="CL41" s="624"/>
      <c r="CM41" s="624"/>
      <c r="CN41" s="624"/>
      <c r="CO41" s="624"/>
    </row>
    <row r="42" spans="2:93" ht="13.5" customHeight="1" x14ac:dyDescent="0.2">
      <c r="B42" s="384"/>
      <c r="C42" s="402"/>
      <c r="D42" s="286"/>
      <c r="E42" s="287"/>
      <c r="F42" s="288"/>
      <c r="G42" s="288"/>
      <c r="H42" s="289"/>
      <c r="I42" s="288"/>
      <c r="J42" s="288"/>
      <c r="K42" s="288"/>
      <c r="L42" s="288"/>
      <c r="M42" s="290"/>
      <c r="N42" s="402"/>
      <c r="O42" s="639">
        <f>IF(F42="",0,(VLOOKUP('wgl tot'!F42,salaristabellen,'wgl tot'!G42+1,FALSE)))</f>
        <v>0</v>
      </c>
      <c r="P42" s="661">
        <f>O42*H42</f>
        <v>0</v>
      </c>
      <c r="Q42" s="402"/>
      <c r="R42" s="633">
        <f>ROUND(IF(I42="j",VLOOKUP(BL42,uitlooptoeslag,2,FALSE))*IF('wgl tot'!H42&gt;1,1,'wgl tot'!H42),2)</f>
        <v>0</v>
      </c>
      <c r="S42" s="633">
        <f>ROUND(IF(OR('wgl tot'!F42="LA",'wgl tot'!F42="LB"),IF(J42="j",tabellen!$C$77*'wgl tot'!H42,0),0),2)</f>
        <v>0</v>
      </c>
      <c r="T42" s="633">
        <f>ROUND(IF(('wgl tot'!P42+'wgl tot'!R42+'wgl tot'!S42)*BN42&lt;'wgl tot'!H42*tabellen!$D$89,'wgl tot'!H42*tabellen!$D$89,('wgl tot'!P42+'wgl tot'!R42+'wgl tot'!S42)*BN42),2)</f>
        <v>0</v>
      </c>
      <c r="U42" s="633">
        <f>ROUND(+('wgl tot'!P42+'wgl tot'!R42+'wgl tot'!S42)*BO42,2)</f>
        <v>0</v>
      </c>
      <c r="V42" s="633">
        <f>+tabellen!$C$85*'wgl tot'!H42</f>
        <v>0</v>
      </c>
      <c r="W42" s="633">
        <f>VLOOKUP(BP42,eindejaarsuitkering_OOP,2,TRUE)*'wgl tot'!H42/12</f>
        <v>0</v>
      </c>
      <c r="X42" s="633">
        <f>ROUND(IF(BQ42="j",tabellen!$D$99*IF('wgl tot'!H42&gt;1,1,'wgl tot'!H42),0),2)</f>
        <v>0</v>
      </c>
      <c r="Y42" s="654">
        <f t="shared" si="1"/>
        <v>0</v>
      </c>
      <c r="Z42" s="404"/>
      <c r="AA42" s="405"/>
      <c r="AB42" s="632">
        <f t="shared" si="2"/>
        <v>0</v>
      </c>
      <c r="AC42" s="633">
        <f>ROUND(IF(L42="j",VLOOKUP(K42,bindingstoelage,2,FALSE))*IF('wgl tot'!H42&gt;1,1,'wgl tot'!H42),2)</f>
        <v>0</v>
      </c>
      <c r="AD42" s="633">
        <f>ROUND('wgl tot'!H42*tabellen!$D$96,2)</f>
        <v>0</v>
      </c>
      <c r="AE42" s="633">
        <f>ROUND('wgl tot'!H42*tabellen!$D$97,2)</f>
        <v>0</v>
      </c>
      <c r="AF42" s="632">
        <f t="shared" si="3"/>
        <v>0</v>
      </c>
      <c r="AG42" s="402"/>
      <c r="AH42" s="633">
        <f>+('wgl tot'!AF42/(1+1.9%))*BR42</f>
        <v>0</v>
      </c>
      <c r="AI42" s="633">
        <f>IF(F42="",0,(791.85))</f>
        <v>0</v>
      </c>
      <c r="AJ42" s="632">
        <f>ROUND('wgl tot'!AF42-IF('wgl tot'!AI42&gt;'wgl tot'!AH42,'wgl tot'!AH42,'wgl tot'!AI42),0)</f>
        <v>0</v>
      </c>
      <c r="AK42" s="634">
        <f>IF('wgl tot'!E42&lt;1950,0,+('wgl tot'!P42+'wgl tot'!R42+'wgl tot'!S42)*tabellen!$C$87)*12</f>
        <v>0</v>
      </c>
      <c r="AL42" s="402"/>
      <c r="AM42" s="633">
        <f t="shared" si="4"/>
        <v>0</v>
      </c>
      <c r="AN42" s="633">
        <f>IF(F42="",0,(IF('wgl tot'!AJ42/'wgl tot'!H42&lt;tabellen!$E$57,0,('wgl tot'!AJ42-tabellen!$E$57*'wgl tot'!H42)/12)*tabellen!$C$57))</f>
        <v>0</v>
      </c>
      <c r="AO42" s="633">
        <f>IF(F42="",0,(IF('wgl tot'!AJ42/'wgl tot'!H42&lt;tabellen!$E$58,0,(+'wgl tot'!AJ42-tabellen!$E$58*'wgl tot'!H42)/12)*tabellen!$C$58))</f>
        <v>0</v>
      </c>
      <c r="AP42" s="633">
        <f>'wgl tot'!AJ42/12*tabellen!$C$59</f>
        <v>0</v>
      </c>
      <c r="AQ42" s="633">
        <f>IF(H42=0,0,IF(BY42&gt;tabellen!$G$60/12,tabellen!$G$60/12,BY42)*(tabellen!$C$60+tabellen!$C$61))</f>
        <v>0</v>
      </c>
      <c r="AR42" s="633">
        <f>IF(F42="",0,('wgl tot'!BZ42))</f>
        <v>0</v>
      </c>
      <c r="AS42" s="635">
        <f>IF(F42="",0,(IF('wgl tot'!BY42&gt;tabellen!$G$64*'wgl tot'!H42/12,tabellen!$G$64*'wgl tot'!H42/12,'wgl tot'!BY42)*tabellen!$C$64))</f>
        <v>0</v>
      </c>
      <c r="AT42" s="635">
        <f>IF(F42="",0,('wgl tot'!BY42*IF(M42=1,tabellen!$C$65,IF(M42=2,tabellen!C93,IF(M42=3,tabellen!$C$67,tabellen!$C$68)))))</f>
        <v>0</v>
      </c>
      <c r="AU42" s="635">
        <f>IF(F42="",0,('wgl tot'!BY42*tabellen!$C$69))</f>
        <v>0</v>
      </c>
      <c r="AV42" s="635">
        <f>+'wgl tot'!AK42/12</f>
        <v>0</v>
      </c>
      <c r="AW42" s="435">
        <v>0</v>
      </c>
      <c r="AX42" s="291">
        <f t="shared" si="5"/>
        <v>0</v>
      </c>
      <c r="AY42" s="658">
        <f t="shared" si="6"/>
        <v>0</v>
      </c>
      <c r="AZ42" s="658">
        <f t="shared" si="7"/>
        <v>0</v>
      </c>
      <c r="BA42" s="402"/>
      <c r="BB42" s="641" t="str">
        <f>IF(AY42=0,"",(+'wgl tot'!AY42/'wgl tot'!P42-1))</f>
        <v/>
      </c>
      <c r="BC42" s="402"/>
      <c r="BD42" s="385"/>
      <c r="BG42" s="621">
        <f ca="1">YEAR('wgl tot'!$BG$10)-YEAR('wgl tot'!E42)</f>
        <v>115</v>
      </c>
      <c r="BH42" s="621">
        <f ca="1">MONTH('wgl tot'!$BG$10)-MONTH('wgl tot'!E42)</f>
        <v>9</v>
      </c>
      <c r="BI42" s="621">
        <f ca="1">DAY('wgl tot'!$BG$10)-DAY('wgl tot'!E42)</f>
        <v>6</v>
      </c>
      <c r="BJ42" s="613">
        <f>IF(AND('wgl tot'!F42&gt;0,'wgl tot'!F42&lt;16),0,100)</f>
        <v>100</v>
      </c>
      <c r="BK42" s="613" t="e">
        <f>VLOOKUP('wgl tot'!F42,salaristabellen,22,FALSE)</f>
        <v>#N/A</v>
      </c>
      <c r="BL42" s="613">
        <f>F42</f>
        <v>0</v>
      </c>
      <c r="BM42" s="619">
        <f t="shared" si="10"/>
        <v>42005</v>
      </c>
      <c r="BN42" s="622">
        <f t="shared" si="11"/>
        <v>0.08</v>
      </c>
      <c r="BO42" s="623">
        <f>+tabellen!$D$90</f>
        <v>6.3E-2</v>
      </c>
      <c r="BP42" s="621">
        <f>IF('wgl tot'!BJ42=100,0,'wgl tot'!F42)</f>
        <v>0</v>
      </c>
      <c r="BQ42" s="623" t="str">
        <f>IF(OR('wgl tot'!F42="DA",'wgl tot'!F42="DB",'wgl tot'!F42="DBuit",'wgl tot'!F42="DC",'wgl tot'!F42="DCuit",MID('wgl tot'!F42,1,5)="meerh"),"j","n")</f>
        <v>n</v>
      </c>
      <c r="BR42" s="623">
        <f t="shared" si="12"/>
        <v>1.9E-2</v>
      </c>
      <c r="BS42" s="624">
        <f>IF(AI42&gt;'wgl tot'!AH42,'wgl tot'!AH42,AI42)</f>
        <v>0</v>
      </c>
      <c r="BT42" s="624"/>
      <c r="BU42" s="625" t="e">
        <f>IF('wgl tot'!AJ42/'wgl tot'!H42&lt;tabellen!$E$57,0,(+'wgl tot'!AJ42-tabellen!$E$57*'wgl tot'!H42)/12*tabellen!$D$57)</f>
        <v>#DIV/0!</v>
      </c>
      <c r="BV42" s="625" t="e">
        <f>IF('wgl tot'!AJ42/'wgl tot'!H42&lt;tabellen!$E$58,0,(+'wgl tot'!AJ42-tabellen!$E$58*'wgl tot'!H42)/12*tabellen!$D$58)</f>
        <v>#DIV/0!</v>
      </c>
      <c r="BW42" s="625">
        <f>'wgl tot'!AJ42/12*tabellen!$D$59</f>
        <v>0</v>
      </c>
      <c r="BX42" s="626" t="e">
        <f t="shared" si="13"/>
        <v>#DIV/0!</v>
      </c>
      <c r="BY42" s="627" t="e">
        <f>+('wgl tot'!AF42+'wgl tot'!AK42)/12-'wgl tot'!BX42</f>
        <v>#DIV/0!</v>
      </c>
      <c r="BZ42" s="627" t="e">
        <f>ROUND(IF('wgl tot'!BY42&gt;tabellen!$H$63,tabellen!$H$63,'wgl tot'!BY42)*tabellen!$C$63,2)</f>
        <v>#DIV/0!</v>
      </c>
      <c r="CA42" s="627" t="e">
        <f>+'wgl tot'!BY42+'wgl tot'!BZ42</f>
        <v>#DIV/0!</v>
      </c>
      <c r="CB42" s="628">
        <f>YEAR(E42)</f>
        <v>1900</v>
      </c>
      <c r="CC42" s="628">
        <f>MONTH(E42)</f>
        <v>1</v>
      </c>
      <c r="CD42" s="621">
        <f>DAY(E42)</f>
        <v>0</v>
      </c>
      <c r="CE42" s="619">
        <f t="shared" si="8"/>
        <v>22462</v>
      </c>
      <c r="CF42" s="619">
        <f t="shared" ca="1" si="9"/>
        <v>42283.70841446759</v>
      </c>
      <c r="CG42" s="613"/>
      <c r="CH42" s="619"/>
      <c r="CI42" s="613"/>
      <c r="CJ42" s="624"/>
      <c r="CK42" s="624"/>
      <c r="CL42" s="624"/>
      <c r="CM42" s="624"/>
      <c r="CN42" s="624"/>
      <c r="CO42" s="624"/>
    </row>
    <row r="43" spans="2:93" ht="13.5" customHeight="1" x14ac:dyDescent="0.2">
      <c r="B43" s="384"/>
      <c r="C43" s="402"/>
      <c r="D43" s="286"/>
      <c r="E43" s="287"/>
      <c r="F43" s="288"/>
      <c r="G43" s="288"/>
      <c r="H43" s="289"/>
      <c r="I43" s="288"/>
      <c r="J43" s="288"/>
      <c r="K43" s="288"/>
      <c r="L43" s="288"/>
      <c r="M43" s="290"/>
      <c r="N43" s="402"/>
      <c r="O43" s="639">
        <f>IF(F43="",0,(VLOOKUP('wgl tot'!F43,salaristabellen,'wgl tot'!G43+1,FALSE)))</f>
        <v>0</v>
      </c>
      <c r="P43" s="661">
        <f>O43*H43</f>
        <v>0</v>
      </c>
      <c r="Q43" s="402"/>
      <c r="R43" s="633">
        <f>ROUND(IF(I43="j",VLOOKUP(BL43,uitlooptoeslag,2,FALSE))*IF('wgl tot'!H43&gt;1,1,'wgl tot'!H43),2)</f>
        <v>0</v>
      </c>
      <c r="S43" s="633">
        <f>ROUND(IF(OR('wgl tot'!F43="LA",'wgl tot'!F43="LB"),IF(J43="j",tabellen!$C$77*'wgl tot'!H43,0),0),2)</f>
        <v>0</v>
      </c>
      <c r="T43" s="633">
        <f>ROUND(IF(('wgl tot'!P43+'wgl tot'!R43+'wgl tot'!S43)*BN43&lt;'wgl tot'!H43*tabellen!$D$89,'wgl tot'!H43*tabellen!$D$89,('wgl tot'!P43+'wgl tot'!R43+'wgl tot'!S43)*BN43),2)</f>
        <v>0</v>
      </c>
      <c r="U43" s="633">
        <f>ROUND(+('wgl tot'!P43+'wgl tot'!R43+'wgl tot'!S43)*BO43,2)</f>
        <v>0</v>
      </c>
      <c r="V43" s="633">
        <f>+tabellen!$C$85*'wgl tot'!H43</f>
        <v>0</v>
      </c>
      <c r="W43" s="633">
        <f>VLOOKUP(BP43,eindejaarsuitkering_OOP,2,TRUE)*'wgl tot'!H43/12</f>
        <v>0</v>
      </c>
      <c r="X43" s="633">
        <f>ROUND(IF(BQ43="j",tabellen!$D$99*IF('wgl tot'!H43&gt;1,1,'wgl tot'!H43),0),2)</f>
        <v>0</v>
      </c>
      <c r="Y43" s="654">
        <f t="shared" si="1"/>
        <v>0</v>
      </c>
      <c r="Z43" s="404"/>
      <c r="AA43" s="405"/>
      <c r="AB43" s="632">
        <f t="shared" si="2"/>
        <v>0</v>
      </c>
      <c r="AC43" s="633">
        <f>ROUND(IF(L43="j",VLOOKUP(K43,bindingstoelage,2,FALSE))*IF('wgl tot'!H43&gt;1,1,'wgl tot'!H43),2)</f>
        <v>0</v>
      </c>
      <c r="AD43" s="633">
        <f>ROUND('wgl tot'!H43*tabellen!$D$96,2)</f>
        <v>0</v>
      </c>
      <c r="AE43" s="633">
        <f>ROUND('wgl tot'!H43*tabellen!$D$97,2)</f>
        <v>0</v>
      </c>
      <c r="AF43" s="632">
        <f t="shared" si="3"/>
        <v>0</v>
      </c>
      <c r="AG43" s="402"/>
      <c r="AH43" s="633">
        <f>+('wgl tot'!AF43/(1+1.9%))*BR43</f>
        <v>0</v>
      </c>
      <c r="AI43" s="633">
        <f>IF(F43="",0,(791.85))</f>
        <v>0</v>
      </c>
      <c r="AJ43" s="632">
        <f>ROUND('wgl tot'!AF43-IF('wgl tot'!AI43&gt;'wgl tot'!AH43,'wgl tot'!AH43,'wgl tot'!AI43),0)</f>
        <v>0</v>
      </c>
      <c r="AK43" s="634">
        <f>IF('wgl tot'!E43&lt;1950,0,+('wgl tot'!P43+'wgl tot'!R43+'wgl tot'!S43)*tabellen!$C$87)*12</f>
        <v>0</v>
      </c>
      <c r="AL43" s="402"/>
      <c r="AM43" s="633">
        <f t="shared" si="4"/>
        <v>0</v>
      </c>
      <c r="AN43" s="633">
        <f>IF(F43="",0,(IF('wgl tot'!AJ43/'wgl tot'!H43&lt;tabellen!$E$57,0,('wgl tot'!AJ43-tabellen!$E$57*'wgl tot'!H43)/12)*tabellen!$C$57))</f>
        <v>0</v>
      </c>
      <c r="AO43" s="633">
        <f>IF(F43="",0,(IF('wgl tot'!AJ43/'wgl tot'!H43&lt;tabellen!$E$58,0,(+'wgl tot'!AJ43-tabellen!$E$58*'wgl tot'!H43)/12)*tabellen!$C$58))</f>
        <v>0</v>
      </c>
      <c r="AP43" s="633">
        <f>'wgl tot'!AJ43/12*tabellen!$C$59</f>
        <v>0</v>
      </c>
      <c r="AQ43" s="633">
        <f>IF(H43=0,0,IF(BY43&gt;tabellen!$G$60/12,tabellen!$G$60/12,BY43)*(tabellen!$C$60+tabellen!$C$61))</f>
        <v>0</v>
      </c>
      <c r="AR43" s="633">
        <f>IF(F43="",0,('wgl tot'!BZ43))</f>
        <v>0</v>
      </c>
      <c r="AS43" s="635">
        <f>IF(F43="",0,(IF('wgl tot'!BY43&gt;tabellen!$G$64*'wgl tot'!H43/12,tabellen!$G$64*'wgl tot'!H43/12,'wgl tot'!BY43)*tabellen!$C$64))</f>
        <v>0</v>
      </c>
      <c r="AT43" s="635">
        <f>IF(F43="",0,('wgl tot'!BY43*IF(M43=1,tabellen!$C$65,IF(M43=2,tabellen!C94,IF(M43=3,tabellen!$C$67,tabellen!$C$68)))))</f>
        <v>0</v>
      </c>
      <c r="AU43" s="635">
        <f>IF(F43="",0,('wgl tot'!BY43*tabellen!$C$69))</f>
        <v>0</v>
      </c>
      <c r="AV43" s="635">
        <f>+'wgl tot'!AK43/12</f>
        <v>0</v>
      </c>
      <c r="AW43" s="435">
        <v>0</v>
      </c>
      <c r="AX43" s="291">
        <f t="shared" si="5"/>
        <v>0</v>
      </c>
      <c r="AY43" s="658">
        <f t="shared" si="6"/>
        <v>0</v>
      </c>
      <c r="AZ43" s="658">
        <f t="shared" si="7"/>
        <v>0</v>
      </c>
      <c r="BA43" s="402"/>
      <c r="BB43" s="641" t="str">
        <f>IF(AY43=0,"",(+'wgl tot'!AY43/'wgl tot'!P43-1))</f>
        <v/>
      </c>
      <c r="BC43" s="402"/>
      <c r="BD43" s="385"/>
      <c r="BG43" s="621">
        <f ca="1">YEAR('wgl tot'!$BG$10)-YEAR('wgl tot'!E43)</f>
        <v>115</v>
      </c>
      <c r="BH43" s="621">
        <f ca="1">MONTH('wgl tot'!$BG$10)-MONTH('wgl tot'!E43)</f>
        <v>9</v>
      </c>
      <c r="BI43" s="621">
        <f ca="1">DAY('wgl tot'!$BG$10)-DAY('wgl tot'!E43)</f>
        <v>6</v>
      </c>
      <c r="BJ43" s="613">
        <f>IF(AND('wgl tot'!F43&gt;0,'wgl tot'!F43&lt;16),0,100)</f>
        <v>100</v>
      </c>
      <c r="BK43" s="613" t="e">
        <f>VLOOKUP('wgl tot'!F43,salaristabellen,22,FALSE)</f>
        <v>#N/A</v>
      </c>
      <c r="BL43" s="613">
        <f>F43</f>
        <v>0</v>
      </c>
      <c r="BM43" s="619">
        <f t="shared" si="10"/>
        <v>42005</v>
      </c>
      <c r="BN43" s="622">
        <f t="shared" si="11"/>
        <v>0.08</v>
      </c>
      <c r="BO43" s="623">
        <f>+tabellen!$D$90</f>
        <v>6.3E-2</v>
      </c>
      <c r="BP43" s="621">
        <f>IF('wgl tot'!BJ43=100,0,'wgl tot'!F43)</f>
        <v>0</v>
      </c>
      <c r="BQ43" s="623" t="str">
        <f>IF(OR('wgl tot'!F43="DA",'wgl tot'!F43="DB",'wgl tot'!F43="DBuit",'wgl tot'!F43="DC",'wgl tot'!F43="DCuit",MID('wgl tot'!F43,1,5)="meerh"),"j","n")</f>
        <v>n</v>
      </c>
      <c r="BR43" s="623">
        <f t="shared" si="12"/>
        <v>1.9E-2</v>
      </c>
      <c r="BS43" s="624">
        <f>IF(AI43&gt;'wgl tot'!AH43,'wgl tot'!AH43,AI43)</f>
        <v>0</v>
      </c>
      <c r="BT43" s="624"/>
      <c r="BU43" s="625" t="e">
        <f>IF('wgl tot'!AJ43/'wgl tot'!H43&lt;tabellen!$E$57,0,(+'wgl tot'!AJ43-tabellen!$E$57*'wgl tot'!H43)/12*tabellen!$D$57)</f>
        <v>#DIV/0!</v>
      </c>
      <c r="BV43" s="625" t="e">
        <f>IF('wgl tot'!AJ43/'wgl tot'!H43&lt;tabellen!$E$58,0,(+'wgl tot'!AJ43-tabellen!$E$58*'wgl tot'!H43)/12*tabellen!$D$58)</f>
        <v>#DIV/0!</v>
      </c>
      <c r="BW43" s="625">
        <f>'wgl tot'!AJ43/12*tabellen!$D$59</f>
        <v>0</v>
      </c>
      <c r="BX43" s="626" t="e">
        <f t="shared" si="13"/>
        <v>#DIV/0!</v>
      </c>
      <c r="BY43" s="627" t="e">
        <f>+('wgl tot'!AF43+'wgl tot'!AK43)/12-'wgl tot'!BX43</f>
        <v>#DIV/0!</v>
      </c>
      <c r="BZ43" s="627" t="e">
        <f>ROUND(IF('wgl tot'!BY43&gt;tabellen!$H$63,tabellen!$H$63,'wgl tot'!BY43)*tabellen!$C$63,2)</f>
        <v>#DIV/0!</v>
      </c>
      <c r="CA43" s="627" t="e">
        <f>+'wgl tot'!BY43+'wgl tot'!BZ43</f>
        <v>#DIV/0!</v>
      </c>
      <c r="CB43" s="628">
        <f>YEAR(E43)</f>
        <v>1900</v>
      </c>
      <c r="CC43" s="628">
        <f>MONTH(E43)</f>
        <v>1</v>
      </c>
      <c r="CD43" s="621">
        <f>DAY(E43)</f>
        <v>0</v>
      </c>
      <c r="CE43" s="619">
        <f t="shared" si="8"/>
        <v>22462</v>
      </c>
      <c r="CF43" s="619">
        <f t="shared" ca="1" si="9"/>
        <v>42283.70841446759</v>
      </c>
      <c r="CG43" s="613"/>
      <c r="CH43" s="619"/>
      <c r="CI43" s="613"/>
      <c r="CJ43" s="624"/>
      <c r="CK43" s="624"/>
      <c r="CL43" s="624"/>
      <c r="CM43" s="624"/>
      <c r="CN43" s="624"/>
      <c r="CO43" s="624"/>
    </row>
    <row r="44" spans="2:93" ht="13.5" customHeight="1" x14ac:dyDescent="0.2">
      <c r="B44" s="384"/>
      <c r="C44" s="402"/>
      <c r="D44" s="286"/>
      <c r="E44" s="287"/>
      <c r="F44" s="288"/>
      <c r="G44" s="288"/>
      <c r="H44" s="289"/>
      <c r="I44" s="288"/>
      <c r="J44" s="288"/>
      <c r="K44" s="288"/>
      <c r="L44" s="288"/>
      <c r="M44" s="290"/>
      <c r="N44" s="402"/>
      <c r="O44" s="639">
        <f>IF(F44="",0,(VLOOKUP('wgl tot'!F44,salaristabellen,'wgl tot'!G44+1,FALSE)))</f>
        <v>0</v>
      </c>
      <c r="P44" s="661">
        <f>O44*H44</f>
        <v>0</v>
      </c>
      <c r="Q44" s="402"/>
      <c r="R44" s="633">
        <f>ROUND(IF(I44="j",VLOOKUP(BL44,uitlooptoeslag,2,FALSE))*IF('wgl tot'!H44&gt;1,1,'wgl tot'!H44),2)</f>
        <v>0</v>
      </c>
      <c r="S44" s="633">
        <f>ROUND(IF(OR('wgl tot'!F44="LA",'wgl tot'!F44="LB"),IF(J44="j",tabellen!$C$77*'wgl tot'!H44,0),0),2)</f>
        <v>0</v>
      </c>
      <c r="T44" s="633">
        <f>ROUND(IF(('wgl tot'!P44+'wgl tot'!R44+'wgl tot'!S44)*BN44&lt;'wgl tot'!H44*tabellen!$D$89,'wgl tot'!H44*tabellen!$D$89,('wgl tot'!P44+'wgl tot'!R44+'wgl tot'!S44)*BN44),2)</f>
        <v>0</v>
      </c>
      <c r="U44" s="633">
        <f>ROUND(+('wgl tot'!P44+'wgl tot'!R44+'wgl tot'!S44)*BO44,2)</f>
        <v>0</v>
      </c>
      <c r="V44" s="633">
        <f>+tabellen!$C$85*'wgl tot'!H44</f>
        <v>0</v>
      </c>
      <c r="W44" s="633">
        <f>VLOOKUP(BP44,eindejaarsuitkering_OOP,2,TRUE)*'wgl tot'!H44/12</f>
        <v>0</v>
      </c>
      <c r="X44" s="633">
        <f>ROUND(IF(BQ44="j",tabellen!$D$99*IF('wgl tot'!H44&gt;1,1,'wgl tot'!H44),0),2)</f>
        <v>0</v>
      </c>
      <c r="Y44" s="654">
        <f t="shared" si="1"/>
        <v>0</v>
      </c>
      <c r="Z44" s="404"/>
      <c r="AA44" s="405"/>
      <c r="AB44" s="632">
        <f t="shared" si="2"/>
        <v>0</v>
      </c>
      <c r="AC44" s="633">
        <f>ROUND(IF(L44="j",VLOOKUP(K44,bindingstoelage,2,FALSE))*IF('wgl tot'!H44&gt;1,1,'wgl tot'!H44),2)</f>
        <v>0</v>
      </c>
      <c r="AD44" s="633">
        <f>ROUND('wgl tot'!H44*tabellen!$D$96,2)</f>
        <v>0</v>
      </c>
      <c r="AE44" s="633">
        <f>ROUND('wgl tot'!H44*tabellen!$D$97,2)</f>
        <v>0</v>
      </c>
      <c r="AF44" s="632">
        <f t="shared" si="3"/>
        <v>0</v>
      </c>
      <c r="AG44" s="402"/>
      <c r="AH44" s="633">
        <f>+('wgl tot'!AF44/(1+1.9%))*BR44</f>
        <v>0</v>
      </c>
      <c r="AI44" s="633">
        <f>IF(F44="",0,(791.85))</f>
        <v>0</v>
      </c>
      <c r="AJ44" s="632">
        <f>ROUND('wgl tot'!AF44-IF('wgl tot'!AI44&gt;'wgl tot'!AH44,'wgl tot'!AH44,'wgl tot'!AI44),0)</f>
        <v>0</v>
      </c>
      <c r="AK44" s="634">
        <f>IF('wgl tot'!E44&lt;1950,0,+('wgl tot'!P44+'wgl tot'!R44+'wgl tot'!S44)*tabellen!$C$87)*12</f>
        <v>0</v>
      </c>
      <c r="AL44" s="402"/>
      <c r="AM44" s="633">
        <f t="shared" si="4"/>
        <v>0</v>
      </c>
      <c r="AN44" s="633">
        <f>IF(F44="",0,(IF('wgl tot'!AJ44/'wgl tot'!H44&lt;tabellen!$E$57,0,('wgl tot'!AJ44-tabellen!$E$57*'wgl tot'!H44)/12)*tabellen!$C$57))</f>
        <v>0</v>
      </c>
      <c r="AO44" s="633">
        <f>IF(F44="",0,(IF('wgl tot'!AJ44/'wgl tot'!H44&lt;tabellen!$E$58,0,(+'wgl tot'!AJ44-tabellen!$E$58*'wgl tot'!H44)/12)*tabellen!$C$58))</f>
        <v>0</v>
      </c>
      <c r="AP44" s="633">
        <f>'wgl tot'!AJ44/12*tabellen!$C$59</f>
        <v>0</v>
      </c>
      <c r="AQ44" s="633">
        <f>IF(H44=0,0,IF(BY44&gt;tabellen!$G$60/12,tabellen!$G$60/12,BY44)*(tabellen!$C$60+tabellen!$C$61))</f>
        <v>0</v>
      </c>
      <c r="AR44" s="633">
        <f>IF(F44="",0,('wgl tot'!BZ44))</f>
        <v>0</v>
      </c>
      <c r="AS44" s="635">
        <f>IF(F44="",0,(IF('wgl tot'!BY44&gt;tabellen!$G$64*'wgl tot'!H44/12,tabellen!$G$64*'wgl tot'!H44/12,'wgl tot'!BY44)*tabellen!$C$64))</f>
        <v>0</v>
      </c>
      <c r="AT44" s="635">
        <f>IF(F44="",0,('wgl tot'!BY44*IF(M44=1,tabellen!$C$65,IF(M44=2,tabellen!C95,IF(M44=3,tabellen!$C$67,tabellen!$C$68)))))</f>
        <v>0</v>
      </c>
      <c r="AU44" s="635">
        <f>IF(F44="",0,('wgl tot'!BY44*tabellen!$C$69))</f>
        <v>0</v>
      </c>
      <c r="AV44" s="635">
        <f>+'wgl tot'!AK44/12</f>
        <v>0</v>
      </c>
      <c r="AW44" s="435">
        <v>0</v>
      </c>
      <c r="AX44" s="291">
        <f t="shared" si="5"/>
        <v>0</v>
      </c>
      <c r="AY44" s="658">
        <f t="shared" si="6"/>
        <v>0</v>
      </c>
      <c r="AZ44" s="658">
        <f t="shared" si="7"/>
        <v>0</v>
      </c>
      <c r="BA44" s="402"/>
      <c r="BB44" s="641" t="str">
        <f>IF(AY44=0,"",(+'wgl tot'!AY44/'wgl tot'!P44-1))</f>
        <v/>
      </c>
      <c r="BC44" s="402"/>
      <c r="BD44" s="385"/>
      <c r="BG44" s="621">
        <f ca="1">YEAR('wgl tot'!$BG$10)-YEAR('wgl tot'!E44)</f>
        <v>115</v>
      </c>
      <c r="BH44" s="621">
        <f ca="1">MONTH('wgl tot'!$BG$10)-MONTH('wgl tot'!E44)</f>
        <v>9</v>
      </c>
      <c r="BI44" s="621">
        <f ca="1">DAY('wgl tot'!$BG$10)-DAY('wgl tot'!E44)</f>
        <v>6</v>
      </c>
      <c r="BJ44" s="613">
        <f>IF(AND('wgl tot'!F44&gt;0,'wgl tot'!F44&lt;16),0,100)</f>
        <v>100</v>
      </c>
      <c r="BK44" s="613" t="e">
        <f>VLOOKUP('wgl tot'!F44,salaristabellen,22,FALSE)</f>
        <v>#N/A</v>
      </c>
      <c r="BL44" s="613">
        <f>F44</f>
        <v>0</v>
      </c>
      <c r="BM44" s="619">
        <f t="shared" si="10"/>
        <v>42005</v>
      </c>
      <c r="BN44" s="622">
        <f t="shared" si="11"/>
        <v>0.08</v>
      </c>
      <c r="BO44" s="623">
        <f>+tabellen!$D$90</f>
        <v>6.3E-2</v>
      </c>
      <c r="BP44" s="621">
        <f>IF('wgl tot'!BJ44=100,0,'wgl tot'!F44)</f>
        <v>0</v>
      </c>
      <c r="BQ44" s="623" t="str">
        <f>IF(OR('wgl tot'!F44="DA",'wgl tot'!F44="DB",'wgl tot'!F44="DBuit",'wgl tot'!F44="DC",'wgl tot'!F44="DCuit",MID('wgl tot'!F44,1,5)="meerh"),"j","n")</f>
        <v>n</v>
      </c>
      <c r="BR44" s="623">
        <f t="shared" si="12"/>
        <v>1.9E-2</v>
      </c>
      <c r="BS44" s="624">
        <f>IF(AI44&gt;'wgl tot'!AH44,'wgl tot'!AH44,AI44)</f>
        <v>0</v>
      </c>
      <c r="BT44" s="624"/>
      <c r="BU44" s="625" t="e">
        <f>IF('wgl tot'!AJ44/'wgl tot'!H44&lt;tabellen!$E$57,0,(+'wgl tot'!AJ44-tabellen!$E$57*'wgl tot'!H44)/12*tabellen!$D$57)</f>
        <v>#DIV/0!</v>
      </c>
      <c r="BV44" s="625" t="e">
        <f>IF('wgl tot'!AJ44/'wgl tot'!H44&lt;tabellen!$E$58,0,(+'wgl tot'!AJ44-tabellen!$E$58*'wgl tot'!H44)/12*tabellen!$D$58)</f>
        <v>#DIV/0!</v>
      </c>
      <c r="BW44" s="625">
        <f>'wgl tot'!AJ44/12*tabellen!$D$59</f>
        <v>0</v>
      </c>
      <c r="BX44" s="626" t="e">
        <f t="shared" si="13"/>
        <v>#DIV/0!</v>
      </c>
      <c r="BY44" s="627" t="e">
        <f>+('wgl tot'!AF44+'wgl tot'!AK44)/12-'wgl tot'!BX44</f>
        <v>#DIV/0!</v>
      </c>
      <c r="BZ44" s="627" t="e">
        <f>ROUND(IF('wgl tot'!BY44&gt;tabellen!$H$63,tabellen!$H$63,'wgl tot'!BY44)*tabellen!$C$63,2)</f>
        <v>#DIV/0!</v>
      </c>
      <c r="CA44" s="627" t="e">
        <f>+'wgl tot'!BY44+'wgl tot'!BZ44</f>
        <v>#DIV/0!</v>
      </c>
      <c r="CB44" s="628">
        <f>YEAR(E44)</f>
        <v>1900</v>
      </c>
      <c r="CC44" s="628">
        <f>MONTH(E44)</f>
        <v>1</v>
      </c>
      <c r="CD44" s="621">
        <f>DAY(E44)</f>
        <v>0</v>
      </c>
      <c r="CE44" s="619">
        <f t="shared" si="8"/>
        <v>22462</v>
      </c>
      <c r="CF44" s="619">
        <f t="shared" ca="1" si="9"/>
        <v>42283.70841446759</v>
      </c>
      <c r="CG44" s="613"/>
      <c r="CH44" s="619"/>
      <c r="CI44" s="613"/>
      <c r="CJ44" s="624"/>
      <c r="CK44" s="624"/>
      <c r="CL44" s="624"/>
      <c r="CM44" s="624"/>
      <c r="CN44" s="624"/>
      <c r="CO44" s="624"/>
    </row>
    <row r="45" spans="2:93" ht="13.5" customHeight="1" x14ac:dyDescent="0.2">
      <c r="B45" s="384"/>
      <c r="C45" s="402"/>
      <c r="D45" s="286"/>
      <c r="E45" s="287"/>
      <c r="F45" s="288"/>
      <c r="G45" s="288"/>
      <c r="H45" s="289"/>
      <c r="I45" s="288"/>
      <c r="J45" s="288"/>
      <c r="K45" s="288"/>
      <c r="L45" s="288"/>
      <c r="M45" s="290"/>
      <c r="N45" s="402"/>
      <c r="O45" s="639">
        <f>IF(F45="",0,(VLOOKUP('wgl tot'!F45,salaristabellen,'wgl tot'!G45+1,FALSE)))</f>
        <v>0</v>
      </c>
      <c r="P45" s="661">
        <f>O45*H45</f>
        <v>0</v>
      </c>
      <c r="Q45" s="402"/>
      <c r="R45" s="633">
        <f>ROUND(IF(I45="j",VLOOKUP(BL45,uitlooptoeslag,2,FALSE))*IF('wgl tot'!H45&gt;1,1,'wgl tot'!H45),2)</f>
        <v>0</v>
      </c>
      <c r="S45" s="633">
        <f>ROUND(IF(OR('wgl tot'!F45="LA",'wgl tot'!F45="LB"),IF(J45="j",tabellen!$C$77*'wgl tot'!H45,0),0),2)</f>
        <v>0</v>
      </c>
      <c r="T45" s="633">
        <f>ROUND(IF(('wgl tot'!P45+'wgl tot'!R45+'wgl tot'!S45)*BN45&lt;'wgl tot'!H45*tabellen!$D$89,'wgl tot'!H45*tabellen!$D$89,('wgl tot'!P45+'wgl tot'!R45+'wgl tot'!S45)*BN45),2)</f>
        <v>0</v>
      </c>
      <c r="U45" s="633">
        <f>ROUND(+('wgl tot'!P45+'wgl tot'!R45+'wgl tot'!S45)*BO45,2)</f>
        <v>0</v>
      </c>
      <c r="V45" s="633">
        <f>+tabellen!$C$85*'wgl tot'!H45</f>
        <v>0</v>
      </c>
      <c r="W45" s="633">
        <f>VLOOKUP(BP45,eindejaarsuitkering_OOP,2,TRUE)*'wgl tot'!H45/12</f>
        <v>0</v>
      </c>
      <c r="X45" s="633">
        <f>ROUND(IF(BQ45="j",tabellen!$D$99*IF('wgl tot'!H45&gt;1,1,'wgl tot'!H45),0),2)</f>
        <v>0</v>
      </c>
      <c r="Y45" s="654">
        <f t="shared" si="1"/>
        <v>0</v>
      </c>
      <c r="Z45" s="404"/>
      <c r="AA45" s="405"/>
      <c r="AB45" s="632">
        <f t="shared" si="2"/>
        <v>0</v>
      </c>
      <c r="AC45" s="633">
        <f>ROUND(IF(L45="j",VLOOKUP(K45,bindingstoelage,2,FALSE))*IF('wgl tot'!H45&gt;1,1,'wgl tot'!H45),2)</f>
        <v>0</v>
      </c>
      <c r="AD45" s="633">
        <f>ROUND('wgl tot'!H45*tabellen!$D$96,2)</f>
        <v>0</v>
      </c>
      <c r="AE45" s="633">
        <f>ROUND('wgl tot'!H45*tabellen!$D$97,2)</f>
        <v>0</v>
      </c>
      <c r="AF45" s="632">
        <f t="shared" si="3"/>
        <v>0</v>
      </c>
      <c r="AG45" s="402"/>
      <c r="AH45" s="633">
        <f>+('wgl tot'!AF45/(1+1.9%))*BR45</f>
        <v>0</v>
      </c>
      <c r="AI45" s="633">
        <f>IF(F45="",0,(791.85))</f>
        <v>0</v>
      </c>
      <c r="AJ45" s="632">
        <f>ROUND('wgl tot'!AF45-IF('wgl tot'!AI45&gt;'wgl tot'!AH45,'wgl tot'!AH45,'wgl tot'!AI45),0)</f>
        <v>0</v>
      </c>
      <c r="AK45" s="634">
        <f>IF('wgl tot'!E45&lt;1950,0,+('wgl tot'!P45+'wgl tot'!R45+'wgl tot'!S45)*tabellen!$C$87)*12</f>
        <v>0</v>
      </c>
      <c r="AL45" s="402"/>
      <c r="AM45" s="633">
        <f t="shared" si="4"/>
        <v>0</v>
      </c>
      <c r="AN45" s="633">
        <f>IF(F45="",0,(IF('wgl tot'!AJ45/'wgl tot'!H45&lt;tabellen!$E$57,0,('wgl tot'!AJ45-tabellen!$E$57*'wgl tot'!H45)/12)*tabellen!$C$57))</f>
        <v>0</v>
      </c>
      <c r="AO45" s="633">
        <f>IF(F45="",0,(IF('wgl tot'!AJ45/'wgl tot'!H45&lt;tabellen!$E$58,0,(+'wgl tot'!AJ45-tabellen!$E$58*'wgl tot'!H45)/12)*tabellen!$C$58))</f>
        <v>0</v>
      </c>
      <c r="AP45" s="633">
        <f>'wgl tot'!AJ45/12*tabellen!$C$59</f>
        <v>0</v>
      </c>
      <c r="AQ45" s="633">
        <f>IF(H45=0,0,IF(BY45&gt;tabellen!$G$60/12,tabellen!$G$60/12,BY45)*(tabellen!$C$60+tabellen!$C$61))</f>
        <v>0</v>
      </c>
      <c r="AR45" s="633">
        <f>IF(F45="",0,('wgl tot'!BZ45))</f>
        <v>0</v>
      </c>
      <c r="AS45" s="635">
        <f>IF(F45="",0,(IF('wgl tot'!BY45&gt;tabellen!$G$64*'wgl tot'!H45/12,tabellen!$G$64*'wgl tot'!H45/12,'wgl tot'!BY45)*tabellen!$C$64))</f>
        <v>0</v>
      </c>
      <c r="AT45" s="635">
        <f>IF(F45="",0,('wgl tot'!BY45*IF(M45=1,tabellen!$C$65,IF(M45=2,tabellen!C96,IF(M45=3,tabellen!$C$67,tabellen!$C$68)))))</f>
        <v>0</v>
      </c>
      <c r="AU45" s="635">
        <f>IF(F45="",0,('wgl tot'!BY45*tabellen!$C$69))</f>
        <v>0</v>
      </c>
      <c r="AV45" s="635">
        <f>+'wgl tot'!AK45/12</f>
        <v>0</v>
      </c>
      <c r="AW45" s="435">
        <v>0</v>
      </c>
      <c r="AX45" s="291">
        <f t="shared" si="5"/>
        <v>0</v>
      </c>
      <c r="AY45" s="658">
        <f t="shared" si="6"/>
        <v>0</v>
      </c>
      <c r="AZ45" s="658">
        <f t="shared" si="7"/>
        <v>0</v>
      </c>
      <c r="BA45" s="402"/>
      <c r="BB45" s="641" t="str">
        <f>IF(AY45=0,"",(+'wgl tot'!AY45/'wgl tot'!P45-1))</f>
        <v/>
      </c>
      <c r="BC45" s="402"/>
      <c r="BD45" s="385"/>
      <c r="BG45" s="621">
        <f ca="1">YEAR('wgl tot'!$BG$10)-YEAR('wgl tot'!E45)</f>
        <v>115</v>
      </c>
      <c r="BH45" s="621">
        <f ca="1">MONTH('wgl tot'!$BG$10)-MONTH('wgl tot'!E45)</f>
        <v>9</v>
      </c>
      <c r="BI45" s="621">
        <f ca="1">DAY('wgl tot'!$BG$10)-DAY('wgl tot'!E45)</f>
        <v>6</v>
      </c>
      <c r="BJ45" s="613">
        <f>IF(AND('wgl tot'!F45&gt;0,'wgl tot'!F45&lt;16),0,100)</f>
        <v>100</v>
      </c>
      <c r="BK45" s="613" t="e">
        <f>VLOOKUP('wgl tot'!F45,salaristabellen,22,FALSE)</f>
        <v>#N/A</v>
      </c>
      <c r="BL45" s="613">
        <f>F45</f>
        <v>0</v>
      </c>
      <c r="BM45" s="619">
        <f t="shared" si="10"/>
        <v>42005</v>
      </c>
      <c r="BN45" s="622">
        <f t="shared" si="11"/>
        <v>0.08</v>
      </c>
      <c r="BO45" s="623">
        <f>+tabellen!$D$90</f>
        <v>6.3E-2</v>
      </c>
      <c r="BP45" s="621">
        <f>IF('wgl tot'!BJ45=100,0,'wgl tot'!F45)</f>
        <v>0</v>
      </c>
      <c r="BQ45" s="623" t="str">
        <f>IF(OR('wgl tot'!F45="DA",'wgl tot'!F45="DB",'wgl tot'!F45="DBuit",'wgl tot'!F45="DC",'wgl tot'!F45="DCuit",MID('wgl tot'!F45,1,5)="meerh"),"j","n")</f>
        <v>n</v>
      </c>
      <c r="BR45" s="623">
        <f t="shared" si="12"/>
        <v>1.9E-2</v>
      </c>
      <c r="BS45" s="624">
        <f>IF(AI45&gt;'wgl tot'!AH45,'wgl tot'!AH45,AI45)</f>
        <v>0</v>
      </c>
      <c r="BT45" s="624"/>
      <c r="BU45" s="625" t="e">
        <f>IF('wgl tot'!AJ45/'wgl tot'!H45&lt;tabellen!$E$57,0,(+'wgl tot'!AJ45-tabellen!$E$57*'wgl tot'!H45)/12*tabellen!$D$57)</f>
        <v>#DIV/0!</v>
      </c>
      <c r="BV45" s="625" t="e">
        <f>IF('wgl tot'!AJ45/'wgl tot'!H45&lt;tabellen!$E$58,0,(+'wgl tot'!AJ45-tabellen!$E$58*'wgl tot'!H45)/12*tabellen!$D$58)</f>
        <v>#DIV/0!</v>
      </c>
      <c r="BW45" s="625">
        <f>'wgl tot'!AJ45/12*tabellen!$D$59</f>
        <v>0</v>
      </c>
      <c r="BX45" s="626" t="e">
        <f t="shared" si="13"/>
        <v>#DIV/0!</v>
      </c>
      <c r="BY45" s="627" t="e">
        <f>+('wgl tot'!AF45+'wgl tot'!AK45)/12-'wgl tot'!BX45</f>
        <v>#DIV/0!</v>
      </c>
      <c r="BZ45" s="627" t="e">
        <f>ROUND(IF('wgl tot'!BY45&gt;tabellen!$H$63,tabellen!$H$63,'wgl tot'!BY45)*tabellen!$C$63,2)</f>
        <v>#DIV/0!</v>
      </c>
      <c r="CA45" s="627" t="e">
        <f>+'wgl tot'!BY45+'wgl tot'!BZ45</f>
        <v>#DIV/0!</v>
      </c>
      <c r="CB45" s="628">
        <f>YEAR(E45)</f>
        <v>1900</v>
      </c>
      <c r="CC45" s="628">
        <f>MONTH(E45)</f>
        <v>1</v>
      </c>
      <c r="CD45" s="621">
        <f>DAY(E45)</f>
        <v>0</v>
      </c>
      <c r="CE45" s="619">
        <f t="shared" si="8"/>
        <v>22462</v>
      </c>
      <c r="CF45" s="619">
        <f t="shared" ca="1" si="9"/>
        <v>42283.70841446759</v>
      </c>
      <c r="CG45" s="613"/>
      <c r="CH45" s="619"/>
      <c r="CI45" s="613"/>
      <c r="CJ45" s="624"/>
      <c r="CK45" s="624"/>
      <c r="CL45" s="624"/>
      <c r="CM45" s="624"/>
      <c r="CN45" s="624"/>
      <c r="CO45" s="624"/>
    </row>
    <row r="46" spans="2:93" ht="13.5" customHeight="1" x14ac:dyDescent="0.2">
      <c r="B46" s="384"/>
      <c r="C46" s="402"/>
      <c r="D46" s="286"/>
      <c r="E46" s="287"/>
      <c r="F46" s="288"/>
      <c r="G46" s="288"/>
      <c r="H46" s="289"/>
      <c r="I46" s="288"/>
      <c r="J46" s="288"/>
      <c r="K46" s="288"/>
      <c r="L46" s="288"/>
      <c r="M46" s="290"/>
      <c r="N46" s="402"/>
      <c r="O46" s="639">
        <f>IF(F46="",0,(VLOOKUP('wgl tot'!F46,salaristabellen,'wgl tot'!G46+1,FALSE)))</f>
        <v>0</v>
      </c>
      <c r="P46" s="661">
        <f>O46*H46</f>
        <v>0</v>
      </c>
      <c r="Q46" s="402"/>
      <c r="R46" s="633">
        <f>ROUND(IF(I46="j",VLOOKUP(BL46,uitlooptoeslag,2,FALSE))*IF('wgl tot'!H46&gt;1,1,'wgl tot'!H46),2)</f>
        <v>0</v>
      </c>
      <c r="S46" s="633">
        <f>ROUND(IF(OR('wgl tot'!F46="LA",'wgl tot'!F46="LB"),IF(J46="j",tabellen!$C$77*'wgl tot'!H46,0),0),2)</f>
        <v>0</v>
      </c>
      <c r="T46" s="633">
        <f>ROUND(IF(('wgl tot'!P46+'wgl tot'!R46+'wgl tot'!S46)*BN46&lt;'wgl tot'!H46*tabellen!$D$89,'wgl tot'!H46*tabellen!$D$89,('wgl tot'!P46+'wgl tot'!R46+'wgl tot'!S46)*BN46),2)</f>
        <v>0</v>
      </c>
      <c r="U46" s="633">
        <f>ROUND(+('wgl tot'!P46+'wgl tot'!R46+'wgl tot'!S46)*BO46,2)</f>
        <v>0</v>
      </c>
      <c r="V46" s="633">
        <f>+tabellen!$C$85*'wgl tot'!H46</f>
        <v>0</v>
      </c>
      <c r="W46" s="633">
        <f>VLOOKUP(BP46,eindejaarsuitkering_OOP,2,TRUE)*'wgl tot'!H46/12</f>
        <v>0</v>
      </c>
      <c r="X46" s="633">
        <f>ROUND(IF(BQ46="j",tabellen!$D$99*IF('wgl tot'!H46&gt;1,1,'wgl tot'!H46),0),2)</f>
        <v>0</v>
      </c>
      <c r="Y46" s="654">
        <f t="shared" si="1"/>
        <v>0</v>
      </c>
      <c r="Z46" s="404"/>
      <c r="AA46" s="405"/>
      <c r="AB46" s="632">
        <f t="shared" si="2"/>
        <v>0</v>
      </c>
      <c r="AC46" s="633">
        <f>ROUND(IF(L46="j",VLOOKUP(K46,bindingstoelage,2,FALSE))*IF('wgl tot'!H46&gt;1,1,'wgl tot'!H46),2)</f>
        <v>0</v>
      </c>
      <c r="AD46" s="633">
        <f>ROUND('wgl tot'!H46*tabellen!$D$96,2)</f>
        <v>0</v>
      </c>
      <c r="AE46" s="633">
        <f>ROUND('wgl tot'!H46*tabellen!$D$97,2)</f>
        <v>0</v>
      </c>
      <c r="AF46" s="632">
        <f t="shared" si="3"/>
        <v>0</v>
      </c>
      <c r="AG46" s="402"/>
      <c r="AH46" s="633">
        <f>+('wgl tot'!AF46/(1+1.9%))*BR46</f>
        <v>0</v>
      </c>
      <c r="AI46" s="633">
        <f>IF(F46="",0,(791.85))</f>
        <v>0</v>
      </c>
      <c r="AJ46" s="632">
        <f>ROUND('wgl tot'!AF46-IF('wgl tot'!AI46&gt;'wgl tot'!AH46,'wgl tot'!AH46,'wgl tot'!AI46),0)</f>
        <v>0</v>
      </c>
      <c r="AK46" s="634">
        <f>IF('wgl tot'!E46&lt;1950,0,+('wgl tot'!P46+'wgl tot'!R46+'wgl tot'!S46)*tabellen!$C$87)*12</f>
        <v>0</v>
      </c>
      <c r="AL46" s="402"/>
      <c r="AM46" s="633">
        <f t="shared" si="4"/>
        <v>0</v>
      </c>
      <c r="AN46" s="633">
        <f>IF(F46="",0,(IF('wgl tot'!AJ46/'wgl tot'!H46&lt;tabellen!$E$57,0,('wgl tot'!AJ46-tabellen!$E$57*'wgl tot'!H46)/12)*tabellen!$C$57))</f>
        <v>0</v>
      </c>
      <c r="AO46" s="633">
        <f>IF(F46="",0,(IF('wgl tot'!AJ46/'wgl tot'!H46&lt;tabellen!$E$58,0,(+'wgl tot'!AJ46-tabellen!$E$58*'wgl tot'!H46)/12)*tabellen!$C$58))</f>
        <v>0</v>
      </c>
      <c r="AP46" s="633">
        <f>'wgl tot'!AJ46/12*tabellen!$C$59</f>
        <v>0</v>
      </c>
      <c r="AQ46" s="633">
        <f>IF(H46=0,0,IF(BY46&gt;tabellen!$G$60/12,tabellen!$G$60/12,BY46)*(tabellen!$C$60+tabellen!$C$61))</f>
        <v>0</v>
      </c>
      <c r="AR46" s="633">
        <f>IF(F46="",0,('wgl tot'!BZ46))</f>
        <v>0</v>
      </c>
      <c r="AS46" s="635">
        <f>IF(F46="",0,(IF('wgl tot'!BY46&gt;tabellen!$G$64*'wgl tot'!H46/12,tabellen!$G$64*'wgl tot'!H46/12,'wgl tot'!BY46)*tabellen!$C$64))</f>
        <v>0</v>
      </c>
      <c r="AT46" s="635">
        <f>IF(F46="",0,('wgl tot'!BY46*IF(M46=1,tabellen!$C$65,IF(M46=2,tabellen!C98,IF(M46=3,tabellen!$C$67,tabellen!$C$68)))))</f>
        <v>0</v>
      </c>
      <c r="AU46" s="635">
        <f>IF(F46="",0,('wgl tot'!BY46*tabellen!$C$69))</f>
        <v>0</v>
      </c>
      <c r="AV46" s="635">
        <f>+'wgl tot'!AK46/12</f>
        <v>0</v>
      </c>
      <c r="AW46" s="435">
        <v>0</v>
      </c>
      <c r="AX46" s="291">
        <f t="shared" si="5"/>
        <v>0</v>
      </c>
      <c r="AY46" s="658">
        <f t="shared" si="6"/>
        <v>0</v>
      </c>
      <c r="AZ46" s="658">
        <f t="shared" si="7"/>
        <v>0</v>
      </c>
      <c r="BA46" s="402"/>
      <c r="BB46" s="641" t="str">
        <f>IF(AY46=0,"",(+'wgl tot'!AY46/'wgl tot'!P46-1))</f>
        <v/>
      </c>
      <c r="BC46" s="402"/>
      <c r="BD46" s="385"/>
      <c r="BG46" s="621">
        <f ca="1">YEAR('wgl tot'!$BG$10)-YEAR('wgl tot'!E46)</f>
        <v>115</v>
      </c>
      <c r="BH46" s="621">
        <f ca="1">MONTH('wgl tot'!$BG$10)-MONTH('wgl tot'!E46)</f>
        <v>9</v>
      </c>
      <c r="BI46" s="621">
        <f ca="1">DAY('wgl tot'!$BG$10)-DAY('wgl tot'!E46)</f>
        <v>6</v>
      </c>
      <c r="BJ46" s="613">
        <f>IF(AND('wgl tot'!F46&gt;0,'wgl tot'!F46&lt;16),0,100)</f>
        <v>100</v>
      </c>
      <c r="BK46" s="613" t="e">
        <f>VLOOKUP('wgl tot'!F46,salaristabellen,22,FALSE)</f>
        <v>#N/A</v>
      </c>
      <c r="BL46" s="613">
        <f>F46</f>
        <v>0</v>
      </c>
      <c r="BM46" s="619">
        <f t="shared" si="10"/>
        <v>42005</v>
      </c>
      <c r="BN46" s="622">
        <f t="shared" si="11"/>
        <v>0.08</v>
      </c>
      <c r="BO46" s="623">
        <f>+tabellen!$D$90</f>
        <v>6.3E-2</v>
      </c>
      <c r="BP46" s="621">
        <f>IF('wgl tot'!BJ46=100,0,'wgl tot'!F46)</f>
        <v>0</v>
      </c>
      <c r="BQ46" s="623" t="str">
        <f>IF(OR('wgl tot'!F46="DA",'wgl tot'!F46="DB",'wgl tot'!F46="DBuit",'wgl tot'!F46="DC",'wgl tot'!F46="DCuit",MID('wgl tot'!F46,1,5)="meerh"),"j","n")</f>
        <v>n</v>
      </c>
      <c r="BR46" s="623">
        <f t="shared" si="12"/>
        <v>1.9E-2</v>
      </c>
      <c r="BS46" s="624">
        <f>IF(AI46&gt;'wgl tot'!AH46,'wgl tot'!AH46,AI46)</f>
        <v>0</v>
      </c>
      <c r="BT46" s="624"/>
      <c r="BU46" s="625" t="e">
        <f>IF('wgl tot'!AJ46/'wgl tot'!H46&lt;tabellen!$E$57,0,(+'wgl tot'!AJ46-tabellen!$E$57*'wgl tot'!H46)/12*tabellen!$D$57)</f>
        <v>#DIV/0!</v>
      </c>
      <c r="BV46" s="625" t="e">
        <f>IF('wgl tot'!AJ46/'wgl tot'!H46&lt;tabellen!$E$58,0,(+'wgl tot'!AJ46-tabellen!$E$58*'wgl tot'!H46)/12*tabellen!$D$58)</f>
        <v>#DIV/0!</v>
      </c>
      <c r="BW46" s="625">
        <f>'wgl tot'!AJ46/12*tabellen!$D$59</f>
        <v>0</v>
      </c>
      <c r="BX46" s="626" t="e">
        <f t="shared" si="13"/>
        <v>#DIV/0!</v>
      </c>
      <c r="BY46" s="627" t="e">
        <f>+('wgl tot'!AF46+'wgl tot'!AK46)/12-'wgl tot'!BX46</f>
        <v>#DIV/0!</v>
      </c>
      <c r="BZ46" s="627" t="e">
        <f>ROUND(IF('wgl tot'!BY46&gt;tabellen!$H$63,tabellen!$H$63,'wgl tot'!BY46)*tabellen!$C$63,2)</f>
        <v>#DIV/0!</v>
      </c>
      <c r="CA46" s="627" t="e">
        <f>+'wgl tot'!BY46+'wgl tot'!BZ46</f>
        <v>#DIV/0!</v>
      </c>
      <c r="CB46" s="628">
        <f>YEAR(E46)</f>
        <v>1900</v>
      </c>
      <c r="CC46" s="628">
        <f>MONTH(E46)</f>
        <v>1</v>
      </c>
      <c r="CD46" s="621">
        <f>DAY(E46)</f>
        <v>0</v>
      </c>
      <c r="CE46" s="619">
        <f t="shared" si="8"/>
        <v>22462</v>
      </c>
      <c r="CF46" s="619">
        <f t="shared" ca="1" si="9"/>
        <v>42283.70841446759</v>
      </c>
      <c r="CG46" s="613"/>
      <c r="CH46" s="619"/>
      <c r="CI46" s="613"/>
      <c r="CJ46" s="624"/>
      <c r="CK46" s="624"/>
      <c r="CL46" s="624"/>
      <c r="CM46" s="624"/>
      <c r="CN46" s="624"/>
      <c r="CO46" s="624"/>
    </row>
    <row r="47" spans="2:93" ht="13.5" customHeight="1" x14ac:dyDescent="0.2">
      <c r="B47" s="384"/>
      <c r="C47" s="402"/>
      <c r="D47" s="286"/>
      <c r="E47" s="287"/>
      <c r="F47" s="288"/>
      <c r="G47" s="288"/>
      <c r="H47" s="289"/>
      <c r="I47" s="288"/>
      <c r="J47" s="288"/>
      <c r="K47" s="288"/>
      <c r="L47" s="288"/>
      <c r="M47" s="290"/>
      <c r="N47" s="402"/>
      <c r="O47" s="639">
        <f>IF(F47="",0,(VLOOKUP('wgl tot'!F47,salaristabellen,'wgl tot'!G47+1,FALSE)))</f>
        <v>0</v>
      </c>
      <c r="P47" s="661">
        <f>O47*H47</f>
        <v>0</v>
      </c>
      <c r="Q47" s="402"/>
      <c r="R47" s="633">
        <f>ROUND(IF(I47="j",VLOOKUP(BL47,uitlooptoeslag,2,FALSE))*IF('wgl tot'!H47&gt;1,1,'wgl tot'!H47),2)</f>
        <v>0</v>
      </c>
      <c r="S47" s="633">
        <f>ROUND(IF(OR('wgl tot'!F47="LA",'wgl tot'!F47="LB"),IF(J47="j",tabellen!$C$77*'wgl tot'!H47,0),0),2)</f>
        <v>0</v>
      </c>
      <c r="T47" s="633">
        <f>ROUND(IF(('wgl tot'!P47+'wgl tot'!R47+'wgl tot'!S47)*BN47&lt;'wgl tot'!H47*tabellen!$D$89,'wgl tot'!H47*tabellen!$D$89,('wgl tot'!P47+'wgl tot'!R47+'wgl tot'!S47)*BN47),2)</f>
        <v>0</v>
      </c>
      <c r="U47" s="633">
        <f>ROUND(+('wgl tot'!P47+'wgl tot'!R47+'wgl tot'!S47)*BO47,2)</f>
        <v>0</v>
      </c>
      <c r="V47" s="633">
        <f>+tabellen!$C$85*'wgl tot'!H47</f>
        <v>0</v>
      </c>
      <c r="W47" s="633">
        <f>VLOOKUP(BP47,eindejaarsuitkering_OOP,2,TRUE)*'wgl tot'!H47/12</f>
        <v>0</v>
      </c>
      <c r="X47" s="633">
        <f>ROUND(IF(BQ47="j",tabellen!$D$99*IF('wgl tot'!H47&gt;1,1,'wgl tot'!H47),0),2)</f>
        <v>0</v>
      </c>
      <c r="Y47" s="654">
        <f t="shared" si="1"/>
        <v>0</v>
      </c>
      <c r="Z47" s="404"/>
      <c r="AA47" s="405"/>
      <c r="AB47" s="632">
        <f t="shared" si="2"/>
        <v>0</v>
      </c>
      <c r="AC47" s="633">
        <f>ROUND(IF(L47="j",VLOOKUP(K47,bindingstoelage,2,FALSE))*IF('wgl tot'!H47&gt;1,1,'wgl tot'!H47),2)</f>
        <v>0</v>
      </c>
      <c r="AD47" s="633">
        <f>ROUND('wgl tot'!H47*tabellen!$D$96,2)</f>
        <v>0</v>
      </c>
      <c r="AE47" s="633">
        <f>ROUND('wgl tot'!H47*tabellen!$D$97,2)</f>
        <v>0</v>
      </c>
      <c r="AF47" s="632">
        <f t="shared" si="3"/>
        <v>0</v>
      </c>
      <c r="AG47" s="402"/>
      <c r="AH47" s="633">
        <f>+('wgl tot'!AF47/(1+1.9%))*BR47</f>
        <v>0</v>
      </c>
      <c r="AI47" s="633">
        <f>IF(F47="",0,(791.85))</f>
        <v>0</v>
      </c>
      <c r="AJ47" s="632">
        <f>ROUND('wgl tot'!AF47-IF('wgl tot'!AI47&gt;'wgl tot'!AH47,'wgl tot'!AH47,'wgl tot'!AI47),0)</f>
        <v>0</v>
      </c>
      <c r="AK47" s="634">
        <f>IF('wgl tot'!E47&lt;1950,0,+('wgl tot'!P47+'wgl tot'!R47+'wgl tot'!S47)*tabellen!$C$87)*12</f>
        <v>0</v>
      </c>
      <c r="AL47" s="402"/>
      <c r="AM47" s="633">
        <f t="shared" si="4"/>
        <v>0</v>
      </c>
      <c r="AN47" s="633">
        <f>IF(F47="",0,(IF('wgl tot'!AJ47/'wgl tot'!H47&lt;tabellen!$E$57,0,('wgl tot'!AJ47-tabellen!$E$57*'wgl tot'!H47)/12)*tabellen!$C$57))</f>
        <v>0</v>
      </c>
      <c r="AO47" s="633">
        <f>IF(F47="",0,(IF('wgl tot'!AJ47/'wgl tot'!H47&lt;tabellen!$E$58,0,(+'wgl tot'!AJ47-tabellen!$E$58*'wgl tot'!H47)/12)*tabellen!$C$58))</f>
        <v>0</v>
      </c>
      <c r="AP47" s="633">
        <f>'wgl tot'!AJ47/12*tabellen!$C$59</f>
        <v>0</v>
      </c>
      <c r="AQ47" s="633">
        <f>IF(H47=0,0,IF(BY47&gt;tabellen!$G$60/12,tabellen!$G$60/12,BY47)*(tabellen!$C$60+tabellen!$C$61))</f>
        <v>0</v>
      </c>
      <c r="AR47" s="633">
        <f>IF(F47="",0,('wgl tot'!BZ47))</f>
        <v>0</v>
      </c>
      <c r="AS47" s="635">
        <f>IF(F47="",0,(IF('wgl tot'!BY47&gt;tabellen!$G$64*'wgl tot'!H47/12,tabellen!$G$64*'wgl tot'!H47/12,'wgl tot'!BY47)*tabellen!$C$64))</f>
        <v>0</v>
      </c>
      <c r="AT47" s="635">
        <f>IF(F47="",0,('wgl tot'!BY47*IF(M47=1,tabellen!$C$65,IF(M47=2,tabellen!C99,IF(M47=3,tabellen!$C$67,tabellen!$C$68)))))</f>
        <v>0</v>
      </c>
      <c r="AU47" s="635">
        <f>IF(F47="",0,('wgl tot'!BY47*tabellen!$C$69))</f>
        <v>0</v>
      </c>
      <c r="AV47" s="635">
        <f>+'wgl tot'!AK47/12</f>
        <v>0</v>
      </c>
      <c r="AW47" s="435">
        <v>0</v>
      </c>
      <c r="AX47" s="291">
        <f t="shared" si="5"/>
        <v>0</v>
      </c>
      <c r="AY47" s="658">
        <f t="shared" si="6"/>
        <v>0</v>
      </c>
      <c r="AZ47" s="658">
        <f t="shared" si="7"/>
        <v>0</v>
      </c>
      <c r="BA47" s="402"/>
      <c r="BB47" s="641" t="str">
        <f>IF(AY47=0,"",(+'wgl tot'!AY47/'wgl tot'!P47-1))</f>
        <v/>
      </c>
      <c r="BC47" s="402"/>
      <c r="BD47" s="385"/>
      <c r="BG47" s="621">
        <f ca="1">YEAR('wgl tot'!$BG$10)-YEAR('wgl tot'!E47)</f>
        <v>115</v>
      </c>
      <c r="BH47" s="621">
        <f ca="1">MONTH('wgl tot'!$BG$10)-MONTH('wgl tot'!E47)</f>
        <v>9</v>
      </c>
      <c r="BI47" s="621">
        <f ca="1">DAY('wgl tot'!$BG$10)-DAY('wgl tot'!E47)</f>
        <v>6</v>
      </c>
      <c r="BJ47" s="613">
        <f>IF(AND('wgl tot'!F47&gt;0,'wgl tot'!F47&lt;16),0,100)</f>
        <v>100</v>
      </c>
      <c r="BK47" s="613" t="e">
        <f>VLOOKUP('wgl tot'!F47,salaristabellen,22,FALSE)</f>
        <v>#N/A</v>
      </c>
      <c r="BL47" s="613">
        <f t="shared" ref="BL47:BL69" si="14">F47</f>
        <v>0</v>
      </c>
      <c r="BM47" s="619">
        <f t="shared" si="10"/>
        <v>42005</v>
      </c>
      <c r="BN47" s="622">
        <f t="shared" si="11"/>
        <v>0.08</v>
      </c>
      <c r="BO47" s="623">
        <f>+tabellen!$D$90</f>
        <v>6.3E-2</v>
      </c>
      <c r="BP47" s="621">
        <f>IF('wgl tot'!BJ47=100,0,'wgl tot'!F47)</f>
        <v>0</v>
      </c>
      <c r="BQ47" s="623" t="str">
        <f>IF(OR('wgl tot'!F47="DA",'wgl tot'!F47="DB",'wgl tot'!F47="DBuit",'wgl tot'!F47="DC",'wgl tot'!F47="DCuit",MID('wgl tot'!F47,1,5)="meerh"),"j","n")</f>
        <v>n</v>
      </c>
      <c r="BR47" s="623">
        <f t="shared" si="12"/>
        <v>1.9E-2</v>
      </c>
      <c r="BS47" s="624">
        <f>IF(AI47&gt;'wgl tot'!AH47,'wgl tot'!AH47,AI47)</f>
        <v>0</v>
      </c>
      <c r="BT47" s="624"/>
      <c r="BU47" s="625" t="e">
        <f>IF('wgl tot'!AJ47/'wgl tot'!H47&lt;tabellen!$E$57,0,(+'wgl tot'!AJ47-tabellen!$E$57*'wgl tot'!H47)/12*tabellen!$D$57)</f>
        <v>#DIV/0!</v>
      </c>
      <c r="BV47" s="625" t="e">
        <f>IF('wgl tot'!AJ47/'wgl tot'!H47&lt;tabellen!$E$58,0,(+'wgl tot'!AJ47-tabellen!$E$58*'wgl tot'!H47)/12*tabellen!$D$58)</f>
        <v>#DIV/0!</v>
      </c>
      <c r="BW47" s="625">
        <f>'wgl tot'!AJ47/12*tabellen!$D$59</f>
        <v>0</v>
      </c>
      <c r="BX47" s="626" t="e">
        <f t="shared" si="13"/>
        <v>#DIV/0!</v>
      </c>
      <c r="BY47" s="627" t="e">
        <f>+('wgl tot'!AF47+'wgl tot'!AK47)/12-'wgl tot'!BX47</f>
        <v>#DIV/0!</v>
      </c>
      <c r="BZ47" s="627" t="e">
        <f>ROUND(IF('wgl tot'!BY47&gt;tabellen!$H$63,tabellen!$H$63,'wgl tot'!BY47)*tabellen!$C$63,2)</f>
        <v>#DIV/0!</v>
      </c>
      <c r="CA47" s="627" t="e">
        <f>+'wgl tot'!BY47+'wgl tot'!BZ47</f>
        <v>#DIV/0!</v>
      </c>
      <c r="CB47" s="628">
        <f>YEAR(E47)</f>
        <v>1900</v>
      </c>
      <c r="CC47" s="628">
        <f>MONTH(E47)</f>
        <v>1</v>
      </c>
      <c r="CD47" s="621">
        <f>DAY(E47)</f>
        <v>0</v>
      </c>
      <c r="CE47" s="619">
        <f t="shared" si="8"/>
        <v>22462</v>
      </c>
      <c r="CF47" s="619">
        <f t="shared" ca="1" si="9"/>
        <v>42283.70841446759</v>
      </c>
      <c r="CG47" s="613"/>
      <c r="CH47" s="619"/>
      <c r="CI47" s="613"/>
      <c r="CJ47" s="624"/>
      <c r="CK47" s="624"/>
      <c r="CL47" s="624"/>
      <c r="CM47" s="624"/>
      <c r="CN47" s="624"/>
      <c r="CO47" s="624"/>
    </row>
    <row r="48" spans="2:93" ht="13.5" customHeight="1" x14ac:dyDescent="0.2">
      <c r="B48" s="384"/>
      <c r="C48" s="402"/>
      <c r="D48" s="286"/>
      <c r="E48" s="287"/>
      <c r="F48" s="288"/>
      <c r="G48" s="288"/>
      <c r="H48" s="289"/>
      <c r="I48" s="288"/>
      <c r="J48" s="288"/>
      <c r="K48" s="288"/>
      <c r="L48" s="288"/>
      <c r="M48" s="290"/>
      <c r="N48" s="402"/>
      <c r="O48" s="639">
        <f>IF(F48="",0,(VLOOKUP('wgl tot'!F48,salaristabellen,'wgl tot'!G48+1,FALSE)))</f>
        <v>0</v>
      </c>
      <c r="P48" s="661">
        <f>O48*H48</f>
        <v>0</v>
      </c>
      <c r="Q48" s="402"/>
      <c r="R48" s="633">
        <f>ROUND(IF(I48="j",VLOOKUP(BL48,uitlooptoeslag,2,FALSE))*IF('wgl tot'!H48&gt;1,1,'wgl tot'!H48),2)</f>
        <v>0</v>
      </c>
      <c r="S48" s="633">
        <f>ROUND(IF(OR('wgl tot'!F48="LA",'wgl tot'!F48="LB"),IF(J48="j",tabellen!$C$77*'wgl tot'!H48,0),0),2)</f>
        <v>0</v>
      </c>
      <c r="T48" s="633">
        <f>ROUND(IF(('wgl tot'!P48+'wgl tot'!R48+'wgl tot'!S48)*BN48&lt;'wgl tot'!H48*tabellen!$D$89,'wgl tot'!H48*tabellen!$D$89,('wgl tot'!P48+'wgl tot'!R48+'wgl tot'!S48)*BN48),2)</f>
        <v>0</v>
      </c>
      <c r="U48" s="633">
        <f>ROUND(+('wgl tot'!P48+'wgl tot'!R48+'wgl tot'!S48)*BO48,2)</f>
        <v>0</v>
      </c>
      <c r="V48" s="633">
        <f>+tabellen!$C$85*'wgl tot'!H48</f>
        <v>0</v>
      </c>
      <c r="W48" s="633">
        <f>VLOOKUP(BP48,eindejaarsuitkering_OOP,2,TRUE)*'wgl tot'!H48/12</f>
        <v>0</v>
      </c>
      <c r="X48" s="633">
        <f>ROUND(IF(BQ48="j",tabellen!$D$99*IF('wgl tot'!H48&gt;1,1,'wgl tot'!H48),0),2)</f>
        <v>0</v>
      </c>
      <c r="Y48" s="654">
        <f t="shared" si="1"/>
        <v>0</v>
      </c>
      <c r="Z48" s="404"/>
      <c r="AA48" s="405"/>
      <c r="AB48" s="632">
        <f t="shared" si="2"/>
        <v>0</v>
      </c>
      <c r="AC48" s="633">
        <f>ROUND(IF(L48="j",VLOOKUP(K48,bindingstoelage,2,FALSE))*IF('wgl tot'!H48&gt;1,1,'wgl tot'!H48),2)</f>
        <v>0</v>
      </c>
      <c r="AD48" s="633">
        <f>ROUND('wgl tot'!H48*tabellen!$D$96,2)</f>
        <v>0</v>
      </c>
      <c r="AE48" s="633">
        <f>ROUND('wgl tot'!H48*tabellen!$D$97,2)</f>
        <v>0</v>
      </c>
      <c r="AF48" s="632">
        <f t="shared" si="3"/>
        <v>0</v>
      </c>
      <c r="AG48" s="402"/>
      <c r="AH48" s="633">
        <f>+('wgl tot'!AF48/(1+1.9%))*BR48</f>
        <v>0</v>
      </c>
      <c r="AI48" s="633">
        <f>IF(F48="",0,(791.85))</f>
        <v>0</v>
      </c>
      <c r="AJ48" s="632">
        <f>ROUND('wgl tot'!AF48-IF('wgl tot'!AI48&gt;'wgl tot'!AH48,'wgl tot'!AH48,'wgl tot'!AI48),0)</f>
        <v>0</v>
      </c>
      <c r="AK48" s="634">
        <f>IF('wgl tot'!E48&lt;1950,0,+('wgl tot'!P48+'wgl tot'!R48+'wgl tot'!S48)*tabellen!$C$87)*12</f>
        <v>0</v>
      </c>
      <c r="AL48" s="402"/>
      <c r="AM48" s="633">
        <f t="shared" si="4"/>
        <v>0</v>
      </c>
      <c r="AN48" s="633">
        <f>IF(F48="",0,(IF('wgl tot'!AJ48/'wgl tot'!H48&lt;tabellen!$E$57,0,('wgl tot'!AJ48-tabellen!$E$57*'wgl tot'!H48)/12)*tabellen!$C$57))</f>
        <v>0</v>
      </c>
      <c r="AO48" s="633">
        <f>IF(F48="",0,(IF('wgl tot'!AJ48/'wgl tot'!H48&lt;tabellen!$E$58,0,(+'wgl tot'!AJ48-tabellen!$E$58*'wgl tot'!H48)/12)*tabellen!$C$58))</f>
        <v>0</v>
      </c>
      <c r="AP48" s="633">
        <f>'wgl tot'!AJ48/12*tabellen!$C$59</f>
        <v>0</v>
      </c>
      <c r="AQ48" s="633">
        <f>IF(H48=0,0,IF(BY48&gt;tabellen!$G$60/12,tabellen!$G$60/12,BY48)*(tabellen!$C$60+tabellen!$C$61))</f>
        <v>0</v>
      </c>
      <c r="AR48" s="633">
        <f>IF(F48="",0,('wgl tot'!BZ48))</f>
        <v>0</v>
      </c>
      <c r="AS48" s="635">
        <f>IF(F48="",0,(IF('wgl tot'!BY48&gt;tabellen!$G$64*'wgl tot'!H48/12,tabellen!$G$64*'wgl tot'!H48/12,'wgl tot'!BY48)*tabellen!$C$64))</f>
        <v>0</v>
      </c>
      <c r="AT48" s="635">
        <f>IF(F48="",0,('wgl tot'!BY48*IF(M48=1,tabellen!$C$65,IF(M48=2,tabellen!C100,IF(M48=3,tabellen!$C$67,tabellen!$C$68)))))</f>
        <v>0</v>
      </c>
      <c r="AU48" s="635">
        <f>IF(F48="",0,('wgl tot'!BY48*tabellen!$C$69))</f>
        <v>0</v>
      </c>
      <c r="AV48" s="635">
        <f>+'wgl tot'!AK48/12</f>
        <v>0</v>
      </c>
      <c r="AW48" s="435">
        <v>0</v>
      </c>
      <c r="AX48" s="291">
        <f t="shared" si="5"/>
        <v>0</v>
      </c>
      <c r="AY48" s="658">
        <f t="shared" si="6"/>
        <v>0</v>
      </c>
      <c r="AZ48" s="658">
        <f t="shared" si="7"/>
        <v>0</v>
      </c>
      <c r="BA48" s="402"/>
      <c r="BB48" s="641" t="str">
        <f>IF(AY48=0,"",(+'wgl tot'!AY48/'wgl tot'!P48-1))</f>
        <v/>
      </c>
      <c r="BC48" s="402"/>
      <c r="BD48" s="385"/>
      <c r="BG48" s="621">
        <f ca="1">YEAR('wgl tot'!$BG$10)-YEAR('wgl tot'!E48)</f>
        <v>115</v>
      </c>
      <c r="BH48" s="621">
        <f ca="1">MONTH('wgl tot'!$BG$10)-MONTH('wgl tot'!E48)</f>
        <v>9</v>
      </c>
      <c r="BI48" s="621">
        <f ca="1">DAY('wgl tot'!$BG$10)-DAY('wgl tot'!E48)</f>
        <v>6</v>
      </c>
      <c r="BJ48" s="613">
        <f>IF(AND('wgl tot'!F48&gt;0,'wgl tot'!F48&lt;16),0,100)</f>
        <v>100</v>
      </c>
      <c r="BK48" s="613" t="e">
        <f>VLOOKUP('wgl tot'!F48,salaristabellen,22,FALSE)</f>
        <v>#N/A</v>
      </c>
      <c r="BL48" s="613">
        <f t="shared" si="14"/>
        <v>0</v>
      </c>
      <c r="BM48" s="619">
        <f t="shared" si="10"/>
        <v>42005</v>
      </c>
      <c r="BN48" s="622">
        <f t="shared" si="11"/>
        <v>0.08</v>
      </c>
      <c r="BO48" s="623">
        <f>+tabellen!$D$90</f>
        <v>6.3E-2</v>
      </c>
      <c r="BP48" s="621">
        <f>IF('wgl tot'!BJ48=100,0,'wgl tot'!F48)</f>
        <v>0</v>
      </c>
      <c r="BQ48" s="623" t="str">
        <f>IF(OR('wgl tot'!F48="DA",'wgl tot'!F48="DB",'wgl tot'!F48="DBuit",'wgl tot'!F48="DC",'wgl tot'!F48="DCuit",MID('wgl tot'!F48,1,5)="meerh"),"j","n")</f>
        <v>n</v>
      </c>
      <c r="BR48" s="623">
        <f t="shared" si="12"/>
        <v>1.9E-2</v>
      </c>
      <c r="BS48" s="624">
        <f>IF(AI48&gt;'wgl tot'!AH48,'wgl tot'!AH48,AI48)</f>
        <v>0</v>
      </c>
      <c r="BT48" s="624"/>
      <c r="BU48" s="625" t="e">
        <f>IF('wgl tot'!AJ48/'wgl tot'!H48&lt;tabellen!$E$57,0,(+'wgl tot'!AJ48-tabellen!$E$57*'wgl tot'!H48)/12*tabellen!$D$57)</f>
        <v>#DIV/0!</v>
      </c>
      <c r="BV48" s="625" t="e">
        <f>IF('wgl tot'!AJ48/'wgl tot'!H48&lt;tabellen!$E$58,0,(+'wgl tot'!AJ48-tabellen!$E$58*'wgl tot'!H48)/12*tabellen!$D$58)</f>
        <v>#DIV/0!</v>
      </c>
      <c r="BW48" s="625">
        <f>'wgl tot'!AJ48/12*tabellen!$D$59</f>
        <v>0</v>
      </c>
      <c r="BX48" s="626" t="e">
        <f t="shared" si="13"/>
        <v>#DIV/0!</v>
      </c>
      <c r="BY48" s="627" t="e">
        <f>+('wgl tot'!AF48+'wgl tot'!AK48)/12-'wgl tot'!BX48</f>
        <v>#DIV/0!</v>
      </c>
      <c r="BZ48" s="627" t="e">
        <f>ROUND(IF('wgl tot'!BY48&gt;tabellen!$H$63,tabellen!$H$63,'wgl tot'!BY48)*tabellen!$C$63,2)</f>
        <v>#DIV/0!</v>
      </c>
      <c r="CA48" s="627" t="e">
        <f>+'wgl tot'!BY48+'wgl tot'!BZ48</f>
        <v>#DIV/0!</v>
      </c>
      <c r="CB48" s="628">
        <f>YEAR(E48)</f>
        <v>1900</v>
      </c>
      <c r="CC48" s="628">
        <f>MONTH(E48)</f>
        <v>1</v>
      </c>
      <c r="CD48" s="621">
        <f>DAY(E48)</f>
        <v>0</v>
      </c>
      <c r="CE48" s="619">
        <f t="shared" si="8"/>
        <v>22462</v>
      </c>
      <c r="CF48" s="619">
        <f t="shared" ca="1" si="9"/>
        <v>42283.70841446759</v>
      </c>
      <c r="CG48" s="613"/>
      <c r="CH48" s="619"/>
      <c r="CI48" s="613"/>
      <c r="CJ48" s="624"/>
      <c r="CK48" s="624"/>
      <c r="CL48" s="624"/>
      <c r="CM48" s="624"/>
      <c r="CN48" s="624"/>
      <c r="CO48" s="624"/>
    </row>
    <row r="49" spans="2:93" ht="13.5" customHeight="1" x14ac:dyDescent="0.2">
      <c r="B49" s="384"/>
      <c r="C49" s="402"/>
      <c r="D49" s="286"/>
      <c r="E49" s="287"/>
      <c r="F49" s="288"/>
      <c r="G49" s="288"/>
      <c r="H49" s="289"/>
      <c r="I49" s="288"/>
      <c r="J49" s="288"/>
      <c r="K49" s="288"/>
      <c r="L49" s="288"/>
      <c r="M49" s="290"/>
      <c r="N49" s="402"/>
      <c r="O49" s="639">
        <f>IF(F49="",0,(VLOOKUP('wgl tot'!F49,salaristabellen,'wgl tot'!G49+1,FALSE)))</f>
        <v>0</v>
      </c>
      <c r="P49" s="661">
        <f>O49*H49</f>
        <v>0</v>
      </c>
      <c r="Q49" s="402"/>
      <c r="R49" s="633">
        <f>ROUND(IF(I49="j",VLOOKUP(BL49,uitlooptoeslag,2,FALSE))*IF('wgl tot'!H49&gt;1,1,'wgl tot'!H49),2)</f>
        <v>0</v>
      </c>
      <c r="S49" s="633">
        <f>ROUND(IF(OR('wgl tot'!F49="LA",'wgl tot'!F49="LB"),IF(J49="j",tabellen!$C$77*'wgl tot'!H49,0),0),2)</f>
        <v>0</v>
      </c>
      <c r="T49" s="633">
        <f>ROUND(IF(('wgl tot'!P49+'wgl tot'!R49+'wgl tot'!S49)*BN49&lt;'wgl tot'!H49*tabellen!$D$89,'wgl tot'!H49*tabellen!$D$89,('wgl tot'!P49+'wgl tot'!R49+'wgl tot'!S49)*BN49),2)</f>
        <v>0</v>
      </c>
      <c r="U49" s="633">
        <f>ROUND(+('wgl tot'!P49+'wgl tot'!R49+'wgl tot'!S49)*BO49,2)</f>
        <v>0</v>
      </c>
      <c r="V49" s="633">
        <f>+tabellen!$C$85*'wgl tot'!H49</f>
        <v>0</v>
      </c>
      <c r="W49" s="633">
        <f>VLOOKUP(BP49,eindejaarsuitkering_OOP,2,TRUE)*'wgl tot'!H49/12</f>
        <v>0</v>
      </c>
      <c r="X49" s="633">
        <f>ROUND(IF(BQ49="j",tabellen!$D$99*IF('wgl tot'!H49&gt;1,1,'wgl tot'!H49),0),2)</f>
        <v>0</v>
      </c>
      <c r="Y49" s="654">
        <f t="shared" si="1"/>
        <v>0</v>
      </c>
      <c r="Z49" s="404"/>
      <c r="AA49" s="405"/>
      <c r="AB49" s="632">
        <f t="shared" si="2"/>
        <v>0</v>
      </c>
      <c r="AC49" s="633">
        <f>ROUND(IF(L49="j",VLOOKUP(K49,bindingstoelage,2,FALSE))*IF('wgl tot'!H49&gt;1,1,'wgl tot'!H49),2)</f>
        <v>0</v>
      </c>
      <c r="AD49" s="633">
        <f>ROUND('wgl tot'!H49*tabellen!$D$96,2)</f>
        <v>0</v>
      </c>
      <c r="AE49" s="633">
        <f>ROUND('wgl tot'!H49*tabellen!$D$97,2)</f>
        <v>0</v>
      </c>
      <c r="AF49" s="632">
        <f t="shared" si="3"/>
        <v>0</v>
      </c>
      <c r="AG49" s="402"/>
      <c r="AH49" s="633">
        <f>+('wgl tot'!AF49/(1+1.9%))*BR49</f>
        <v>0</v>
      </c>
      <c r="AI49" s="633">
        <f>IF(F49="",0,(791.85))</f>
        <v>0</v>
      </c>
      <c r="AJ49" s="632">
        <f>ROUND('wgl tot'!AF49-IF('wgl tot'!AI49&gt;'wgl tot'!AH49,'wgl tot'!AH49,'wgl tot'!AI49),0)</f>
        <v>0</v>
      </c>
      <c r="AK49" s="634">
        <f>IF('wgl tot'!E49&lt;1950,0,+('wgl tot'!P49+'wgl tot'!R49+'wgl tot'!S49)*tabellen!$C$87)*12</f>
        <v>0</v>
      </c>
      <c r="AL49" s="402"/>
      <c r="AM49" s="633">
        <f t="shared" si="4"/>
        <v>0</v>
      </c>
      <c r="AN49" s="633">
        <f>IF(F49="",0,(IF('wgl tot'!AJ49/'wgl tot'!H49&lt;tabellen!$E$57,0,('wgl tot'!AJ49-tabellen!$E$57*'wgl tot'!H49)/12)*tabellen!$C$57))</f>
        <v>0</v>
      </c>
      <c r="AO49" s="633">
        <f>IF(F49="",0,(IF('wgl tot'!AJ49/'wgl tot'!H49&lt;tabellen!$E$58,0,(+'wgl tot'!AJ49-tabellen!$E$58*'wgl tot'!H49)/12)*tabellen!$C$58))</f>
        <v>0</v>
      </c>
      <c r="AP49" s="633">
        <f>'wgl tot'!AJ49/12*tabellen!$C$59</f>
        <v>0</v>
      </c>
      <c r="AQ49" s="633">
        <f>IF(H49=0,0,IF(BY49&gt;tabellen!$G$60/12,tabellen!$G$60/12,BY49)*(tabellen!$C$60+tabellen!$C$61))</f>
        <v>0</v>
      </c>
      <c r="AR49" s="633">
        <f>IF(F49="",0,('wgl tot'!BZ49))</f>
        <v>0</v>
      </c>
      <c r="AS49" s="635">
        <f>IF(F49="",0,(IF('wgl tot'!BY49&gt;tabellen!$G$64*'wgl tot'!H49/12,tabellen!$G$64*'wgl tot'!H49/12,'wgl tot'!BY49)*tabellen!$C$64))</f>
        <v>0</v>
      </c>
      <c r="AT49" s="635">
        <f>IF(F49="",0,('wgl tot'!BY49*IF(M49=1,tabellen!$C$65,IF(M49=2,tabellen!C101,IF(M49=3,tabellen!$C$67,tabellen!$C$68)))))</f>
        <v>0</v>
      </c>
      <c r="AU49" s="635">
        <f>IF(F49="",0,('wgl tot'!BY49*tabellen!$C$69))</f>
        <v>0</v>
      </c>
      <c r="AV49" s="635">
        <f>+'wgl tot'!AK49/12</f>
        <v>0</v>
      </c>
      <c r="AW49" s="435">
        <v>0</v>
      </c>
      <c r="AX49" s="291">
        <f t="shared" si="5"/>
        <v>0</v>
      </c>
      <c r="AY49" s="658">
        <f t="shared" si="6"/>
        <v>0</v>
      </c>
      <c r="AZ49" s="658">
        <f t="shared" si="7"/>
        <v>0</v>
      </c>
      <c r="BA49" s="402"/>
      <c r="BB49" s="641" t="str">
        <f>IF(AY49=0,"",(+'wgl tot'!AY49/'wgl tot'!P49-1))</f>
        <v/>
      </c>
      <c r="BC49" s="402"/>
      <c r="BD49" s="385"/>
      <c r="BG49" s="621">
        <f ca="1">YEAR('wgl tot'!$BG$10)-YEAR('wgl tot'!E49)</f>
        <v>115</v>
      </c>
      <c r="BH49" s="621">
        <f ca="1">MONTH('wgl tot'!$BG$10)-MONTH('wgl tot'!E49)</f>
        <v>9</v>
      </c>
      <c r="BI49" s="621">
        <f ca="1">DAY('wgl tot'!$BG$10)-DAY('wgl tot'!E49)</f>
        <v>6</v>
      </c>
      <c r="BJ49" s="613">
        <f>IF(AND('wgl tot'!F49&gt;0,'wgl tot'!F49&lt;16),0,100)</f>
        <v>100</v>
      </c>
      <c r="BK49" s="613" t="e">
        <f>VLOOKUP('wgl tot'!F49,salaristabellen,22,FALSE)</f>
        <v>#N/A</v>
      </c>
      <c r="BL49" s="613">
        <f t="shared" si="14"/>
        <v>0</v>
      </c>
      <c r="BM49" s="619">
        <f t="shared" si="10"/>
        <v>42005</v>
      </c>
      <c r="BN49" s="622">
        <f t="shared" si="11"/>
        <v>0.08</v>
      </c>
      <c r="BO49" s="623">
        <f>+tabellen!$D$90</f>
        <v>6.3E-2</v>
      </c>
      <c r="BP49" s="621">
        <f>IF('wgl tot'!BJ49=100,0,'wgl tot'!F49)</f>
        <v>0</v>
      </c>
      <c r="BQ49" s="623" t="str">
        <f>IF(OR('wgl tot'!F49="DA",'wgl tot'!F49="DB",'wgl tot'!F49="DBuit",'wgl tot'!F49="DC",'wgl tot'!F49="DCuit",MID('wgl tot'!F49,1,5)="meerh"),"j","n")</f>
        <v>n</v>
      </c>
      <c r="BR49" s="623">
        <f t="shared" si="12"/>
        <v>1.9E-2</v>
      </c>
      <c r="BS49" s="624">
        <f>IF(AI49&gt;'wgl tot'!AH49,'wgl tot'!AH49,AI49)</f>
        <v>0</v>
      </c>
      <c r="BT49" s="624"/>
      <c r="BU49" s="625" t="e">
        <f>IF('wgl tot'!AJ49/'wgl tot'!H49&lt;tabellen!$E$57,0,(+'wgl tot'!AJ49-tabellen!$E$57*'wgl tot'!H49)/12*tabellen!$D$57)</f>
        <v>#DIV/0!</v>
      </c>
      <c r="BV49" s="625" t="e">
        <f>IF('wgl tot'!AJ49/'wgl tot'!H49&lt;tabellen!$E$58,0,(+'wgl tot'!AJ49-tabellen!$E$58*'wgl tot'!H49)/12*tabellen!$D$58)</f>
        <v>#DIV/0!</v>
      </c>
      <c r="BW49" s="625">
        <f>'wgl tot'!AJ49/12*tabellen!$D$59</f>
        <v>0</v>
      </c>
      <c r="BX49" s="626" t="e">
        <f t="shared" si="13"/>
        <v>#DIV/0!</v>
      </c>
      <c r="BY49" s="627" t="e">
        <f>+('wgl tot'!AF49+'wgl tot'!AK49)/12-'wgl tot'!BX49</f>
        <v>#DIV/0!</v>
      </c>
      <c r="BZ49" s="627" t="e">
        <f>ROUND(IF('wgl tot'!BY49&gt;tabellen!$H$63,tabellen!$H$63,'wgl tot'!BY49)*tabellen!$C$63,2)</f>
        <v>#DIV/0!</v>
      </c>
      <c r="CA49" s="627" t="e">
        <f>+'wgl tot'!BY49+'wgl tot'!BZ49</f>
        <v>#DIV/0!</v>
      </c>
      <c r="CB49" s="628">
        <f>YEAR(E49)</f>
        <v>1900</v>
      </c>
      <c r="CC49" s="628">
        <f>MONTH(E49)</f>
        <v>1</v>
      </c>
      <c r="CD49" s="621">
        <f>DAY(E49)</f>
        <v>0</v>
      </c>
      <c r="CE49" s="619">
        <f t="shared" si="8"/>
        <v>22462</v>
      </c>
      <c r="CF49" s="619">
        <f t="shared" ca="1" si="9"/>
        <v>42283.70841446759</v>
      </c>
      <c r="CG49" s="613"/>
      <c r="CH49" s="619"/>
      <c r="CI49" s="613"/>
      <c r="CJ49" s="624"/>
      <c r="CK49" s="624"/>
      <c r="CL49" s="624"/>
      <c r="CM49" s="624"/>
      <c r="CN49" s="624"/>
      <c r="CO49" s="624"/>
    </row>
    <row r="50" spans="2:93" ht="13.5" customHeight="1" x14ac:dyDescent="0.2">
      <c r="B50" s="384"/>
      <c r="C50" s="402"/>
      <c r="D50" s="286"/>
      <c r="E50" s="287"/>
      <c r="F50" s="288"/>
      <c r="G50" s="288"/>
      <c r="H50" s="289"/>
      <c r="I50" s="288"/>
      <c r="J50" s="288"/>
      <c r="K50" s="288"/>
      <c r="L50" s="288"/>
      <c r="M50" s="290"/>
      <c r="N50" s="402"/>
      <c r="O50" s="639">
        <f>IF(F50="",0,(VLOOKUP('wgl tot'!F50,salaristabellen,'wgl tot'!G50+1,FALSE)))</f>
        <v>0</v>
      </c>
      <c r="P50" s="661">
        <f>O50*H50</f>
        <v>0</v>
      </c>
      <c r="Q50" s="402"/>
      <c r="R50" s="633">
        <f>ROUND(IF(I50="j",VLOOKUP(BL50,uitlooptoeslag,2,FALSE))*IF('wgl tot'!H50&gt;1,1,'wgl tot'!H50),2)</f>
        <v>0</v>
      </c>
      <c r="S50" s="633">
        <f>ROUND(IF(OR('wgl tot'!F50="LA",'wgl tot'!F50="LB"),IF(J50="j",tabellen!$C$77*'wgl tot'!H50,0),0),2)</f>
        <v>0</v>
      </c>
      <c r="T50" s="633">
        <f>ROUND(IF(('wgl tot'!P50+'wgl tot'!R50+'wgl tot'!S50)*BN50&lt;'wgl tot'!H50*tabellen!$D$89,'wgl tot'!H50*tabellen!$D$89,('wgl tot'!P50+'wgl tot'!R50+'wgl tot'!S50)*BN50),2)</f>
        <v>0</v>
      </c>
      <c r="U50" s="633">
        <f>ROUND(+('wgl tot'!P50+'wgl tot'!R50+'wgl tot'!S50)*BO50,2)</f>
        <v>0</v>
      </c>
      <c r="V50" s="633">
        <f>+tabellen!$C$85*'wgl tot'!H50</f>
        <v>0</v>
      </c>
      <c r="W50" s="633">
        <f>VLOOKUP(BP50,eindejaarsuitkering_OOP,2,TRUE)*'wgl tot'!H50/12</f>
        <v>0</v>
      </c>
      <c r="X50" s="633">
        <f>ROUND(IF(BQ50="j",tabellen!$D$99*IF('wgl tot'!H50&gt;1,1,'wgl tot'!H50),0),2)</f>
        <v>0</v>
      </c>
      <c r="Y50" s="654">
        <f t="shared" si="1"/>
        <v>0</v>
      </c>
      <c r="Z50" s="404"/>
      <c r="AA50" s="405"/>
      <c r="AB50" s="632">
        <f t="shared" si="2"/>
        <v>0</v>
      </c>
      <c r="AC50" s="633">
        <f>ROUND(IF(L50="j",VLOOKUP(K50,bindingstoelage,2,FALSE))*IF('wgl tot'!H50&gt;1,1,'wgl tot'!H50),2)</f>
        <v>0</v>
      </c>
      <c r="AD50" s="633">
        <f>ROUND('wgl tot'!H50*tabellen!$D$96,2)</f>
        <v>0</v>
      </c>
      <c r="AE50" s="633">
        <f>ROUND('wgl tot'!H50*tabellen!$D$97,2)</f>
        <v>0</v>
      </c>
      <c r="AF50" s="632">
        <f t="shared" si="3"/>
        <v>0</v>
      </c>
      <c r="AG50" s="402"/>
      <c r="AH50" s="633">
        <f>+('wgl tot'!AF50/(1+1.9%))*BR50</f>
        <v>0</v>
      </c>
      <c r="AI50" s="633">
        <f>IF(F50="",0,(791.85))</f>
        <v>0</v>
      </c>
      <c r="AJ50" s="632">
        <f>ROUND('wgl tot'!AF50-IF('wgl tot'!AI50&gt;'wgl tot'!AH50,'wgl tot'!AH50,'wgl tot'!AI50),0)</f>
        <v>0</v>
      </c>
      <c r="AK50" s="634">
        <f>IF('wgl tot'!E50&lt;1950,0,+('wgl tot'!P50+'wgl tot'!R50+'wgl tot'!S50)*tabellen!$C$87)*12</f>
        <v>0</v>
      </c>
      <c r="AL50" s="402"/>
      <c r="AM50" s="633">
        <f t="shared" si="4"/>
        <v>0</v>
      </c>
      <c r="AN50" s="633">
        <f>IF(F50="",0,(IF('wgl tot'!AJ50/'wgl tot'!H50&lt;tabellen!$E$57,0,('wgl tot'!AJ50-tabellen!$E$57*'wgl tot'!H50)/12)*tabellen!$C$57))</f>
        <v>0</v>
      </c>
      <c r="AO50" s="633">
        <f>IF(F50="",0,(IF('wgl tot'!AJ50/'wgl tot'!H50&lt;tabellen!$E$58,0,(+'wgl tot'!AJ50-tabellen!$E$58*'wgl tot'!H50)/12)*tabellen!$C$58))</f>
        <v>0</v>
      </c>
      <c r="AP50" s="633">
        <f>'wgl tot'!AJ50/12*tabellen!$C$59</f>
        <v>0</v>
      </c>
      <c r="AQ50" s="633">
        <f>IF(H50=0,0,IF(BY50&gt;tabellen!$G$60/12,tabellen!$G$60/12,BY50)*(tabellen!$C$60+tabellen!$C$61))</f>
        <v>0</v>
      </c>
      <c r="AR50" s="633">
        <f>IF(F50="",0,('wgl tot'!BZ50))</f>
        <v>0</v>
      </c>
      <c r="AS50" s="635">
        <f>IF(F50="",0,(IF('wgl tot'!BY50&gt;tabellen!$G$64*'wgl tot'!H50/12,tabellen!$G$64*'wgl tot'!H50/12,'wgl tot'!BY50)*tabellen!$C$64))</f>
        <v>0</v>
      </c>
      <c r="AT50" s="635">
        <f>IF(F50="",0,('wgl tot'!BY50*IF(M50=1,tabellen!$C$65,IF(M50=2,tabellen!C102,IF(M50=3,tabellen!$C$67,tabellen!$C$68)))))</f>
        <v>0</v>
      </c>
      <c r="AU50" s="635">
        <f>IF(F50="",0,('wgl tot'!BY50*tabellen!$C$69))</f>
        <v>0</v>
      </c>
      <c r="AV50" s="635">
        <f>+'wgl tot'!AK50/12</f>
        <v>0</v>
      </c>
      <c r="AW50" s="435">
        <v>0</v>
      </c>
      <c r="AX50" s="291">
        <f t="shared" si="5"/>
        <v>0</v>
      </c>
      <c r="AY50" s="658">
        <f t="shared" si="6"/>
        <v>0</v>
      </c>
      <c r="AZ50" s="658">
        <f t="shared" si="7"/>
        <v>0</v>
      </c>
      <c r="BA50" s="402"/>
      <c r="BB50" s="641" t="str">
        <f>IF(AY50=0,"",(+'wgl tot'!AY50/'wgl tot'!P50-1))</f>
        <v/>
      </c>
      <c r="BC50" s="402"/>
      <c r="BD50" s="385"/>
      <c r="BG50" s="621">
        <f ca="1">YEAR('wgl tot'!$BG$10)-YEAR('wgl tot'!E50)</f>
        <v>115</v>
      </c>
      <c r="BH50" s="621">
        <f ca="1">MONTH('wgl tot'!$BG$10)-MONTH('wgl tot'!E50)</f>
        <v>9</v>
      </c>
      <c r="BI50" s="621">
        <f ca="1">DAY('wgl tot'!$BG$10)-DAY('wgl tot'!E50)</f>
        <v>6</v>
      </c>
      <c r="BJ50" s="613">
        <f>IF(AND('wgl tot'!F50&gt;0,'wgl tot'!F50&lt;16),0,100)</f>
        <v>100</v>
      </c>
      <c r="BK50" s="613" t="e">
        <f>VLOOKUP('wgl tot'!F50,salaristabellen,22,FALSE)</f>
        <v>#N/A</v>
      </c>
      <c r="BL50" s="613">
        <f t="shared" si="14"/>
        <v>0</v>
      </c>
      <c r="BM50" s="619">
        <f t="shared" si="10"/>
        <v>42005</v>
      </c>
      <c r="BN50" s="622">
        <f t="shared" si="11"/>
        <v>0.08</v>
      </c>
      <c r="BO50" s="623">
        <f>+tabellen!$D$90</f>
        <v>6.3E-2</v>
      </c>
      <c r="BP50" s="621">
        <f>IF('wgl tot'!BJ50=100,0,'wgl tot'!F50)</f>
        <v>0</v>
      </c>
      <c r="BQ50" s="623" t="str">
        <f>IF(OR('wgl tot'!F50="DA",'wgl tot'!F50="DB",'wgl tot'!F50="DBuit",'wgl tot'!F50="DC",'wgl tot'!F50="DCuit",MID('wgl tot'!F50,1,5)="meerh"),"j","n")</f>
        <v>n</v>
      </c>
      <c r="BR50" s="623">
        <f t="shared" si="12"/>
        <v>1.9E-2</v>
      </c>
      <c r="BS50" s="624">
        <f>IF(AI50&gt;'wgl tot'!AH50,'wgl tot'!AH50,AI50)</f>
        <v>0</v>
      </c>
      <c r="BT50" s="624"/>
      <c r="BU50" s="625" t="e">
        <f>IF('wgl tot'!AJ50/'wgl tot'!H50&lt;tabellen!$E$57,0,(+'wgl tot'!AJ50-tabellen!$E$57*'wgl tot'!H50)/12*tabellen!$D$57)</f>
        <v>#DIV/0!</v>
      </c>
      <c r="BV50" s="625" t="e">
        <f>IF('wgl tot'!AJ50/'wgl tot'!H50&lt;tabellen!$E$58,0,(+'wgl tot'!AJ50-tabellen!$E$58*'wgl tot'!H50)/12*tabellen!$D$58)</f>
        <v>#DIV/0!</v>
      </c>
      <c r="BW50" s="625">
        <f>'wgl tot'!AJ50/12*tabellen!$D$59</f>
        <v>0</v>
      </c>
      <c r="BX50" s="626" t="e">
        <f t="shared" si="13"/>
        <v>#DIV/0!</v>
      </c>
      <c r="BY50" s="627" t="e">
        <f>+('wgl tot'!AF50+'wgl tot'!AK50)/12-'wgl tot'!BX50</f>
        <v>#DIV/0!</v>
      </c>
      <c r="BZ50" s="627" t="e">
        <f>ROUND(IF('wgl tot'!BY50&gt;tabellen!$H$63,tabellen!$H$63,'wgl tot'!BY50)*tabellen!$C$63,2)</f>
        <v>#DIV/0!</v>
      </c>
      <c r="CA50" s="627" t="e">
        <f>+'wgl tot'!BY50+'wgl tot'!BZ50</f>
        <v>#DIV/0!</v>
      </c>
      <c r="CB50" s="628">
        <f>YEAR(E50)</f>
        <v>1900</v>
      </c>
      <c r="CC50" s="628">
        <f>MONTH(E50)</f>
        <v>1</v>
      </c>
      <c r="CD50" s="621">
        <f>DAY(E50)</f>
        <v>0</v>
      </c>
      <c r="CE50" s="619">
        <f t="shared" si="8"/>
        <v>22462</v>
      </c>
      <c r="CF50" s="619">
        <f t="shared" ca="1" si="9"/>
        <v>42283.70841446759</v>
      </c>
      <c r="CG50" s="613"/>
      <c r="CH50" s="619"/>
      <c r="CI50" s="613"/>
      <c r="CJ50" s="624"/>
      <c r="CK50" s="624"/>
      <c r="CL50" s="624"/>
      <c r="CM50" s="624"/>
      <c r="CN50" s="624"/>
      <c r="CO50" s="624"/>
    </row>
    <row r="51" spans="2:93" ht="13.5" customHeight="1" x14ac:dyDescent="0.2">
      <c r="B51" s="384"/>
      <c r="C51" s="402"/>
      <c r="D51" s="286"/>
      <c r="E51" s="287"/>
      <c r="F51" s="288"/>
      <c r="G51" s="288"/>
      <c r="H51" s="289"/>
      <c r="I51" s="288"/>
      <c r="J51" s="288"/>
      <c r="K51" s="288"/>
      <c r="L51" s="288"/>
      <c r="M51" s="290"/>
      <c r="N51" s="402"/>
      <c r="O51" s="639">
        <f>IF(F51="",0,(VLOOKUP('wgl tot'!F51,salaristabellen,'wgl tot'!G51+1,FALSE)))</f>
        <v>0</v>
      </c>
      <c r="P51" s="661">
        <f>O51*H51</f>
        <v>0</v>
      </c>
      <c r="Q51" s="402"/>
      <c r="R51" s="633">
        <f>ROUND(IF(I51="j",VLOOKUP(BL51,uitlooptoeslag,2,FALSE))*IF('wgl tot'!H51&gt;1,1,'wgl tot'!H51),2)</f>
        <v>0</v>
      </c>
      <c r="S51" s="633">
        <f>ROUND(IF(OR('wgl tot'!F51="LA",'wgl tot'!F51="LB"),IF(J51="j",tabellen!$C$77*'wgl tot'!H51,0),0),2)</f>
        <v>0</v>
      </c>
      <c r="T51" s="633">
        <f>ROUND(IF(('wgl tot'!P51+'wgl tot'!R51+'wgl tot'!S51)*BN51&lt;'wgl tot'!H51*tabellen!$D$89,'wgl tot'!H51*tabellen!$D$89,('wgl tot'!P51+'wgl tot'!R51+'wgl tot'!S51)*BN51),2)</f>
        <v>0</v>
      </c>
      <c r="U51" s="633">
        <f>ROUND(+('wgl tot'!P51+'wgl tot'!R51+'wgl tot'!S51)*BO51,2)</f>
        <v>0</v>
      </c>
      <c r="V51" s="633">
        <f>+tabellen!$C$85*'wgl tot'!H51</f>
        <v>0</v>
      </c>
      <c r="W51" s="633">
        <f>VLOOKUP(BP51,eindejaarsuitkering_OOP,2,TRUE)*'wgl tot'!H51/12</f>
        <v>0</v>
      </c>
      <c r="X51" s="633">
        <f>ROUND(IF(BQ51="j",tabellen!$D$99*IF('wgl tot'!H51&gt;1,1,'wgl tot'!H51),0),2)</f>
        <v>0</v>
      </c>
      <c r="Y51" s="654">
        <f t="shared" si="1"/>
        <v>0</v>
      </c>
      <c r="Z51" s="404"/>
      <c r="AA51" s="405"/>
      <c r="AB51" s="632">
        <f t="shared" si="2"/>
        <v>0</v>
      </c>
      <c r="AC51" s="633">
        <f>ROUND(IF(L51="j",VLOOKUP(K51,bindingstoelage,2,FALSE))*IF('wgl tot'!H51&gt;1,1,'wgl tot'!H51),2)</f>
        <v>0</v>
      </c>
      <c r="AD51" s="633">
        <f>ROUND('wgl tot'!H51*tabellen!$D$96,2)</f>
        <v>0</v>
      </c>
      <c r="AE51" s="633">
        <f>ROUND('wgl tot'!H51*tabellen!$D$97,2)</f>
        <v>0</v>
      </c>
      <c r="AF51" s="632">
        <f t="shared" si="3"/>
        <v>0</v>
      </c>
      <c r="AG51" s="402"/>
      <c r="AH51" s="633">
        <f>+('wgl tot'!AF51/(1+1.9%))*BR51</f>
        <v>0</v>
      </c>
      <c r="AI51" s="633">
        <f>IF(F51="",0,(791.85))</f>
        <v>0</v>
      </c>
      <c r="AJ51" s="632">
        <f>ROUND('wgl tot'!AF51-IF('wgl tot'!AI51&gt;'wgl tot'!AH51,'wgl tot'!AH51,'wgl tot'!AI51),0)</f>
        <v>0</v>
      </c>
      <c r="AK51" s="634">
        <f>IF('wgl tot'!E51&lt;1950,0,+('wgl tot'!P51+'wgl tot'!R51+'wgl tot'!S51)*tabellen!$C$87)*12</f>
        <v>0</v>
      </c>
      <c r="AL51" s="402"/>
      <c r="AM51" s="633">
        <f t="shared" si="4"/>
        <v>0</v>
      </c>
      <c r="AN51" s="633">
        <f>IF(F51="",0,(IF('wgl tot'!AJ51/'wgl tot'!H51&lt;tabellen!$E$57,0,('wgl tot'!AJ51-tabellen!$E$57*'wgl tot'!H51)/12)*tabellen!$C$57))</f>
        <v>0</v>
      </c>
      <c r="AO51" s="633">
        <f>IF(F51="",0,(IF('wgl tot'!AJ51/'wgl tot'!H51&lt;tabellen!$E$58,0,(+'wgl tot'!AJ51-tabellen!$E$58*'wgl tot'!H51)/12)*tabellen!$C$58))</f>
        <v>0</v>
      </c>
      <c r="AP51" s="633">
        <f>'wgl tot'!AJ51/12*tabellen!$C$59</f>
        <v>0</v>
      </c>
      <c r="AQ51" s="633">
        <f>IF(H51=0,0,IF(BY51&gt;tabellen!$G$60/12,tabellen!$G$60/12,BY51)*(tabellen!$C$60+tabellen!$C$61))</f>
        <v>0</v>
      </c>
      <c r="AR51" s="633">
        <f>IF(F51="",0,('wgl tot'!BZ51))</f>
        <v>0</v>
      </c>
      <c r="AS51" s="635">
        <f>IF(F51="",0,(IF('wgl tot'!BY51&gt;tabellen!$G$64*'wgl tot'!H51/12,tabellen!$G$64*'wgl tot'!H51/12,'wgl tot'!BY51)*tabellen!$C$64))</f>
        <v>0</v>
      </c>
      <c r="AT51" s="635">
        <f>IF(F51="",0,('wgl tot'!BY51*IF(M51=1,tabellen!$C$65,IF(M51=2,tabellen!C103,IF(M51=3,tabellen!$C$67,tabellen!$C$68)))))</f>
        <v>0</v>
      </c>
      <c r="AU51" s="635">
        <f>IF(F51="",0,('wgl tot'!BY51*tabellen!$C$69))</f>
        <v>0</v>
      </c>
      <c r="AV51" s="635">
        <f>+'wgl tot'!AK51/12</f>
        <v>0</v>
      </c>
      <c r="AW51" s="435">
        <v>0</v>
      </c>
      <c r="AX51" s="291">
        <f t="shared" si="5"/>
        <v>0</v>
      </c>
      <c r="AY51" s="658">
        <f t="shared" si="6"/>
        <v>0</v>
      </c>
      <c r="AZ51" s="658">
        <f t="shared" si="7"/>
        <v>0</v>
      </c>
      <c r="BA51" s="402"/>
      <c r="BB51" s="641" t="str">
        <f>IF(AY51=0,"",(+'wgl tot'!AY51/'wgl tot'!P51-1))</f>
        <v/>
      </c>
      <c r="BC51" s="402"/>
      <c r="BD51" s="385"/>
      <c r="BG51" s="621">
        <f ca="1">YEAR('wgl tot'!$BG$10)-YEAR('wgl tot'!E51)</f>
        <v>115</v>
      </c>
      <c r="BH51" s="621">
        <f ca="1">MONTH('wgl tot'!$BG$10)-MONTH('wgl tot'!E51)</f>
        <v>9</v>
      </c>
      <c r="BI51" s="621">
        <f ca="1">DAY('wgl tot'!$BG$10)-DAY('wgl tot'!E51)</f>
        <v>6</v>
      </c>
      <c r="BJ51" s="613">
        <f>IF(AND('wgl tot'!F51&gt;0,'wgl tot'!F51&lt;16),0,100)</f>
        <v>100</v>
      </c>
      <c r="BK51" s="613" t="e">
        <f>VLOOKUP('wgl tot'!F51,salaristabellen,22,FALSE)</f>
        <v>#N/A</v>
      </c>
      <c r="BL51" s="613">
        <f t="shared" si="14"/>
        <v>0</v>
      </c>
      <c r="BM51" s="619">
        <f t="shared" si="10"/>
        <v>42005</v>
      </c>
      <c r="BN51" s="622">
        <f t="shared" si="11"/>
        <v>0.08</v>
      </c>
      <c r="BO51" s="623">
        <f>+tabellen!$D$90</f>
        <v>6.3E-2</v>
      </c>
      <c r="BP51" s="621">
        <f>IF('wgl tot'!BJ51=100,0,'wgl tot'!F51)</f>
        <v>0</v>
      </c>
      <c r="BQ51" s="623" t="str">
        <f>IF(OR('wgl tot'!F51="DA",'wgl tot'!F51="DB",'wgl tot'!F51="DBuit",'wgl tot'!F51="DC",'wgl tot'!F51="DCuit",MID('wgl tot'!F51,1,5)="meerh"),"j","n")</f>
        <v>n</v>
      </c>
      <c r="BR51" s="623">
        <f t="shared" si="12"/>
        <v>1.9E-2</v>
      </c>
      <c r="BS51" s="624">
        <f>IF(AI51&gt;'wgl tot'!AH51,'wgl tot'!AH51,AI51)</f>
        <v>0</v>
      </c>
      <c r="BT51" s="624"/>
      <c r="BU51" s="625" t="e">
        <f>IF('wgl tot'!AJ51/'wgl tot'!H51&lt;tabellen!$E$57,0,(+'wgl tot'!AJ51-tabellen!$E$57*'wgl tot'!H51)/12*tabellen!$D$57)</f>
        <v>#DIV/0!</v>
      </c>
      <c r="BV51" s="625" t="e">
        <f>IF('wgl tot'!AJ51/'wgl tot'!H51&lt;tabellen!$E$58,0,(+'wgl tot'!AJ51-tabellen!$E$58*'wgl tot'!H51)/12*tabellen!$D$58)</f>
        <v>#DIV/0!</v>
      </c>
      <c r="BW51" s="625">
        <f>'wgl tot'!AJ51/12*tabellen!$D$59</f>
        <v>0</v>
      </c>
      <c r="BX51" s="626" t="e">
        <f t="shared" si="13"/>
        <v>#DIV/0!</v>
      </c>
      <c r="BY51" s="627" t="e">
        <f>+('wgl tot'!AF51+'wgl tot'!AK51)/12-'wgl tot'!BX51</f>
        <v>#DIV/0!</v>
      </c>
      <c r="BZ51" s="627" t="e">
        <f>ROUND(IF('wgl tot'!BY51&gt;tabellen!$H$63,tabellen!$H$63,'wgl tot'!BY51)*tabellen!$C$63,2)</f>
        <v>#DIV/0!</v>
      </c>
      <c r="CA51" s="627" t="e">
        <f>+'wgl tot'!BY51+'wgl tot'!BZ51</f>
        <v>#DIV/0!</v>
      </c>
      <c r="CB51" s="628">
        <f>YEAR(E51)</f>
        <v>1900</v>
      </c>
      <c r="CC51" s="628">
        <f>MONTH(E51)</f>
        <v>1</v>
      </c>
      <c r="CD51" s="621">
        <f>DAY(E51)</f>
        <v>0</v>
      </c>
      <c r="CE51" s="619">
        <f t="shared" si="8"/>
        <v>22462</v>
      </c>
      <c r="CF51" s="619">
        <f t="shared" ca="1" si="9"/>
        <v>42283.70841446759</v>
      </c>
      <c r="CG51" s="613"/>
      <c r="CH51" s="619"/>
      <c r="CI51" s="613"/>
      <c r="CJ51" s="624"/>
      <c r="CK51" s="624"/>
      <c r="CL51" s="624"/>
      <c r="CM51" s="624"/>
      <c r="CN51" s="624"/>
      <c r="CO51" s="624"/>
    </row>
    <row r="52" spans="2:93" ht="13.5" customHeight="1" x14ac:dyDescent="0.2">
      <c r="B52" s="384"/>
      <c r="C52" s="402"/>
      <c r="D52" s="286"/>
      <c r="E52" s="287"/>
      <c r="F52" s="288"/>
      <c r="G52" s="288"/>
      <c r="H52" s="289"/>
      <c r="I52" s="288"/>
      <c r="J52" s="288"/>
      <c r="K52" s="288"/>
      <c r="L52" s="288"/>
      <c r="M52" s="290"/>
      <c r="N52" s="402"/>
      <c r="O52" s="639">
        <f>IF(F52="",0,(VLOOKUP('wgl tot'!F52,salaristabellen,'wgl tot'!G52+1,FALSE)))</f>
        <v>0</v>
      </c>
      <c r="P52" s="661">
        <f>O52*H52</f>
        <v>0</v>
      </c>
      <c r="Q52" s="402"/>
      <c r="R52" s="633">
        <f>ROUND(IF(I52="j",VLOOKUP(BL52,uitlooptoeslag,2,FALSE))*IF('wgl tot'!H52&gt;1,1,'wgl tot'!H52),2)</f>
        <v>0</v>
      </c>
      <c r="S52" s="633">
        <f>ROUND(IF(OR('wgl tot'!F52="LA",'wgl tot'!F52="LB"),IF(J52="j",tabellen!$C$77*'wgl tot'!H52,0),0),2)</f>
        <v>0</v>
      </c>
      <c r="T52" s="633">
        <f>ROUND(IF(('wgl tot'!P52+'wgl tot'!R52+'wgl tot'!S52)*BN52&lt;'wgl tot'!H52*tabellen!$D$89,'wgl tot'!H52*tabellen!$D$89,('wgl tot'!P52+'wgl tot'!R52+'wgl tot'!S52)*BN52),2)</f>
        <v>0</v>
      </c>
      <c r="U52" s="633">
        <f>ROUND(+('wgl tot'!P52+'wgl tot'!R52+'wgl tot'!S52)*BO52,2)</f>
        <v>0</v>
      </c>
      <c r="V52" s="633">
        <f>+tabellen!$C$85*'wgl tot'!H52</f>
        <v>0</v>
      </c>
      <c r="W52" s="633">
        <f>VLOOKUP(BP52,eindejaarsuitkering_OOP,2,TRUE)*'wgl tot'!H52/12</f>
        <v>0</v>
      </c>
      <c r="X52" s="633">
        <f>ROUND(IF(BQ52="j",tabellen!$D$99*IF('wgl tot'!H52&gt;1,1,'wgl tot'!H52),0),2)</f>
        <v>0</v>
      </c>
      <c r="Y52" s="654">
        <f t="shared" si="1"/>
        <v>0</v>
      </c>
      <c r="Z52" s="404"/>
      <c r="AA52" s="405"/>
      <c r="AB52" s="632">
        <f t="shared" si="2"/>
        <v>0</v>
      </c>
      <c r="AC52" s="633">
        <f>ROUND(IF(L52="j",VLOOKUP(K52,bindingstoelage,2,FALSE))*IF('wgl tot'!H52&gt;1,1,'wgl tot'!H52),2)</f>
        <v>0</v>
      </c>
      <c r="AD52" s="633">
        <f>ROUND('wgl tot'!H52*tabellen!$D$96,2)</f>
        <v>0</v>
      </c>
      <c r="AE52" s="633">
        <f>ROUND('wgl tot'!H52*tabellen!$D$97,2)</f>
        <v>0</v>
      </c>
      <c r="AF52" s="632">
        <f t="shared" si="3"/>
        <v>0</v>
      </c>
      <c r="AG52" s="402"/>
      <c r="AH52" s="633">
        <f>+('wgl tot'!AF52/(1+1.9%))*BR52</f>
        <v>0</v>
      </c>
      <c r="AI52" s="633">
        <f>IF(F52="",0,(791.85))</f>
        <v>0</v>
      </c>
      <c r="AJ52" s="632">
        <f>ROUND('wgl tot'!AF52-IF('wgl tot'!AI52&gt;'wgl tot'!AH52,'wgl tot'!AH52,'wgl tot'!AI52),0)</f>
        <v>0</v>
      </c>
      <c r="AK52" s="634">
        <f>IF('wgl tot'!E52&lt;1950,0,+('wgl tot'!P52+'wgl tot'!R52+'wgl tot'!S52)*tabellen!$C$87)*12</f>
        <v>0</v>
      </c>
      <c r="AL52" s="402"/>
      <c r="AM52" s="633">
        <f t="shared" si="4"/>
        <v>0</v>
      </c>
      <c r="AN52" s="633">
        <f>IF(F52="",0,(IF('wgl tot'!AJ52/'wgl tot'!H52&lt;tabellen!$E$57,0,('wgl tot'!AJ52-tabellen!$E$57*'wgl tot'!H52)/12)*tabellen!$C$57))</f>
        <v>0</v>
      </c>
      <c r="AO52" s="633">
        <f>IF(F52="",0,(IF('wgl tot'!AJ52/'wgl tot'!H52&lt;tabellen!$E$58,0,(+'wgl tot'!AJ52-tabellen!$E$58*'wgl tot'!H52)/12)*tabellen!$C$58))</f>
        <v>0</v>
      </c>
      <c r="AP52" s="633">
        <f>'wgl tot'!AJ52/12*tabellen!$C$59</f>
        <v>0</v>
      </c>
      <c r="AQ52" s="633">
        <f>IF(H52=0,0,IF(BY52&gt;tabellen!$G$60/12,tabellen!$G$60/12,BY52)*(tabellen!$C$60+tabellen!$C$61))</f>
        <v>0</v>
      </c>
      <c r="AR52" s="633">
        <f>IF(F52="",0,('wgl tot'!BZ52))</f>
        <v>0</v>
      </c>
      <c r="AS52" s="635">
        <f>IF(F52="",0,(IF('wgl tot'!BY52&gt;tabellen!$G$64*'wgl tot'!H52/12,tabellen!$G$64*'wgl tot'!H52/12,'wgl tot'!BY52)*tabellen!$C$64))</f>
        <v>0</v>
      </c>
      <c r="AT52" s="635">
        <f>IF(F52="",0,('wgl tot'!BY52*IF(M52=1,tabellen!$C$65,IF(M52=2,tabellen!C104,IF(M52=3,tabellen!$C$67,tabellen!$C$68)))))</f>
        <v>0</v>
      </c>
      <c r="AU52" s="635">
        <f>IF(F52="",0,('wgl tot'!BY52*tabellen!$C$69))</f>
        <v>0</v>
      </c>
      <c r="AV52" s="635">
        <f>+'wgl tot'!AK52/12</f>
        <v>0</v>
      </c>
      <c r="AW52" s="435">
        <v>0</v>
      </c>
      <c r="AX52" s="291">
        <f t="shared" si="5"/>
        <v>0</v>
      </c>
      <c r="AY52" s="658">
        <f t="shared" si="6"/>
        <v>0</v>
      </c>
      <c r="AZ52" s="658">
        <f t="shared" si="7"/>
        <v>0</v>
      </c>
      <c r="BA52" s="402"/>
      <c r="BB52" s="641" t="str">
        <f>IF(AY52=0,"",(+'wgl tot'!AY52/'wgl tot'!P52-1))</f>
        <v/>
      </c>
      <c r="BC52" s="402"/>
      <c r="BD52" s="385"/>
      <c r="BG52" s="621">
        <f ca="1">YEAR('wgl tot'!$BG$10)-YEAR('wgl tot'!E52)</f>
        <v>115</v>
      </c>
      <c r="BH52" s="621">
        <f ca="1">MONTH('wgl tot'!$BG$10)-MONTH('wgl tot'!E52)</f>
        <v>9</v>
      </c>
      <c r="BI52" s="621">
        <f ca="1">DAY('wgl tot'!$BG$10)-DAY('wgl tot'!E52)</f>
        <v>6</v>
      </c>
      <c r="BJ52" s="613">
        <f>IF(AND('wgl tot'!F52&gt;0,'wgl tot'!F52&lt;16),0,100)</f>
        <v>100</v>
      </c>
      <c r="BK52" s="613" t="e">
        <f>VLOOKUP('wgl tot'!F52,salaristabellen,22,FALSE)</f>
        <v>#N/A</v>
      </c>
      <c r="BL52" s="613">
        <f t="shared" si="14"/>
        <v>0</v>
      </c>
      <c r="BM52" s="619">
        <f t="shared" si="10"/>
        <v>42005</v>
      </c>
      <c r="BN52" s="622">
        <f t="shared" si="11"/>
        <v>0.08</v>
      </c>
      <c r="BO52" s="623">
        <f>+tabellen!$D$90</f>
        <v>6.3E-2</v>
      </c>
      <c r="BP52" s="621">
        <f>IF('wgl tot'!BJ52=100,0,'wgl tot'!F52)</f>
        <v>0</v>
      </c>
      <c r="BQ52" s="623" t="str">
        <f>IF(OR('wgl tot'!F52="DA",'wgl tot'!F52="DB",'wgl tot'!F52="DBuit",'wgl tot'!F52="DC",'wgl tot'!F52="DCuit",MID('wgl tot'!F52,1,5)="meerh"),"j","n")</f>
        <v>n</v>
      </c>
      <c r="BR52" s="623">
        <f t="shared" si="12"/>
        <v>1.9E-2</v>
      </c>
      <c r="BS52" s="624">
        <f>IF(AI52&gt;'wgl tot'!AH52,'wgl tot'!AH52,AI52)</f>
        <v>0</v>
      </c>
      <c r="BT52" s="624"/>
      <c r="BU52" s="625" t="e">
        <f>IF('wgl tot'!AJ52/'wgl tot'!H52&lt;tabellen!$E$57,0,(+'wgl tot'!AJ52-tabellen!$E$57*'wgl tot'!H52)/12*tabellen!$D$57)</f>
        <v>#DIV/0!</v>
      </c>
      <c r="BV52" s="625" t="e">
        <f>IF('wgl tot'!AJ52/'wgl tot'!H52&lt;tabellen!$E$58,0,(+'wgl tot'!AJ52-tabellen!$E$58*'wgl tot'!H52)/12*tabellen!$D$58)</f>
        <v>#DIV/0!</v>
      </c>
      <c r="BW52" s="625">
        <f>'wgl tot'!AJ52/12*tabellen!$D$59</f>
        <v>0</v>
      </c>
      <c r="BX52" s="626" t="e">
        <f t="shared" si="13"/>
        <v>#DIV/0!</v>
      </c>
      <c r="BY52" s="627" t="e">
        <f>+('wgl tot'!AF52+'wgl tot'!AK52)/12-'wgl tot'!BX52</f>
        <v>#DIV/0!</v>
      </c>
      <c r="BZ52" s="627" t="e">
        <f>ROUND(IF('wgl tot'!BY52&gt;tabellen!$H$63,tabellen!$H$63,'wgl tot'!BY52)*tabellen!$C$63,2)</f>
        <v>#DIV/0!</v>
      </c>
      <c r="CA52" s="627" t="e">
        <f>+'wgl tot'!BY52+'wgl tot'!BZ52</f>
        <v>#DIV/0!</v>
      </c>
      <c r="CB52" s="628">
        <f>YEAR(E52)</f>
        <v>1900</v>
      </c>
      <c r="CC52" s="628">
        <f>MONTH(E52)</f>
        <v>1</v>
      </c>
      <c r="CD52" s="621">
        <f>DAY(E52)</f>
        <v>0</v>
      </c>
      <c r="CE52" s="619">
        <f t="shared" si="8"/>
        <v>22462</v>
      </c>
      <c r="CF52" s="619">
        <f t="shared" ca="1" si="9"/>
        <v>42283.70841446759</v>
      </c>
      <c r="CG52" s="613"/>
      <c r="CH52" s="619"/>
      <c r="CI52" s="613"/>
      <c r="CJ52" s="624"/>
      <c r="CK52" s="624"/>
      <c r="CL52" s="624"/>
      <c r="CM52" s="624"/>
      <c r="CN52" s="624"/>
      <c r="CO52" s="624"/>
    </row>
    <row r="53" spans="2:93" ht="13.5" customHeight="1" x14ac:dyDescent="0.2">
      <c r="B53" s="384"/>
      <c r="C53" s="402"/>
      <c r="D53" s="286"/>
      <c r="E53" s="287"/>
      <c r="F53" s="288"/>
      <c r="G53" s="288"/>
      <c r="H53" s="289"/>
      <c r="I53" s="288"/>
      <c r="J53" s="288"/>
      <c r="K53" s="288"/>
      <c r="L53" s="288"/>
      <c r="M53" s="290"/>
      <c r="N53" s="402"/>
      <c r="O53" s="639">
        <f>IF(F53="",0,(VLOOKUP('wgl tot'!F53,salaristabellen,'wgl tot'!G53+1,FALSE)))</f>
        <v>0</v>
      </c>
      <c r="P53" s="661">
        <f>O53*H53</f>
        <v>0</v>
      </c>
      <c r="Q53" s="402"/>
      <c r="R53" s="633">
        <f>ROUND(IF(I53="j",VLOOKUP(BL53,uitlooptoeslag,2,FALSE))*IF('wgl tot'!H53&gt;1,1,'wgl tot'!H53),2)</f>
        <v>0</v>
      </c>
      <c r="S53" s="633">
        <f>ROUND(IF(OR('wgl tot'!F53="LA",'wgl tot'!F53="LB"),IF(J53="j",tabellen!$C$77*'wgl tot'!H53,0),0),2)</f>
        <v>0</v>
      </c>
      <c r="T53" s="633">
        <f>ROUND(IF(('wgl tot'!P53+'wgl tot'!R53+'wgl tot'!S53)*BN53&lt;'wgl tot'!H53*tabellen!$D$89,'wgl tot'!H53*tabellen!$D$89,('wgl tot'!P53+'wgl tot'!R53+'wgl tot'!S53)*BN53),2)</f>
        <v>0</v>
      </c>
      <c r="U53" s="633">
        <f>ROUND(+('wgl tot'!P53+'wgl tot'!R53+'wgl tot'!S53)*BO53,2)</f>
        <v>0</v>
      </c>
      <c r="V53" s="633">
        <f>+tabellen!$C$85*'wgl tot'!H53</f>
        <v>0</v>
      </c>
      <c r="W53" s="633">
        <f>VLOOKUP(BP53,eindejaarsuitkering_OOP,2,TRUE)*'wgl tot'!H53/12</f>
        <v>0</v>
      </c>
      <c r="X53" s="633">
        <f>ROUND(IF(BQ53="j",tabellen!$D$99*IF('wgl tot'!H53&gt;1,1,'wgl tot'!H53),0),2)</f>
        <v>0</v>
      </c>
      <c r="Y53" s="654">
        <f t="shared" si="1"/>
        <v>0</v>
      </c>
      <c r="Z53" s="404"/>
      <c r="AA53" s="405"/>
      <c r="AB53" s="632">
        <f t="shared" si="2"/>
        <v>0</v>
      </c>
      <c r="AC53" s="633">
        <f>ROUND(IF(L53="j",VLOOKUP(K53,bindingstoelage,2,FALSE))*IF('wgl tot'!H53&gt;1,1,'wgl tot'!H53),2)</f>
        <v>0</v>
      </c>
      <c r="AD53" s="633">
        <f>ROUND('wgl tot'!H53*tabellen!$D$96,2)</f>
        <v>0</v>
      </c>
      <c r="AE53" s="633">
        <f>ROUND('wgl tot'!H53*tabellen!$D$97,2)</f>
        <v>0</v>
      </c>
      <c r="AF53" s="632">
        <f t="shared" si="3"/>
        <v>0</v>
      </c>
      <c r="AG53" s="402"/>
      <c r="AH53" s="633">
        <f>+('wgl tot'!AF53/(1+1.9%))*BR53</f>
        <v>0</v>
      </c>
      <c r="AI53" s="633">
        <f>IF(F53="",0,(791.85))</f>
        <v>0</v>
      </c>
      <c r="AJ53" s="632">
        <f>ROUND('wgl tot'!AF53-IF('wgl tot'!AI53&gt;'wgl tot'!AH53,'wgl tot'!AH53,'wgl tot'!AI53),0)</f>
        <v>0</v>
      </c>
      <c r="AK53" s="634">
        <f>IF('wgl tot'!E53&lt;1950,0,+('wgl tot'!P53+'wgl tot'!R53+'wgl tot'!S53)*tabellen!$C$87)*12</f>
        <v>0</v>
      </c>
      <c r="AL53" s="402"/>
      <c r="AM53" s="633">
        <f t="shared" si="4"/>
        <v>0</v>
      </c>
      <c r="AN53" s="633">
        <f>IF(F53="",0,(IF('wgl tot'!AJ53/'wgl tot'!H53&lt;tabellen!$E$57,0,('wgl tot'!AJ53-tabellen!$E$57*'wgl tot'!H53)/12)*tabellen!$C$57))</f>
        <v>0</v>
      </c>
      <c r="AO53" s="633">
        <f>IF(F53="",0,(IF('wgl tot'!AJ53/'wgl tot'!H53&lt;tabellen!$E$58,0,(+'wgl tot'!AJ53-tabellen!$E$58*'wgl tot'!H53)/12)*tabellen!$C$58))</f>
        <v>0</v>
      </c>
      <c r="AP53" s="633">
        <f>'wgl tot'!AJ53/12*tabellen!$C$59</f>
        <v>0</v>
      </c>
      <c r="AQ53" s="633">
        <f>IF(H53=0,0,IF(BY53&gt;tabellen!$G$60/12,tabellen!$G$60/12,BY53)*(tabellen!$C$60+tabellen!$C$61))</f>
        <v>0</v>
      </c>
      <c r="AR53" s="633">
        <f>IF(F53="",0,('wgl tot'!BZ53))</f>
        <v>0</v>
      </c>
      <c r="AS53" s="635">
        <f>IF(F53="",0,(IF('wgl tot'!BY53&gt;tabellen!$G$64*'wgl tot'!H53/12,tabellen!$G$64*'wgl tot'!H53/12,'wgl tot'!BY53)*tabellen!$C$64))</f>
        <v>0</v>
      </c>
      <c r="AT53" s="635">
        <f>IF(F53="",0,('wgl tot'!BY53*IF(M53=1,tabellen!$C$65,IF(M53=2,tabellen!C105,IF(M53=3,tabellen!$C$67,tabellen!$C$68)))))</f>
        <v>0</v>
      </c>
      <c r="AU53" s="635">
        <f>IF(F53="",0,('wgl tot'!BY53*tabellen!$C$69))</f>
        <v>0</v>
      </c>
      <c r="AV53" s="635">
        <f>+'wgl tot'!AK53/12</f>
        <v>0</v>
      </c>
      <c r="AW53" s="435">
        <v>0</v>
      </c>
      <c r="AX53" s="291">
        <f t="shared" si="5"/>
        <v>0</v>
      </c>
      <c r="AY53" s="658">
        <f t="shared" si="6"/>
        <v>0</v>
      </c>
      <c r="AZ53" s="658">
        <f t="shared" si="7"/>
        <v>0</v>
      </c>
      <c r="BA53" s="402"/>
      <c r="BB53" s="641" t="str">
        <f>IF(AY53=0,"",(+'wgl tot'!AY53/'wgl tot'!P53-1))</f>
        <v/>
      </c>
      <c r="BC53" s="402"/>
      <c r="BD53" s="385"/>
      <c r="BG53" s="621">
        <f ca="1">YEAR('wgl tot'!$BG$10)-YEAR('wgl tot'!E53)</f>
        <v>115</v>
      </c>
      <c r="BH53" s="621">
        <f ca="1">MONTH('wgl tot'!$BG$10)-MONTH('wgl tot'!E53)</f>
        <v>9</v>
      </c>
      <c r="BI53" s="621">
        <f ca="1">DAY('wgl tot'!$BG$10)-DAY('wgl tot'!E53)</f>
        <v>6</v>
      </c>
      <c r="BJ53" s="613">
        <f>IF(AND('wgl tot'!F53&gt;0,'wgl tot'!F53&lt;16),0,100)</f>
        <v>100</v>
      </c>
      <c r="BK53" s="613" t="e">
        <f>VLOOKUP('wgl tot'!F53,salaristabellen,22,FALSE)</f>
        <v>#N/A</v>
      </c>
      <c r="BL53" s="613">
        <f t="shared" si="14"/>
        <v>0</v>
      </c>
      <c r="BM53" s="619">
        <f t="shared" si="10"/>
        <v>42005</v>
      </c>
      <c r="BN53" s="622">
        <f t="shared" si="11"/>
        <v>0.08</v>
      </c>
      <c r="BO53" s="623">
        <f>+tabellen!$D$90</f>
        <v>6.3E-2</v>
      </c>
      <c r="BP53" s="621">
        <f>IF('wgl tot'!BJ53=100,0,'wgl tot'!F53)</f>
        <v>0</v>
      </c>
      <c r="BQ53" s="623" t="str">
        <f>IF(OR('wgl tot'!F53="DA",'wgl tot'!F53="DB",'wgl tot'!F53="DBuit",'wgl tot'!F53="DC",'wgl tot'!F53="DCuit",MID('wgl tot'!F53,1,5)="meerh"),"j","n")</f>
        <v>n</v>
      </c>
      <c r="BR53" s="623">
        <f t="shared" si="12"/>
        <v>1.9E-2</v>
      </c>
      <c r="BS53" s="624">
        <f>IF(AI53&gt;'wgl tot'!AH53,'wgl tot'!AH53,AI53)</f>
        <v>0</v>
      </c>
      <c r="BT53" s="624"/>
      <c r="BU53" s="625" t="e">
        <f>IF('wgl tot'!AJ53/'wgl tot'!H53&lt;tabellen!$E$57,0,(+'wgl tot'!AJ53-tabellen!$E$57*'wgl tot'!H53)/12*tabellen!$D$57)</f>
        <v>#DIV/0!</v>
      </c>
      <c r="BV53" s="625" t="e">
        <f>IF('wgl tot'!AJ53/'wgl tot'!H53&lt;tabellen!$E$58,0,(+'wgl tot'!AJ53-tabellen!$E$58*'wgl tot'!H53)/12*tabellen!$D$58)</f>
        <v>#DIV/0!</v>
      </c>
      <c r="BW53" s="625">
        <f>'wgl tot'!AJ53/12*tabellen!$D$59</f>
        <v>0</v>
      </c>
      <c r="BX53" s="626" t="e">
        <f t="shared" si="13"/>
        <v>#DIV/0!</v>
      </c>
      <c r="BY53" s="627" t="e">
        <f>+('wgl tot'!AF53+'wgl tot'!AK53)/12-'wgl tot'!BX53</f>
        <v>#DIV/0!</v>
      </c>
      <c r="BZ53" s="627" t="e">
        <f>ROUND(IF('wgl tot'!BY53&gt;tabellen!$H$63,tabellen!$H$63,'wgl tot'!BY53)*tabellen!$C$63,2)</f>
        <v>#DIV/0!</v>
      </c>
      <c r="CA53" s="627" t="e">
        <f>+'wgl tot'!BY53+'wgl tot'!BZ53</f>
        <v>#DIV/0!</v>
      </c>
      <c r="CB53" s="628">
        <f>YEAR(E53)</f>
        <v>1900</v>
      </c>
      <c r="CC53" s="628">
        <f>MONTH(E53)</f>
        <v>1</v>
      </c>
      <c r="CD53" s="621">
        <f>DAY(E53)</f>
        <v>0</v>
      </c>
      <c r="CE53" s="619">
        <f t="shared" si="8"/>
        <v>22462</v>
      </c>
      <c r="CF53" s="619">
        <f t="shared" ca="1" si="9"/>
        <v>42283.70841446759</v>
      </c>
      <c r="CG53" s="613"/>
      <c r="CH53" s="619"/>
      <c r="CI53" s="613"/>
      <c r="CJ53" s="624"/>
      <c r="CK53" s="624"/>
      <c r="CL53" s="624"/>
      <c r="CM53" s="624"/>
      <c r="CN53" s="624"/>
      <c r="CO53" s="624"/>
    </row>
    <row r="54" spans="2:93" ht="13.5" customHeight="1" x14ac:dyDescent="0.2">
      <c r="B54" s="384"/>
      <c r="C54" s="402"/>
      <c r="D54" s="286"/>
      <c r="E54" s="287"/>
      <c r="F54" s="288"/>
      <c r="G54" s="288"/>
      <c r="H54" s="289"/>
      <c r="I54" s="288"/>
      <c r="J54" s="288"/>
      <c r="K54" s="288"/>
      <c r="L54" s="288"/>
      <c r="M54" s="290"/>
      <c r="N54" s="402"/>
      <c r="O54" s="639">
        <f>IF(F54="",0,(VLOOKUP('wgl tot'!F54,salaristabellen,'wgl tot'!G54+1,FALSE)))</f>
        <v>0</v>
      </c>
      <c r="P54" s="661">
        <f>O54*H54</f>
        <v>0</v>
      </c>
      <c r="Q54" s="402"/>
      <c r="R54" s="633">
        <f>ROUND(IF(I54="j",VLOOKUP(BL54,uitlooptoeslag,2,FALSE))*IF('wgl tot'!H54&gt;1,1,'wgl tot'!H54),2)</f>
        <v>0</v>
      </c>
      <c r="S54" s="633">
        <f>ROUND(IF(OR('wgl tot'!F54="LA",'wgl tot'!F54="LB"),IF(J54="j",tabellen!$C$77*'wgl tot'!H54,0),0),2)</f>
        <v>0</v>
      </c>
      <c r="T54" s="633">
        <f>ROUND(IF(('wgl tot'!P54+'wgl tot'!R54+'wgl tot'!S54)*BN54&lt;'wgl tot'!H54*tabellen!$D$89,'wgl tot'!H54*tabellen!$D$89,('wgl tot'!P54+'wgl tot'!R54+'wgl tot'!S54)*BN54),2)</f>
        <v>0</v>
      </c>
      <c r="U54" s="633">
        <f>ROUND(+('wgl tot'!P54+'wgl tot'!R54+'wgl tot'!S54)*BO54,2)</f>
        <v>0</v>
      </c>
      <c r="V54" s="633">
        <f>+tabellen!$C$85*'wgl tot'!H54</f>
        <v>0</v>
      </c>
      <c r="W54" s="633">
        <f>VLOOKUP(BP54,eindejaarsuitkering_OOP,2,TRUE)*'wgl tot'!H54/12</f>
        <v>0</v>
      </c>
      <c r="X54" s="633">
        <f>ROUND(IF(BQ54="j",tabellen!$D$99*IF('wgl tot'!H54&gt;1,1,'wgl tot'!H54),0),2)</f>
        <v>0</v>
      </c>
      <c r="Y54" s="654">
        <f t="shared" si="1"/>
        <v>0</v>
      </c>
      <c r="Z54" s="404"/>
      <c r="AA54" s="405"/>
      <c r="AB54" s="632">
        <f t="shared" si="2"/>
        <v>0</v>
      </c>
      <c r="AC54" s="633">
        <f>ROUND(IF(L54="j",VLOOKUP(K54,bindingstoelage,2,FALSE))*IF('wgl tot'!H54&gt;1,1,'wgl tot'!H54),2)</f>
        <v>0</v>
      </c>
      <c r="AD54" s="633">
        <f>ROUND('wgl tot'!H54*tabellen!$D$96,2)</f>
        <v>0</v>
      </c>
      <c r="AE54" s="633">
        <f>ROUND('wgl tot'!H54*tabellen!$D$97,2)</f>
        <v>0</v>
      </c>
      <c r="AF54" s="632">
        <f t="shared" si="3"/>
        <v>0</v>
      </c>
      <c r="AG54" s="402"/>
      <c r="AH54" s="633">
        <f>+('wgl tot'!AF54/(1+1.9%))*BR54</f>
        <v>0</v>
      </c>
      <c r="AI54" s="633">
        <f>IF(F54="",0,(791.85))</f>
        <v>0</v>
      </c>
      <c r="AJ54" s="632">
        <f>ROUND('wgl tot'!AF54-IF('wgl tot'!AI54&gt;'wgl tot'!AH54,'wgl tot'!AH54,'wgl tot'!AI54),0)</f>
        <v>0</v>
      </c>
      <c r="AK54" s="634">
        <f>IF('wgl tot'!E54&lt;1950,0,+('wgl tot'!P54+'wgl tot'!R54+'wgl tot'!S54)*tabellen!$C$87)*12</f>
        <v>0</v>
      </c>
      <c r="AL54" s="402"/>
      <c r="AM54" s="633">
        <f t="shared" si="4"/>
        <v>0</v>
      </c>
      <c r="AN54" s="633">
        <f>IF(F54="",0,(IF('wgl tot'!AJ54/'wgl tot'!H54&lt;tabellen!$E$57,0,('wgl tot'!AJ54-tabellen!$E$57*'wgl tot'!H54)/12)*tabellen!$C$57))</f>
        <v>0</v>
      </c>
      <c r="AO54" s="633">
        <f>IF(F54="",0,(IF('wgl tot'!AJ54/'wgl tot'!H54&lt;tabellen!$E$58,0,(+'wgl tot'!AJ54-tabellen!$E$58*'wgl tot'!H54)/12)*tabellen!$C$58))</f>
        <v>0</v>
      </c>
      <c r="AP54" s="633">
        <f>'wgl tot'!AJ54/12*tabellen!$C$59</f>
        <v>0</v>
      </c>
      <c r="AQ54" s="633">
        <f>IF(H54=0,0,IF(BY54&gt;tabellen!$G$60/12,tabellen!$G$60/12,BY54)*(tabellen!$C$60+tabellen!$C$61))</f>
        <v>0</v>
      </c>
      <c r="AR54" s="633">
        <f>IF(F54="",0,('wgl tot'!BZ54))</f>
        <v>0</v>
      </c>
      <c r="AS54" s="635">
        <f>IF(F54="",0,(IF('wgl tot'!BY54&gt;tabellen!$G$64*'wgl tot'!H54/12,tabellen!$G$64*'wgl tot'!H54/12,'wgl tot'!BY54)*tabellen!$C$64))</f>
        <v>0</v>
      </c>
      <c r="AT54" s="635">
        <f>IF(F54="",0,('wgl tot'!BY54*IF(M54=1,tabellen!$C$65,IF(M54=2,tabellen!C106,IF(M54=3,tabellen!$C$67,tabellen!$C$68)))))</f>
        <v>0</v>
      </c>
      <c r="AU54" s="635">
        <f>IF(F54="",0,('wgl tot'!BY54*tabellen!$C$69))</f>
        <v>0</v>
      </c>
      <c r="AV54" s="635">
        <f>+'wgl tot'!AK54/12</f>
        <v>0</v>
      </c>
      <c r="AW54" s="435">
        <v>0</v>
      </c>
      <c r="AX54" s="291">
        <f t="shared" si="5"/>
        <v>0</v>
      </c>
      <c r="AY54" s="658">
        <f t="shared" si="6"/>
        <v>0</v>
      </c>
      <c r="AZ54" s="658">
        <f t="shared" si="7"/>
        <v>0</v>
      </c>
      <c r="BA54" s="402"/>
      <c r="BB54" s="641" t="str">
        <f>IF(AY54=0,"",(+'wgl tot'!AY54/'wgl tot'!P54-1))</f>
        <v/>
      </c>
      <c r="BC54" s="402"/>
      <c r="BD54" s="385"/>
      <c r="BG54" s="621">
        <f ca="1">YEAR('wgl tot'!$BG$10)-YEAR('wgl tot'!E54)</f>
        <v>115</v>
      </c>
      <c r="BH54" s="621">
        <f ca="1">MONTH('wgl tot'!$BG$10)-MONTH('wgl tot'!E54)</f>
        <v>9</v>
      </c>
      <c r="BI54" s="621">
        <f ca="1">DAY('wgl tot'!$BG$10)-DAY('wgl tot'!E54)</f>
        <v>6</v>
      </c>
      <c r="BJ54" s="613">
        <f>IF(AND('wgl tot'!F54&gt;0,'wgl tot'!F54&lt;16),0,100)</f>
        <v>100</v>
      </c>
      <c r="BK54" s="613" t="e">
        <f>VLOOKUP('wgl tot'!F54,salaristabellen,22,FALSE)</f>
        <v>#N/A</v>
      </c>
      <c r="BL54" s="613">
        <f t="shared" si="14"/>
        <v>0</v>
      </c>
      <c r="BM54" s="619">
        <f t="shared" si="10"/>
        <v>42005</v>
      </c>
      <c r="BN54" s="622">
        <f t="shared" si="11"/>
        <v>0.08</v>
      </c>
      <c r="BO54" s="623">
        <f>+tabellen!$D$90</f>
        <v>6.3E-2</v>
      </c>
      <c r="BP54" s="621">
        <f>IF('wgl tot'!BJ54=100,0,'wgl tot'!F54)</f>
        <v>0</v>
      </c>
      <c r="BQ54" s="623" t="str">
        <f>IF(OR('wgl tot'!F54="DA",'wgl tot'!F54="DB",'wgl tot'!F54="DBuit",'wgl tot'!F54="DC",'wgl tot'!F54="DCuit",MID('wgl tot'!F54,1,5)="meerh"),"j","n")</f>
        <v>n</v>
      </c>
      <c r="BR54" s="623">
        <f t="shared" si="12"/>
        <v>1.9E-2</v>
      </c>
      <c r="BS54" s="624">
        <f>IF(AI54&gt;'wgl tot'!AH54,'wgl tot'!AH54,AI54)</f>
        <v>0</v>
      </c>
      <c r="BT54" s="624"/>
      <c r="BU54" s="625" t="e">
        <f>IF('wgl tot'!AJ54/'wgl tot'!H54&lt;tabellen!$E$57,0,(+'wgl tot'!AJ54-tabellen!$E$57*'wgl tot'!H54)/12*tabellen!$D$57)</f>
        <v>#DIV/0!</v>
      </c>
      <c r="BV54" s="625" t="e">
        <f>IF('wgl tot'!AJ54/'wgl tot'!H54&lt;tabellen!$E$58,0,(+'wgl tot'!AJ54-tabellen!$E$58*'wgl tot'!H54)/12*tabellen!$D$58)</f>
        <v>#DIV/0!</v>
      </c>
      <c r="BW54" s="625">
        <f>'wgl tot'!AJ54/12*tabellen!$D$59</f>
        <v>0</v>
      </c>
      <c r="BX54" s="626" t="e">
        <f t="shared" si="13"/>
        <v>#DIV/0!</v>
      </c>
      <c r="BY54" s="627" t="e">
        <f>+('wgl tot'!AF54+'wgl tot'!AK54)/12-'wgl tot'!BX54</f>
        <v>#DIV/0!</v>
      </c>
      <c r="BZ54" s="627" t="e">
        <f>ROUND(IF('wgl tot'!BY54&gt;tabellen!$H$63,tabellen!$H$63,'wgl tot'!BY54)*tabellen!$C$63,2)</f>
        <v>#DIV/0!</v>
      </c>
      <c r="CA54" s="627" t="e">
        <f>+'wgl tot'!BY54+'wgl tot'!BZ54</f>
        <v>#DIV/0!</v>
      </c>
      <c r="CB54" s="628">
        <f>YEAR(E54)</f>
        <v>1900</v>
      </c>
      <c r="CC54" s="628">
        <f>MONTH(E54)</f>
        <v>1</v>
      </c>
      <c r="CD54" s="621">
        <f>DAY(E54)</f>
        <v>0</v>
      </c>
      <c r="CE54" s="619">
        <f t="shared" si="8"/>
        <v>22462</v>
      </c>
      <c r="CF54" s="619">
        <f t="shared" ca="1" si="9"/>
        <v>42283.70841446759</v>
      </c>
      <c r="CG54" s="613"/>
      <c r="CH54" s="619"/>
      <c r="CI54" s="613"/>
      <c r="CJ54" s="624"/>
      <c r="CK54" s="624"/>
      <c r="CL54" s="624"/>
      <c r="CM54" s="624"/>
      <c r="CN54" s="624"/>
      <c r="CO54" s="624"/>
    </row>
    <row r="55" spans="2:93" ht="13.5" customHeight="1" x14ac:dyDescent="0.2">
      <c r="B55" s="384"/>
      <c r="C55" s="402"/>
      <c r="D55" s="286"/>
      <c r="E55" s="287"/>
      <c r="F55" s="288"/>
      <c r="G55" s="288"/>
      <c r="H55" s="289"/>
      <c r="I55" s="288"/>
      <c r="J55" s="288"/>
      <c r="K55" s="288"/>
      <c r="L55" s="288"/>
      <c r="M55" s="290"/>
      <c r="N55" s="402"/>
      <c r="O55" s="639">
        <f>IF(F55="",0,(VLOOKUP('wgl tot'!F55,salaristabellen,'wgl tot'!G55+1,FALSE)))</f>
        <v>0</v>
      </c>
      <c r="P55" s="661">
        <f>O55*H55</f>
        <v>0</v>
      </c>
      <c r="Q55" s="402"/>
      <c r="R55" s="633">
        <f>ROUND(IF(I55="j",VLOOKUP(BL55,uitlooptoeslag,2,FALSE))*IF('wgl tot'!H55&gt;1,1,'wgl tot'!H55),2)</f>
        <v>0</v>
      </c>
      <c r="S55" s="633">
        <f>ROUND(IF(OR('wgl tot'!F55="LA",'wgl tot'!F55="LB"),IF(J55="j",tabellen!$C$77*'wgl tot'!H55,0),0),2)</f>
        <v>0</v>
      </c>
      <c r="T55" s="633">
        <f>ROUND(IF(('wgl tot'!P55+'wgl tot'!R55+'wgl tot'!S55)*BN55&lt;'wgl tot'!H55*tabellen!$D$89,'wgl tot'!H55*tabellen!$D$89,('wgl tot'!P55+'wgl tot'!R55+'wgl tot'!S55)*BN55),2)</f>
        <v>0</v>
      </c>
      <c r="U55" s="633">
        <f>ROUND(+('wgl tot'!P55+'wgl tot'!R55+'wgl tot'!S55)*BO55,2)</f>
        <v>0</v>
      </c>
      <c r="V55" s="633">
        <f>+tabellen!$C$85*'wgl tot'!H55</f>
        <v>0</v>
      </c>
      <c r="W55" s="633">
        <f>VLOOKUP(BP55,eindejaarsuitkering_OOP,2,TRUE)*'wgl tot'!H55/12</f>
        <v>0</v>
      </c>
      <c r="X55" s="633">
        <f>ROUND(IF(BQ55="j",tabellen!$D$99*IF('wgl tot'!H55&gt;1,1,'wgl tot'!H55),0),2)</f>
        <v>0</v>
      </c>
      <c r="Y55" s="654">
        <f t="shared" si="1"/>
        <v>0</v>
      </c>
      <c r="Z55" s="404"/>
      <c r="AA55" s="405"/>
      <c r="AB55" s="632">
        <f t="shared" si="2"/>
        <v>0</v>
      </c>
      <c r="AC55" s="633">
        <f>ROUND(IF(L55="j",VLOOKUP(K55,bindingstoelage,2,FALSE))*IF('wgl tot'!H55&gt;1,1,'wgl tot'!H55),2)</f>
        <v>0</v>
      </c>
      <c r="AD55" s="633">
        <f>ROUND('wgl tot'!H55*tabellen!$D$96,2)</f>
        <v>0</v>
      </c>
      <c r="AE55" s="633">
        <f>ROUND('wgl tot'!H55*tabellen!$D$97,2)</f>
        <v>0</v>
      </c>
      <c r="AF55" s="632">
        <f t="shared" si="3"/>
        <v>0</v>
      </c>
      <c r="AG55" s="402"/>
      <c r="AH55" s="633">
        <f>+('wgl tot'!AF55/(1+1.9%))*BR55</f>
        <v>0</v>
      </c>
      <c r="AI55" s="633">
        <f>IF(F55="",0,(791.85))</f>
        <v>0</v>
      </c>
      <c r="AJ55" s="632">
        <f>ROUND('wgl tot'!AF55-IF('wgl tot'!AI55&gt;'wgl tot'!AH55,'wgl tot'!AH55,'wgl tot'!AI55),0)</f>
        <v>0</v>
      </c>
      <c r="AK55" s="634">
        <f>IF('wgl tot'!E55&lt;1950,0,+('wgl tot'!P55+'wgl tot'!R55+'wgl tot'!S55)*tabellen!$C$87)*12</f>
        <v>0</v>
      </c>
      <c r="AL55" s="402"/>
      <c r="AM55" s="633">
        <f t="shared" si="4"/>
        <v>0</v>
      </c>
      <c r="AN55" s="633">
        <f>IF(F55="",0,(IF('wgl tot'!AJ55/'wgl tot'!H55&lt;tabellen!$E$57,0,('wgl tot'!AJ55-tabellen!$E$57*'wgl tot'!H55)/12)*tabellen!$C$57))</f>
        <v>0</v>
      </c>
      <c r="AO55" s="633">
        <f>IF(F55="",0,(IF('wgl tot'!AJ55/'wgl tot'!H55&lt;tabellen!$E$58,0,(+'wgl tot'!AJ55-tabellen!$E$58*'wgl tot'!H55)/12)*tabellen!$C$58))</f>
        <v>0</v>
      </c>
      <c r="AP55" s="633">
        <f>'wgl tot'!AJ55/12*tabellen!$C$59</f>
        <v>0</v>
      </c>
      <c r="AQ55" s="633">
        <f>IF(H55=0,0,IF(BY55&gt;tabellen!$G$60/12,tabellen!$G$60/12,BY55)*(tabellen!$C$60+tabellen!$C$61))</f>
        <v>0</v>
      </c>
      <c r="AR55" s="633">
        <f>IF(F55="",0,('wgl tot'!BZ55))</f>
        <v>0</v>
      </c>
      <c r="AS55" s="635">
        <f>IF(F55="",0,(IF('wgl tot'!BY55&gt;tabellen!$G$64*'wgl tot'!H55/12,tabellen!$G$64*'wgl tot'!H55/12,'wgl tot'!BY55)*tabellen!$C$64))</f>
        <v>0</v>
      </c>
      <c r="AT55" s="635">
        <f>IF(F55="",0,('wgl tot'!BY55*IF(M55=1,tabellen!$C$65,IF(M55=2,tabellen!C107,IF(M55=3,tabellen!$C$67,tabellen!$C$68)))))</f>
        <v>0</v>
      </c>
      <c r="AU55" s="635">
        <f>IF(F55="",0,('wgl tot'!BY55*tabellen!$C$69))</f>
        <v>0</v>
      </c>
      <c r="AV55" s="635">
        <f>+'wgl tot'!AK55/12</f>
        <v>0</v>
      </c>
      <c r="AW55" s="435">
        <v>0</v>
      </c>
      <c r="AX55" s="291">
        <f t="shared" si="5"/>
        <v>0</v>
      </c>
      <c r="AY55" s="658">
        <f t="shared" si="6"/>
        <v>0</v>
      </c>
      <c r="AZ55" s="658">
        <f t="shared" si="7"/>
        <v>0</v>
      </c>
      <c r="BA55" s="402"/>
      <c r="BB55" s="641" t="str">
        <f>IF(AY55=0,"",(+'wgl tot'!AY55/'wgl tot'!P55-1))</f>
        <v/>
      </c>
      <c r="BC55" s="402"/>
      <c r="BD55" s="385"/>
      <c r="BG55" s="621">
        <f ca="1">YEAR('wgl tot'!$BG$10)-YEAR('wgl tot'!E55)</f>
        <v>115</v>
      </c>
      <c r="BH55" s="621">
        <f ca="1">MONTH('wgl tot'!$BG$10)-MONTH('wgl tot'!E55)</f>
        <v>9</v>
      </c>
      <c r="BI55" s="621">
        <f ca="1">DAY('wgl tot'!$BG$10)-DAY('wgl tot'!E55)</f>
        <v>6</v>
      </c>
      <c r="BJ55" s="613">
        <f>IF(AND('wgl tot'!F55&gt;0,'wgl tot'!F55&lt;16),0,100)</f>
        <v>100</v>
      </c>
      <c r="BK55" s="613" t="e">
        <f>VLOOKUP('wgl tot'!F55,salaristabellen,22,FALSE)</f>
        <v>#N/A</v>
      </c>
      <c r="BL55" s="613">
        <f t="shared" si="14"/>
        <v>0</v>
      </c>
      <c r="BM55" s="619">
        <f t="shared" si="10"/>
        <v>42005</v>
      </c>
      <c r="BN55" s="622">
        <f t="shared" si="11"/>
        <v>0.08</v>
      </c>
      <c r="BO55" s="623">
        <f>+tabellen!$D$90</f>
        <v>6.3E-2</v>
      </c>
      <c r="BP55" s="621">
        <f>IF('wgl tot'!BJ55=100,0,'wgl tot'!F55)</f>
        <v>0</v>
      </c>
      <c r="BQ55" s="623" t="str">
        <f>IF(OR('wgl tot'!F55="DA",'wgl tot'!F55="DB",'wgl tot'!F55="DBuit",'wgl tot'!F55="DC",'wgl tot'!F55="DCuit",MID('wgl tot'!F55,1,5)="meerh"),"j","n")</f>
        <v>n</v>
      </c>
      <c r="BR55" s="623">
        <f t="shared" si="12"/>
        <v>1.9E-2</v>
      </c>
      <c r="BS55" s="624">
        <f>IF(AI55&gt;'wgl tot'!AH55,'wgl tot'!AH55,AI55)</f>
        <v>0</v>
      </c>
      <c r="BT55" s="624"/>
      <c r="BU55" s="625" t="e">
        <f>IF('wgl tot'!AJ55/'wgl tot'!H55&lt;tabellen!$E$57,0,(+'wgl tot'!AJ55-tabellen!$E$57*'wgl tot'!H55)/12*tabellen!$D$57)</f>
        <v>#DIV/0!</v>
      </c>
      <c r="BV55" s="625" t="e">
        <f>IF('wgl tot'!AJ55/'wgl tot'!H55&lt;tabellen!$E$58,0,(+'wgl tot'!AJ55-tabellen!$E$58*'wgl tot'!H55)/12*tabellen!$D$58)</f>
        <v>#DIV/0!</v>
      </c>
      <c r="BW55" s="625">
        <f>'wgl tot'!AJ55/12*tabellen!$D$59</f>
        <v>0</v>
      </c>
      <c r="BX55" s="626" t="e">
        <f t="shared" si="13"/>
        <v>#DIV/0!</v>
      </c>
      <c r="BY55" s="627" t="e">
        <f>+('wgl tot'!AF55+'wgl tot'!AK55)/12-'wgl tot'!BX55</f>
        <v>#DIV/0!</v>
      </c>
      <c r="BZ55" s="627" t="e">
        <f>ROUND(IF('wgl tot'!BY55&gt;tabellen!$H$63,tabellen!$H$63,'wgl tot'!BY55)*tabellen!$C$63,2)</f>
        <v>#DIV/0!</v>
      </c>
      <c r="CA55" s="627" t="e">
        <f>+'wgl tot'!BY55+'wgl tot'!BZ55</f>
        <v>#DIV/0!</v>
      </c>
      <c r="CB55" s="628">
        <f>YEAR(E55)</f>
        <v>1900</v>
      </c>
      <c r="CC55" s="628">
        <f>MONTH(E55)</f>
        <v>1</v>
      </c>
      <c r="CD55" s="621">
        <f>DAY(E55)</f>
        <v>0</v>
      </c>
      <c r="CE55" s="619">
        <f t="shared" si="8"/>
        <v>22462</v>
      </c>
      <c r="CF55" s="619">
        <f t="shared" ca="1" si="9"/>
        <v>42283.70841446759</v>
      </c>
      <c r="CG55" s="613"/>
      <c r="CH55" s="619"/>
      <c r="CI55" s="613"/>
      <c r="CJ55" s="624"/>
      <c r="CK55" s="624"/>
      <c r="CL55" s="624"/>
      <c r="CM55" s="624"/>
      <c r="CN55" s="624"/>
      <c r="CO55" s="624"/>
    </row>
    <row r="56" spans="2:93" ht="13.5" customHeight="1" x14ac:dyDescent="0.2">
      <c r="B56" s="384"/>
      <c r="C56" s="402"/>
      <c r="D56" s="286"/>
      <c r="E56" s="287"/>
      <c r="F56" s="288"/>
      <c r="G56" s="288"/>
      <c r="H56" s="289"/>
      <c r="I56" s="288"/>
      <c r="J56" s="288"/>
      <c r="K56" s="288"/>
      <c r="L56" s="288"/>
      <c r="M56" s="290"/>
      <c r="N56" s="402"/>
      <c r="O56" s="639">
        <f>IF(F56="",0,(VLOOKUP('wgl tot'!F56,salaristabellen,'wgl tot'!G56+1,FALSE)))</f>
        <v>0</v>
      </c>
      <c r="P56" s="661">
        <f>O56*H56</f>
        <v>0</v>
      </c>
      <c r="Q56" s="402"/>
      <c r="R56" s="633">
        <f>ROUND(IF(I56="j",VLOOKUP(BL56,uitlooptoeslag,2,FALSE))*IF('wgl tot'!H56&gt;1,1,'wgl tot'!H56),2)</f>
        <v>0</v>
      </c>
      <c r="S56" s="633">
        <f>ROUND(IF(OR('wgl tot'!F56="LA",'wgl tot'!F56="LB"),IF(J56="j",tabellen!$C$77*'wgl tot'!H56,0),0),2)</f>
        <v>0</v>
      </c>
      <c r="T56" s="633">
        <f>ROUND(IF(('wgl tot'!P56+'wgl tot'!R56+'wgl tot'!S56)*BN56&lt;'wgl tot'!H56*tabellen!$D$89,'wgl tot'!H56*tabellen!$D$89,('wgl tot'!P56+'wgl tot'!R56+'wgl tot'!S56)*BN56),2)</f>
        <v>0</v>
      </c>
      <c r="U56" s="633">
        <f>ROUND(+('wgl tot'!P56+'wgl tot'!R56+'wgl tot'!S56)*BO56,2)</f>
        <v>0</v>
      </c>
      <c r="V56" s="633">
        <f>+tabellen!$C$85*'wgl tot'!H56</f>
        <v>0</v>
      </c>
      <c r="W56" s="633">
        <f>VLOOKUP(BP56,eindejaarsuitkering_OOP,2,TRUE)*'wgl tot'!H56/12</f>
        <v>0</v>
      </c>
      <c r="X56" s="633">
        <f>ROUND(IF(BQ56="j",tabellen!$D$99*IF('wgl tot'!H56&gt;1,1,'wgl tot'!H56),0),2)</f>
        <v>0</v>
      </c>
      <c r="Y56" s="654">
        <f t="shared" si="1"/>
        <v>0</v>
      </c>
      <c r="Z56" s="404"/>
      <c r="AA56" s="405"/>
      <c r="AB56" s="632">
        <f t="shared" si="2"/>
        <v>0</v>
      </c>
      <c r="AC56" s="633">
        <f>ROUND(IF(L56="j",VLOOKUP(K56,bindingstoelage,2,FALSE))*IF('wgl tot'!H56&gt;1,1,'wgl tot'!H56),2)</f>
        <v>0</v>
      </c>
      <c r="AD56" s="633">
        <f>ROUND('wgl tot'!H56*tabellen!$D$96,2)</f>
        <v>0</v>
      </c>
      <c r="AE56" s="633">
        <f>ROUND('wgl tot'!H56*tabellen!$D$97,2)</f>
        <v>0</v>
      </c>
      <c r="AF56" s="632">
        <f t="shared" si="3"/>
        <v>0</v>
      </c>
      <c r="AG56" s="402"/>
      <c r="AH56" s="633">
        <f>+('wgl tot'!AF56/(1+1.9%))*BR56</f>
        <v>0</v>
      </c>
      <c r="AI56" s="633">
        <f>IF(F56="",0,(791.85))</f>
        <v>0</v>
      </c>
      <c r="AJ56" s="632">
        <f>ROUND('wgl tot'!AF56-IF('wgl tot'!AI56&gt;'wgl tot'!AH56,'wgl tot'!AH56,'wgl tot'!AI56),0)</f>
        <v>0</v>
      </c>
      <c r="AK56" s="634">
        <f>IF('wgl tot'!E56&lt;1950,0,+('wgl tot'!P56+'wgl tot'!R56+'wgl tot'!S56)*tabellen!$C$87)*12</f>
        <v>0</v>
      </c>
      <c r="AL56" s="402"/>
      <c r="AM56" s="633">
        <f t="shared" si="4"/>
        <v>0</v>
      </c>
      <c r="AN56" s="633">
        <f>IF(F56="",0,(IF('wgl tot'!AJ56/'wgl tot'!H56&lt;tabellen!$E$57,0,('wgl tot'!AJ56-tabellen!$E$57*'wgl tot'!H56)/12)*tabellen!$C$57))</f>
        <v>0</v>
      </c>
      <c r="AO56" s="633">
        <f>IF(F56="",0,(IF('wgl tot'!AJ56/'wgl tot'!H56&lt;tabellen!$E$58,0,(+'wgl tot'!AJ56-tabellen!$E$58*'wgl tot'!H56)/12)*tabellen!$C$58))</f>
        <v>0</v>
      </c>
      <c r="AP56" s="633">
        <f>'wgl tot'!AJ56/12*tabellen!$C$59</f>
        <v>0</v>
      </c>
      <c r="AQ56" s="633">
        <f>IF(H56=0,0,IF(BY56&gt;tabellen!$G$60/12,tabellen!$G$60/12,BY56)*(tabellen!$C$60+tabellen!$C$61))</f>
        <v>0</v>
      </c>
      <c r="AR56" s="633">
        <f>IF(F56="",0,('wgl tot'!BZ56))</f>
        <v>0</v>
      </c>
      <c r="AS56" s="635">
        <f>IF(F56="",0,(IF('wgl tot'!BY56&gt;tabellen!$G$64*'wgl tot'!H56/12,tabellen!$G$64*'wgl tot'!H56/12,'wgl tot'!BY56)*tabellen!$C$64))</f>
        <v>0</v>
      </c>
      <c r="AT56" s="635">
        <f>IF(F56="",0,('wgl tot'!BY56*IF(M56=1,tabellen!$C$65,IF(M56=2,tabellen!C108,IF(M56=3,tabellen!$C$67,tabellen!$C$68)))))</f>
        <v>0</v>
      </c>
      <c r="AU56" s="635">
        <f>IF(F56="",0,('wgl tot'!BY56*tabellen!$C$69))</f>
        <v>0</v>
      </c>
      <c r="AV56" s="635">
        <f>+'wgl tot'!AK56/12</f>
        <v>0</v>
      </c>
      <c r="AW56" s="435">
        <v>0</v>
      </c>
      <c r="AX56" s="291">
        <f t="shared" si="5"/>
        <v>0</v>
      </c>
      <c r="AY56" s="658">
        <f t="shared" si="6"/>
        <v>0</v>
      </c>
      <c r="AZ56" s="658">
        <f t="shared" si="7"/>
        <v>0</v>
      </c>
      <c r="BA56" s="402"/>
      <c r="BB56" s="641" t="str">
        <f>IF(AY56=0,"",(+'wgl tot'!AY56/'wgl tot'!P56-1))</f>
        <v/>
      </c>
      <c r="BC56" s="402"/>
      <c r="BD56" s="385"/>
      <c r="BG56" s="621">
        <f ca="1">YEAR('wgl tot'!$BG$10)-YEAR('wgl tot'!E56)</f>
        <v>115</v>
      </c>
      <c r="BH56" s="621">
        <f ca="1">MONTH('wgl tot'!$BG$10)-MONTH('wgl tot'!E56)</f>
        <v>9</v>
      </c>
      <c r="BI56" s="621">
        <f ca="1">DAY('wgl tot'!$BG$10)-DAY('wgl tot'!E56)</f>
        <v>6</v>
      </c>
      <c r="BJ56" s="613">
        <f>IF(AND('wgl tot'!F56&gt;0,'wgl tot'!F56&lt;16),0,100)</f>
        <v>100</v>
      </c>
      <c r="BK56" s="613" t="e">
        <f>VLOOKUP('wgl tot'!F56,salaristabellen,22,FALSE)</f>
        <v>#N/A</v>
      </c>
      <c r="BL56" s="613">
        <f t="shared" si="14"/>
        <v>0</v>
      </c>
      <c r="BM56" s="619">
        <f t="shared" si="10"/>
        <v>42005</v>
      </c>
      <c r="BN56" s="622">
        <f t="shared" si="11"/>
        <v>0.08</v>
      </c>
      <c r="BO56" s="623">
        <f>+tabellen!$D$90</f>
        <v>6.3E-2</v>
      </c>
      <c r="BP56" s="621">
        <f>IF('wgl tot'!BJ56=100,0,'wgl tot'!F56)</f>
        <v>0</v>
      </c>
      <c r="BQ56" s="623" t="str">
        <f>IF(OR('wgl tot'!F56="DA",'wgl tot'!F56="DB",'wgl tot'!F56="DBuit",'wgl tot'!F56="DC",'wgl tot'!F56="DCuit",MID('wgl tot'!F56,1,5)="meerh"),"j","n")</f>
        <v>n</v>
      </c>
      <c r="BR56" s="623">
        <f t="shared" si="12"/>
        <v>1.9E-2</v>
      </c>
      <c r="BS56" s="624">
        <f>IF(AI56&gt;'wgl tot'!AH56,'wgl tot'!AH56,AI56)</f>
        <v>0</v>
      </c>
      <c r="BT56" s="624"/>
      <c r="BU56" s="625" t="e">
        <f>IF('wgl tot'!AJ56/'wgl tot'!H56&lt;tabellen!$E$57,0,(+'wgl tot'!AJ56-tabellen!$E$57*'wgl tot'!H56)/12*tabellen!$D$57)</f>
        <v>#DIV/0!</v>
      </c>
      <c r="BV56" s="625" t="e">
        <f>IF('wgl tot'!AJ56/'wgl tot'!H56&lt;tabellen!$E$58,0,(+'wgl tot'!AJ56-tabellen!$E$58*'wgl tot'!H56)/12*tabellen!$D$58)</f>
        <v>#DIV/0!</v>
      </c>
      <c r="BW56" s="625">
        <f>'wgl tot'!AJ56/12*tabellen!$D$59</f>
        <v>0</v>
      </c>
      <c r="BX56" s="626" t="e">
        <f t="shared" si="13"/>
        <v>#DIV/0!</v>
      </c>
      <c r="BY56" s="627" t="e">
        <f>+('wgl tot'!AF56+'wgl tot'!AK56)/12-'wgl tot'!BX56</f>
        <v>#DIV/0!</v>
      </c>
      <c r="BZ56" s="627" t="e">
        <f>ROUND(IF('wgl tot'!BY56&gt;tabellen!$H$63,tabellen!$H$63,'wgl tot'!BY56)*tabellen!$C$63,2)</f>
        <v>#DIV/0!</v>
      </c>
      <c r="CA56" s="627" t="e">
        <f>+'wgl tot'!BY56+'wgl tot'!BZ56</f>
        <v>#DIV/0!</v>
      </c>
      <c r="CB56" s="628">
        <f>YEAR(E56)</f>
        <v>1900</v>
      </c>
      <c r="CC56" s="628">
        <f>MONTH(E56)</f>
        <v>1</v>
      </c>
      <c r="CD56" s="621">
        <f>DAY(E56)</f>
        <v>0</v>
      </c>
      <c r="CE56" s="619">
        <f t="shared" si="8"/>
        <v>22462</v>
      </c>
      <c r="CF56" s="619">
        <f t="shared" ca="1" si="9"/>
        <v>42283.70841446759</v>
      </c>
      <c r="CG56" s="613"/>
      <c r="CH56" s="619"/>
      <c r="CI56" s="613"/>
      <c r="CJ56" s="624"/>
      <c r="CK56" s="624"/>
      <c r="CL56" s="624"/>
      <c r="CM56" s="624"/>
      <c r="CN56" s="624"/>
      <c r="CO56" s="624"/>
    </row>
    <row r="57" spans="2:93" ht="13.5" customHeight="1" x14ac:dyDescent="0.2">
      <c r="B57" s="384"/>
      <c r="C57" s="402"/>
      <c r="D57" s="286"/>
      <c r="E57" s="287"/>
      <c r="F57" s="288"/>
      <c r="G57" s="288"/>
      <c r="H57" s="289"/>
      <c r="I57" s="288"/>
      <c r="J57" s="288"/>
      <c r="K57" s="288"/>
      <c r="L57" s="288"/>
      <c r="M57" s="290"/>
      <c r="N57" s="402"/>
      <c r="O57" s="639">
        <f>IF(F57="",0,(VLOOKUP('wgl tot'!F57,salaristabellen,'wgl tot'!G57+1,FALSE)))</f>
        <v>0</v>
      </c>
      <c r="P57" s="661">
        <f>O57*H57</f>
        <v>0</v>
      </c>
      <c r="Q57" s="402"/>
      <c r="R57" s="633">
        <f>ROUND(IF(I57="j",VLOOKUP(BL57,uitlooptoeslag,2,FALSE))*IF('wgl tot'!H57&gt;1,1,'wgl tot'!H57),2)</f>
        <v>0</v>
      </c>
      <c r="S57" s="633">
        <f>ROUND(IF(OR('wgl tot'!F57="LA",'wgl tot'!F57="LB"),IF(J57="j",tabellen!$C$77*'wgl tot'!H57,0),0),2)</f>
        <v>0</v>
      </c>
      <c r="T57" s="633">
        <f>ROUND(IF(('wgl tot'!P57+'wgl tot'!R57+'wgl tot'!S57)*BN57&lt;'wgl tot'!H57*tabellen!$D$89,'wgl tot'!H57*tabellen!$D$89,('wgl tot'!P57+'wgl tot'!R57+'wgl tot'!S57)*BN57),2)</f>
        <v>0</v>
      </c>
      <c r="U57" s="633">
        <f>ROUND(+('wgl tot'!P57+'wgl tot'!R57+'wgl tot'!S57)*BO57,2)</f>
        <v>0</v>
      </c>
      <c r="V57" s="633">
        <f>+tabellen!$C$85*'wgl tot'!H57</f>
        <v>0</v>
      </c>
      <c r="W57" s="633">
        <f>VLOOKUP(BP57,eindejaarsuitkering_OOP,2,TRUE)*'wgl tot'!H57/12</f>
        <v>0</v>
      </c>
      <c r="X57" s="633">
        <f>ROUND(IF(BQ57="j",tabellen!$D$99*IF('wgl tot'!H57&gt;1,1,'wgl tot'!H57),0),2)</f>
        <v>0</v>
      </c>
      <c r="Y57" s="654">
        <f t="shared" si="1"/>
        <v>0</v>
      </c>
      <c r="Z57" s="404"/>
      <c r="AA57" s="405"/>
      <c r="AB57" s="632">
        <f t="shared" si="2"/>
        <v>0</v>
      </c>
      <c r="AC57" s="633">
        <f>ROUND(IF(L57="j",VLOOKUP(K57,bindingstoelage,2,FALSE))*IF('wgl tot'!H57&gt;1,1,'wgl tot'!H57),2)</f>
        <v>0</v>
      </c>
      <c r="AD57" s="633">
        <f>ROUND('wgl tot'!H57*tabellen!$D$96,2)</f>
        <v>0</v>
      </c>
      <c r="AE57" s="633">
        <f>ROUND('wgl tot'!H57*tabellen!$D$97,2)</f>
        <v>0</v>
      </c>
      <c r="AF57" s="632">
        <f t="shared" si="3"/>
        <v>0</v>
      </c>
      <c r="AG57" s="402"/>
      <c r="AH57" s="633">
        <f>+('wgl tot'!AF57/(1+1.9%))*BR57</f>
        <v>0</v>
      </c>
      <c r="AI57" s="633">
        <f>IF(F57="",0,(791.85))</f>
        <v>0</v>
      </c>
      <c r="AJ57" s="632">
        <f>ROUND('wgl tot'!AF57-IF('wgl tot'!AI57&gt;'wgl tot'!AH57,'wgl tot'!AH57,'wgl tot'!AI57),0)</f>
        <v>0</v>
      </c>
      <c r="AK57" s="634">
        <f>IF('wgl tot'!E57&lt;1950,0,+('wgl tot'!P57+'wgl tot'!R57+'wgl tot'!S57)*tabellen!$C$87)*12</f>
        <v>0</v>
      </c>
      <c r="AL57" s="402"/>
      <c r="AM57" s="633">
        <f t="shared" si="4"/>
        <v>0</v>
      </c>
      <c r="AN57" s="633">
        <f>IF(F57="",0,(IF('wgl tot'!AJ57/'wgl tot'!H57&lt;tabellen!$E$57,0,('wgl tot'!AJ57-tabellen!$E$57*'wgl tot'!H57)/12)*tabellen!$C$57))</f>
        <v>0</v>
      </c>
      <c r="AO57" s="633">
        <f>IF(F57="",0,(IF('wgl tot'!AJ57/'wgl tot'!H57&lt;tabellen!$E$58,0,(+'wgl tot'!AJ57-tabellen!$E$58*'wgl tot'!H57)/12)*tabellen!$C$58))</f>
        <v>0</v>
      </c>
      <c r="AP57" s="633">
        <f>'wgl tot'!AJ57/12*tabellen!$C$59</f>
        <v>0</v>
      </c>
      <c r="AQ57" s="633">
        <f>IF(H57=0,0,IF(BY57&gt;tabellen!$G$60/12,tabellen!$G$60/12,BY57)*(tabellen!$C$60+tabellen!$C$61))</f>
        <v>0</v>
      </c>
      <c r="AR57" s="633">
        <f>IF(F57="",0,('wgl tot'!BZ57))</f>
        <v>0</v>
      </c>
      <c r="AS57" s="635">
        <f>IF(F57="",0,(IF('wgl tot'!BY57&gt;tabellen!$G$64*'wgl tot'!H57/12,tabellen!$G$64*'wgl tot'!H57/12,'wgl tot'!BY57)*tabellen!$C$64))</f>
        <v>0</v>
      </c>
      <c r="AT57" s="635">
        <f>IF(F57="",0,('wgl tot'!BY57*IF(M57=1,tabellen!$C$65,IF(M57=2,tabellen!C109,IF(M57=3,tabellen!$C$67,tabellen!$C$68)))))</f>
        <v>0</v>
      </c>
      <c r="AU57" s="635">
        <f>IF(F57="",0,('wgl tot'!BY57*tabellen!$C$69))</f>
        <v>0</v>
      </c>
      <c r="AV57" s="635">
        <f>+'wgl tot'!AK57/12</f>
        <v>0</v>
      </c>
      <c r="AW57" s="435">
        <v>0</v>
      </c>
      <c r="AX57" s="291">
        <f t="shared" si="5"/>
        <v>0</v>
      </c>
      <c r="AY57" s="658">
        <f t="shared" si="6"/>
        <v>0</v>
      </c>
      <c r="AZ57" s="658">
        <f t="shared" si="7"/>
        <v>0</v>
      </c>
      <c r="BA57" s="402"/>
      <c r="BB57" s="641" t="str">
        <f>IF(AY57=0,"",(+'wgl tot'!AY57/'wgl tot'!P57-1))</f>
        <v/>
      </c>
      <c r="BC57" s="402"/>
      <c r="BD57" s="385"/>
      <c r="BG57" s="621">
        <f ca="1">YEAR('wgl tot'!$BG$10)-YEAR('wgl tot'!E57)</f>
        <v>115</v>
      </c>
      <c r="BH57" s="621">
        <f ca="1">MONTH('wgl tot'!$BG$10)-MONTH('wgl tot'!E57)</f>
        <v>9</v>
      </c>
      <c r="BI57" s="621">
        <f ca="1">DAY('wgl tot'!$BG$10)-DAY('wgl tot'!E57)</f>
        <v>6</v>
      </c>
      <c r="BJ57" s="613">
        <f>IF(AND('wgl tot'!F57&gt;0,'wgl tot'!F57&lt;16),0,100)</f>
        <v>100</v>
      </c>
      <c r="BK57" s="613" t="e">
        <f>VLOOKUP('wgl tot'!F57,salaristabellen,22,FALSE)</f>
        <v>#N/A</v>
      </c>
      <c r="BL57" s="613">
        <f t="shared" si="14"/>
        <v>0</v>
      </c>
      <c r="BM57" s="619">
        <f t="shared" si="10"/>
        <v>42005</v>
      </c>
      <c r="BN57" s="622">
        <f t="shared" si="11"/>
        <v>0.08</v>
      </c>
      <c r="BO57" s="623">
        <f>+tabellen!$D$90</f>
        <v>6.3E-2</v>
      </c>
      <c r="BP57" s="621">
        <f>IF('wgl tot'!BJ57=100,0,'wgl tot'!F57)</f>
        <v>0</v>
      </c>
      <c r="BQ57" s="623" t="str">
        <f>IF(OR('wgl tot'!F57="DA",'wgl tot'!F57="DB",'wgl tot'!F57="DBuit",'wgl tot'!F57="DC",'wgl tot'!F57="DCuit",MID('wgl tot'!F57,1,5)="meerh"),"j","n")</f>
        <v>n</v>
      </c>
      <c r="BR57" s="623">
        <f t="shared" si="12"/>
        <v>1.9E-2</v>
      </c>
      <c r="BS57" s="624">
        <f>IF(AI57&gt;'wgl tot'!AH57,'wgl tot'!AH57,AI57)</f>
        <v>0</v>
      </c>
      <c r="BT57" s="624"/>
      <c r="BU57" s="625" t="e">
        <f>IF('wgl tot'!AJ57/'wgl tot'!H57&lt;tabellen!$E$57,0,(+'wgl tot'!AJ57-tabellen!$E$57*'wgl tot'!H57)/12*tabellen!$D$57)</f>
        <v>#DIV/0!</v>
      </c>
      <c r="BV57" s="625" t="e">
        <f>IF('wgl tot'!AJ57/'wgl tot'!H57&lt;tabellen!$E$58,0,(+'wgl tot'!AJ57-tabellen!$E$58*'wgl tot'!H57)/12*tabellen!$D$58)</f>
        <v>#DIV/0!</v>
      </c>
      <c r="BW57" s="625">
        <f>'wgl tot'!AJ57/12*tabellen!$D$59</f>
        <v>0</v>
      </c>
      <c r="BX57" s="626" t="e">
        <f t="shared" si="13"/>
        <v>#DIV/0!</v>
      </c>
      <c r="BY57" s="627" t="e">
        <f>+('wgl tot'!AF57+'wgl tot'!AK57)/12-'wgl tot'!BX57</f>
        <v>#DIV/0!</v>
      </c>
      <c r="BZ57" s="627" t="e">
        <f>ROUND(IF('wgl tot'!BY57&gt;tabellen!$H$63,tabellen!$H$63,'wgl tot'!BY57)*tabellen!$C$63,2)</f>
        <v>#DIV/0!</v>
      </c>
      <c r="CA57" s="627" t="e">
        <f>+'wgl tot'!BY57+'wgl tot'!BZ57</f>
        <v>#DIV/0!</v>
      </c>
      <c r="CB57" s="628">
        <f>YEAR(E57)</f>
        <v>1900</v>
      </c>
      <c r="CC57" s="628">
        <f>MONTH(E57)</f>
        <v>1</v>
      </c>
      <c r="CD57" s="621">
        <f>DAY(E57)</f>
        <v>0</v>
      </c>
      <c r="CE57" s="619">
        <f t="shared" si="8"/>
        <v>22462</v>
      </c>
      <c r="CF57" s="619">
        <f t="shared" ca="1" si="9"/>
        <v>42283.70841446759</v>
      </c>
      <c r="CG57" s="613"/>
      <c r="CH57" s="619"/>
      <c r="CI57" s="613"/>
      <c r="CJ57" s="624"/>
      <c r="CK57" s="624"/>
      <c r="CL57" s="624"/>
      <c r="CM57" s="624"/>
      <c r="CN57" s="624"/>
      <c r="CO57" s="624"/>
    </row>
    <row r="58" spans="2:93" ht="13.5" customHeight="1" x14ac:dyDescent="0.2">
      <c r="B58" s="384"/>
      <c r="C58" s="402"/>
      <c r="D58" s="286"/>
      <c r="E58" s="287"/>
      <c r="F58" s="288"/>
      <c r="G58" s="288"/>
      <c r="H58" s="289"/>
      <c r="I58" s="288"/>
      <c r="J58" s="288"/>
      <c r="K58" s="288"/>
      <c r="L58" s="288"/>
      <c r="M58" s="290"/>
      <c r="N58" s="402"/>
      <c r="O58" s="639">
        <f>IF(F58="",0,(VLOOKUP('wgl tot'!F58,salaristabellen,'wgl tot'!G58+1,FALSE)))</f>
        <v>0</v>
      </c>
      <c r="P58" s="661">
        <f>O58*H58</f>
        <v>0</v>
      </c>
      <c r="Q58" s="402"/>
      <c r="R58" s="633">
        <f>ROUND(IF(I58="j",VLOOKUP(BL58,uitlooptoeslag,2,FALSE))*IF('wgl tot'!H58&gt;1,1,'wgl tot'!H58),2)</f>
        <v>0</v>
      </c>
      <c r="S58" s="633">
        <f>ROUND(IF(OR('wgl tot'!F58="LA",'wgl tot'!F58="LB"),IF(J58="j",tabellen!$C$77*'wgl tot'!H58,0),0),2)</f>
        <v>0</v>
      </c>
      <c r="T58" s="633">
        <f>ROUND(IF(('wgl tot'!P58+'wgl tot'!R58+'wgl tot'!S58)*BN58&lt;'wgl tot'!H58*tabellen!$D$89,'wgl tot'!H58*tabellen!$D$89,('wgl tot'!P58+'wgl tot'!R58+'wgl tot'!S58)*BN58),2)</f>
        <v>0</v>
      </c>
      <c r="U58" s="633">
        <f>ROUND(+('wgl tot'!P58+'wgl tot'!R58+'wgl tot'!S58)*BO58,2)</f>
        <v>0</v>
      </c>
      <c r="V58" s="633">
        <f>+tabellen!$C$85*'wgl tot'!H58</f>
        <v>0</v>
      </c>
      <c r="W58" s="633">
        <f>VLOOKUP(BP58,eindejaarsuitkering_OOP,2,TRUE)*'wgl tot'!H58/12</f>
        <v>0</v>
      </c>
      <c r="X58" s="633">
        <f>ROUND(IF(BQ58="j",tabellen!$D$99*IF('wgl tot'!H58&gt;1,1,'wgl tot'!H58),0),2)</f>
        <v>0</v>
      </c>
      <c r="Y58" s="654">
        <f t="shared" si="1"/>
        <v>0</v>
      </c>
      <c r="Z58" s="404"/>
      <c r="AA58" s="405"/>
      <c r="AB58" s="632">
        <f t="shared" si="2"/>
        <v>0</v>
      </c>
      <c r="AC58" s="633">
        <f>ROUND(IF(L58="j",VLOOKUP(K58,bindingstoelage,2,FALSE))*IF('wgl tot'!H58&gt;1,1,'wgl tot'!H58),2)</f>
        <v>0</v>
      </c>
      <c r="AD58" s="633">
        <f>ROUND('wgl tot'!H58*tabellen!$D$96,2)</f>
        <v>0</v>
      </c>
      <c r="AE58" s="633">
        <f>ROUND('wgl tot'!H58*tabellen!$D$97,2)</f>
        <v>0</v>
      </c>
      <c r="AF58" s="632">
        <f t="shared" si="3"/>
        <v>0</v>
      </c>
      <c r="AG58" s="402"/>
      <c r="AH58" s="633">
        <f>+('wgl tot'!AF58/(1+1.9%))*BR58</f>
        <v>0</v>
      </c>
      <c r="AI58" s="633">
        <f>IF(F58="",0,(791.85))</f>
        <v>0</v>
      </c>
      <c r="AJ58" s="632">
        <f>ROUND('wgl tot'!AF58-IF('wgl tot'!AI58&gt;'wgl tot'!AH58,'wgl tot'!AH58,'wgl tot'!AI58),0)</f>
        <v>0</v>
      </c>
      <c r="AK58" s="634">
        <f>IF('wgl tot'!E58&lt;1950,0,+('wgl tot'!P58+'wgl tot'!R58+'wgl tot'!S58)*tabellen!$C$87)*12</f>
        <v>0</v>
      </c>
      <c r="AL58" s="402"/>
      <c r="AM58" s="633">
        <f t="shared" si="4"/>
        <v>0</v>
      </c>
      <c r="AN58" s="633">
        <f>IF(F58="",0,(IF('wgl tot'!AJ58/'wgl tot'!H58&lt;tabellen!$E$57,0,('wgl tot'!AJ58-tabellen!$E$57*'wgl tot'!H58)/12)*tabellen!$C$57))</f>
        <v>0</v>
      </c>
      <c r="AO58" s="633">
        <f>IF(F58="",0,(IF('wgl tot'!AJ58/'wgl tot'!H58&lt;tabellen!$E$58,0,(+'wgl tot'!AJ58-tabellen!$E$58*'wgl tot'!H58)/12)*tabellen!$C$58))</f>
        <v>0</v>
      </c>
      <c r="AP58" s="633">
        <f>'wgl tot'!AJ58/12*tabellen!$C$59</f>
        <v>0</v>
      </c>
      <c r="AQ58" s="633">
        <f>IF(H58=0,0,IF(BY58&gt;tabellen!$G$60/12,tabellen!$G$60/12,BY58)*(tabellen!$C$60+tabellen!$C$61))</f>
        <v>0</v>
      </c>
      <c r="AR58" s="633">
        <f>IF(F58="",0,('wgl tot'!BZ58))</f>
        <v>0</v>
      </c>
      <c r="AS58" s="635">
        <f>IF(F58="",0,(IF('wgl tot'!BY58&gt;tabellen!$G$64*'wgl tot'!H58/12,tabellen!$G$64*'wgl tot'!H58/12,'wgl tot'!BY58)*tabellen!$C$64))</f>
        <v>0</v>
      </c>
      <c r="AT58" s="635">
        <f>IF(F58="",0,('wgl tot'!BY58*IF(M58=1,tabellen!$C$65,IF(M58=2,tabellen!C110,IF(M58=3,tabellen!$C$67,tabellen!$C$68)))))</f>
        <v>0</v>
      </c>
      <c r="AU58" s="635">
        <f>IF(F58="",0,('wgl tot'!BY58*tabellen!$C$69))</f>
        <v>0</v>
      </c>
      <c r="AV58" s="635">
        <f>+'wgl tot'!AK58/12</f>
        <v>0</v>
      </c>
      <c r="AW58" s="435">
        <v>0</v>
      </c>
      <c r="AX58" s="291">
        <f t="shared" si="5"/>
        <v>0</v>
      </c>
      <c r="AY58" s="658">
        <f t="shared" si="6"/>
        <v>0</v>
      </c>
      <c r="AZ58" s="658">
        <f t="shared" si="7"/>
        <v>0</v>
      </c>
      <c r="BA58" s="402"/>
      <c r="BB58" s="641" t="str">
        <f>IF(AY58=0,"",(+'wgl tot'!AY58/'wgl tot'!P58-1))</f>
        <v/>
      </c>
      <c r="BC58" s="402"/>
      <c r="BD58" s="385"/>
      <c r="BG58" s="621">
        <f ca="1">YEAR('wgl tot'!$BG$10)-YEAR('wgl tot'!E58)</f>
        <v>115</v>
      </c>
      <c r="BH58" s="621">
        <f ca="1">MONTH('wgl tot'!$BG$10)-MONTH('wgl tot'!E58)</f>
        <v>9</v>
      </c>
      <c r="BI58" s="621">
        <f ca="1">DAY('wgl tot'!$BG$10)-DAY('wgl tot'!E58)</f>
        <v>6</v>
      </c>
      <c r="BJ58" s="613">
        <f>IF(AND('wgl tot'!F58&gt;0,'wgl tot'!F58&lt;16),0,100)</f>
        <v>100</v>
      </c>
      <c r="BK58" s="613" t="e">
        <f>VLOOKUP('wgl tot'!F58,salaristabellen,22,FALSE)</f>
        <v>#N/A</v>
      </c>
      <c r="BL58" s="613">
        <f t="shared" si="14"/>
        <v>0</v>
      </c>
      <c r="BM58" s="619">
        <f t="shared" si="10"/>
        <v>42005</v>
      </c>
      <c r="BN58" s="622">
        <f t="shared" si="11"/>
        <v>0.08</v>
      </c>
      <c r="BO58" s="623">
        <f>+tabellen!$D$90</f>
        <v>6.3E-2</v>
      </c>
      <c r="BP58" s="621">
        <f>IF('wgl tot'!BJ58=100,0,'wgl tot'!F58)</f>
        <v>0</v>
      </c>
      <c r="BQ58" s="623" t="str">
        <f>IF(OR('wgl tot'!F58="DA",'wgl tot'!F58="DB",'wgl tot'!F58="DBuit",'wgl tot'!F58="DC",'wgl tot'!F58="DCuit",MID('wgl tot'!F58,1,5)="meerh"),"j","n")</f>
        <v>n</v>
      </c>
      <c r="BR58" s="623">
        <f t="shared" si="12"/>
        <v>1.9E-2</v>
      </c>
      <c r="BS58" s="624">
        <f>IF(AI58&gt;'wgl tot'!AH58,'wgl tot'!AH58,AI58)</f>
        <v>0</v>
      </c>
      <c r="BT58" s="624"/>
      <c r="BU58" s="625" t="e">
        <f>IF('wgl tot'!AJ58/'wgl tot'!H58&lt;tabellen!$E$57,0,(+'wgl tot'!AJ58-tabellen!$E$57*'wgl tot'!H58)/12*tabellen!$D$57)</f>
        <v>#DIV/0!</v>
      </c>
      <c r="BV58" s="625" t="e">
        <f>IF('wgl tot'!AJ58/'wgl tot'!H58&lt;tabellen!$E$58,0,(+'wgl tot'!AJ58-tabellen!$E$58*'wgl tot'!H58)/12*tabellen!$D$58)</f>
        <v>#DIV/0!</v>
      </c>
      <c r="BW58" s="625">
        <f>'wgl tot'!AJ58/12*tabellen!$D$59</f>
        <v>0</v>
      </c>
      <c r="BX58" s="626" t="e">
        <f t="shared" si="13"/>
        <v>#DIV/0!</v>
      </c>
      <c r="BY58" s="627" t="e">
        <f>+('wgl tot'!AF58+'wgl tot'!AK58)/12-'wgl tot'!BX58</f>
        <v>#DIV/0!</v>
      </c>
      <c r="BZ58" s="627" t="e">
        <f>ROUND(IF('wgl tot'!BY58&gt;tabellen!$H$63,tabellen!$H$63,'wgl tot'!BY58)*tabellen!$C$63,2)</f>
        <v>#DIV/0!</v>
      </c>
      <c r="CA58" s="627" t="e">
        <f>+'wgl tot'!BY58+'wgl tot'!BZ58</f>
        <v>#DIV/0!</v>
      </c>
      <c r="CB58" s="628">
        <f>YEAR(E58)</f>
        <v>1900</v>
      </c>
      <c r="CC58" s="628">
        <f>MONTH(E58)</f>
        <v>1</v>
      </c>
      <c r="CD58" s="621">
        <f>DAY(E58)</f>
        <v>0</v>
      </c>
      <c r="CE58" s="619">
        <f t="shared" si="8"/>
        <v>22462</v>
      </c>
      <c r="CF58" s="619">
        <f t="shared" ca="1" si="9"/>
        <v>42283.70841446759</v>
      </c>
      <c r="CG58" s="613"/>
      <c r="CH58" s="619"/>
      <c r="CI58" s="613"/>
      <c r="CJ58" s="624"/>
      <c r="CK58" s="624"/>
      <c r="CL58" s="624"/>
      <c r="CM58" s="624"/>
      <c r="CN58" s="624"/>
      <c r="CO58" s="624"/>
    </row>
    <row r="59" spans="2:93" ht="13.5" customHeight="1" x14ac:dyDescent="0.2">
      <c r="B59" s="384"/>
      <c r="C59" s="402"/>
      <c r="D59" s="286"/>
      <c r="E59" s="287"/>
      <c r="F59" s="288"/>
      <c r="G59" s="288"/>
      <c r="H59" s="289"/>
      <c r="I59" s="288"/>
      <c r="J59" s="288"/>
      <c r="K59" s="288"/>
      <c r="L59" s="288"/>
      <c r="M59" s="290"/>
      <c r="N59" s="402"/>
      <c r="O59" s="639">
        <f>IF(F59="",0,(VLOOKUP('wgl tot'!F59,salaristabellen,'wgl tot'!G59+1,FALSE)))</f>
        <v>0</v>
      </c>
      <c r="P59" s="661">
        <f>O59*H59</f>
        <v>0</v>
      </c>
      <c r="Q59" s="402"/>
      <c r="R59" s="633">
        <f>ROUND(IF(I59="j",VLOOKUP(BL59,uitlooptoeslag,2,FALSE))*IF('wgl tot'!H59&gt;1,1,'wgl tot'!H59),2)</f>
        <v>0</v>
      </c>
      <c r="S59" s="633">
        <f>ROUND(IF(OR('wgl tot'!F59="LA",'wgl tot'!F59="LB"),IF(J59="j",tabellen!$C$77*'wgl tot'!H59,0),0),2)</f>
        <v>0</v>
      </c>
      <c r="T59" s="633">
        <f>ROUND(IF(('wgl tot'!P59+'wgl tot'!R59+'wgl tot'!S59)*BN59&lt;'wgl tot'!H59*tabellen!$D$89,'wgl tot'!H59*tabellen!$D$89,('wgl tot'!P59+'wgl tot'!R59+'wgl tot'!S59)*BN59),2)</f>
        <v>0</v>
      </c>
      <c r="U59" s="633">
        <f>ROUND(+('wgl tot'!P59+'wgl tot'!R59+'wgl tot'!S59)*BO59,2)</f>
        <v>0</v>
      </c>
      <c r="V59" s="633">
        <f>+tabellen!$C$85*'wgl tot'!H59</f>
        <v>0</v>
      </c>
      <c r="W59" s="633">
        <f>VLOOKUP(BP59,eindejaarsuitkering_OOP,2,TRUE)*'wgl tot'!H59/12</f>
        <v>0</v>
      </c>
      <c r="X59" s="633">
        <f>ROUND(IF(BQ59="j",tabellen!$D$99*IF('wgl tot'!H59&gt;1,1,'wgl tot'!H59),0),2)</f>
        <v>0</v>
      </c>
      <c r="Y59" s="654">
        <f t="shared" si="1"/>
        <v>0</v>
      </c>
      <c r="Z59" s="404"/>
      <c r="AA59" s="405"/>
      <c r="AB59" s="632">
        <f t="shared" si="2"/>
        <v>0</v>
      </c>
      <c r="AC59" s="633">
        <f>ROUND(IF(L59="j",VLOOKUP(K59,bindingstoelage,2,FALSE))*IF('wgl tot'!H59&gt;1,1,'wgl tot'!H59),2)</f>
        <v>0</v>
      </c>
      <c r="AD59" s="633">
        <f>ROUND('wgl tot'!H59*tabellen!$D$96,2)</f>
        <v>0</v>
      </c>
      <c r="AE59" s="633">
        <f>ROUND('wgl tot'!H59*tabellen!$D$97,2)</f>
        <v>0</v>
      </c>
      <c r="AF59" s="632">
        <f t="shared" si="3"/>
        <v>0</v>
      </c>
      <c r="AG59" s="402"/>
      <c r="AH59" s="633">
        <f>+('wgl tot'!AF59/(1+1.9%))*BR59</f>
        <v>0</v>
      </c>
      <c r="AI59" s="633">
        <f>IF(F59="",0,(791.85))</f>
        <v>0</v>
      </c>
      <c r="AJ59" s="632">
        <f>ROUND('wgl tot'!AF59-IF('wgl tot'!AI59&gt;'wgl tot'!AH59,'wgl tot'!AH59,'wgl tot'!AI59),0)</f>
        <v>0</v>
      </c>
      <c r="AK59" s="634">
        <f>IF('wgl tot'!E59&lt;1950,0,+('wgl tot'!P59+'wgl tot'!R59+'wgl tot'!S59)*tabellen!$C$87)*12</f>
        <v>0</v>
      </c>
      <c r="AL59" s="402"/>
      <c r="AM59" s="633">
        <f t="shared" si="4"/>
        <v>0</v>
      </c>
      <c r="AN59" s="633">
        <f>IF(F59="",0,(IF('wgl tot'!AJ59/'wgl tot'!H59&lt;tabellen!$E$57,0,('wgl tot'!AJ59-tabellen!$E$57*'wgl tot'!H59)/12)*tabellen!$C$57))</f>
        <v>0</v>
      </c>
      <c r="AO59" s="633">
        <f>IF(F59="",0,(IF('wgl tot'!AJ59/'wgl tot'!H59&lt;tabellen!$E$58,0,(+'wgl tot'!AJ59-tabellen!$E$58*'wgl tot'!H59)/12)*tabellen!$C$58))</f>
        <v>0</v>
      </c>
      <c r="AP59" s="633">
        <f>'wgl tot'!AJ59/12*tabellen!$C$59</f>
        <v>0</v>
      </c>
      <c r="AQ59" s="633">
        <f>IF(H59=0,0,IF(BY59&gt;tabellen!$G$60/12,tabellen!$G$60/12,BY59)*(tabellen!$C$60+tabellen!$C$61))</f>
        <v>0</v>
      </c>
      <c r="AR59" s="633">
        <f>IF(F59="",0,('wgl tot'!BZ59))</f>
        <v>0</v>
      </c>
      <c r="AS59" s="635">
        <f>IF(F59="",0,(IF('wgl tot'!BY59&gt;tabellen!$G$64*'wgl tot'!H59/12,tabellen!$G$64*'wgl tot'!H59/12,'wgl tot'!BY59)*tabellen!$C$64))</f>
        <v>0</v>
      </c>
      <c r="AT59" s="635">
        <f>IF(F59="",0,('wgl tot'!BY59*IF(M59=1,tabellen!$C$65,IF(M59=2,tabellen!C111,IF(M59=3,tabellen!$C$67,tabellen!$C$68)))))</f>
        <v>0</v>
      </c>
      <c r="AU59" s="635">
        <f>IF(F59="",0,('wgl tot'!BY59*tabellen!$C$69))</f>
        <v>0</v>
      </c>
      <c r="AV59" s="635">
        <f>+'wgl tot'!AK59/12</f>
        <v>0</v>
      </c>
      <c r="AW59" s="435">
        <v>0</v>
      </c>
      <c r="AX59" s="291">
        <f t="shared" si="5"/>
        <v>0</v>
      </c>
      <c r="AY59" s="658">
        <f t="shared" si="6"/>
        <v>0</v>
      </c>
      <c r="AZ59" s="658">
        <f t="shared" si="7"/>
        <v>0</v>
      </c>
      <c r="BA59" s="402"/>
      <c r="BB59" s="641" t="str">
        <f>IF(AY59=0,"",(+'wgl tot'!AY59/'wgl tot'!P59-1))</f>
        <v/>
      </c>
      <c r="BC59" s="402"/>
      <c r="BD59" s="385"/>
      <c r="BG59" s="621">
        <f ca="1">YEAR('wgl tot'!$BG$10)-YEAR('wgl tot'!E59)</f>
        <v>115</v>
      </c>
      <c r="BH59" s="621">
        <f ca="1">MONTH('wgl tot'!$BG$10)-MONTH('wgl tot'!E59)</f>
        <v>9</v>
      </c>
      <c r="BI59" s="621">
        <f ca="1">DAY('wgl tot'!$BG$10)-DAY('wgl tot'!E59)</f>
        <v>6</v>
      </c>
      <c r="BJ59" s="613">
        <f>IF(AND('wgl tot'!F59&gt;0,'wgl tot'!F59&lt;16),0,100)</f>
        <v>100</v>
      </c>
      <c r="BK59" s="613" t="e">
        <f>VLOOKUP('wgl tot'!F59,salaristabellen,22,FALSE)</f>
        <v>#N/A</v>
      </c>
      <c r="BL59" s="613">
        <f t="shared" si="14"/>
        <v>0</v>
      </c>
      <c r="BM59" s="619">
        <f t="shared" si="10"/>
        <v>42005</v>
      </c>
      <c r="BN59" s="622">
        <f t="shared" si="11"/>
        <v>0.08</v>
      </c>
      <c r="BO59" s="623">
        <f>+tabellen!$D$90</f>
        <v>6.3E-2</v>
      </c>
      <c r="BP59" s="621">
        <f>IF('wgl tot'!BJ59=100,0,'wgl tot'!F59)</f>
        <v>0</v>
      </c>
      <c r="BQ59" s="623" t="str">
        <f>IF(OR('wgl tot'!F59="DA",'wgl tot'!F59="DB",'wgl tot'!F59="DBuit",'wgl tot'!F59="DC",'wgl tot'!F59="DCuit",MID('wgl tot'!F59,1,5)="meerh"),"j","n")</f>
        <v>n</v>
      </c>
      <c r="BR59" s="623">
        <f t="shared" si="12"/>
        <v>1.9E-2</v>
      </c>
      <c r="BS59" s="624">
        <f>IF(AI59&gt;'wgl tot'!AH59,'wgl tot'!AH59,AI59)</f>
        <v>0</v>
      </c>
      <c r="BT59" s="624"/>
      <c r="BU59" s="625" t="e">
        <f>IF('wgl tot'!AJ59/'wgl tot'!H59&lt;tabellen!$E$57,0,(+'wgl tot'!AJ59-tabellen!$E$57*'wgl tot'!H59)/12*tabellen!$D$57)</f>
        <v>#DIV/0!</v>
      </c>
      <c r="BV59" s="625" t="e">
        <f>IF('wgl tot'!AJ59/'wgl tot'!H59&lt;tabellen!$E$58,0,(+'wgl tot'!AJ59-tabellen!$E$58*'wgl tot'!H59)/12*tabellen!$D$58)</f>
        <v>#DIV/0!</v>
      </c>
      <c r="BW59" s="625">
        <f>'wgl tot'!AJ59/12*tabellen!$D$59</f>
        <v>0</v>
      </c>
      <c r="BX59" s="626" t="e">
        <f>SUM(BU59:BW59)</f>
        <v>#DIV/0!</v>
      </c>
      <c r="BY59" s="627" t="e">
        <f>+('wgl tot'!AF59+'wgl tot'!AK59)/12-'wgl tot'!BX59</f>
        <v>#DIV/0!</v>
      </c>
      <c r="BZ59" s="627" t="e">
        <f>ROUND(IF('wgl tot'!BY59&gt;tabellen!$H$63,tabellen!$H$63,'wgl tot'!BY59)*tabellen!$C$63,2)</f>
        <v>#DIV/0!</v>
      </c>
      <c r="CA59" s="627" t="e">
        <f>+'wgl tot'!BY59+'wgl tot'!BZ59</f>
        <v>#DIV/0!</v>
      </c>
      <c r="CB59" s="628">
        <f>YEAR(E59)</f>
        <v>1900</v>
      </c>
      <c r="CC59" s="628">
        <f>MONTH(E59)</f>
        <v>1</v>
      </c>
      <c r="CD59" s="621">
        <f>DAY(E59)</f>
        <v>0</v>
      </c>
      <c r="CE59" s="619">
        <f t="shared" si="8"/>
        <v>22462</v>
      </c>
      <c r="CF59" s="619">
        <f t="shared" ca="1" si="9"/>
        <v>42283.70841446759</v>
      </c>
      <c r="CG59" s="613"/>
      <c r="CH59" s="619"/>
      <c r="CI59" s="613"/>
      <c r="CJ59" s="624"/>
      <c r="CK59" s="624"/>
      <c r="CL59" s="624"/>
      <c r="CM59" s="624"/>
      <c r="CN59" s="624"/>
      <c r="CO59" s="624"/>
    </row>
    <row r="60" spans="2:93" ht="13.5" customHeight="1" x14ac:dyDescent="0.2">
      <c r="B60" s="384"/>
      <c r="C60" s="402"/>
      <c r="D60" s="286"/>
      <c r="E60" s="287"/>
      <c r="F60" s="288"/>
      <c r="G60" s="288"/>
      <c r="H60" s="289"/>
      <c r="I60" s="288"/>
      <c r="J60" s="288"/>
      <c r="K60" s="288"/>
      <c r="L60" s="288"/>
      <c r="M60" s="290"/>
      <c r="N60" s="402"/>
      <c r="O60" s="639">
        <f>IF(F60="",0,(VLOOKUP('wgl tot'!F60,salaristabellen,'wgl tot'!G60+1,FALSE)))</f>
        <v>0</v>
      </c>
      <c r="P60" s="661">
        <f>O60*H60</f>
        <v>0</v>
      </c>
      <c r="Q60" s="402"/>
      <c r="R60" s="633">
        <f>ROUND(IF(I60="j",VLOOKUP(BL60,uitlooptoeslag,2,FALSE))*IF('wgl tot'!H60&gt;1,1,'wgl tot'!H60),2)</f>
        <v>0</v>
      </c>
      <c r="S60" s="633">
        <f>ROUND(IF(OR('wgl tot'!F60="LA",'wgl tot'!F60="LB"),IF(J60="j",tabellen!$C$77*'wgl tot'!H60,0),0),2)</f>
        <v>0</v>
      </c>
      <c r="T60" s="633">
        <f>ROUND(IF(('wgl tot'!P60+'wgl tot'!R60+'wgl tot'!S60)*BN60&lt;'wgl tot'!H60*tabellen!$D$89,'wgl tot'!H60*tabellen!$D$89,('wgl tot'!P60+'wgl tot'!R60+'wgl tot'!S60)*BN60),2)</f>
        <v>0</v>
      </c>
      <c r="U60" s="633">
        <f>ROUND(+('wgl tot'!P60+'wgl tot'!R60+'wgl tot'!S60)*BO60,2)</f>
        <v>0</v>
      </c>
      <c r="V60" s="633">
        <f>+tabellen!$C$85*'wgl tot'!H60</f>
        <v>0</v>
      </c>
      <c r="W60" s="633">
        <f>VLOOKUP(BP60,eindejaarsuitkering_OOP,2,TRUE)*'wgl tot'!H60/12</f>
        <v>0</v>
      </c>
      <c r="X60" s="633">
        <f>ROUND(IF(BQ60="j",tabellen!$D$99*IF('wgl tot'!H60&gt;1,1,'wgl tot'!H60),0),2)</f>
        <v>0</v>
      </c>
      <c r="Y60" s="654">
        <f t="shared" si="1"/>
        <v>0</v>
      </c>
      <c r="Z60" s="404"/>
      <c r="AA60" s="405"/>
      <c r="AB60" s="632">
        <f t="shared" si="2"/>
        <v>0</v>
      </c>
      <c r="AC60" s="633">
        <f>ROUND(IF(L60="j",VLOOKUP(K60,bindingstoelage,2,FALSE))*IF('wgl tot'!H60&gt;1,1,'wgl tot'!H60),2)</f>
        <v>0</v>
      </c>
      <c r="AD60" s="633">
        <f>ROUND('wgl tot'!H60*tabellen!$D$96,2)</f>
        <v>0</v>
      </c>
      <c r="AE60" s="633">
        <f>ROUND('wgl tot'!H60*tabellen!$D$97,2)</f>
        <v>0</v>
      </c>
      <c r="AF60" s="632">
        <f t="shared" si="3"/>
        <v>0</v>
      </c>
      <c r="AG60" s="402"/>
      <c r="AH60" s="633">
        <f>+('wgl tot'!AF60/(1+1.9%))*BR60</f>
        <v>0</v>
      </c>
      <c r="AI60" s="633">
        <f>IF(F60="",0,(791.85))</f>
        <v>0</v>
      </c>
      <c r="AJ60" s="632">
        <f>ROUND('wgl tot'!AF60-IF('wgl tot'!AI60&gt;'wgl tot'!AH60,'wgl tot'!AH60,'wgl tot'!AI60),0)</f>
        <v>0</v>
      </c>
      <c r="AK60" s="634">
        <f>IF('wgl tot'!E60&lt;1950,0,+('wgl tot'!P60+'wgl tot'!R60+'wgl tot'!S60)*tabellen!$C$87)*12</f>
        <v>0</v>
      </c>
      <c r="AL60" s="402"/>
      <c r="AM60" s="633">
        <f t="shared" si="4"/>
        <v>0</v>
      </c>
      <c r="AN60" s="633">
        <f>IF(F60="",0,(IF('wgl tot'!AJ60/'wgl tot'!H60&lt;tabellen!$E$57,0,('wgl tot'!AJ60-tabellen!$E$57*'wgl tot'!H60)/12)*tabellen!$C$57))</f>
        <v>0</v>
      </c>
      <c r="AO60" s="633">
        <f>IF(F60="",0,(IF('wgl tot'!AJ60/'wgl tot'!H60&lt;tabellen!$E$58,0,(+'wgl tot'!AJ60-tabellen!$E$58*'wgl tot'!H60)/12)*tabellen!$C$58))</f>
        <v>0</v>
      </c>
      <c r="AP60" s="633">
        <f>'wgl tot'!AJ60/12*tabellen!$C$59</f>
        <v>0</v>
      </c>
      <c r="AQ60" s="633">
        <f>IF(H60=0,0,IF(BY60&gt;tabellen!$G$60/12,tabellen!$G$60/12,BY60)*(tabellen!$C$60+tabellen!$C$61))</f>
        <v>0</v>
      </c>
      <c r="AR60" s="633">
        <f>IF(F60="",0,('wgl tot'!BZ60))</f>
        <v>0</v>
      </c>
      <c r="AS60" s="635">
        <f>IF(F60="",0,(IF('wgl tot'!BY60&gt;tabellen!$G$64*'wgl tot'!H60/12,tabellen!$G$64*'wgl tot'!H60/12,'wgl tot'!BY60)*tabellen!$C$64))</f>
        <v>0</v>
      </c>
      <c r="AT60" s="635">
        <f>IF(F60="",0,('wgl tot'!BY60*IF(M60=1,tabellen!$C$65,IF(M60=2,tabellen!C112,IF(M60=3,tabellen!$C$67,tabellen!$C$68)))))</f>
        <v>0</v>
      </c>
      <c r="AU60" s="635">
        <f>IF(F60="",0,('wgl tot'!BY60*tabellen!$C$69))</f>
        <v>0</v>
      </c>
      <c r="AV60" s="635">
        <f>+'wgl tot'!AK60/12</f>
        <v>0</v>
      </c>
      <c r="AW60" s="435">
        <v>0</v>
      </c>
      <c r="AX60" s="291">
        <f t="shared" si="5"/>
        <v>0</v>
      </c>
      <c r="AY60" s="658">
        <f t="shared" si="6"/>
        <v>0</v>
      </c>
      <c r="AZ60" s="658">
        <f t="shared" si="7"/>
        <v>0</v>
      </c>
      <c r="BA60" s="402"/>
      <c r="BB60" s="641" t="str">
        <f>IF(AY60=0,"",(+'wgl tot'!AY60/'wgl tot'!P60-1))</f>
        <v/>
      </c>
      <c r="BC60" s="402"/>
      <c r="BD60" s="385"/>
      <c r="BG60" s="621">
        <f ca="1">YEAR('wgl tot'!$BG$10)-YEAR('wgl tot'!E60)</f>
        <v>115</v>
      </c>
      <c r="BH60" s="621">
        <f ca="1">MONTH('wgl tot'!$BG$10)-MONTH('wgl tot'!E60)</f>
        <v>9</v>
      </c>
      <c r="BI60" s="621">
        <f ca="1">DAY('wgl tot'!$BG$10)-DAY('wgl tot'!E60)</f>
        <v>6</v>
      </c>
      <c r="BJ60" s="613">
        <f>IF(AND('wgl tot'!F60&gt;0,'wgl tot'!F60&lt;16),0,100)</f>
        <v>100</v>
      </c>
      <c r="BK60" s="613" t="e">
        <f>VLOOKUP('wgl tot'!F60,salaristabellen,22,FALSE)</f>
        <v>#N/A</v>
      </c>
      <c r="BL60" s="613">
        <f t="shared" si="14"/>
        <v>0</v>
      </c>
      <c r="BM60" s="619">
        <f t="shared" si="10"/>
        <v>42005</v>
      </c>
      <c r="BN60" s="622">
        <f t="shared" si="11"/>
        <v>0.08</v>
      </c>
      <c r="BO60" s="623">
        <f>+tabellen!$D$90</f>
        <v>6.3E-2</v>
      </c>
      <c r="BP60" s="621">
        <f>IF('wgl tot'!BJ60=100,0,'wgl tot'!F60)</f>
        <v>0</v>
      </c>
      <c r="BQ60" s="623" t="str">
        <f>IF(OR('wgl tot'!F60="DA",'wgl tot'!F60="DB",'wgl tot'!F60="DBuit",'wgl tot'!F60="DC",'wgl tot'!F60="DCuit",MID('wgl tot'!F60,1,5)="meerh"),"j","n")</f>
        <v>n</v>
      </c>
      <c r="BR60" s="623">
        <f t="shared" si="12"/>
        <v>1.9E-2</v>
      </c>
      <c r="BS60" s="624">
        <f>IF(AI60&gt;'wgl tot'!AH60,'wgl tot'!AH60,AI60)</f>
        <v>0</v>
      </c>
      <c r="BT60" s="624"/>
      <c r="BU60" s="625" t="e">
        <f>IF('wgl tot'!AJ60/'wgl tot'!H60&lt;tabellen!$E$57,0,(+'wgl tot'!AJ60-tabellen!$E$57*'wgl tot'!H60)/12*tabellen!$D$57)</f>
        <v>#DIV/0!</v>
      </c>
      <c r="BV60" s="625" t="e">
        <f>IF('wgl tot'!AJ60/'wgl tot'!H60&lt;tabellen!$E$58,0,(+'wgl tot'!AJ60-tabellen!$E$58*'wgl tot'!H60)/12*tabellen!$D$58)</f>
        <v>#DIV/0!</v>
      </c>
      <c r="BW60" s="625">
        <f>'wgl tot'!AJ60/12*tabellen!$D$59</f>
        <v>0</v>
      </c>
      <c r="BX60" s="626" t="e">
        <f>SUM(BU60:BW60)</f>
        <v>#DIV/0!</v>
      </c>
      <c r="BY60" s="627" t="e">
        <f>+('wgl tot'!AF60+'wgl tot'!AK60)/12-'wgl tot'!BX60</f>
        <v>#DIV/0!</v>
      </c>
      <c r="BZ60" s="627" t="e">
        <f>ROUND(IF('wgl tot'!BY60&gt;tabellen!$H$63,tabellen!$H$63,'wgl tot'!BY60)*tabellen!$C$63,2)</f>
        <v>#DIV/0!</v>
      </c>
      <c r="CA60" s="627" t="e">
        <f>+'wgl tot'!BY60+'wgl tot'!BZ60</f>
        <v>#DIV/0!</v>
      </c>
      <c r="CB60" s="628">
        <f>YEAR(E60)</f>
        <v>1900</v>
      </c>
      <c r="CC60" s="628">
        <f>MONTH(E60)</f>
        <v>1</v>
      </c>
      <c r="CD60" s="621">
        <f>DAY(E60)</f>
        <v>0</v>
      </c>
      <c r="CE60" s="619">
        <f t="shared" si="8"/>
        <v>22462</v>
      </c>
      <c r="CF60" s="619">
        <f t="shared" ca="1" si="9"/>
        <v>42283.70841446759</v>
      </c>
      <c r="CG60" s="613"/>
      <c r="CH60" s="619"/>
      <c r="CI60" s="613"/>
      <c r="CJ60" s="624"/>
      <c r="CK60" s="624"/>
      <c r="CL60" s="624"/>
      <c r="CM60" s="624"/>
      <c r="CN60" s="624"/>
      <c r="CO60" s="624"/>
    </row>
    <row r="61" spans="2:93" ht="13.5" customHeight="1" x14ac:dyDescent="0.2">
      <c r="B61" s="384"/>
      <c r="C61" s="402"/>
      <c r="D61" s="286"/>
      <c r="E61" s="287"/>
      <c r="F61" s="288"/>
      <c r="G61" s="288"/>
      <c r="H61" s="289"/>
      <c r="I61" s="288"/>
      <c r="J61" s="288"/>
      <c r="K61" s="288"/>
      <c r="L61" s="288"/>
      <c r="M61" s="290"/>
      <c r="N61" s="402"/>
      <c r="O61" s="639">
        <f>IF(F61="",0,(VLOOKUP('wgl tot'!F61,salaristabellen,'wgl tot'!G61+1,FALSE)))</f>
        <v>0</v>
      </c>
      <c r="P61" s="661">
        <f>O61*H61</f>
        <v>0</v>
      </c>
      <c r="Q61" s="402"/>
      <c r="R61" s="633">
        <f>ROUND(IF(I61="j",VLOOKUP(BL61,uitlooptoeslag,2,FALSE))*IF('wgl tot'!H61&gt;1,1,'wgl tot'!H61),2)</f>
        <v>0</v>
      </c>
      <c r="S61" s="633">
        <f>ROUND(IF(OR('wgl tot'!F61="LA",'wgl tot'!F61="LB"),IF(J61="j",tabellen!$C$77*'wgl tot'!H61,0),0),2)</f>
        <v>0</v>
      </c>
      <c r="T61" s="633">
        <f>ROUND(IF(('wgl tot'!P61+'wgl tot'!R61+'wgl tot'!S61)*BN61&lt;'wgl tot'!H61*tabellen!$D$89,'wgl tot'!H61*tabellen!$D$89,('wgl tot'!P61+'wgl tot'!R61+'wgl tot'!S61)*BN61),2)</f>
        <v>0</v>
      </c>
      <c r="U61" s="633">
        <f>ROUND(+('wgl tot'!P61+'wgl tot'!R61+'wgl tot'!S61)*BO61,2)</f>
        <v>0</v>
      </c>
      <c r="V61" s="633">
        <f>+tabellen!$C$85*'wgl tot'!H61</f>
        <v>0</v>
      </c>
      <c r="W61" s="633">
        <f>VLOOKUP(BP61,eindejaarsuitkering_OOP,2,TRUE)*'wgl tot'!H61/12</f>
        <v>0</v>
      </c>
      <c r="X61" s="633">
        <f>ROUND(IF(BQ61="j",tabellen!$D$99*IF('wgl tot'!H61&gt;1,1,'wgl tot'!H61),0),2)</f>
        <v>0</v>
      </c>
      <c r="Y61" s="654">
        <f t="shared" si="1"/>
        <v>0</v>
      </c>
      <c r="Z61" s="404"/>
      <c r="AA61" s="405"/>
      <c r="AB61" s="632">
        <f t="shared" si="2"/>
        <v>0</v>
      </c>
      <c r="AC61" s="633">
        <f>ROUND(IF(L61="j",VLOOKUP(K61,bindingstoelage,2,FALSE))*IF('wgl tot'!H61&gt;1,1,'wgl tot'!H61),2)</f>
        <v>0</v>
      </c>
      <c r="AD61" s="633">
        <f>ROUND('wgl tot'!H61*tabellen!$D$96,2)</f>
        <v>0</v>
      </c>
      <c r="AE61" s="633">
        <f>ROUND('wgl tot'!H61*tabellen!$D$97,2)</f>
        <v>0</v>
      </c>
      <c r="AF61" s="632">
        <f t="shared" si="3"/>
        <v>0</v>
      </c>
      <c r="AG61" s="402"/>
      <c r="AH61" s="633">
        <f>+('wgl tot'!AF61/(1+1.9%))*BR61</f>
        <v>0</v>
      </c>
      <c r="AI61" s="633">
        <f>IF(F61="",0,(791.85))</f>
        <v>0</v>
      </c>
      <c r="AJ61" s="632">
        <f>ROUND('wgl tot'!AF61-IF('wgl tot'!AI61&gt;'wgl tot'!AH61,'wgl tot'!AH61,'wgl tot'!AI61),0)</f>
        <v>0</v>
      </c>
      <c r="AK61" s="634">
        <f>IF('wgl tot'!E61&lt;1950,0,+('wgl tot'!P61+'wgl tot'!R61+'wgl tot'!S61)*tabellen!$C$87)*12</f>
        <v>0</v>
      </c>
      <c r="AL61" s="402"/>
      <c r="AM61" s="633">
        <f t="shared" si="4"/>
        <v>0</v>
      </c>
      <c r="AN61" s="633">
        <f>IF(F61="",0,(IF('wgl tot'!AJ61/'wgl tot'!H61&lt;tabellen!$E$57,0,('wgl tot'!AJ61-tabellen!$E$57*'wgl tot'!H61)/12)*tabellen!$C$57))</f>
        <v>0</v>
      </c>
      <c r="AO61" s="633">
        <f>IF(F61="",0,(IF('wgl tot'!AJ61/'wgl tot'!H61&lt;tabellen!$E$58,0,(+'wgl tot'!AJ61-tabellen!$E$58*'wgl tot'!H61)/12)*tabellen!$C$58))</f>
        <v>0</v>
      </c>
      <c r="AP61" s="633">
        <f>'wgl tot'!AJ61/12*tabellen!$C$59</f>
        <v>0</v>
      </c>
      <c r="AQ61" s="633">
        <f>IF(H61=0,0,IF(BY61&gt;tabellen!$G$60/12,tabellen!$G$60/12,BY61)*(tabellen!$C$60+tabellen!$C$61))</f>
        <v>0</v>
      </c>
      <c r="AR61" s="633">
        <f>IF(F61="",0,('wgl tot'!BZ61))</f>
        <v>0</v>
      </c>
      <c r="AS61" s="635">
        <f>IF(F61="",0,(IF('wgl tot'!BY61&gt;tabellen!$G$64*'wgl tot'!H61/12,tabellen!$G$64*'wgl tot'!H61/12,'wgl tot'!BY61)*tabellen!$C$64))</f>
        <v>0</v>
      </c>
      <c r="AT61" s="635">
        <f>IF(F61="",0,('wgl tot'!BY61*IF(M61=1,tabellen!$C$65,IF(M61=2,tabellen!C113,IF(M61=3,tabellen!$C$67,tabellen!$C$68)))))</f>
        <v>0</v>
      </c>
      <c r="AU61" s="635">
        <f>IF(F61="",0,('wgl tot'!BY61*tabellen!$C$69))</f>
        <v>0</v>
      </c>
      <c r="AV61" s="635">
        <f>+'wgl tot'!AK61/12</f>
        <v>0</v>
      </c>
      <c r="AW61" s="435">
        <v>0</v>
      </c>
      <c r="AX61" s="291">
        <f t="shared" si="5"/>
        <v>0</v>
      </c>
      <c r="AY61" s="658">
        <f t="shared" si="6"/>
        <v>0</v>
      </c>
      <c r="AZ61" s="658">
        <f t="shared" si="7"/>
        <v>0</v>
      </c>
      <c r="BA61" s="402"/>
      <c r="BB61" s="641" t="str">
        <f>IF(AY61=0,"",(+'wgl tot'!AY61/'wgl tot'!P61-1))</f>
        <v/>
      </c>
      <c r="BC61" s="402"/>
      <c r="BD61" s="385"/>
      <c r="BG61" s="621">
        <f ca="1">YEAR('wgl tot'!$BG$10)-YEAR('wgl tot'!E61)</f>
        <v>115</v>
      </c>
      <c r="BH61" s="621">
        <f ca="1">MONTH('wgl tot'!$BG$10)-MONTH('wgl tot'!E61)</f>
        <v>9</v>
      </c>
      <c r="BI61" s="621">
        <f ca="1">DAY('wgl tot'!$BG$10)-DAY('wgl tot'!E61)</f>
        <v>6</v>
      </c>
      <c r="BJ61" s="613">
        <f>IF(AND('wgl tot'!F61&gt;0,'wgl tot'!F61&lt;16),0,100)</f>
        <v>100</v>
      </c>
      <c r="BK61" s="613" t="e">
        <f>VLOOKUP('wgl tot'!F61,salaristabellen,22,FALSE)</f>
        <v>#N/A</v>
      </c>
      <c r="BL61" s="613">
        <f t="shared" si="14"/>
        <v>0</v>
      </c>
      <c r="BM61" s="619">
        <f t="shared" si="10"/>
        <v>42005</v>
      </c>
      <c r="BN61" s="622">
        <f t="shared" si="11"/>
        <v>0.08</v>
      </c>
      <c r="BO61" s="623">
        <f>+tabellen!$D$90</f>
        <v>6.3E-2</v>
      </c>
      <c r="BP61" s="621">
        <f>IF('wgl tot'!BJ61=100,0,'wgl tot'!F61)</f>
        <v>0</v>
      </c>
      <c r="BQ61" s="623" t="str">
        <f>IF(OR('wgl tot'!F61="DA",'wgl tot'!F61="DB",'wgl tot'!F61="DBuit",'wgl tot'!F61="DC",'wgl tot'!F61="DCuit",MID('wgl tot'!F61,1,5)="meerh"),"j","n")</f>
        <v>n</v>
      </c>
      <c r="BR61" s="623">
        <f t="shared" si="12"/>
        <v>1.9E-2</v>
      </c>
      <c r="BS61" s="624">
        <f>IF(AI61&gt;'wgl tot'!AH61,'wgl tot'!AH61,AI61)</f>
        <v>0</v>
      </c>
      <c r="BT61" s="624"/>
      <c r="BU61" s="625" t="e">
        <f>IF('wgl tot'!AJ61/'wgl tot'!H61&lt;tabellen!$E$57,0,(+'wgl tot'!AJ61-tabellen!$E$57*'wgl tot'!H61)/12*tabellen!$D$57)</f>
        <v>#DIV/0!</v>
      </c>
      <c r="BV61" s="625" t="e">
        <f>IF('wgl tot'!AJ61/'wgl tot'!H61&lt;tabellen!$E$58,0,(+'wgl tot'!AJ61-tabellen!$E$58*'wgl tot'!H61)/12*tabellen!$D$58)</f>
        <v>#DIV/0!</v>
      </c>
      <c r="BW61" s="625">
        <f>'wgl tot'!AJ61/12*tabellen!$D$59</f>
        <v>0</v>
      </c>
      <c r="BX61" s="626" t="e">
        <f>SUM(BU61:BW61)</f>
        <v>#DIV/0!</v>
      </c>
      <c r="BY61" s="627" t="e">
        <f>+('wgl tot'!AF61+'wgl tot'!AK61)/12-'wgl tot'!BX61</f>
        <v>#DIV/0!</v>
      </c>
      <c r="BZ61" s="627" t="e">
        <f>ROUND(IF('wgl tot'!BY61&gt;tabellen!$H$63,tabellen!$H$63,'wgl tot'!BY61)*tabellen!$C$63,2)</f>
        <v>#DIV/0!</v>
      </c>
      <c r="CA61" s="627" t="e">
        <f>+'wgl tot'!BY61+'wgl tot'!BZ61</f>
        <v>#DIV/0!</v>
      </c>
      <c r="CB61" s="628">
        <f>YEAR(E61)</f>
        <v>1900</v>
      </c>
      <c r="CC61" s="628">
        <f>MONTH(E61)</f>
        <v>1</v>
      </c>
      <c r="CD61" s="621">
        <f>DAY(E61)</f>
        <v>0</v>
      </c>
      <c r="CE61" s="619">
        <f t="shared" si="8"/>
        <v>22462</v>
      </c>
      <c r="CF61" s="619">
        <f t="shared" ca="1" si="9"/>
        <v>42283.70841446759</v>
      </c>
      <c r="CG61" s="613"/>
      <c r="CH61" s="619"/>
      <c r="CI61" s="613"/>
      <c r="CJ61" s="624"/>
      <c r="CK61" s="624"/>
      <c r="CL61" s="624"/>
      <c r="CM61" s="624"/>
      <c r="CN61" s="624"/>
      <c r="CO61" s="624"/>
    </row>
    <row r="62" spans="2:93" ht="13.5" customHeight="1" x14ac:dyDescent="0.2">
      <c r="B62" s="384"/>
      <c r="C62" s="402"/>
      <c r="D62" s="286"/>
      <c r="E62" s="287"/>
      <c r="F62" s="288"/>
      <c r="G62" s="288"/>
      <c r="H62" s="289"/>
      <c r="I62" s="288"/>
      <c r="J62" s="288"/>
      <c r="K62" s="288"/>
      <c r="L62" s="288"/>
      <c r="M62" s="290"/>
      <c r="N62" s="402"/>
      <c r="O62" s="639">
        <f>IF(F62="",0,(VLOOKUP('wgl tot'!F62,salaristabellen,'wgl tot'!G62+1,FALSE)))</f>
        <v>0</v>
      </c>
      <c r="P62" s="661">
        <f>O62*H62</f>
        <v>0</v>
      </c>
      <c r="Q62" s="402"/>
      <c r="R62" s="633">
        <f>ROUND(IF(I62="j",VLOOKUP(BL62,uitlooptoeslag,2,FALSE))*IF('wgl tot'!H62&gt;1,1,'wgl tot'!H62),2)</f>
        <v>0</v>
      </c>
      <c r="S62" s="633">
        <f>ROUND(IF(OR('wgl tot'!F62="LA",'wgl tot'!F62="LB"),IF(J62="j",tabellen!$C$77*'wgl tot'!H62,0),0),2)</f>
        <v>0</v>
      </c>
      <c r="T62" s="633">
        <f>ROUND(IF(('wgl tot'!P62+'wgl tot'!R62+'wgl tot'!S62)*BN62&lt;'wgl tot'!H62*tabellen!$D$89,'wgl tot'!H62*tabellen!$D$89,('wgl tot'!P62+'wgl tot'!R62+'wgl tot'!S62)*BN62),2)</f>
        <v>0</v>
      </c>
      <c r="U62" s="633">
        <f>ROUND(+('wgl tot'!P62+'wgl tot'!R62+'wgl tot'!S62)*BO62,2)</f>
        <v>0</v>
      </c>
      <c r="V62" s="633">
        <f>+tabellen!$C$85*'wgl tot'!H62</f>
        <v>0</v>
      </c>
      <c r="W62" s="633">
        <f>VLOOKUP(BP62,eindejaarsuitkering_OOP,2,TRUE)*'wgl tot'!H62/12</f>
        <v>0</v>
      </c>
      <c r="X62" s="633">
        <f>ROUND(IF(BQ62="j",tabellen!$D$99*IF('wgl tot'!H62&gt;1,1,'wgl tot'!H62),0),2)</f>
        <v>0</v>
      </c>
      <c r="Y62" s="654">
        <f t="shared" si="1"/>
        <v>0</v>
      </c>
      <c r="Z62" s="404"/>
      <c r="AA62" s="405"/>
      <c r="AB62" s="632">
        <f t="shared" si="2"/>
        <v>0</v>
      </c>
      <c r="AC62" s="633">
        <f>ROUND(IF(L62="j",VLOOKUP(K62,bindingstoelage,2,FALSE))*IF('wgl tot'!H62&gt;1,1,'wgl tot'!H62),2)</f>
        <v>0</v>
      </c>
      <c r="AD62" s="633">
        <f>ROUND('wgl tot'!H62*tabellen!$D$96,2)</f>
        <v>0</v>
      </c>
      <c r="AE62" s="633">
        <f>ROUND('wgl tot'!H62*tabellen!$D$97,2)</f>
        <v>0</v>
      </c>
      <c r="AF62" s="632">
        <f t="shared" si="3"/>
        <v>0</v>
      </c>
      <c r="AG62" s="402"/>
      <c r="AH62" s="633">
        <f>+('wgl tot'!AF62/(1+1.9%))*BR62</f>
        <v>0</v>
      </c>
      <c r="AI62" s="633">
        <f>IF(F62="",0,(791.85))</f>
        <v>0</v>
      </c>
      <c r="AJ62" s="632">
        <f>ROUND('wgl tot'!AF62-IF('wgl tot'!AI62&gt;'wgl tot'!AH62,'wgl tot'!AH62,'wgl tot'!AI62),0)</f>
        <v>0</v>
      </c>
      <c r="AK62" s="634">
        <f>IF('wgl tot'!E62&lt;1950,0,+('wgl tot'!P62+'wgl tot'!R62+'wgl tot'!S62)*tabellen!$C$87)*12</f>
        <v>0</v>
      </c>
      <c r="AL62" s="402"/>
      <c r="AM62" s="633">
        <f t="shared" si="4"/>
        <v>0</v>
      </c>
      <c r="AN62" s="633">
        <f>IF(F62="",0,(IF('wgl tot'!AJ62/'wgl tot'!H62&lt;tabellen!$E$57,0,('wgl tot'!AJ62-tabellen!$E$57*'wgl tot'!H62)/12)*tabellen!$C$57))</f>
        <v>0</v>
      </c>
      <c r="AO62" s="633">
        <f>IF(F62="",0,(IF('wgl tot'!AJ62/'wgl tot'!H62&lt;tabellen!$E$58,0,(+'wgl tot'!AJ62-tabellen!$E$58*'wgl tot'!H62)/12)*tabellen!$C$58))</f>
        <v>0</v>
      </c>
      <c r="AP62" s="633">
        <f>'wgl tot'!AJ62/12*tabellen!$C$59</f>
        <v>0</v>
      </c>
      <c r="AQ62" s="633">
        <f>IF(H62=0,0,IF(BY62&gt;tabellen!$G$60/12,tabellen!$G$60/12,BY62)*(tabellen!$C$60+tabellen!$C$61))</f>
        <v>0</v>
      </c>
      <c r="AR62" s="633">
        <f>IF(F62="",0,('wgl tot'!BZ62))</f>
        <v>0</v>
      </c>
      <c r="AS62" s="635">
        <f>IF(F62="",0,(IF('wgl tot'!BY62&gt;tabellen!$G$64*'wgl tot'!H62/12,tabellen!$G$64*'wgl tot'!H62/12,'wgl tot'!BY62)*tabellen!$C$64))</f>
        <v>0</v>
      </c>
      <c r="AT62" s="635">
        <f>IF(F62="",0,('wgl tot'!BY62*IF(M62=1,tabellen!$C$65,IF(M62=2,tabellen!C114,IF(M62=3,tabellen!$C$67,tabellen!$C$68)))))</f>
        <v>0</v>
      </c>
      <c r="AU62" s="635">
        <f>IF(F62="",0,('wgl tot'!BY62*tabellen!$C$69))</f>
        <v>0</v>
      </c>
      <c r="AV62" s="635">
        <f>+'wgl tot'!AK62/12</f>
        <v>0</v>
      </c>
      <c r="AW62" s="435">
        <v>0</v>
      </c>
      <c r="AX62" s="291">
        <f t="shared" si="5"/>
        <v>0</v>
      </c>
      <c r="AY62" s="658">
        <f t="shared" si="6"/>
        <v>0</v>
      </c>
      <c r="AZ62" s="658">
        <f t="shared" si="7"/>
        <v>0</v>
      </c>
      <c r="BA62" s="402"/>
      <c r="BB62" s="641" t="str">
        <f>IF(AY62=0,"",(+'wgl tot'!AY62/'wgl tot'!P62-1))</f>
        <v/>
      </c>
      <c r="BC62" s="402"/>
      <c r="BD62" s="385"/>
      <c r="BG62" s="621">
        <f ca="1">YEAR('wgl tot'!$BG$10)-YEAR('wgl tot'!E62)</f>
        <v>115</v>
      </c>
      <c r="BH62" s="621">
        <f ca="1">MONTH('wgl tot'!$BG$10)-MONTH('wgl tot'!E62)</f>
        <v>9</v>
      </c>
      <c r="BI62" s="621">
        <f ca="1">DAY('wgl tot'!$BG$10)-DAY('wgl tot'!E62)</f>
        <v>6</v>
      </c>
      <c r="BJ62" s="613">
        <f>IF(AND('wgl tot'!F62&gt;0,'wgl tot'!F62&lt;16),0,100)</f>
        <v>100</v>
      </c>
      <c r="BK62" s="613" t="e">
        <f>VLOOKUP('wgl tot'!F62,salaristabellen,22,FALSE)</f>
        <v>#N/A</v>
      </c>
      <c r="BL62" s="613">
        <f t="shared" si="14"/>
        <v>0</v>
      </c>
      <c r="BM62" s="619">
        <f t="shared" si="10"/>
        <v>42005</v>
      </c>
      <c r="BN62" s="622">
        <f t="shared" si="11"/>
        <v>0.08</v>
      </c>
      <c r="BO62" s="623">
        <f>+tabellen!$D$90</f>
        <v>6.3E-2</v>
      </c>
      <c r="BP62" s="621">
        <f>IF('wgl tot'!BJ62=100,0,'wgl tot'!F62)</f>
        <v>0</v>
      </c>
      <c r="BQ62" s="623" t="str">
        <f>IF(OR('wgl tot'!F62="DA",'wgl tot'!F62="DB",'wgl tot'!F62="DBuit",'wgl tot'!F62="DC",'wgl tot'!F62="DCuit",MID('wgl tot'!F62,1,5)="meerh"),"j","n")</f>
        <v>n</v>
      </c>
      <c r="BR62" s="623">
        <f t="shared" si="12"/>
        <v>1.9E-2</v>
      </c>
      <c r="BS62" s="624">
        <f>IF(AI62&gt;'wgl tot'!AH62,'wgl tot'!AH62,AI62)</f>
        <v>0</v>
      </c>
      <c r="BT62" s="624"/>
      <c r="BU62" s="625" t="e">
        <f>IF('wgl tot'!AJ62/'wgl tot'!H62&lt;tabellen!$E$57,0,(+'wgl tot'!AJ62-tabellen!$E$57*'wgl tot'!H62)/12*tabellen!$D$57)</f>
        <v>#DIV/0!</v>
      </c>
      <c r="BV62" s="625" t="e">
        <f>IF('wgl tot'!AJ62/'wgl tot'!H62&lt;tabellen!$E$58,0,(+'wgl tot'!AJ62-tabellen!$E$58*'wgl tot'!H62)/12*tabellen!$D$58)</f>
        <v>#DIV/0!</v>
      </c>
      <c r="BW62" s="625">
        <f>'wgl tot'!AJ62/12*tabellen!$D$59</f>
        <v>0</v>
      </c>
      <c r="BX62" s="626" t="e">
        <f>SUM(BU62:BW62)</f>
        <v>#DIV/0!</v>
      </c>
      <c r="BY62" s="627" t="e">
        <f>+('wgl tot'!AF62+'wgl tot'!AK62)/12-'wgl tot'!BX62</f>
        <v>#DIV/0!</v>
      </c>
      <c r="BZ62" s="627" t="e">
        <f>ROUND(IF('wgl tot'!BY62&gt;tabellen!$H$63,tabellen!$H$63,'wgl tot'!BY62)*tabellen!$C$63,2)</f>
        <v>#DIV/0!</v>
      </c>
      <c r="CA62" s="627" t="e">
        <f>+'wgl tot'!BY62+'wgl tot'!BZ62</f>
        <v>#DIV/0!</v>
      </c>
      <c r="CB62" s="628">
        <f>YEAR(E62)</f>
        <v>1900</v>
      </c>
      <c r="CC62" s="628">
        <f>MONTH(E62)</f>
        <v>1</v>
      </c>
      <c r="CD62" s="621">
        <f>DAY(E62)</f>
        <v>0</v>
      </c>
      <c r="CE62" s="619">
        <f t="shared" si="8"/>
        <v>22462</v>
      </c>
      <c r="CF62" s="619">
        <f t="shared" ca="1" si="9"/>
        <v>42283.70841446759</v>
      </c>
      <c r="CG62" s="613"/>
      <c r="CH62" s="619"/>
      <c r="CI62" s="613"/>
      <c r="CJ62" s="624"/>
      <c r="CK62" s="624"/>
      <c r="CL62" s="624"/>
      <c r="CM62" s="624"/>
      <c r="CN62" s="624"/>
      <c r="CO62" s="624"/>
    </row>
    <row r="63" spans="2:93" ht="13.5" customHeight="1" x14ac:dyDescent="0.2">
      <c r="B63" s="384"/>
      <c r="C63" s="402"/>
      <c r="D63" s="286"/>
      <c r="E63" s="287"/>
      <c r="F63" s="288"/>
      <c r="G63" s="288"/>
      <c r="H63" s="289"/>
      <c r="I63" s="288"/>
      <c r="J63" s="288"/>
      <c r="K63" s="288"/>
      <c r="L63" s="288"/>
      <c r="M63" s="290"/>
      <c r="N63" s="402"/>
      <c r="O63" s="639">
        <f>IF(F63="",0,(VLOOKUP('wgl tot'!F63,salaristabellen,'wgl tot'!G63+1,FALSE)))</f>
        <v>0</v>
      </c>
      <c r="P63" s="661">
        <f>O63*H63</f>
        <v>0</v>
      </c>
      <c r="Q63" s="402"/>
      <c r="R63" s="633">
        <f>ROUND(IF(I63="j",VLOOKUP(BL63,uitlooptoeslag,2,FALSE))*IF('wgl tot'!H63&gt;1,1,'wgl tot'!H63),2)</f>
        <v>0</v>
      </c>
      <c r="S63" s="633">
        <f>ROUND(IF(OR('wgl tot'!F63="LA",'wgl tot'!F63="LB"),IF(J63="j",tabellen!$C$77*'wgl tot'!H63,0),0),2)</f>
        <v>0</v>
      </c>
      <c r="T63" s="633">
        <f>ROUND(IF(('wgl tot'!P63+'wgl tot'!R63+'wgl tot'!S63)*BN63&lt;'wgl tot'!H63*tabellen!$D$89,'wgl tot'!H63*tabellen!$D$89,('wgl tot'!P63+'wgl tot'!R63+'wgl tot'!S63)*BN63),2)</f>
        <v>0</v>
      </c>
      <c r="U63" s="633">
        <f>ROUND(+('wgl tot'!P63+'wgl tot'!R63+'wgl tot'!S63)*BO63,2)</f>
        <v>0</v>
      </c>
      <c r="V63" s="633">
        <f>+tabellen!$C$85*'wgl tot'!H63</f>
        <v>0</v>
      </c>
      <c r="W63" s="633">
        <f>VLOOKUP(BP63,eindejaarsuitkering_OOP,2,TRUE)*'wgl tot'!H63/12</f>
        <v>0</v>
      </c>
      <c r="X63" s="633">
        <f>ROUND(IF(BQ63="j",tabellen!$D$99*IF('wgl tot'!H63&gt;1,1,'wgl tot'!H63),0),2)</f>
        <v>0</v>
      </c>
      <c r="Y63" s="654">
        <f t="shared" si="1"/>
        <v>0</v>
      </c>
      <c r="Z63" s="404"/>
      <c r="AA63" s="405"/>
      <c r="AB63" s="632">
        <f t="shared" si="2"/>
        <v>0</v>
      </c>
      <c r="AC63" s="633">
        <f>ROUND(IF(L63="j",VLOOKUP(K63,bindingstoelage,2,FALSE))*IF('wgl tot'!H63&gt;1,1,'wgl tot'!H63),2)</f>
        <v>0</v>
      </c>
      <c r="AD63" s="633">
        <f>ROUND('wgl tot'!H63*tabellen!$D$96,2)</f>
        <v>0</v>
      </c>
      <c r="AE63" s="633">
        <f>ROUND('wgl tot'!H63*tabellen!$D$97,2)</f>
        <v>0</v>
      </c>
      <c r="AF63" s="632">
        <f t="shared" si="3"/>
        <v>0</v>
      </c>
      <c r="AG63" s="402"/>
      <c r="AH63" s="633">
        <f>+('wgl tot'!AF63/(1+1.9%))*BR63</f>
        <v>0</v>
      </c>
      <c r="AI63" s="633">
        <f>IF(F63="",0,(791.85))</f>
        <v>0</v>
      </c>
      <c r="AJ63" s="632">
        <f>ROUND('wgl tot'!AF63-IF('wgl tot'!AI63&gt;'wgl tot'!AH63,'wgl tot'!AH63,'wgl tot'!AI63),0)</f>
        <v>0</v>
      </c>
      <c r="AK63" s="634">
        <f>IF('wgl tot'!E63&lt;1950,0,+('wgl tot'!P63+'wgl tot'!R63+'wgl tot'!S63)*tabellen!$C$87)*12</f>
        <v>0</v>
      </c>
      <c r="AL63" s="402"/>
      <c r="AM63" s="633">
        <f t="shared" si="4"/>
        <v>0</v>
      </c>
      <c r="AN63" s="633">
        <f>IF(F63="",0,(IF('wgl tot'!AJ63/'wgl tot'!H63&lt;tabellen!$E$57,0,('wgl tot'!AJ63-tabellen!$E$57*'wgl tot'!H63)/12)*tabellen!$C$57))</f>
        <v>0</v>
      </c>
      <c r="AO63" s="633">
        <f>IF(F63="",0,(IF('wgl tot'!AJ63/'wgl tot'!H63&lt;tabellen!$E$58,0,(+'wgl tot'!AJ63-tabellen!$E$58*'wgl tot'!H63)/12)*tabellen!$C$58))</f>
        <v>0</v>
      </c>
      <c r="AP63" s="633">
        <f>'wgl tot'!AJ63/12*tabellen!$C$59</f>
        <v>0</v>
      </c>
      <c r="AQ63" s="633">
        <f>IF(H63=0,0,IF(BY63&gt;tabellen!$G$60/12,tabellen!$G$60/12,BY63)*(tabellen!$C$60+tabellen!$C$61))</f>
        <v>0</v>
      </c>
      <c r="AR63" s="633">
        <f>IF(F63="",0,('wgl tot'!BZ63))</f>
        <v>0</v>
      </c>
      <c r="AS63" s="635">
        <f>IF(F63="",0,(IF('wgl tot'!BY63&gt;tabellen!$G$64*'wgl tot'!H63/12,tabellen!$G$64*'wgl tot'!H63/12,'wgl tot'!BY63)*tabellen!$C$64))</f>
        <v>0</v>
      </c>
      <c r="AT63" s="635">
        <f>IF(F63="",0,('wgl tot'!BY63*IF(M63=1,tabellen!$C$65,IF(M63=2,tabellen!C115,IF(M63=3,tabellen!$C$67,tabellen!$C$68)))))</f>
        <v>0</v>
      </c>
      <c r="AU63" s="635">
        <f>IF(F63="",0,('wgl tot'!BY63*tabellen!$C$69))</f>
        <v>0</v>
      </c>
      <c r="AV63" s="635">
        <f>+'wgl tot'!AK63/12</f>
        <v>0</v>
      </c>
      <c r="AW63" s="435">
        <v>0</v>
      </c>
      <c r="AX63" s="291">
        <f t="shared" si="5"/>
        <v>0</v>
      </c>
      <c r="AY63" s="658">
        <f t="shared" si="6"/>
        <v>0</v>
      </c>
      <c r="AZ63" s="658">
        <f t="shared" si="7"/>
        <v>0</v>
      </c>
      <c r="BA63" s="402"/>
      <c r="BB63" s="641" t="str">
        <f>IF(AY63=0,"",(+'wgl tot'!AY63/'wgl tot'!P63-1))</f>
        <v/>
      </c>
      <c r="BC63" s="402"/>
      <c r="BD63" s="385"/>
      <c r="BG63" s="621">
        <f ca="1">YEAR('wgl tot'!$BG$10)-YEAR('wgl tot'!E63)</f>
        <v>115</v>
      </c>
      <c r="BH63" s="621">
        <f ca="1">MONTH('wgl tot'!$BG$10)-MONTH('wgl tot'!E63)</f>
        <v>9</v>
      </c>
      <c r="BI63" s="621">
        <f ca="1">DAY('wgl tot'!$BG$10)-DAY('wgl tot'!E63)</f>
        <v>6</v>
      </c>
      <c r="BJ63" s="613">
        <f>IF(AND('wgl tot'!F63&gt;0,'wgl tot'!F63&lt;16),0,100)</f>
        <v>100</v>
      </c>
      <c r="BK63" s="613" t="e">
        <f>VLOOKUP('wgl tot'!F63,salaristabellen,22,FALSE)</f>
        <v>#N/A</v>
      </c>
      <c r="BL63" s="613">
        <f t="shared" si="14"/>
        <v>0</v>
      </c>
      <c r="BM63" s="619">
        <f t="shared" si="10"/>
        <v>42005</v>
      </c>
      <c r="BN63" s="622">
        <f t="shared" si="11"/>
        <v>0.08</v>
      </c>
      <c r="BO63" s="623">
        <f>+tabellen!$D$90</f>
        <v>6.3E-2</v>
      </c>
      <c r="BP63" s="621">
        <f>IF('wgl tot'!BJ63=100,0,'wgl tot'!F63)</f>
        <v>0</v>
      </c>
      <c r="BQ63" s="623" t="str">
        <f>IF(OR('wgl tot'!F63="DA",'wgl tot'!F63="DB",'wgl tot'!F63="DBuit",'wgl tot'!F63="DC",'wgl tot'!F63="DCuit",MID('wgl tot'!F63,1,5)="meerh"),"j","n")</f>
        <v>n</v>
      </c>
      <c r="BR63" s="623">
        <f t="shared" si="12"/>
        <v>1.9E-2</v>
      </c>
      <c r="BS63" s="624">
        <f>IF(AI63&gt;'wgl tot'!AH63,'wgl tot'!AH63,AI63)</f>
        <v>0</v>
      </c>
      <c r="BT63" s="624"/>
      <c r="BU63" s="625" t="e">
        <f>IF('wgl tot'!AJ63/'wgl tot'!H63&lt;tabellen!$E$57,0,(+'wgl tot'!AJ63-tabellen!$E$57*'wgl tot'!H63)/12*tabellen!$D$57)</f>
        <v>#DIV/0!</v>
      </c>
      <c r="BV63" s="625" t="e">
        <f>IF('wgl tot'!AJ63/'wgl tot'!H63&lt;tabellen!$E$58,0,(+'wgl tot'!AJ63-tabellen!$E$58*'wgl tot'!H63)/12*tabellen!$D$58)</f>
        <v>#DIV/0!</v>
      </c>
      <c r="BW63" s="625">
        <f>'wgl tot'!AJ63/12*tabellen!$D$59</f>
        <v>0</v>
      </c>
      <c r="BX63" s="626" t="e">
        <f>SUM(BU63:BW63)</f>
        <v>#DIV/0!</v>
      </c>
      <c r="BY63" s="627" t="e">
        <f>+('wgl tot'!AF63+'wgl tot'!AK63)/12-'wgl tot'!BX63</f>
        <v>#DIV/0!</v>
      </c>
      <c r="BZ63" s="627" t="e">
        <f>ROUND(IF('wgl tot'!BY63&gt;tabellen!$H$63,tabellen!$H$63,'wgl tot'!BY63)*tabellen!$C$63,2)</f>
        <v>#DIV/0!</v>
      </c>
      <c r="CA63" s="627" t="e">
        <f>+'wgl tot'!BY63+'wgl tot'!BZ63</f>
        <v>#DIV/0!</v>
      </c>
      <c r="CB63" s="628">
        <f>YEAR(E63)</f>
        <v>1900</v>
      </c>
      <c r="CC63" s="628">
        <f>MONTH(E63)</f>
        <v>1</v>
      </c>
      <c r="CD63" s="621">
        <f>DAY(E63)</f>
        <v>0</v>
      </c>
      <c r="CE63" s="619">
        <f t="shared" si="8"/>
        <v>22462</v>
      </c>
      <c r="CF63" s="619">
        <f t="shared" ca="1" si="9"/>
        <v>42283.70841446759</v>
      </c>
      <c r="CG63" s="613"/>
      <c r="CH63" s="619"/>
      <c r="CI63" s="613"/>
      <c r="CJ63" s="624"/>
      <c r="CK63" s="624"/>
      <c r="CL63" s="624"/>
      <c r="CM63" s="624"/>
      <c r="CN63" s="624"/>
      <c r="CO63" s="624"/>
    </row>
    <row r="64" spans="2:93" ht="13.5" customHeight="1" x14ac:dyDescent="0.2">
      <c r="B64" s="384"/>
      <c r="C64" s="402"/>
      <c r="D64" s="286"/>
      <c r="E64" s="287"/>
      <c r="F64" s="288"/>
      <c r="G64" s="288"/>
      <c r="H64" s="289"/>
      <c r="I64" s="288"/>
      <c r="J64" s="288"/>
      <c r="K64" s="288"/>
      <c r="L64" s="288"/>
      <c r="M64" s="290"/>
      <c r="N64" s="402"/>
      <c r="O64" s="639">
        <f>IF(F64="",0,(VLOOKUP('wgl tot'!F64,salaristabellen,'wgl tot'!G64+1,FALSE)))</f>
        <v>0</v>
      </c>
      <c r="P64" s="661">
        <f>O64*H64</f>
        <v>0</v>
      </c>
      <c r="Q64" s="402"/>
      <c r="R64" s="633">
        <f>ROUND(IF(I64="j",VLOOKUP(BL64,uitlooptoeslag,2,FALSE))*IF('wgl tot'!H64&gt;1,1,'wgl tot'!H64),2)</f>
        <v>0</v>
      </c>
      <c r="S64" s="633">
        <f>ROUND(IF(OR('wgl tot'!F64="LA",'wgl tot'!F64="LB"),IF(J64="j",tabellen!$C$77*'wgl tot'!H64,0),0),2)</f>
        <v>0</v>
      </c>
      <c r="T64" s="633">
        <f>ROUND(IF(('wgl tot'!P64+'wgl tot'!R64+'wgl tot'!S64)*BN64&lt;'wgl tot'!H64*tabellen!$D$89,'wgl tot'!H64*tabellen!$D$89,('wgl tot'!P64+'wgl tot'!R64+'wgl tot'!S64)*BN64),2)</f>
        <v>0</v>
      </c>
      <c r="U64" s="633">
        <f>ROUND(+('wgl tot'!P64+'wgl tot'!R64+'wgl tot'!S64)*BO64,2)</f>
        <v>0</v>
      </c>
      <c r="V64" s="633">
        <f>+tabellen!$C$85*'wgl tot'!H64</f>
        <v>0</v>
      </c>
      <c r="W64" s="633">
        <f>VLOOKUP(BP64,eindejaarsuitkering_OOP,2,TRUE)*'wgl tot'!H64/12</f>
        <v>0</v>
      </c>
      <c r="X64" s="633">
        <f>ROUND(IF(BQ64="j",tabellen!$D$99*IF('wgl tot'!H64&gt;1,1,'wgl tot'!H64),0),2)</f>
        <v>0</v>
      </c>
      <c r="Y64" s="654">
        <f t="shared" si="1"/>
        <v>0</v>
      </c>
      <c r="Z64" s="404"/>
      <c r="AA64" s="405"/>
      <c r="AB64" s="632">
        <f t="shared" si="2"/>
        <v>0</v>
      </c>
      <c r="AC64" s="633">
        <f>ROUND(IF(L64="j",VLOOKUP(K64,bindingstoelage,2,FALSE))*IF('wgl tot'!H64&gt;1,1,'wgl tot'!H64),2)</f>
        <v>0</v>
      </c>
      <c r="AD64" s="633">
        <f>ROUND('wgl tot'!H64*tabellen!$D$96,2)</f>
        <v>0</v>
      </c>
      <c r="AE64" s="633">
        <f>ROUND('wgl tot'!H64*tabellen!$D$97,2)</f>
        <v>0</v>
      </c>
      <c r="AF64" s="632">
        <f t="shared" si="3"/>
        <v>0</v>
      </c>
      <c r="AG64" s="402"/>
      <c r="AH64" s="633">
        <f>+('wgl tot'!AF64/(1+1.9%))*BR64</f>
        <v>0</v>
      </c>
      <c r="AI64" s="633">
        <f>IF(F64="",0,(791.85))</f>
        <v>0</v>
      </c>
      <c r="AJ64" s="632">
        <f>ROUND('wgl tot'!AF64-IF('wgl tot'!AI64&gt;'wgl tot'!AH64,'wgl tot'!AH64,'wgl tot'!AI64),0)</f>
        <v>0</v>
      </c>
      <c r="AK64" s="634">
        <f>IF('wgl tot'!E64&lt;1950,0,+('wgl tot'!P64+'wgl tot'!R64+'wgl tot'!S64)*tabellen!$C$87)*12</f>
        <v>0</v>
      </c>
      <c r="AL64" s="402"/>
      <c r="AM64" s="633">
        <f t="shared" si="4"/>
        <v>0</v>
      </c>
      <c r="AN64" s="633">
        <f>IF(F64="",0,(IF('wgl tot'!AJ64/'wgl tot'!H64&lt;tabellen!$E$57,0,('wgl tot'!AJ64-tabellen!$E$57*'wgl tot'!H64)/12)*tabellen!$C$57))</f>
        <v>0</v>
      </c>
      <c r="AO64" s="633">
        <f>IF(F64="",0,(IF('wgl tot'!AJ64/'wgl tot'!H64&lt;tabellen!$E$58,0,(+'wgl tot'!AJ64-tabellen!$E$58*'wgl tot'!H64)/12)*tabellen!$C$58))</f>
        <v>0</v>
      </c>
      <c r="AP64" s="633">
        <f>'wgl tot'!AJ64/12*tabellen!$C$59</f>
        <v>0</v>
      </c>
      <c r="AQ64" s="633">
        <f>IF(H64=0,0,IF(BY64&gt;tabellen!$G$60/12,tabellen!$G$60/12,BY64)*(tabellen!$C$60+tabellen!$C$61))</f>
        <v>0</v>
      </c>
      <c r="AR64" s="633">
        <f>IF(F64="",0,('wgl tot'!BZ64))</f>
        <v>0</v>
      </c>
      <c r="AS64" s="635">
        <f>IF(F64="",0,(IF('wgl tot'!BY64&gt;tabellen!$G$64*'wgl tot'!H64/12,tabellen!$G$64*'wgl tot'!H64/12,'wgl tot'!BY64)*tabellen!$C$64))</f>
        <v>0</v>
      </c>
      <c r="AT64" s="635">
        <f>IF(F64="",0,('wgl tot'!BY64*IF(M64=1,tabellen!$C$65,IF(M64=2,tabellen!C116,IF(M64=3,tabellen!$C$67,tabellen!$C$68)))))</f>
        <v>0</v>
      </c>
      <c r="AU64" s="635">
        <f>IF(F64="",0,('wgl tot'!BY64*tabellen!$C$69))</f>
        <v>0</v>
      </c>
      <c r="AV64" s="635">
        <f>+'wgl tot'!AK64/12</f>
        <v>0</v>
      </c>
      <c r="AW64" s="435">
        <v>0</v>
      </c>
      <c r="AX64" s="291">
        <f t="shared" si="5"/>
        <v>0</v>
      </c>
      <c r="AY64" s="658">
        <f t="shared" si="6"/>
        <v>0</v>
      </c>
      <c r="AZ64" s="658">
        <f t="shared" si="7"/>
        <v>0</v>
      </c>
      <c r="BA64" s="402"/>
      <c r="BB64" s="641" t="str">
        <f>IF(AY64=0,"",(+'wgl tot'!AY64/'wgl tot'!P64-1))</f>
        <v/>
      </c>
      <c r="BC64" s="402"/>
      <c r="BD64" s="385"/>
      <c r="BG64" s="621">
        <f ca="1">YEAR('wgl tot'!$BG$10)-YEAR('wgl tot'!E64)</f>
        <v>115</v>
      </c>
      <c r="BH64" s="621">
        <f ca="1">MONTH('wgl tot'!$BG$10)-MONTH('wgl tot'!E64)</f>
        <v>9</v>
      </c>
      <c r="BI64" s="621">
        <f ca="1">DAY('wgl tot'!$BG$10)-DAY('wgl tot'!E64)</f>
        <v>6</v>
      </c>
      <c r="BJ64" s="613">
        <f>IF(AND('wgl tot'!F64&gt;0,'wgl tot'!F64&lt;16),0,100)</f>
        <v>100</v>
      </c>
      <c r="BK64" s="613" t="e">
        <f>VLOOKUP('wgl tot'!F64,salaristabellen,22,FALSE)</f>
        <v>#N/A</v>
      </c>
      <c r="BL64" s="613">
        <f t="shared" si="14"/>
        <v>0</v>
      </c>
      <c r="BM64" s="619">
        <f t="shared" si="10"/>
        <v>42005</v>
      </c>
      <c r="BN64" s="622">
        <f t="shared" si="11"/>
        <v>0.08</v>
      </c>
      <c r="BO64" s="623">
        <f>+tabellen!$D$90</f>
        <v>6.3E-2</v>
      </c>
      <c r="BP64" s="621">
        <f>IF('wgl tot'!BJ64=100,0,'wgl tot'!F64)</f>
        <v>0</v>
      </c>
      <c r="BQ64" s="623" t="str">
        <f>IF(OR('wgl tot'!F64="DA",'wgl tot'!F64="DB",'wgl tot'!F64="DBuit",'wgl tot'!F64="DC",'wgl tot'!F64="DCuit",MID('wgl tot'!F64,1,5)="meerh"),"j","n")</f>
        <v>n</v>
      </c>
      <c r="BR64" s="623">
        <f t="shared" si="12"/>
        <v>1.9E-2</v>
      </c>
      <c r="BS64" s="624">
        <f>IF(AI64&gt;'wgl tot'!AH64,'wgl tot'!AH64,AI64)</f>
        <v>0</v>
      </c>
      <c r="BT64" s="624"/>
      <c r="BU64" s="625" t="e">
        <f>IF('wgl tot'!AJ64/'wgl tot'!H64&lt;tabellen!$E$57,0,(+'wgl tot'!AJ64-tabellen!$E$57*'wgl tot'!H64)/12*tabellen!$D$57)</f>
        <v>#DIV/0!</v>
      </c>
      <c r="BV64" s="625" t="e">
        <f>IF('wgl tot'!AJ64/'wgl tot'!H64&lt;tabellen!$E$58,0,(+'wgl tot'!AJ64-tabellen!$E$58*'wgl tot'!H64)/12*tabellen!$D$58)</f>
        <v>#DIV/0!</v>
      </c>
      <c r="BW64" s="625">
        <f>'wgl tot'!AJ64/12*tabellen!$D$59</f>
        <v>0</v>
      </c>
      <c r="BX64" s="626" t="e">
        <f t="shared" si="13"/>
        <v>#DIV/0!</v>
      </c>
      <c r="BY64" s="627" t="e">
        <f>+('wgl tot'!AF64+'wgl tot'!AK64)/12-'wgl tot'!BX64</f>
        <v>#DIV/0!</v>
      </c>
      <c r="BZ64" s="627" t="e">
        <f>ROUND(IF('wgl tot'!BY64&gt;tabellen!$H$63,tabellen!$H$63,'wgl tot'!BY64)*tabellen!$C$63,2)</f>
        <v>#DIV/0!</v>
      </c>
      <c r="CA64" s="627" t="e">
        <f>+'wgl tot'!BY64+'wgl tot'!BZ64</f>
        <v>#DIV/0!</v>
      </c>
      <c r="CB64" s="628">
        <f>YEAR(E64)</f>
        <v>1900</v>
      </c>
      <c r="CC64" s="628">
        <f>MONTH(E64)</f>
        <v>1</v>
      </c>
      <c r="CD64" s="621">
        <f>DAY(E64)</f>
        <v>0</v>
      </c>
      <c r="CE64" s="619">
        <f t="shared" si="8"/>
        <v>22462</v>
      </c>
      <c r="CF64" s="619">
        <f t="shared" ca="1" si="9"/>
        <v>42283.70841446759</v>
      </c>
      <c r="CG64" s="613"/>
      <c r="CH64" s="619"/>
      <c r="CI64" s="613"/>
      <c r="CJ64" s="624"/>
      <c r="CK64" s="624"/>
      <c r="CL64" s="624"/>
      <c r="CM64" s="624"/>
      <c r="CN64" s="624"/>
      <c r="CO64" s="624"/>
    </row>
    <row r="65" spans="2:93" ht="13.5" customHeight="1" x14ac:dyDescent="0.2">
      <c r="B65" s="384"/>
      <c r="C65" s="402"/>
      <c r="D65" s="286"/>
      <c r="E65" s="287"/>
      <c r="F65" s="288"/>
      <c r="G65" s="288"/>
      <c r="H65" s="289"/>
      <c r="I65" s="288"/>
      <c r="J65" s="288"/>
      <c r="K65" s="288"/>
      <c r="L65" s="288"/>
      <c r="M65" s="290"/>
      <c r="N65" s="402"/>
      <c r="O65" s="639">
        <f>IF(F65="",0,(VLOOKUP('wgl tot'!F65,salaristabellen,'wgl tot'!G65+1,FALSE)))</f>
        <v>0</v>
      </c>
      <c r="P65" s="661">
        <f>O65*H65</f>
        <v>0</v>
      </c>
      <c r="Q65" s="402"/>
      <c r="R65" s="633">
        <f>ROUND(IF(I65="j",VLOOKUP(BL65,uitlooptoeslag,2,FALSE))*IF('wgl tot'!H65&gt;1,1,'wgl tot'!H65),2)</f>
        <v>0</v>
      </c>
      <c r="S65" s="633">
        <f>ROUND(IF(OR('wgl tot'!F65="LA",'wgl tot'!F65="LB"),IF(J65="j",tabellen!$C$77*'wgl tot'!H65,0),0),2)</f>
        <v>0</v>
      </c>
      <c r="T65" s="633">
        <f>ROUND(IF(('wgl tot'!P65+'wgl tot'!R65+'wgl tot'!S65)*BN65&lt;'wgl tot'!H65*tabellen!$D$89,'wgl tot'!H65*tabellen!$D$89,('wgl tot'!P65+'wgl tot'!R65+'wgl tot'!S65)*BN65),2)</f>
        <v>0</v>
      </c>
      <c r="U65" s="633">
        <f>ROUND(+('wgl tot'!P65+'wgl tot'!R65+'wgl tot'!S65)*BO65,2)</f>
        <v>0</v>
      </c>
      <c r="V65" s="633">
        <f>+tabellen!$C$85*'wgl tot'!H65</f>
        <v>0</v>
      </c>
      <c r="W65" s="633">
        <f>VLOOKUP(BP65,eindejaarsuitkering_OOP,2,TRUE)*'wgl tot'!H65/12</f>
        <v>0</v>
      </c>
      <c r="X65" s="633">
        <f>ROUND(IF(BQ65="j",tabellen!$D$99*IF('wgl tot'!H65&gt;1,1,'wgl tot'!H65),0),2)</f>
        <v>0</v>
      </c>
      <c r="Y65" s="654">
        <f t="shared" si="1"/>
        <v>0</v>
      </c>
      <c r="Z65" s="404"/>
      <c r="AA65" s="405"/>
      <c r="AB65" s="632">
        <f t="shared" si="2"/>
        <v>0</v>
      </c>
      <c r="AC65" s="633">
        <f>ROUND(IF(L65="j",VLOOKUP(K65,bindingstoelage,2,FALSE))*IF('wgl tot'!H65&gt;1,1,'wgl tot'!H65),2)</f>
        <v>0</v>
      </c>
      <c r="AD65" s="633">
        <f>ROUND('wgl tot'!H65*tabellen!$D$96,2)</f>
        <v>0</v>
      </c>
      <c r="AE65" s="633">
        <f>ROUND('wgl tot'!H65*tabellen!$D$97,2)</f>
        <v>0</v>
      </c>
      <c r="AF65" s="632">
        <f t="shared" si="3"/>
        <v>0</v>
      </c>
      <c r="AG65" s="402"/>
      <c r="AH65" s="633">
        <f>+('wgl tot'!AF65/(1+1.9%))*BR65</f>
        <v>0</v>
      </c>
      <c r="AI65" s="633">
        <f>IF(F65="",0,(791.85))</f>
        <v>0</v>
      </c>
      <c r="AJ65" s="632">
        <f>ROUND('wgl tot'!AF65-IF('wgl tot'!AI65&gt;'wgl tot'!AH65,'wgl tot'!AH65,'wgl tot'!AI65),0)</f>
        <v>0</v>
      </c>
      <c r="AK65" s="634">
        <f>IF('wgl tot'!E65&lt;1950,0,+('wgl tot'!P65+'wgl tot'!R65+'wgl tot'!S65)*tabellen!$C$87)*12</f>
        <v>0</v>
      </c>
      <c r="AL65" s="402"/>
      <c r="AM65" s="633">
        <f t="shared" si="4"/>
        <v>0</v>
      </c>
      <c r="AN65" s="633">
        <f>IF(F65="",0,(IF('wgl tot'!AJ65/'wgl tot'!H65&lt;tabellen!$E$57,0,('wgl tot'!AJ65-tabellen!$E$57*'wgl tot'!H65)/12)*tabellen!$C$57))</f>
        <v>0</v>
      </c>
      <c r="AO65" s="633">
        <f>IF(F65="",0,(IF('wgl tot'!AJ65/'wgl tot'!H65&lt;tabellen!$E$58,0,(+'wgl tot'!AJ65-tabellen!$E$58*'wgl tot'!H65)/12)*tabellen!$C$58))</f>
        <v>0</v>
      </c>
      <c r="AP65" s="633">
        <f>'wgl tot'!AJ65/12*tabellen!$C$59</f>
        <v>0</v>
      </c>
      <c r="AQ65" s="633">
        <f>IF(H65=0,0,IF(BY65&gt;tabellen!$G$60/12,tabellen!$G$60/12,BY65)*(tabellen!$C$60+tabellen!$C$61))</f>
        <v>0</v>
      </c>
      <c r="AR65" s="633">
        <f>IF(F65="",0,('wgl tot'!BZ65))</f>
        <v>0</v>
      </c>
      <c r="AS65" s="635">
        <f>IF(F65="",0,(IF('wgl tot'!BY65&gt;tabellen!$G$64*'wgl tot'!H65/12,tabellen!$G$64*'wgl tot'!H65/12,'wgl tot'!BY65)*tabellen!$C$64))</f>
        <v>0</v>
      </c>
      <c r="AT65" s="635">
        <f>IF(F65="",0,('wgl tot'!BY65*IF(M65=1,tabellen!$C$65,IF(M65=2,tabellen!C117,IF(M65=3,tabellen!$C$67,tabellen!$C$68)))))</f>
        <v>0</v>
      </c>
      <c r="AU65" s="635">
        <f>IF(F65="",0,('wgl tot'!BY65*tabellen!$C$69))</f>
        <v>0</v>
      </c>
      <c r="AV65" s="635">
        <f>+'wgl tot'!AK65/12</f>
        <v>0</v>
      </c>
      <c r="AW65" s="435">
        <v>0</v>
      </c>
      <c r="AX65" s="291">
        <f t="shared" si="5"/>
        <v>0</v>
      </c>
      <c r="AY65" s="658">
        <f t="shared" si="6"/>
        <v>0</v>
      </c>
      <c r="AZ65" s="658">
        <f t="shared" si="7"/>
        <v>0</v>
      </c>
      <c r="BA65" s="402"/>
      <c r="BB65" s="641" t="str">
        <f>IF(AY65=0,"",(+'wgl tot'!AY65/'wgl tot'!P65-1))</f>
        <v/>
      </c>
      <c r="BC65" s="402"/>
      <c r="BD65" s="385"/>
      <c r="BG65" s="621">
        <f ca="1">YEAR('wgl tot'!$BG$10)-YEAR('wgl tot'!E65)</f>
        <v>115</v>
      </c>
      <c r="BH65" s="621">
        <f ca="1">MONTH('wgl tot'!$BG$10)-MONTH('wgl tot'!E65)</f>
        <v>9</v>
      </c>
      <c r="BI65" s="621">
        <f ca="1">DAY('wgl tot'!$BG$10)-DAY('wgl tot'!E65)</f>
        <v>6</v>
      </c>
      <c r="BJ65" s="613">
        <f>IF(AND('wgl tot'!F65&gt;0,'wgl tot'!F65&lt;16),0,100)</f>
        <v>100</v>
      </c>
      <c r="BK65" s="613" t="e">
        <f>VLOOKUP('wgl tot'!F65,salaristabellen,22,FALSE)</f>
        <v>#N/A</v>
      </c>
      <c r="BL65" s="613">
        <f t="shared" si="14"/>
        <v>0</v>
      </c>
      <c r="BM65" s="619">
        <f t="shared" si="10"/>
        <v>42005</v>
      </c>
      <c r="BN65" s="622">
        <f t="shared" si="11"/>
        <v>0.08</v>
      </c>
      <c r="BO65" s="623">
        <f>+tabellen!$D$90</f>
        <v>6.3E-2</v>
      </c>
      <c r="BP65" s="621">
        <f>IF('wgl tot'!BJ65=100,0,'wgl tot'!F65)</f>
        <v>0</v>
      </c>
      <c r="BQ65" s="623" t="str">
        <f>IF(OR('wgl tot'!F65="DA",'wgl tot'!F65="DB",'wgl tot'!F65="DBuit",'wgl tot'!F65="DC",'wgl tot'!F65="DCuit",MID('wgl tot'!F65,1,5)="meerh"),"j","n")</f>
        <v>n</v>
      </c>
      <c r="BR65" s="623">
        <f t="shared" si="12"/>
        <v>1.9E-2</v>
      </c>
      <c r="BS65" s="624">
        <f>IF(AI65&gt;'wgl tot'!AH65,'wgl tot'!AH65,AI65)</f>
        <v>0</v>
      </c>
      <c r="BT65" s="624"/>
      <c r="BU65" s="625" t="e">
        <f>IF('wgl tot'!AJ65/'wgl tot'!H65&lt;tabellen!$E$57,0,(+'wgl tot'!AJ65-tabellen!$E$57*'wgl tot'!H65)/12*tabellen!$D$57)</f>
        <v>#DIV/0!</v>
      </c>
      <c r="BV65" s="625" t="e">
        <f>IF('wgl tot'!AJ65/'wgl tot'!H65&lt;tabellen!$E$58,0,(+'wgl tot'!AJ65-tabellen!$E$58*'wgl tot'!H65)/12*tabellen!$D$58)</f>
        <v>#DIV/0!</v>
      </c>
      <c r="BW65" s="625">
        <f>'wgl tot'!AJ65/12*tabellen!$D$59</f>
        <v>0</v>
      </c>
      <c r="BX65" s="626" t="e">
        <f t="shared" si="13"/>
        <v>#DIV/0!</v>
      </c>
      <c r="BY65" s="627" t="e">
        <f>+('wgl tot'!AF65+'wgl tot'!AK65)/12-'wgl tot'!BX65</f>
        <v>#DIV/0!</v>
      </c>
      <c r="BZ65" s="627" t="e">
        <f>ROUND(IF('wgl tot'!BY65&gt;tabellen!$H$63,tabellen!$H$63,'wgl tot'!BY65)*tabellen!$C$63,2)</f>
        <v>#DIV/0!</v>
      </c>
      <c r="CA65" s="627" t="e">
        <f>+'wgl tot'!BY65+'wgl tot'!BZ65</f>
        <v>#DIV/0!</v>
      </c>
      <c r="CB65" s="628">
        <f>YEAR(E65)</f>
        <v>1900</v>
      </c>
      <c r="CC65" s="628">
        <f>MONTH(E65)</f>
        <v>1</v>
      </c>
      <c r="CD65" s="621">
        <f>DAY(E65)</f>
        <v>0</v>
      </c>
      <c r="CE65" s="619">
        <f t="shared" si="8"/>
        <v>22462</v>
      </c>
      <c r="CF65" s="619">
        <f t="shared" ca="1" si="9"/>
        <v>42283.70841446759</v>
      </c>
      <c r="CG65" s="613"/>
      <c r="CH65" s="619"/>
      <c r="CI65" s="613"/>
      <c r="CJ65" s="624"/>
      <c r="CK65" s="624"/>
      <c r="CL65" s="624"/>
      <c r="CM65" s="624"/>
      <c r="CN65" s="624"/>
      <c r="CO65" s="624"/>
    </row>
    <row r="66" spans="2:93" ht="13.5" customHeight="1" x14ac:dyDescent="0.2">
      <c r="B66" s="384"/>
      <c r="C66" s="402"/>
      <c r="D66" s="286"/>
      <c r="E66" s="287"/>
      <c r="F66" s="288"/>
      <c r="G66" s="288"/>
      <c r="H66" s="289"/>
      <c r="I66" s="288"/>
      <c r="J66" s="288"/>
      <c r="K66" s="288"/>
      <c r="L66" s="288"/>
      <c r="M66" s="290"/>
      <c r="N66" s="402"/>
      <c r="O66" s="639">
        <f>IF(F66="",0,(VLOOKUP('wgl tot'!F66,salaristabellen,'wgl tot'!G66+1,FALSE)))</f>
        <v>0</v>
      </c>
      <c r="P66" s="661">
        <f>O66*H66</f>
        <v>0</v>
      </c>
      <c r="Q66" s="402"/>
      <c r="R66" s="633">
        <f>ROUND(IF(I66="j",VLOOKUP(BL66,uitlooptoeslag,2,FALSE))*IF('wgl tot'!H66&gt;1,1,'wgl tot'!H66),2)</f>
        <v>0</v>
      </c>
      <c r="S66" s="633">
        <f>ROUND(IF(OR('wgl tot'!F66="LA",'wgl tot'!F66="LB"),IF(J66="j",tabellen!$C$77*'wgl tot'!H66,0),0),2)</f>
        <v>0</v>
      </c>
      <c r="T66" s="633">
        <f>ROUND(IF(('wgl tot'!P66+'wgl tot'!R66+'wgl tot'!S66)*BN66&lt;'wgl tot'!H66*tabellen!$D$89,'wgl tot'!H66*tabellen!$D$89,('wgl tot'!P66+'wgl tot'!R66+'wgl tot'!S66)*BN66),2)</f>
        <v>0</v>
      </c>
      <c r="U66" s="633">
        <f>ROUND(+('wgl tot'!P66+'wgl tot'!R66+'wgl tot'!S66)*BO66,2)</f>
        <v>0</v>
      </c>
      <c r="V66" s="633">
        <f>+tabellen!$C$85*'wgl tot'!H66</f>
        <v>0</v>
      </c>
      <c r="W66" s="633">
        <f>VLOOKUP(BP66,eindejaarsuitkering_OOP,2,TRUE)*'wgl tot'!H66/12</f>
        <v>0</v>
      </c>
      <c r="X66" s="633">
        <f>ROUND(IF(BQ66="j",tabellen!$D$99*IF('wgl tot'!H66&gt;1,1,'wgl tot'!H66),0),2)</f>
        <v>0</v>
      </c>
      <c r="Y66" s="654">
        <f t="shared" si="1"/>
        <v>0</v>
      </c>
      <c r="Z66" s="404"/>
      <c r="AA66" s="405"/>
      <c r="AB66" s="632">
        <f t="shared" si="2"/>
        <v>0</v>
      </c>
      <c r="AC66" s="633">
        <f>ROUND(IF(L66="j",VLOOKUP(K66,bindingstoelage,2,FALSE))*IF('wgl tot'!H66&gt;1,1,'wgl tot'!H66),2)</f>
        <v>0</v>
      </c>
      <c r="AD66" s="633">
        <f>ROUND('wgl tot'!H66*tabellen!$D$96,2)</f>
        <v>0</v>
      </c>
      <c r="AE66" s="633">
        <f>ROUND('wgl tot'!H66*tabellen!$D$97,2)</f>
        <v>0</v>
      </c>
      <c r="AF66" s="632">
        <f t="shared" si="3"/>
        <v>0</v>
      </c>
      <c r="AG66" s="402"/>
      <c r="AH66" s="633">
        <f>+('wgl tot'!AF66/(1+1.9%))*BR66</f>
        <v>0</v>
      </c>
      <c r="AI66" s="633">
        <f>IF(F66="",0,(791.85))</f>
        <v>0</v>
      </c>
      <c r="AJ66" s="632">
        <f>ROUND('wgl tot'!AF66-IF('wgl tot'!AI66&gt;'wgl tot'!AH66,'wgl tot'!AH66,'wgl tot'!AI66),0)</f>
        <v>0</v>
      </c>
      <c r="AK66" s="634">
        <f>IF('wgl tot'!E66&lt;1950,0,+('wgl tot'!P66+'wgl tot'!R66+'wgl tot'!S66)*tabellen!$C$87)*12</f>
        <v>0</v>
      </c>
      <c r="AL66" s="402"/>
      <c r="AM66" s="633">
        <f t="shared" si="4"/>
        <v>0</v>
      </c>
      <c r="AN66" s="633">
        <f>IF(F66="",0,(IF('wgl tot'!AJ66/'wgl tot'!H66&lt;tabellen!$E$57,0,('wgl tot'!AJ66-tabellen!$E$57*'wgl tot'!H66)/12)*tabellen!$C$57))</f>
        <v>0</v>
      </c>
      <c r="AO66" s="633">
        <f>IF(F66="",0,(IF('wgl tot'!AJ66/'wgl tot'!H66&lt;tabellen!$E$58,0,(+'wgl tot'!AJ66-tabellen!$E$58*'wgl tot'!H66)/12)*tabellen!$C$58))</f>
        <v>0</v>
      </c>
      <c r="AP66" s="633">
        <f>'wgl tot'!AJ66/12*tabellen!$C$59</f>
        <v>0</v>
      </c>
      <c r="AQ66" s="633">
        <f>IF(H66=0,0,IF(BY66&gt;tabellen!$G$60/12,tabellen!$G$60/12,BY66)*(tabellen!$C$60+tabellen!$C$61))</f>
        <v>0</v>
      </c>
      <c r="AR66" s="633">
        <f>IF(F66="",0,('wgl tot'!BZ66))</f>
        <v>0</v>
      </c>
      <c r="AS66" s="635">
        <f>IF(F66="",0,(IF('wgl tot'!BY66&gt;tabellen!$G$64*'wgl tot'!H66/12,tabellen!$G$64*'wgl tot'!H66/12,'wgl tot'!BY66)*tabellen!$C$64))</f>
        <v>0</v>
      </c>
      <c r="AT66" s="635">
        <f>IF(F66="",0,('wgl tot'!BY66*IF(M66=1,tabellen!$C$65,IF(M66=2,tabellen!C118,IF(M66=3,tabellen!$C$67,tabellen!$C$68)))))</f>
        <v>0</v>
      </c>
      <c r="AU66" s="635">
        <f>IF(F66="",0,('wgl tot'!BY66*tabellen!$C$69))</f>
        <v>0</v>
      </c>
      <c r="AV66" s="635">
        <f>+'wgl tot'!AK66/12</f>
        <v>0</v>
      </c>
      <c r="AW66" s="435">
        <v>0</v>
      </c>
      <c r="AX66" s="291">
        <f t="shared" si="5"/>
        <v>0</v>
      </c>
      <c r="AY66" s="658">
        <f t="shared" si="6"/>
        <v>0</v>
      </c>
      <c r="AZ66" s="658">
        <f t="shared" si="7"/>
        <v>0</v>
      </c>
      <c r="BA66" s="402"/>
      <c r="BB66" s="641" t="str">
        <f>IF(AY66=0,"",(+'wgl tot'!AY66/'wgl tot'!P66-1))</f>
        <v/>
      </c>
      <c r="BC66" s="402"/>
      <c r="BD66" s="385"/>
      <c r="BG66" s="621">
        <f ca="1">YEAR('wgl tot'!$BG$10)-YEAR('wgl tot'!E66)</f>
        <v>115</v>
      </c>
      <c r="BH66" s="621">
        <f ca="1">MONTH('wgl tot'!$BG$10)-MONTH('wgl tot'!E66)</f>
        <v>9</v>
      </c>
      <c r="BI66" s="621">
        <f ca="1">DAY('wgl tot'!$BG$10)-DAY('wgl tot'!E66)</f>
        <v>6</v>
      </c>
      <c r="BJ66" s="613">
        <f>IF(AND('wgl tot'!F66&gt;0,'wgl tot'!F66&lt;16),0,100)</f>
        <v>100</v>
      </c>
      <c r="BK66" s="613" t="e">
        <f>VLOOKUP('wgl tot'!F66,salaristabellen,22,FALSE)</f>
        <v>#N/A</v>
      </c>
      <c r="BL66" s="613">
        <f t="shared" si="14"/>
        <v>0</v>
      </c>
      <c r="BM66" s="619">
        <f t="shared" si="10"/>
        <v>42005</v>
      </c>
      <c r="BN66" s="622">
        <f t="shared" si="11"/>
        <v>0.08</v>
      </c>
      <c r="BO66" s="623">
        <f>+tabellen!$D$90</f>
        <v>6.3E-2</v>
      </c>
      <c r="BP66" s="621">
        <f>IF('wgl tot'!BJ66=100,0,'wgl tot'!F66)</f>
        <v>0</v>
      </c>
      <c r="BQ66" s="623" t="str">
        <f>IF(OR('wgl tot'!F66="DA",'wgl tot'!F66="DB",'wgl tot'!F66="DBuit",'wgl tot'!F66="DC",'wgl tot'!F66="DCuit",MID('wgl tot'!F66,1,5)="meerh"),"j","n")</f>
        <v>n</v>
      </c>
      <c r="BR66" s="623">
        <f t="shared" si="12"/>
        <v>1.9E-2</v>
      </c>
      <c r="BS66" s="624">
        <f>IF(AI66&gt;'wgl tot'!AH66,'wgl tot'!AH66,AI66)</f>
        <v>0</v>
      </c>
      <c r="BT66" s="624"/>
      <c r="BU66" s="625" t="e">
        <f>IF('wgl tot'!AJ66/'wgl tot'!H66&lt;tabellen!$E$57,0,(+'wgl tot'!AJ66-tabellen!$E$57*'wgl tot'!H66)/12*tabellen!$D$57)</f>
        <v>#DIV/0!</v>
      </c>
      <c r="BV66" s="625" t="e">
        <f>IF('wgl tot'!AJ66/'wgl tot'!H66&lt;tabellen!$E$58,0,(+'wgl tot'!AJ66-tabellen!$E$58*'wgl tot'!H66)/12*tabellen!$D$58)</f>
        <v>#DIV/0!</v>
      </c>
      <c r="BW66" s="625">
        <f>'wgl tot'!AJ66/12*tabellen!$D$59</f>
        <v>0</v>
      </c>
      <c r="BX66" s="626" t="e">
        <f t="shared" si="13"/>
        <v>#DIV/0!</v>
      </c>
      <c r="BY66" s="627" t="e">
        <f>+('wgl tot'!AF66+'wgl tot'!AK66)/12-'wgl tot'!BX66</f>
        <v>#DIV/0!</v>
      </c>
      <c r="BZ66" s="627" t="e">
        <f>ROUND(IF('wgl tot'!BY66&gt;tabellen!$H$63,tabellen!$H$63,'wgl tot'!BY66)*tabellen!$C$63,2)</f>
        <v>#DIV/0!</v>
      </c>
      <c r="CA66" s="627" t="e">
        <f>+'wgl tot'!BY66+'wgl tot'!BZ66</f>
        <v>#DIV/0!</v>
      </c>
      <c r="CB66" s="628">
        <f>YEAR(E66)</f>
        <v>1900</v>
      </c>
      <c r="CC66" s="628">
        <f>MONTH(E66)</f>
        <v>1</v>
      </c>
      <c r="CD66" s="621">
        <f>DAY(E66)</f>
        <v>0</v>
      </c>
      <c r="CE66" s="619">
        <f t="shared" si="8"/>
        <v>22462</v>
      </c>
      <c r="CF66" s="619">
        <f t="shared" ca="1" si="9"/>
        <v>42283.70841446759</v>
      </c>
      <c r="CG66" s="613"/>
      <c r="CH66" s="619"/>
      <c r="CI66" s="613"/>
      <c r="CJ66" s="624"/>
      <c r="CK66" s="624"/>
      <c r="CL66" s="624"/>
      <c r="CM66" s="624"/>
      <c r="CN66" s="624"/>
      <c r="CO66" s="624"/>
    </row>
    <row r="67" spans="2:93" ht="13.5" customHeight="1" x14ac:dyDescent="0.2">
      <c r="B67" s="384"/>
      <c r="C67" s="402"/>
      <c r="D67" s="286"/>
      <c r="E67" s="287"/>
      <c r="F67" s="288"/>
      <c r="G67" s="288"/>
      <c r="H67" s="289"/>
      <c r="I67" s="288"/>
      <c r="J67" s="288"/>
      <c r="K67" s="288"/>
      <c r="L67" s="288"/>
      <c r="M67" s="290"/>
      <c r="N67" s="402"/>
      <c r="O67" s="639">
        <f>IF(F67="",0,(VLOOKUP('wgl tot'!F67,salaristabellen,'wgl tot'!G67+1,FALSE)))</f>
        <v>0</v>
      </c>
      <c r="P67" s="661">
        <f>O67*H67</f>
        <v>0</v>
      </c>
      <c r="Q67" s="402"/>
      <c r="R67" s="633">
        <f>ROUND(IF(I67="j",VLOOKUP(BL67,uitlooptoeslag,2,FALSE))*IF('wgl tot'!H67&gt;1,1,'wgl tot'!H67),2)</f>
        <v>0</v>
      </c>
      <c r="S67" s="633">
        <f>ROUND(IF(OR('wgl tot'!F67="LA",'wgl tot'!F67="LB"),IF(J67="j",tabellen!$C$77*'wgl tot'!H67,0),0),2)</f>
        <v>0</v>
      </c>
      <c r="T67" s="633">
        <f>ROUND(IF(('wgl tot'!P67+'wgl tot'!R67+'wgl tot'!S67)*BN67&lt;'wgl tot'!H67*tabellen!$D$89,'wgl tot'!H67*tabellen!$D$89,('wgl tot'!P67+'wgl tot'!R67+'wgl tot'!S67)*BN67),2)</f>
        <v>0</v>
      </c>
      <c r="U67" s="633">
        <f>ROUND(+('wgl tot'!P67+'wgl tot'!R67+'wgl tot'!S67)*BO67,2)</f>
        <v>0</v>
      </c>
      <c r="V67" s="633">
        <f>+tabellen!$C$85*'wgl tot'!H67</f>
        <v>0</v>
      </c>
      <c r="W67" s="633">
        <f>VLOOKUP(BP67,eindejaarsuitkering_OOP,2,TRUE)*'wgl tot'!H67/12</f>
        <v>0</v>
      </c>
      <c r="X67" s="633">
        <f>ROUND(IF(BQ67="j",tabellen!$D$99*IF('wgl tot'!H67&gt;1,1,'wgl tot'!H67),0),2)</f>
        <v>0</v>
      </c>
      <c r="Y67" s="654">
        <f t="shared" si="1"/>
        <v>0</v>
      </c>
      <c r="Z67" s="404"/>
      <c r="AA67" s="405"/>
      <c r="AB67" s="632">
        <f t="shared" si="2"/>
        <v>0</v>
      </c>
      <c r="AC67" s="633">
        <f>ROUND(IF(L67="j",VLOOKUP(K67,bindingstoelage,2,FALSE))*IF('wgl tot'!H67&gt;1,1,'wgl tot'!H67),2)</f>
        <v>0</v>
      </c>
      <c r="AD67" s="633">
        <f>ROUND('wgl tot'!H67*tabellen!$D$96,2)</f>
        <v>0</v>
      </c>
      <c r="AE67" s="633">
        <f>ROUND('wgl tot'!H67*tabellen!$D$97,2)</f>
        <v>0</v>
      </c>
      <c r="AF67" s="632">
        <f t="shared" si="3"/>
        <v>0</v>
      </c>
      <c r="AG67" s="402"/>
      <c r="AH67" s="633">
        <f>+('wgl tot'!AF67/(1+1.9%))*BR67</f>
        <v>0</v>
      </c>
      <c r="AI67" s="633">
        <f>IF(F67="",0,(791.85))</f>
        <v>0</v>
      </c>
      <c r="AJ67" s="632">
        <f>ROUND('wgl tot'!AF67-IF('wgl tot'!AI67&gt;'wgl tot'!AH67,'wgl tot'!AH67,'wgl tot'!AI67),0)</f>
        <v>0</v>
      </c>
      <c r="AK67" s="634">
        <f>IF('wgl tot'!E67&lt;1950,0,+('wgl tot'!P67+'wgl tot'!R67+'wgl tot'!S67)*tabellen!$C$87)*12</f>
        <v>0</v>
      </c>
      <c r="AL67" s="402"/>
      <c r="AM67" s="633">
        <f t="shared" si="4"/>
        <v>0</v>
      </c>
      <c r="AN67" s="633">
        <f>IF(F67="",0,(IF('wgl tot'!AJ67/'wgl tot'!H67&lt;tabellen!$E$57,0,('wgl tot'!AJ67-tabellen!$E$57*'wgl tot'!H67)/12)*tabellen!$C$57))</f>
        <v>0</v>
      </c>
      <c r="AO67" s="633">
        <f>IF(F67="",0,(IF('wgl tot'!AJ67/'wgl tot'!H67&lt;tabellen!$E$58,0,(+'wgl tot'!AJ67-tabellen!$E$58*'wgl tot'!H67)/12)*tabellen!$C$58))</f>
        <v>0</v>
      </c>
      <c r="AP67" s="633">
        <f>'wgl tot'!AJ67/12*tabellen!$C$59</f>
        <v>0</v>
      </c>
      <c r="AQ67" s="633">
        <f>IF(H67=0,0,IF(BY67&gt;tabellen!$G$60/12,tabellen!$G$60/12,BY67)*(tabellen!$C$60+tabellen!$C$61))</f>
        <v>0</v>
      </c>
      <c r="AR67" s="633">
        <f>IF(F67="",0,('wgl tot'!BZ67))</f>
        <v>0</v>
      </c>
      <c r="AS67" s="635">
        <f>IF(F67="",0,(IF('wgl tot'!BY67&gt;tabellen!$G$64*'wgl tot'!H67/12,tabellen!$G$64*'wgl tot'!H67/12,'wgl tot'!BY67)*tabellen!$C$64))</f>
        <v>0</v>
      </c>
      <c r="AT67" s="635">
        <f>IF(F67="",0,('wgl tot'!BY67*IF(M67=1,tabellen!$C$65,IF(M67=2,tabellen!C119,IF(M67=3,tabellen!$C$67,tabellen!$C$68)))))</f>
        <v>0</v>
      </c>
      <c r="AU67" s="635">
        <f>IF(F67="",0,('wgl tot'!BY67*tabellen!$C$69))</f>
        <v>0</v>
      </c>
      <c r="AV67" s="635">
        <f>+'wgl tot'!AK67/12</f>
        <v>0</v>
      </c>
      <c r="AW67" s="435">
        <v>0</v>
      </c>
      <c r="AX67" s="291">
        <f t="shared" si="5"/>
        <v>0</v>
      </c>
      <c r="AY67" s="658">
        <f t="shared" si="6"/>
        <v>0</v>
      </c>
      <c r="AZ67" s="658">
        <f t="shared" si="7"/>
        <v>0</v>
      </c>
      <c r="BA67" s="402"/>
      <c r="BB67" s="641" t="str">
        <f>IF(AY67=0,"",(+'wgl tot'!AY67/'wgl tot'!P67-1))</f>
        <v/>
      </c>
      <c r="BC67" s="402"/>
      <c r="BD67" s="385"/>
      <c r="BG67" s="621">
        <f ca="1">YEAR('wgl tot'!$BG$10)-YEAR('wgl tot'!E67)</f>
        <v>115</v>
      </c>
      <c r="BH67" s="621">
        <f ca="1">MONTH('wgl tot'!$BG$10)-MONTH('wgl tot'!E67)</f>
        <v>9</v>
      </c>
      <c r="BI67" s="621">
        <f ca="1">DAY('wgl tot'!$BG$10)-DAY('wgl tot'!E67)</f>
        <v>6</v>
      </c>
      <c r="BJ67" s="613">
        <f>IF(AND('wgl tot'!F67&gt;0,'wgl tot'!F67&lt;16),0,100)</f>
        <v>100</v>
      </c>
      <c r="BK67" s="613" t="e">
        <f>VLOOKUP('wgl tot'!F67,salaristabellen,22,FALSE)</f>
        <v>#N/A</v>
      </c>
      <c r="BL67" s="613">
        <f t="shared" si="14"/>
        <v>0</v>
      </c>
      <c r="BM67" s="619">
        <f t="shared" si="10"/>
        <v>42005</v>
      </c>
      <c r="BN67" s="622">
        <f t="shared" si="11"/>
        <v>0.08</v>
      </c>
      <c r="BO67" s="623">
        <f>+tabellen!$D$90</f>
        <v>6.3E-2</v>
      </c>
      <c r="BP67" s="621">
        <f>IF('wgl tot'!BJ67=100,0,'wgl tot'!F67)</f>
        <v>0</v>
      </c>
      <c r="BQ67" s="623" t="str">
        <f>IF(OR('wgl tot'!F67="DA",'wgl tot'!F67="DB",'wgl tot'!F67="DBuit",'wgl tot'!F67="DC",'wgl tot'!F67="DCuit",MID('wgl tot'!F67,1,5)="meerh"),"j","n")</f>
        <v>n</v>
      </c>
      <c r="BR67" s="623">
        <f t="shared" si="12"/>
        <v>1.9E-2</v>
      </c>
      <c r="BS67" s="624">
        <f>IF(AI67&gt;'wgl tot'!AH67,'wgl tot'!AH67,AI67)</f>
        <v>0</v>
      </c>
      <c r="BT67" s="624"/>
      <c r="BU67" s="625" t="e">
        <f>IF('wgl tot'!AJ67/'wgl tot'!H67&lt;tabellen!$E$57,0,(+'wgl tot'!AJ67-tabellen!$E$57*'wgl tot'!H67)/12*tabellen!$D$57)</f>
        <v>#DIV/0!</v>
      </c>
      <c r="BV67" s="625" t="e">
        <f>IF('wgl tot'!AJ67/'wgl tot'!H67&lt;tabellen!$E$58,0,(+'wgl tot'!AJ67-tabellen!$E$58*'wgl tot'!H67)/12*tabellen!$D$58)</f>
        <v>#DIV/0!</v>
      </c>
      <c r="BW67" s="625">
        <f>'wgl tot'!AJ67/12*tabellen!$D$59</f>
        <v>0</v>
      </c>
      <c r="BX67" s="626" t="e">
        <f t="shared" si="13"/>
        <v>#DIV/0!</v>
      </c>
      <c r="BY67" s="627" t="e">
        <f>+('wgl tot'!AF67+'wgl tot'!AK67)/12-'wgl tot'!BX67</f>
        <v>#DIV/0!</v>
      </c>
      <c r="BZ67" s="627" t="e">
        <f>ROUND(IF('wgl tot'!BY67&gt;tabellen!$H$63,tabellen!$H$63,'wgl tot'!BY67)*tabellen!$C$63,2)</f>
        <v>#DIV/0!</v>
      </c>
      <c r="CA67" s="627" t="e">
        <f>+'wgl tot'!BY67+'wgl tot'!BZ67</f>
        <v>#DIV/0!</v>
      </c>
      <c r="CB67" s="628">
        <f>YEAR(E67)</f>
        <v>1900</v>
      </c>
      <c r="CC67" s="628">
        <f>MONTH(E67)</f>
        <v>1</v>
      </c>
      <c r="CD67" s="621">
        <f>DAY(E67)</f>
        <v>0</v>
      </c>
      <c r="CE67" s="619">
        <f t="shared" si="8"/>
        <v>22462</v>
      </c>
      <c r="CF67" s="619">
        <f t="shared" ca="1" si="9"/>
        <v>42283.70841446759</v>
      </c>
      <c r="CG67" s="613"/>
      <c r="CH67" s="619"/>
      <c r="CI67" s="613"/>
      <c r="CJ67" s="624"/>
      <c r="CK67" s="624"/>
      <c r="CL67" s="624"/>
      <c r="CM67" s="624"/>
      <c r="CN67" s="624"/>
      <c r="CO67" s="624"/>
    </row>
    <row r="68" spans="2:93" ht="13.5" customHeight="1" x14ac:dyDescent="0.2">
      <c r="B68" s="384"/>
      <c r="C68" s="402"/>
      <c r="D68" s="286"/>
      <c r="E68" s="287"/>
      <c r="F68" s="288"/>
      <c r="G68" s="288"/>
      <c r="H68" s="289"/>
      <c r="I68" s="288"/>
      <c r="J68" s="288"/>
      <c r="K68" s="288"/>
      <c r="L68" s="288"/>
      <c r="M68" s="290"/>
      <c r="N68" s="402"/>
      <c r="O68" s="639">
        <f>IF(F68="",0,(VLOOKUP('wgl tot'!F68,salaristabellen,'wgl tot'!G68+1,FALSE)))</f>
        <v>0</v>
      </c>
      <c r="P68" s="661">
        <f>O68*H68</f>
        <v>0</v>
      </c>
      <c r="Q68" s="402"/>
      <c r="R68" s="633">
        <f>ROUND(IF(I68="j",VLOOKUP(BL68,uitlooptoeslag,2,FALSE))*IF('wgl tot'!H68&gt;1,1,'wgl tot'!H68),2)</f>
        <v>0</v>
      </c>
      <c r="S68" s="633">
        <f>ROUND(IF(OR('wgl tot'!F68="LA",'wgl tot'!F68="LB"),IF(J68="j",tabellen!$C$77*'wgl tot'!H68,0),0),2)</f>
        <v>0</v>
      </c>
      <c r="T68" s="633">
        <f>ROUND(IF(('wgl tot'!P68+'wgl tot'!R68+'wgl tot'!S68)*BN68&lt;'wgl tot'!H68*tabellen!$D$89,'wgl tot'!H68*tabellen!$D$89,('wgl tot'!P68+'wgl tot'!R68+'wgl tot'!S68)*BN68),2)</f>
        <v>0</v>
      </c>
      <c r="U68" s="633">
        <f>ROUND(+('wgl tot'!P68+'wgl tot'!R68+'wgl tot'!S68)*BO68,2)</f>
        <v>0</v>
      </c>
      <c r="V68" s="633">
        <f>+tabellen!$C$85*'wgl tot'!H68</f>
        <v>0</v>
      </c>
      <c r="W68" s="633">
        <f>VLOOKUP(BP68,eindejaarsuitkering_OOP,2,TRUE)*'wgl tot'!H68/12</f>
        <v>0</v>
      </c>
      <c r="X68" s="633">
        <f>ROUND(IF(BQ68="j",tabellen!$D$99*IF('wgl tot'!H68&gt;1,1,'wgl tot'!H68),0),2)</f>
        <v>0</v>
      </c>
      <c r="Y68" s="654">
        <f t="shared" si="1"/>
        <v>0</v>
      </c>
      <c r="Z68" s="404"/>
      <c r="AA68" s="405"/>
      <c r="AB68" s="632">
        <f t="shared" si="2"/>
        <v>0</v>
      </c>
      <c r="AC68" s="633">
        <f>ROUND(IF(L68="j",VLOOKUP(K68,bindingstoelage,2,FALSE))*IF('wgl tot'!H68&gt;1,1,'wgl tot'!H68),2)</f>
        <v>0</v>
      </c>
      <c r="AD68" s="633">
        <f>ROUND('wgl tot'!H68*tabellen!$D$96,2)</f>
        <v>0</v>
      </c>
      <c r="AE68" s="633">
        <f>ROUND('wgl tot'!H68*tabellen!$D$97,2)</f>
        <v>0</v>
      </c>
      <c r="AF68" s="632">
        <f t="shared" si="3"/>
        <v>0</v>
      </c>
      <c r="AG68" s="402"/>
      <c r="AH68" s="633">
        <f>+('wgl tot'!AF68/(1+1.9%))*BR68</f>
        <v>0</v>
      </c>
      <c r="AI68" s="633">
        <f>IF(F68="",0,(791.85))</f>
        <v>0</v>
      </c>
      <c r="AJ68" s="632">
        <f>ROUND('wgl tot'!AF68-IF('wgl tot'!AI68&gt;'wgl tot'!AH68,'wgl tot'!AH68,'wgl tot'!AI68),0)</f>
        <v>0</v>
      </c>
      <c r="AK68" s="634">
        <f>IF('wgl tot'!E68&lt;1950,0,+('wgl tot'!P68+'wgl tot'!R68+'wgl tot'!S68)*tabellen!$C$87)*12</f>
        <v>0</v>
      </c>
      <c r="AL68" s="402"/>
      <c r="AM68" s="633">
        <f t="shared" si="4"/>
        <v>0</v>
      </c>
      <c r="AN68" s="633">
        <f>IF(F68="",0,(IF('wgl tot'!AJ68/'wgl tot'!H68&lt;tabellen!$E$57,0,('wgl tot'!AJ68-tabellen!$E$57*'wgl tot'!H68)/12)*tabellen!$C$57))</f>
        <v>0</v>
      </c>
      <c r="AO68" s="633">
        <f>IF(F68="",0,(IF('wgl tot'!AJ68/'wgl tot'!H68&lt;tabellen!$E$58,0,(+'wgl tot'!AJ68-tabellen!$E$58*'wgl tot'!H68)/12)*tabellen!$C$58))</f>
        <v>0</v>
      </c>
      <c r="AP68" s="633">
        <f>'wgl tot'!AJ68/12*tabellen!$C$59</f>
        <v>0</v>
      </c>
      <c r="AQ68" s="633">
        <f>IF(H68=0,0,IF(BY68&gt;tabellen!$G$60/12,tabellen!$G$60/12,BY68)*(tabellen!$C$60+tabellen!$C$61))</f>
        <v>0</v>
      </c>
      <c r="AR68" s="633">
        <f>IF(F68="",0,('wgl tot'!BZ68))</f>
        <v>0</v>
      </c>
      <c r="AS68" s="635">
        <f>IF(F68="",0,(IF('wgl tot'!BY68&gt;tabellen!$G$64*'wgl tot'!H68/12,tabellen!$G$64*'wgl tot'!H68/12,'wgl tot'!BY68)*tabellen!$C$64))</f>
        <v>0</v>
      </c>
      <c r="AT68" s="635">
        <f>IF(F68="",0,('wgl tot'!BY68*IF(M68=1,tabellen!$C$65,IF(M68=2,tabellen!#REF!,IF(M68=3,tabellen!$C$67,tabellen!$C$68)))))</f>
        <v>0</v>
      </c>
      <c r="AU68" s="635">
        <f>IF(F68="",0,('wgl tot'!BY68*tabellen!$C$69))</f>
        <v>0</v>
      </c>
      <c r="AV68" s="635">
        <f>+'wgl tot'!AK68/12</f>
        <v>0</v>
      </c>
      <c r="AW68" s="435">
        <v>0</v>
      </c>
      <c r="AX68" s="291">
        <f t="shared" si="5"/>
        <v>0</v>
      </c>
      <c r="AY68" s="658">
        <f t="shared" si="6"/>
        <v>0</v>
      </c>
      <c r="AZ68" s="658">
        <f t="shared" si="7"/>
        <v>0</v>
      </c>
      <c r="BA68" s="402"/>
      <c r="BB68" s="641" t="str">
        <f>IF(AY68=0,"",(+'wgl tot'!AY68/'wgl tot'!P68-1))</f>
        <v/>
      </c>
      <c r="BC68" s="402"/>
      <c r="BD68" s="385"/>
      <c r="BG68" s="621">
        <f ca="1">YEAR('wgl tot'!$BG$10)-YEAR('wgl tot'!E68)</f>
        <v>115</v>
      </c>
      <c r="BH68" s="621">
        <f ca="1">MONTH('wgl tot'!$BG$10)-MONTH('wgl tot'!E68)</f>
        <v>9</v>
      </c>
      <c r="BI68" s="621">
        <f ca="1">DAY('wgl tot'!$BG$10)-DAY('wgl tot'!E68)</f>
        <v>6</v>
      </c>
      <c r="BJ68" s="613">
        <f>IF(AND('wgl tot'!F68&gt;0,'wgl tot'!F68&lt;16),0,100)</f>
        <v>100</v>
      </c>
      <c r="BK68" s="613" t="e">
        <f>VLOOKUP('wgl tot'!F68,salaristabellen,22,FALSE)</f>
        <v>#N/A</v>
      </c>
      <c r="BL68" s="613">
        <f t="shared" si="14"/>
        <v>0</v>
      </c>
      <c r="BM68" s="619">
        <f t="shared" si="10"/>
        <v>42005</v>
      </c>
      <c r="BN68" s="622">
        <f t="shared" si="11"/>
        <v>0.08</v>
      </c>
      <c r="BO68" s="623">
        <f>+tabellen!$D$90</f>
        <v>6.3E-2</v>
      </c>
      <c r="BP68" s="621">
        <f>IF('wgl tot'!BJ68=100,0,'wgl tot'!F68)</f>
        <v>0</v>
      </c>
      <c r="BQ68" s="623" t="str">
        <f>IF(OR('wgl tot'!F68="DA",'wgl tot'!F68="DB",'wgl tot'!F68="DBuit",'wgl tot'!F68="DC",'wgl tot'!F68="DCuit",MID('wgl tot'!F68,1,5)="meerh"),"j","n")</f>
        <v>n</v>
      </c>
      <c r="BR68" s="623">
        <f t="shared" si="12"/>
        <v>1.9E-2</v>
      </c>
      <c r="BS68" s="624">
        <f>IF(AI68&gt;'wgl tot'!AH68,'wgl tot'!AH68,AI68)</f>
        <v>0</v>
      </c>
      <c r="BT68" s="624"/>
      <c r="BU68" s="625" t="e">
        <f>IF('wgl tot'!AJ68/'wgl tot'!H68&lt;tabellen!$E$57,0,(+'wgl tot'!AJ68-tabellen!$E$57*'wgl tot'!H68)/12*tabellen!$D$57)</f>
        <v>#DIV/0!</v>
      </c>
      <c r="BV68" s="625" t="e">
        <f>IF('wgl tot'!AJ68/'wgl tot'!H68&lt;tabellen!$E$58,0,(+'wgl tot'!AJ68-tabellen!$E$58*'wgl tot'!H68)/12*tabellen!$D$58)</f>
        <v>#DIV/0!</v>
      </c>
      <c r="BW68" s="625">
        <f>'wgl tot'!AJ68/12*tabellen!$D$59</f>
        <v>0</v>
      </c>
      <c r="BX68" s="626" t="e">
        <f t="shared" si="13"/>
        <v>#DIV/0!</v>
      </c>
      <c r="BY68" s="627" t="e">
        <f>+('wgl tot'!AF68+'wgl tot'!AK68)/12-'wgl tot'!BX68</f>
        <v>#DIV/0!</v>
      </c>
      <c r="BZ68" s="627" t="e">
        <f>ROUND(IF('wgl tot'!BY68&gt;tabellen!$H$63,tabellen!$H$63,'wgl tot'!BY68)*tabellen!$C$63,2)</f>
        <v>#DIV/0!</v>
      </c>
      <c r="CA68" s="627" t="e">
        <f>+'wgl tot'!BY68+'wgl tot'!BZ68</f>
        <v>#DIV/0!</v>
      </c>
      <c r="CB68" s="628">
        <f>YEAR(E68)</f>
        <v>1900</v>
      </c>
      <c r="CC68" s="628">
        <f>MONTH(E68)</f>
        <v>1</v>
      </c>
      <c r="CD68" s="621">
        <f>DAY(E68)</f>
        <v>0</v>
      </c>
      <c r="CE68" s="619">
        <f t="shared" si="8"/>
        <v>22462</v>
      </c>
      <c r="CF68" s="619">
        <f t="shared" ca="1" si="9"/>
        <v>42283.70841446759</v>
      </c>
      <c r="CG68" s="613"/>
      <c r="CH68" s="619"/>
      <c r="CI68" s="613"/>
      <c r="CJ68" s="624"/>
      <c r="CK68" s="624"/>
      <c r="CL68" s="624"/>
      <c r="CM68" s="624"/>
      <c r="CN68" s="624"/>
      <c r="CO68" s="624"/>
    </row>
    <row r="69" spans="2:93" ht="13.5" customHeight="1" x14ac:dyDescent="0.2">
      <c r="B69" s="384"/>
      <c r="C69" s="402"/>
      <c r="D69" s="286"/>
      <c r="E69" s="287"/>
      <c r="F69" s="288"/>
      <c r="G69" s="288"/>
      <c r="H69" s="289"/>
      <c r="I69" s="288"/>
      <c r="J69" s="288"/>
      <c r="K69" s="288"/>
      <c r="L69" s="288"/>
      <c r="M69" s="290"/>
      <c r="N69" s="402"/>
      <c r="O69" s="639">
        <f>IF(F69="",0,(VLOOKUP('wgl tot'!F69,salaristabellen,'wgl tot'!G69+1,FALSE)))</f>
        <v>0</v>
      </c>
      <c r="P69" s="661">
        <f>O69*H69</f>
        <v>0</v>
      </c>
      <c r="Q69" s="402"/>
      <c r="R69" s="633">
        <f>ROUND(IF(I69="j",VLOOKUP(BL69,uitlooptoeslag,2,FALSE))*IF('wgl tot'!H69&gt;1,1,'wgl tot'!H69),2)</f>
        <v>0</v>
      </c>
      <c r="S69" s="633">
        <f>ROUND(IF(OR('wgl tot'!F69="LA",'wgl tot'!F69="LB"),IF(J69="j",tabellen!$C$77*'wgl tot'!H69,0),0),2)</f>
        <v>0</v>
      </c>
      <c r="T69" s="633">
        <f>ROUND(IF(('wgl tot'!P69+'wgl tot'!R69+'wgl tot'!S69)*BN69&lt;'wgl tot'!H69*tabellen!$D$89,'wgl tot'!H69*tabellen!$D$89,('wgl tot'!P69+'wgl tot'!R69+'wgl tot'!S69)*BN69),2)</f>
        <v>0</v>
      </c>
      <c r="U69" s="633">
        <f>ROUND(+('wgl tot'!P69+'wgl tot'!R69+'wgl tot'!S69)*BO69,2)</f>
        <v>0</v>
      </c>
      <c r="V69" s="633">
        <f>+tabellen!$C$85*'wgl tot'!H69</f>
        <v>0</v>
      </c>
      <c r="W69" s="633">
        <f>VLOOKUP(BP69,eindejaarsuitkering_OOP,2,TRUE)*'wgl tot'!H69/12</f>
        <v>0</v>
      </c>
      <c r="X69" s="633">
        <f>ROUND(IF(BQ69="j",tabellen!$D$99*IF('wgl tot'!H69&gt;1,1,'wgl tot'!H69),0),2)</f>
        <v>0</v>
      </c>
      <c r="Y69" s="654">
        <f t="shared" si="1"/>
        <v>0</v>
      </c>
      <c r="Z69" s="404"/>
      <c r="AA69" s="405"/>
      <c r="AB69" s="632">
        <f t="shared" si="2"/>
        <v>0</v>
      </c>
      <c r="AC69" s="633">
        <f>ROUND(IF(L69="j",VLOOKUP(K69,bindingstoelage,2,FALSE))*IF('wgl tot'!H69&gt;1,1,'wgl tot'!H69),2)</f>
        <v>0</v>
      </c>
      <c r="AD69" s="633">
        <f>ROUND('wgl tot'!H69*tabellen!$D$96,2)</f>
        <v>0</v>
      </c>
      <c r="AE69" s="633">
        <f>ROUND('wgl tot'!H69*tabellen!$D$97,2)</f>
        <v>0</v>
      </c>
      <c r="AF69" s="632">
        <f t="shared" si="3"/>
        <v>0</v>
      </c>
      <c r="AG69" s="402"/>
      <c r="AH69" s="633">
        <f>+('wgl tot'!AF69/(1+1.9%))*BR69</f>
        <v>0</v>
      </c>
      <c r="AI69" s="633">
        <f>IF(F69="",0,(791.85))</f>
        <v>0</v>
      </c>
      <c r="AJ69" s="632">
        <f>ROUND('wgl tot'!AF69-IF('wgl tot'!AI69&gt;'wgl tot'!AH69,'wgl tot'!AH69,'wgl tot'!AI69),0)</f>
        <v>0</v>
      </c>
      <c r="AK69" s="634">
        <f>IF('wgl tot'!E69&lt;1950,0,+('wgl tot'!P69+'wgl tot'!R69+'wgl tot'!S69)*tabellen!$C$87)*12</f>
        <v>0</v>
      </c>
      <c r="AL69" s="402"/>
      <c r="AM69" s="633">
        <f t="shared" si="4"/>
        <v>0</v>
      </c>
      <c r="AN69" s="633">
        <f>IF(F69="",0,(IF('wgl tot'!AJ69/'wgl tot'!H69&lt;tabellen!$E$57,0,('wgl tot'!AJ69-tabellen!$E$57*'wgl tot'!H69)/12)*tabellen!$C$57))</f>
        <v>0</v>
      </c>
      <c r="AO69" s="633">
        <f>IF(F69="",0,(IF('wgl tot'!AJ69/'wgl tot'!H69&lt;tabellen!$E$58,0,(+'wgl tot'!AJ69-tabellen!$E$58*'wgl tot'!H69)/12)*tabellen!$C$58))</f>
        <v>0</v>
      </c>
      <c r="AP69" s="633">
        <f>'wgl tot'!AJ69/12*tabellen!$C$59</f>
        <v>0</v>
      </c>
      <c r="AQ69" s="633">
        <f>IF(H69=0,0,IF(BY69&gt;tabellen!$G$60/12,tabellen!$G$60/12,BY69)*(tabellen!$C$60+tabellen!$C$61))</f>
        <v>0</v>
      </c>
      <c r="AR69" s="633">
        <f>IF(F69="",0,('wgl tot'!BZ69))</f>
        <v>0</v>
      </c>
      <c r="AS69" s="635">
        <f>IF(F69="",0,(IF('wgl tot'!BY69&gt;tabellen!$G$64*'wgl tot'!H69/12,tabellen!$G$64*'wgl tot'!H69/12,'wgl tot'!BY69)*tabellen!$C$64))</f>
        <v>0</v>
      </c>
      <c r="AT69" s="635">
        <f>IF(F69="",0,('wgl tot'!BY69*IF(M69=1,tabellen!$C$65,IF(M69=2,tabellen!#REF!,IF(M69=3,tabellen!$C$67,tabellen!$C$68)))))</f>
        <v>0</v>
      </c>
      <c r="AU69" s="635">
        <f>IF(F69="",0,('wgl tot'!BY69*tabellen!$C$69))</f>
        <v>0</v>
      </c>
      <c r="AV69" s="635">
        <f>+'wgl tot'!AK69/12</f>
        <v>0</v>
      </c>
      <c r="AW69" s="435">
        <v>0</v>
      </c>
      <c r="AX69" s="291">
        <f t="shared" si="5"/>
        <v>0</v>
      </c>
      <c r="AY69" s="658">
        <f t="shared" si="6"/>
        <v>0</v>
      </c>
      <c r="AZ69" s="658">
        <f t="shared" si="7"/>
        <v>0</v>
      </c>
      <c r="BA69" s="402"/>
      <c r="BB69" s="641" t="str">
        <f>IF(AY69=0,"",(+'wgl tot'!AY69/'wgl tot'!P69-1))</f>
        <v/>
      </c>
      <c r="BC69" s="402"/>
      <c r="BD69" s="385"/>
      <c r="BG69" s="621">
        <f ca="1">YEAR('wgl tot'!$BG$10)-YEAR('wgl tot'!E69)</f>
        <v>115</v>
      </c>
      <c r="BH69" s="621">
        <f ca="1">MONTH('wgl tot'!$BG$10)-MONTH('wgl tot'!E69)</f>
        <v>9</v>
      </c>
      <c r="BI69" s="621">
        <f ca="1">DAY('wgl tot'!$BG$10)-DAY('wgl tot'!E69)</f>
        <v>6</v>
      </c>
      <c r="BJ69" s="613">
        <f>IF(AND('wgl tot'!F69&gt;0,'wgl tot'!F69&lt;16),0,100)</f>
        <v>100</v>
      </c>
      <c r="BK69" s="613" t="e">
        <f>VLOOKUP('wgl tot'!F69,salaristabellen,22,FALSE)</f>
        <v>#N/A</v>
      </c>
      <c r="BL69" s="613">
        <f t="shared" si="14"/>
        <v>0</v>
      </c>
      <c r="BM69" s="619">
        <f t="shared" si="10"/>
        <v>42005</v>
      </c>
      <c r="BN69" s="622">
        <f t="shared" si="11"/>
        <v>0.08</v>
      </c>
      <c r="BO69" s="623">
        <f>+tabellen!$D$90</f>
        <v>6.3E-2</v>
      </c>
      <c r="BP69" s="621">
        <f>IF('wgl tot'!BJ69=100,0,'wgl tot'!F69)</f>
        <v>0</v>
      </c>
      <c r="BQ69" s="623" t="str">
        <f>IF(OR('wgl tot'!F69="DA",'wgl tot'!F69="DB",'wgl tot'!F69="DBuit",'wgl tot'!F69="DC",'wgl tot'!F69="DCuit",MID('wgl tot'!F69,1,5)="meerh"),"j","n")</f>
        <v>n</v>
      </c>
      <c r="BR69" s="623">
        <f t="shared" si="12"/>
        <v>1.9E-2</v>
      </c>
      <c r="BS69" s="624">
        <f>IF(AI69&gt;'wgl tot'!AH69,'wgl tot'!AH69,AI69)</f>
        <v>0</v>
      </c>
      <c r="BT69" s="624"/>
      <c r="BU69" s="625" t="e">
        <f>IF('wgl tot'!AJ69/'wgl tot'!H69&lt;tabellen!$E$57,0,(+'wgl tot'!AJ69-tabellen!$E$57*'wgl tot'!H69)/12*tabellen!$D$57)</f>
        <v>#DIV/0!</v>
      </c>
      <c r="BV69" s="625" t="e">
        <f>IF('wgl tot'!AJ69/'wgl tot'!H69&lt;tabellen!$E$58,0,(+'wgl tot'!AJ69-tabellen!$E$58*'wgl tot'!H69)/12*tabellen!$D$58)</f>
        <v>#DIV/0!</v>
      </c>
      <c r="BW69" s="625">
        <f>'wgl tot'!AJ69/12*tabellen!$D$59</f>
        <v>0</v>
      </c>
      <c r="BX69" s="626" t="e">
        <f t="shared" si="13"/>
        <v>#DIV/0!</v>
      </c>
      <c r="BY69" s="627" t="e">
        <f>+('wgl tot'!AF69+'wgl tot'!AK69)/12-'wgl tot'!BX69</f>
        <v>#DIV/0!</v>
      </c>
      <c r="BZ69" s="627" t="e">
        <f>ROUND(IF('wgl tot'!BY69&gt;tabellen!$H$63,tabellen!$H$63,'wgl tot'!BY69)*tabellen!$C$63,2)</f>
        <v>#DIV/0!</v>
      </c>
      <c r="CA69" s="627" t="e">
        <f>+'wgl tot'!BY69+'wgl tot'!BZ69</f>
        <v>#DIV/0!</v>
      </c>
      <c r="CB69" s="628">
        <f>YEAR(E69)</f>
        <v>1900</v>
      </c>
      <c r="CC69" s="628">
        <f>MONTH(E69)</f>
        <v>1</v>
      </c>
      <c r="CD69" s="621">
        <f>DAY(E69)</f>
        <v>0</v>
      </c>
      <c r="CE69" s="619">
        <f t="shared" si="8"/>
        <v>22462</v>
      </c>
      <c r="CF69" s="619">
        <f t="shared" ca="1" si="9"/>
        <v>42283.70841446759</v>
      </c>
      <c r="CG69" s="613"/>
      <c r="CH69" s="619"/>
      <c r="CI69" s="613"/>
      <c r="CJ69" s="624"/>
      <c r="CK69" s="624"/>
      <c r="CL69" s="624"/>
      <c r="CM69" s="624"/>
      <c r="CN69" s="624"/>
      <c r="CO69" s="624"/>
    </row>
    <row r="70" spans="2:93" ht="13.5" customHeight="1" x14ac:dyDescent="0.2">
      <c r="B70" s="384"/>
      <c r="C70" s="402"/>
      <c r="D70" s="403"/>
      <c r="E70" s="402"/>
      <c r="F70" s="402"/>
      <c r="G70" s="402"/>
      <c r="H70" s="402"/>
      <c r="I70" s="402"/>
      <c r="J70" s="402"/>
      <c r="K70" s="402"/>
      <c r="L70" s="402"/>
      <c r="M70" s="402"/>
      <c r="N70" s="402"/>
      <c r="O70" s="402"/>
      <c r="P70" s="659">
        <f>SUM(P15:P69)</f>
        <v>8991</v>
      </c>
      <c r="Q70" s="402"/>
      <c r="R70" s="402"/>
      <c r="S70" s="402"/>
      <c r="T70" s="402"/>
      <c r="U70" s="402"/>
      <c r="V70" s="402"/>
      <c r="W70" s="402"/>
      <c r="X70" s="402"/>
      <c r="Y70" s="494"/>
      <c r="Z70" s="404"/>
      <c r="AA70" s="405"/>
      <c r="AB70" s="406"/>
      <c r="AC70" s="402"/>
      <c r="AD70" s="402"/>
      <c r="AE70" s="402"/>
      <c r="AF70" s="402"/>
      <c r="AG70" s="402"/>
      <c r="AH70" s="402"/>
      <c r="AI70" s="402"/>
      <c r="AJ70" s="402"/>
      <c r="AK70" s="402"/>
      <c r="AL70" s="402"/>
      <c r="AM70" s="402"/>
      <c r="AN70" s="402"/>
      <c r="AO70" s="402"/>
      <c r="AP70" s="402"/>
      <c r="AQ70" s="402"/>
      <c r="AR70" s="402"/>
      <c r="AS70" s="407"/>
      <c r="AT70" s="407"/>
      <c r="AU70" s="407"/>
      <c r="AV70" s="407"/>
      <c r="AW70" s="436"/>
      <c r="AX70" s="407"/>
      <c r="AY70" s="659">
        <f>SUM(AY15:AY69)</f>
        <v>14771.300234675335</v>
      </c>
      <c r="AZ70" s="659">
        <f>SUM(AZ15:AZ69)</f>
        <v>177255.60281610402</v>
      </c>
      <c r="BA70" s="518"/>
      <c r="BB70" s="660">
        <f>+'wgl tot'!AY70/'wgl tot'!P70-1</f>
        <v>0.64289848011070339</v>
      </c>
      <c r="BC70" s="402"/>
      <c r="BD70" s="385"/>
    </row>
    <row r="71" spans="2:93" ht="13.5" customHeight="1" x14ac:dyDescent="0.2">
      <c r="B71" s="384"/>
      <c r="C71" s="402"/>
      <c r="D71" s="403"/>
      <c r="E71" s="402"/>
      <c r="F71" s="402"/>
      <c r="G71" s="402"/>
      <c r="H71" s="402"/>
      <c r="I71" s="402"/>
      <c r="J71" s="402"/>
      <c r="K71" s="402"/>
      <c r="L71" s="402"/>
      <c r="M71" s="402"/>
      <c r="N71" s="402"/>
      <c r="O71" s="402"/>
      <c r="P71" s="402"/>
      <c r="Q71" s="402"/>
      <c r="R71" s="402"/>
      <c r="S71" s="402"/>
      <c r="T71" s="402"/>
      <c r="U71" s="402"/>
      <c r="V71" s="402"/>
      <c r="W71" s="402"/>
      <c r="X71" s="402"/>
      <c r="Y71" s="494"/>
      <c r="Z71" s="404"/>
      <c r="AA71" s="405"/>
      <c r="AB71" s="406"/>
      <c r="AC71" s="402"/>
      <c r="AD71" s="402"/>
      <c r="AE71" s="402"/>
      <c r="AF71" s="402"/>
      <c r="AG71" s="402"/>
      <c r="AH71" s="402"/>
      <c r="AI71" s="402"/>
      <c r="AJ71" s="402"/>
      <c r="AK71" s="402"/>
      <c r="AL71" s="402"/>
      <c r="AM71" s="402"/>
      <c r="AN71" s="402"/>
      <c r="AO71" s="402"/>
      <c r="AP71" s="402"/>
      <c r="AQ71" s="402"/>
      <c r="AR71" s="402"/>
      <c r="AS71" s="407"/>
      <c r="AT71" s="407"/>
      <c r="AU71" s="407"/>
      <c r="AV71" s="407"/>
      <c r="AW71" s="436"/>
      <c r="AX71" s="407"/>
      <c r="AY71" s="402"/>
      <c r="AZ71" s="402"/>
      <c r="BA71" s="402"/>
      <c r="BB71" s="402"/>
      <c r="BC71" s="402"/>
      <c r="BD71" s="385"/>
    </row>
    <row r="72" spans="2:93" ht="13.5" customHeight="1" x14ac:dyDescent="0.2">
      <c r="B72" s="384"/>
      <c r="C72" s="375"/>
      <c r="D72" s="281"/>
      <c r="E72" s="375"/>
      <c r="F72" s="375"/>
      <c r="G72" s="375"/>
      <c r="H72" s="375"/>
      <c r="I72" s="375"/>
      <c r="J72" s="375"/>
      <c r="K72" s="375"/>
      <c r="L72" s="375"/>
      <c r="M72" s="375"/>
      <c r="N72" s="375"/>
      <c r="O72" s="375"/>
      <c r="P72" s="375"/>
      <c r="Q72" s="375"/>
      <c r="R72" s="375"/>
      <c r="S72" s="375"/>
      <c r="T72" s="375"/>
      <c r="U72" s="375"/>
      <c r="V72" s="375"/>
      <c r="W72" s="375"/>
      <c r="X72" s="375"/>
      <c r="Y72" s="638"/>
      <c r="Z72" s="385"/>
      <c r="AA72" s="384"/>
      <c r="AB72" s="280"/>
      <c r="AC72" s="375"/>
      <c r="AD72" s="375"/>
      <c r="AE72" s="662"/>
      <c r="AF72" s="375"/>
      <c r="AG72" s="375"/>
      <c r="AH72" s="375"/>
      <c r="AI72" s="375"/>
      <c r="AJ72" s="375"/>
      <c r="AK72" s="375"/>
      <c r="AL72" s="375"/>
      <c r="AM72" s="375"/>
      <c r="AN72" s="375"/>
      <c r="AO72" s="375"/>
      <c r="AP72" s="375"/>
      <c r="AQ72" s="375"/>
      <c r="AR72" s="375"/>
      <c r="AS72" s="386"/>
      <c r="AT72" s="386"/>
      <c r="AU72" s="386"/>
      <c r="AV72" s="386"/>
      <c r="AW72" s="429"/>
      <c r="AX72" s="386"/>
      <c r="AY72" s="375"/>
      <c r="AZ72" s="375"/>
      <c r="BA72" s="375"/>
      <c r="BB72" s="375"/>
      <c r="BC72" s="375"/>
      <c r="BD72" s="385"/>
    </row>
    <row r="73" spans="2:93" ht="13.5" customHeight="1" x14ac:dyDescent="0.2">
      <c r="B73" s="409"/>
      <c r="C73" s="410"/>
      <c r="D73" s="411"/>
      <c r="E73" s="410"/>
      <c r="F73" s="410"/>
      <c r="G73" s="410"/>
      <c r="H73" s="410"/>
      <c r="I73" s="410"/>
      <c r="J73" s="410"/>
      <c r="K73" s="410"/>
      <c r="L73" s="410"/>
      <c r="M73" s="410"/>
      <c r="N73" s="410"/>
      <c r="O73" s="410"/>
      <c r="P73" s="410"/>
      <c r="Q73" s="410"/>
      <c r="R73" s="410"/>
      <c r="S73" s="410"/>
      <c r="T73" s="410"/>
      <c r="U73" s="410"/>
      <c r="V73" s="410"/>
      <c r="W73" s="410"/>
      <c r="X73" s="410"/>
      <c r="Y73" s="655"/>
      <c r="Z73" s="412"/>
      <c r="AA73" s="409"/>
      <c r="AB73" s="413"/>
      <c r="AC73" s="410"/>
      <c r="AD73" s="410"/>
      <c r="AE73" s="410"/>
      <c r="AF73" s="410"/>
      <c r="AG73" s="410"/>
      <c r="AH73" s="410"/>
      <c r="AI73" s="410"/>
      <c r="AJ73" s="410"/>
      <c r="AK73" s="410"/>
      <c r="AL73" s="410"/>
      <c r="AM73" s="410"/>
      <c r="AN73" s="410"/>
      <c r="AO73" s="410"/>
      <c r="AP73" s="410"/>
      <c r="AQ73" s="410"/>
      <c r="AR73" s="410"/>
      <c r="AS73" s="414"/>
      <c r="AT73" s="414"/>
      <c r="AU73" s="414"/>
      <c r="AV73" s="414"/>
      <c r="AW73" s="437"/>
      <c r="AX73" s="414"/>
      <c r="AY73" s="410"/>
      <c r="AZ73" s="410"/>
      <c r="BA73" s="410"/>
      <c r="BB73" s="410"/>
      <c r="BC73" s="410"/>
      <c r="BD73" s="412"/>
    </row>
    <row r="74" spans="2:93" s="605" customFormat="1" ht="13.5" customHeight="1" x14ac:dyDescent="0.2">
      <c r="D74" s="609"/>
      <c r="Y74" s="650"/>
      <c r="AB74" s="610"/>
      <c r="AS74" s="611"/>
      <c r="AT74" s="611"/>
      <c r="AU74" s="611"/>
      <c r="AV74" s="611"/>
      <c r="AW74" s="612"/>
      <c r="AX74" s="611"/>
      <c r="BG74" s="613"/>
      <c r="BH74" s="613"/>
      <c r="BI74" s="613"/>
      <c r="BJ74" s="613"/>
      <c r="BK74" s="613"/>
      <c r="BL74" s="613"/>
      <c r="BM74" s="613"/>
      <c r="BN74" s="613"/>
      <c r="BO74" s="613"/>
      <c r="BP74" s="613"/>
      <c r="BQ74" s="613"/>
      <c r="BR74" s="613"/>
      <c r="BS74" s="613"/>
      <c r="BT74" s="613"/>
      <c r="BU74" s="613"/>
      <c r="BV74" s="613"/>
      <c r="BW74" s="613"/>
      <c r="BX74" s="613"/>
      <c r="BY74" s="613"/>
      <c r="BZ74" s="613"/>
      <c r="CA74" s="613"/>
      <c r="CB74" s="613"/>
      <c r="CC74" s="613"/>
      <c r="CD74" s="613"/>
      <c r="CE74" s="613"/>
      <c r="CF74" s="613"/>
      <c r="CG74" s="614"/>
      <c r="CH74" s="614"/>
      <c r="CI74" s="614"/>
      <c r="CJ74" s="613"/>
      <c r="CK74" s="613"/>
      <c r="CL74" s="613"/>
      <c r="CM74" s="613"/>
      <c r="CN74" s="613"/>
      <c r="CO74" s="613"/>
    </row>
    <row r="75" spans="2:93" s="605" customFormat="1" ht="13.5" customHeight="1" x14ac:dyDescent="0.2">
      <c r="D75" s="609"/>
      <c r="Y75" s="650"/>
      <c r="AB75" s="610"/>
      <c r="AS75" s="611"/>
      <c r="AT75" s="611"/>
      <c r="AU75" s="611"/>
      <c r="AV75" s="611"/>
      <c r="AW75" s="612"/>
      <c r="AX75" s="611"/>
      <c r="BG75" s="613"/>
      <c r="BH75" s="613"/>
      <c r="BI75" s="613"/>
      <c r="BJ75" s="613"/>
      <c r="BK75" s="613"/>
      <c r="BL75" s="613"/>
      <c r="BM75" s="613"/>
      <c r="BN75" s="613"/>
      <c r="BO75" s="613"/>
      <c r="BP75" s="613"/>
      <c r="BQ75" s="613"/>
      <c r="BR75" s="613"/>
      <c r="BS75" s="613"/>
      <c r="BT75" s="613"/>
      <c r="BU75" s="613"/>
      <c r="BV75" s="613"/>
      <c r="BW75" s="613"/>
      <c r="BX75" s="613"/>
      <c r="BY75" s="613"/>
      <c r="BZ75" s="613"/>
      <c r="CA75" s="613"/>
      <c r="CB75" s="613"/>
      <c r="CC75" s="613"/>
      <c r="CD75" s="613"/>
      <c r="CE75" s="613"/>
      <c r="CF75" s="613"/>
      <c r="CG75" s="614"/>
      <c r="CH75" s="614"/>
      <c r="CI75" s="614"/>
      <c r="CJ75" s="613"/>
      <c r="CK75" s="613"/>
      <c r="CL75" s="613"/>
      <c r="CM75" s="613"/>
      <c r="CN75" s="613"/>
      <c r="CO75" s="613"/>
    </row>
    <row r="76" spans="2:93" s="608" customFormat="1" ht="13.5" customHeight="1" x14ac:dyDescent="0.2">
      <c r="C76" s="629" t="s">
        <v>90</v>
      </c>
      <c r="D76" s="629"/>
      <c r="T76" s="605"/>
      <c r="Y76" s="656"/>
      <c r="AB76" s="630"/>
      <c r="AQ76" s="605"/>
      <c r="AR76" s="605"/>
      <c r="AS76" s="611"/>
      <c r="AT76" s="611"/>
      <c r="AU76" s="611"/>
      <c r="AV76" s="611"/>
      <c r="AW76" s="612"/>
      <c r="AX76" s="611"/>
      <c r="BG76" s="613"/>
      <c r="BH76" s="613"/>
      <c r="BI76" s="613"/>
      <c r="BJ76" s="613"/>
      <c r="BK76" s="613"/>
      <c r="BL76" s="613"/>
      <c r="BM76" s="613"/>
      <c r="BN76" s="613"/>
      <c r="BO76" s="613"/>
      <c r="BP76" s="613"/>
      <c r="BQ76" s="613"/>
      <c r="BR76" s="613"/>
      <c r="BS76" s="613"/>
      <c r="BT76" s="613"/>
      <c r="BU76" s="613"/>
      <c r="BV76" s="613"/>
      <c r="BW76" s="613"/>
      <c r="BX76" s="613"/>
      <c r="BY76" s="613"/>
      <c r="BZ76" s="613"/>
      <c r="CA76" s="613"/>
      <c r="CB76" s="613"/>
      <c r="CC76" s="613"/>
      <c r="CD76" s="613"/>
      <c r="CE76" s="613"/>
      <c r="CF76" s="613"/>
      <c r="CG76" s="614"/>
      <c r="CH76" s="614"/>
      <c r="CI76" s="614"/>
      <c r="CJ76" s="613"/>
      <c r="CK76" s="613"/>
      <c r="CL76" s="613"/>
      <c r="CM76" s="613"/>
      <c r="CN76" s="613"/>
      <c r="CO76" s="613"/>
    </row>
    <row r="77" spans="2:93" s="608" customFormat="1" ht="13.5" customHeight="1" x14ac:dyDescent="0.2">
      <c r="C77" s="629" t="s">
        <v>83</v>
      </c>
      <c r="D77" s="629"/>
      <c r="T77" s="605"/>
      <c r="Y77" s="656"/>
      <c r="AB77" s="630"/>
      <c r="AQ77" s="605"/>
      <c r="AR77" s="605"/>
      <c r="AS77" s="611"/>
      <c r="AT77" s="611"/>
      <c r="AU77" s="611"/>
      <c r="AV77" s="611"/>
      <c r="AW77" s="612"/>
      <c r="AX77" s="611"/>
      <c r="BG77" s="613"/>
      <c r="BH77" s="613"/>
      <c r="BI77" s="613"/>
      <c r="BJ77" s="613"/>
      <c r="BK77" s="613"/>
      <c r="BL77" s="613"/>
      <c r="BM77" s="613"/>
      <c r="BN77" s="613"/>
      <c r="BO77" s="613"/>
      <c r="BP77" s="613"/>
      <c r="BQ77" s="613"/>
      <c r="BR77" s="613"/>
      <c r="BS77" s="613"/>
      <c r="BT77" s="613"/>
      <c r="BU77" s="613"/>
      <c r="BV77" s="613"/>
      <c r="BW77" s="613"/>
      <c r="BX77" s="613"/>
      <c r="BY77" s="613"/>
      <c r="BZ77" s="613"/>
      <c r="CA77" s="613"/>
      <c r="CB77" s="613"/>
      <c r="CC77" s="613"/>
      <c r="CD77" s="613"/>
      <c r="CE77" s="613"/>
      <c r="CF77" s="613"/>
      <c r="CG77" s="614"/>
      <c r="CH77" s="614"/>
      <c r="CI77" s="614"/>
      <c r="CJ77" s="613"/>
      <c r="CK77" s="613"/>
      <c r="CL77" s="613"/>
      <c r="CM77" s="613"/>
      <c r="CN77" s="613"/>
      <c r="CO77" s="613"/>
    </row>
    <row r="78" spans="2:93" s="608" customFormat="1" ht="13.5" customHeight="1" x14ac:dyDescent="0.2">
      <c r="C78" s="629" t="s">
        <v>84</v>
      </c>
      <c r="D78" s="629"/>
      <c r="T78" s="605"/>
      <c r="Y78" s="656"/>
      <c r="AB78" s="630"/>
      <c r="AQ78" s="605"/>
      <c r="AR78" s="605"/>
      <c r="AS78" s="611"/>
      <c r="AT78" s="611"/>
      <c r="AU78" s="611"/>
      <c r="AV78" s="611"/>
      <c r="AW78" s="612"/>
      <c r="AX78" s="611"/>
      <c r="BG78" s="613"/>
      <c r="BH78" s="613"/>
      <c r="BI78" s="613"/>
      <c r="BJ78" s="613"/>
      <c r="BK78" s="613"/>
      <c r="BL78" s="613"/>
      <c r="BM78" s="613"/>
      <c r="BN78" s="613"/>
      <c r="BO78" s="613"/>
      <c r="BP78" s="613"/>
      <c r="BQ78" s="613"/>
      <c r="BR78" s="613"/>
      <c r="BS78" s="613"/>
      <c r="BT78" s="613"/>
      <c r="BU78" s="613"/>
      <c r="BV78" s="613"/>
      <c r="BW78" s="613"/>
      <c r="BX78" s="613"/>
      <c r="BY78" s="613"/>
      <c r="BZ78" s="613"/>
      <c r="CA78" s="613"/>
      <c r="CB78" s="613"/>
      <c r="CC78" s="613"/>
      <c r="CD78" s="613"/>
      <c r="CE78" s="613"/>
      <c r="CF78" s="613"/>
      <c r="CG78" s="614"/>
      <c r="CH78" s="614"/>
      <c r="CI78" s="614"/>
      <c r="CJ78" s="613"/>
      <c r="CK78" s="613"/>
      <c r="CL78" s="613"/>
      <c r="CM78" s="613"/>
      <c r="CN78" s="613"/>
      <c r="CO78" s="613"/>
    </row>
    <row r="79" spans="2:93" s="608" customFormat="1" ht="13.5" customHeight="1" x14ac:dyDescent="0.2">
      <c r="C79" s="629" t="s">
        <v>85</v>
      </c>
      <c r="D79" s="629"/>
      <c r="T79" s="605"/>
      <c r="Y79" s="656"/>
      <c r="AB79" s="630"/>
      <c r="AQ79" s="605"/>
      <c r="AR79" s="605"/>
      <c r="AS79" s="611"/>
      <c r="AT79" s="611"/>
      <c r="AU79" s="611"/>
      <c r="AV79" s="611"/>
      <c r="AW79" s="612"/>
      <c r="AX79" s="611"/>
      <c r="BG79" s="613"/>
      <c r="BH79" s="613"/>
      <c r="BI79" s="613"/>
      <c r="BJ79" s="613"/>
      <c r="BK79" s="613"/>
      <c r="BL79" s="613"/>
      <c r="BM79" s="613"/>
      <c r="BN79" s="613"/>
      <c r="BO79" s="613"/>
      <c r="BP79" s="613"/>
      <c r="BQ79" s="613"/>
      <c r="BR79" s="613"/>
      <c r="BS79" s="613"/>
      <c r="BT79" s="613"/>
      <c r="BU79" s="613"/>
      <c r="BV79" s="613"/>
      <c r="BW79" s="613"/>
      <c r="BX79" s="613"/>
      <c r="BY79" s="613"/>
      <c r="BZ79" s="613"/>
      <c r="CA79" s="613"/>
      <c r="CB79" s="613"/>
      <c r="CC79" s="613"/>
      <c r="CD79" s="613"/>
      <c r="CE79" s="613"/>
      <c r="CF79" s="613"/>
      <c r="CG79" s="614"/>
      <c r="CH79" s="614"/>
      <c r="CI79" s="614"/>
      <c r="CJ79" s="613"/>
      <c r="CK79" s="613"/>
      <c r="CL79" s="613"/>
      <c r="CM79" s="613"/>
      <c r="CN79" s="613"/>
      <c r="CO79" s="613"/>
    </row>
    <row r="80" spans="2:93" s="608" customFormat="1" ht="13.5" customHeight="1" x14ac:dyDescent="0.2">
      <c r="C80" s="629" t="s">
        <v>86</v>
      </c>
      <c r="D80" s="629"/>
      <c r="T80" s="605"/>
      <c r="Y80" s="656"/>
      <c r="AB80" s="630"/>
      <c r="AQ80" s="605"/>
      <c r="AR80" s="605"/>
      <c r="AS80" s="611"/>
      <c r="AT80" s="611"/>
      <c r="AU80" s="611"/>
      <c r="AV80" s="611"/>
      <c r="AW80" s="612"/>
      <c r="AX80" s="611"/>
      <c r="BG80" s="613"/>
      <c r="BH80" s="613"/>
      <c r="BI80" s="613"/>
      <c r="BJ80" s="613"/>
      <c r="BK80" s="613"/>
      <c r="BL80" s="613"/>
      <c r="BM80" s="613"/>
      <c r="BN80" s="613"/>
      <c r="BO80" s="613"/>
      <c r="BP80" s="613"/>
      <c r="BQ80" s="613"/>
      <c r="BR80" s="613"/>
      <c r="BS80" s="613"/>
      <c r="BT80" s="613"/>
      <c r="BU80" s="613"/>
      <c r="BV80" s="613"/>
      <c r="BW80" s="613"/>
      <c r="BX80" s="613"/>
      <c r="BY80" s="613"/>
      <c r="BZ80" s="613"/>
      <c r="CA80" s="613"/>
      <c r="CB80" s="613"/>
      <c r="CC80" s="613"/>
      <c r="CD80" s="613"/>
      <c r="CE80" s="613"/>
      <c r="CF80" s="613"/>
      <c r="CG80" s="614"/>
      <c r="CH80" s="614"/>
      <c r="CI80" s="614"/>
      <c r="CJ80" s="613"/>
      <c r="CK80" s="613"/>
      <c r="CL80" s="613"/>
      <c r="CM80" s="613"/>
      <c r="CN80" s="613"/>
      <c r="CO80" s="613"/>
    </row>
    <row r="81" spans="3:93" s="608" customFormat="1" ht="13.5" customHeight="1" x14ac:dyDescent="0.2">
      <c r="C81" s="629" t="s">
        <v>87</v>
      </c>
      <c r="D81" s="629"/>
      <c r="T81" s="605"/>
      <c r="Y81" s="656"/>
      <c r="AB81" s="630"/>
      <c r="AQ81" s="605"/>
      <c r="AR81" s="605"/>
      <c r="AS81" s="611"/>
      <c r="AT81" s="611"/>
      <c r="AU81" s="611"/>
      <c r="AV81" s="611"/>
      <c r="AW81" s="612"/>
      <c r="AX81" s="611"/>
      <c r="BG81" s="613"/>
      <c r="BH81" s="613"/>
      <c r="BI81" s="613"/>
      <c r="BJ81" s="613"/>
      <c r="BK81" s="613"/>
      <c r="BL81" s="613"/>
      <c r="BM81" s="613"/>
      <c r="BN81" s="613"/>
      <c r="BO81" s="613"/>
      <c r="BP81" s="613"/>
      <c r="BQ81" s="613"/>
      <c r="BR81" s="613"/>
      <c r="BS81" s="613"/>
      <c r="BT81" s="613"/>
      <c r="BU81" s="613"/>
      <c r="BV81" s="613"/>
      <c r="BW81" s="613"/>
      <c r="BX81" s="613"/>
      <c r="BY81" s="613"/>
      <c r="BZ81" s="613"/>
      <c r="CA81" s="613"/>
      <c r="CB81" s="613"/>
      <c r="CC81" s="613"/>
      <c r="CD81" s="613"/>
      <c r="CE81" s="613"/>
      <c r="CF81" s="613"/>
      <c r="CG81" s="614"/>
      <c r="CH81" s="614"/>
      <c r="CI81" s="614"/>
      <c r="CJ81" s="613"/>
      <c r="CK81" s="613"/>
      <c r="CL81" s="613"/>
      <c r="CM81" s="613"/>
      <c r="CN81" s="613"/>
      <c r="CO81" s="613"/>
    </row>
    <row r="82" spans="3:93" s="608" customFormat="1" ht="13.5" customHeight="1" x14ac:dyDescent="0.2">
      <c r="C82" s="629" t="s">
        <v>88</v>
      </c>
      <c r="D82" s="629"/>
      <c r="T82" s="605"/>
      <c r="Y82" s="656"/>
      <c r="AB82" s="630"/>
      <c r="AQ82" s="605"/>
      <c r="AR82" s="605"/>
      <c r="AS82" s="611"/>
      <c r="AT82" s="611"/>
      <c r="AU82" s="611"/>
      <c r="AV82" s="611"/>
      <c r="AW82" s="612"/>
      <c r="AX82" s="611"/>
      <c r="BG82" s="613"/>
      <c r="BH82" s="613"/>
      <c r="BI82" s="613"/>
      <c r="BJ82" s="613"/>
      <c r="BK82" s="613"/>
      <c r="BL82" s="613"/>
      <c r="BM82" s="613"/>
      <c r="BN82" s="613"/>
      <c r="BO82" s="613"/>
      <c r="BP82" s="613"/>
      <c r="BQ82" s="613"/>
      <c r="BR82" s="613"/>
      <c r="BS82" s="613"/>
      <c r="BT82" s="613"/>
      <c r="BU82" s="613"/>
      <c r="BV82" s="613"/>
      <c r="BW82" s="613"/>
      <c r="BX82" s="613"/>
      <c r="BY82" s="613"/>
      <c r="BZ82" s="613"/>
      <c r="CA82" s="613"/>
      <c r="CB82" s="613"/>
      <c r="CC82" s="613"/>
      <c r="CD82" s="613"/>
      <c r="CE82" s="613"/>
      <c r="CF82" s="613"/>
      <c r="CG82" s="614"/>
      <c r="CH82" s="614"/>
      <c r="CI82" s="614"/>
      <c r="CJ82" s="613"/>
      <c r="CK82" s="613"/>
      <c r="CL82" s="613"/>
      <c r="CM82" s="613"/>
      <c r="CN82" s="613"/>
      <c r="CO82" s="613"/>
    </row>
    <row r="83" spans="3:93" s="608" customFormat="1" ht="13.5" customHeight="1" x14ac:dyDescent="0.2">
      <c r="C83" s="629" t="s">
        <v>89</v>
      </c>
      <c r="D83" s="629"/>
      <c r="T83" s="605"/>
      <c r="Y83" s="656"/>
      <c r="AB83" s="630"/>
      <c r="AQ83" s="605"/>
      <c r="AR83" s="605"/>
      <c r="AS83" s="611"/>
      <c r="AT83" s="611"/>
      <c r="AU83" s="611"/>
      <c r="AV83" s="611"/>
      <c r="AW83" s="612"/>
      <c r="AX83" s="611"/>
      <c r="BG83" s="613"/>
      <c r="BH83" s="613"/>
      <c r="BI83" s="613"/>
      <c r="BJ83" s="613"/>
      <c r="BK83" s="613"/>
      <c r="BL83" s="613"/>
      <c r="BM83" s="613"/>
      <c r="BN83" s="613"/>
      <c r="BO83" s="613"/>
      <c r="BP83" s="613"/>
      <c r="BQ83" s="613"/>
      <c r="BR83" s="613"/>
      <c r="BS83" s="613"/>
      <c r="BT83" s="613"/>
      <c r="BU83" s="613"/>
      <c r="BV83" s="613"/>
      <c r="BW83" s="613"/>
      <c r="BX83" s="613"/>
      <c r="BY83" s="613"/>
      <c r="BZ83" s="613"/>
      <c r="CA83" s="613"/>
      <c r="CB83" s="613"/>
      <c r="CC83" s="613"/>
      <c r="CD83" s="613"/>
      <c r="CE83" s="613"/>
      <c r="CF83" s="613"/>
      <c r="CG83" s="614"/>
      <c r="CH83" s="614"/>
      <c r="CI83" s="614"/>
      <c r="CJ83" s="613"/>
      <c r="CK83" s="613"/>
      <c r="CL83" s="613"/>
      <c r="CM83" s="613"/>
      <c r="CN83" s="613"/>
      <c r="CO83" s="613"/>
    </row>
    <row r="84" spans="3:93" s="608" customFormat="1" ht="13.5" customHeight="1" x14ac:dyDescent="0.2">
      <c r="C84" s="631" t="s">
        <v>3</v>
      </c>
      <c r="D84" s="629"/>
      <c r="T84" s="605"/>
      <c r="Y84" s="656"/>
      <c r="AB84" s="630"/>
      <c r="AQ84" s="605"/>
      <c r="AR84" s="605"/>
      <c r="AS84" s="611"/>
      <c r="AT84" s="611"/>
      <c r="AU84" s="611"/>
      <c r="AV84" s="611"/>
      <c r="AW84" s="612"/>
      <c r="AX84" s="611"/>
      <c r="BG84" s="613"/>
      <c r="BH84" s="613"/>
      <c r="BI84" s="613"/>
      <c r="BJ84" s="613"/>
      <c r="BK84" s="613"/>
      <c r="BL84" s="613"/>
      <c r="BM84" s="613"/>
      <c r="BN84" s="613"/>
      <c r="BO84" s="613"/>
      <c r="BP84" s="613"/>
      <c r="BQ84" s="613"/>
      <c r="BR84" s="613"/>
      <c r="BS84" s="613"/>
      <c r="BT84" s="613"/>
      <c r="BU84" s="613"/>
      <c r="BV84" s="613"/>
      <c r="BW84" s="613"/>
      <c r="BX84" s="613"/>
      <c r="BY84" s="613"/>
      <c r="BZ84" s="613"/>
      <c r="CA84" s="613"/>
      <c r="CB84" s="613"/>
      <c r="CC84" s="613"/>
      <c r="CD84" s="613"/>
      <c r="CE84" s="613"/>
      <c r="CF84" s="613"/>
      <c r="CG84" s="614"/>
      <c r="CH84" s="614"/>
      <c r="CI84" s="614"/>
      <c r="CJ84" s="613"/>
      <c r="CK84" s="613"/>
      <c r="CL84" s="613"/>
      <c r="CM84" s="613"/>
      <c r="CN84" s="613"/>
      <c r="CO84" s="613"/>
    </row>
    <row r="85" spans="3:93" s="608" customFormat="1" ht="13.5" customHeight="1" x14ac:dyDescent="0.2">
      <c r="C85" s="631" t="s">
        <v>4</v>
      </c>
      <c r="D85" s="629"/>
      <c r="T85" s="605"/>
      <c r="Y85" s="656"/>
      <c r="AB85" s="630"/>
      <c r="AQ85" s="605"/>
      <c r="AR85" s="605"/>
      <c r="AS85" s="611"/>
      <c r="AT85" s="611"/>
      <c r="AU85" s="611"/>
      <c r="AV85" s="611"/>
      <c r="AW85" s="612"/>
      <c r="AX85" s="611"/>
      <c r="BG85" s="613"/>
      <c r="BH85" s="613"/>
      <c r="BI85" s="613"/>
      <c r="BJ85" s="613"/>
      <c r="BK85" s="613"/>
      <c r="BL85" s="613"/>
      <c r="BM85" s="613"/>
      <c r="BN85" s="613"/>
      <c r="BO85" s="613"/>
      <c r="BP85" s="613"/>
      <c r="BQ85" s="613"/>
      <c r="BR85" s="613"/>
      <c r="BS85" s="613"/>
      <c r="BT85" s="613"/>
      <c r="BU85" s="613"/>
      <c r="BV85" s="613"/>
      <c r="BW85" s="613"/>
      <c r="BX85" s="613"/>
      <c r="BY85" s="613"/>
      <c r="BZ85" s="613"/>
      <c r="CA85" s="613"/>
      <c r="CB85" s="613"/>
      <c r="CC85" s="613"/>
      <c r="CD85" s="613"/>
      <c r="CE85" s="613"/>
      <c r="CF85" s="613"/>
      <c r="CG85" s="614"/>
      <c r="CH85" s="614"/>
      <c r="CI85" s="614"/>
      <c r="CJ85" s="613"/>
      <c r="CK85" s="613"/>
      <c r="CL85" s="613"/>
      <c r="CM85" s="613"/>
      <c r="CN85" s="613"/>
      <c r="CO85" s="613"/>
    </row>
    <row r="86" spans="3:93" s="608" customFormat="1" ht="13.5" customHeight="1" x14ac:dyDescent="0.2">
      <c r="C86" s="631" t="s">
        <v>5</v>
      </c>
      <c r="D86" s="629"/>
      <c r="T86" s="605"/>
      <c r="Y86" s="656"/>
      <c r="AB86" s="630"/>
      <c r="AQ86" s="605"/>
      <c r="AR86" s="605"/>
      <c r="AS86" s="611"/>
      <c r="AT86" s="611"/>
      <c r="AU86" s="611"/>
      <c r="AV86" s="611"/>
      <c r="AW86" s="612"/>
      <c r="AX86" s="611"/>
      <c r="BG86" s="613"/>
      <c r="BH86" s="613"/>
      <c r="BI86" s="613"/>
      <c r="BJ86" s="613"/>
      <c r="BK86" s="613"/>
      <c r="BL86" s="613"/>
      <c r="BM86" s="613"/>
      <c r="BN86" s="613"/>
      <c r="BO86" s="613"/>
      <c r="BP86" s="613"/>
      <c r="BQ86" s="613"/>
      <c r="BR86" s="613"/>
      <c r="BS86" s="613"/>
      <c r="BT86" s="613"/>
      <c r="BU86" s="613"/>
      <c r="BV86" s="613"/>
      <c r="BW86" s="613"/>
      <c r="BX86" s="613"/>
      <c r="BY86" s="613"/>
      <c r="BZ86" s="613"/>
      <c r="CA86" s="613"/>
      <c r="CB86" s="613"/>
      <c r="CC86" s="613"/>
      <c r="CD86" s="613"/>
      <c r="CE86" s="613"/>
      <c r="CF86" s="613"/>
      <c r="CG86" s="614"/>
      <c r="CH86" s="614"/>
      <c r="CI86" s="614"/>
      <c r="CJ86" s="613"/>
      <c r="CK86" s="613"/>
      <c r="CL86" s="613"/>
      <c r="CM86" s="613"/>
      <c r="CN86" s="613"/>
      <c r="CO86" s="613"/>
    </row>
    <row r="87" spans="3:93" s="608" customFormat="1" ht="13.5" customHeight="1" x14ac:dyDescent="0.2">
      <c r="C87" s="631" t="s">
        <v>6</v>
      </c>
      <c r="D87" s="629"/>
      <c r="T87" s="605"/>
      <c r="Y87" s="656"/>
      <c r="AB87" s="630"/>
      <c r="AQ87" s="605"/>
      <c r="AR87" s="605"/>
      <c r="AS87" s="611"/>
      <c r="AT87" s="611"/>
      <c r="AU87" s="611"/>
      <c r="AV87" s="611"/>
      <c r="AW87" s="612"/>
      <c r="AX87" s="611"/>
      <c r="BG87" s="613"/>
      <c r="BH87" s="613"/>
      <c r="BI87" s="613"/>
      <c r="BJ87" s="613"/>
      <c r="BK87" s="613"/>
      <c r="BL87" s="613"/>
      <c r="BM87" s="613"/>
      <c r="BN87" s="613"/>
      <c r="BO87" s="613"/>
      <c r="BP87" s="613"/>
      <c r="BQ87" s="613"/>
      <c r="BR87" s="613"/>
      <c r="BS87" s="613"/>
      <c r="BT87" s="613"/>
      <c r="BU87" s="613"/>
      <c r="BV87" s="613"/>
      <c r="BW87" s="613"/>
      <c r="BX87" s="613"/>
      <c r="BY87" s="613"/>
      <c r="BZ87" s="613"/>
      <c r="CA87" s="613"/>
      <c r="CB87" s="613"/>
      <c r="CC87" s="613"/>
      <c r="CD87" s="613"/>
      <c r="CE87" s="613"/>
      <c r="CF87" s="613"/>
      <c r="CG87" s="614"/>
      <c r="CH87" s="614"/>
      <c r="CI87" s="614"/>
      <c r="CJ87" s="613"/>
      <c r="CK87" s="613"/>
      <c r="CL87" s="613"/>
      <c r="CM87" s="613"/>
      <c r="CN87" s="613"/>
      <c r="CO87" s="613"/>
    </row>
    <row r="88" spans="3:93" s="608" customFormat="1" ht="13.5" customHeight="1" x14ac:dyDescent="0.2">
      <c r="C88" s="631" t="s">
        <v>7</v>
      </c>
      <c r="D88" s="629"/>
      <c r="T88" s="605"/>
      <c r="Y88" s="656"/>
      <c r="AB88" s="630"/>
      <c r="AQ88" s="605"/>
      <c r="AR88" s="605"/>
      <c r="AS88" s="611"/>
      <c r="AT88" s="611"/>
      <c r="AU88" s="611"/>
      <c r="AV88" s="611"/>
      <c r="AW88" s="612"/>
      <c r="AX88" s="611"/>
      <c r="BG88" s="613"/>
      <c r="BH88" s="613"/>
      <c r="BI88" s="613"/>
      <c r="BJ88" s="613"/>
      <c r="BK88" s="613"/>
      <c r="BL88" s="613"/>
      <c r="BM88" s="613"/>
      <c r="BN88" s="613"/>
      <c r="BO88" s="613"/>
      <c r="BP88" s="613"/>
      <c r="BQ88" s="613"/>
      <c r="BR88" s="613"/>
      <c r="BS88" s="613"/>
      <c r="BT88" s="613"/>
      <c r="BU88" s="613"/>
      <c r="BV88" s="613"/>
      <c r="BW88" s="613"/>
      <c r="BX88" s="613"/>
      <c r="BY88" s="613"/>
      <c r="BZ88" s="613"/>
      <c r="CA88" s="613"/>
      <c r="CB88" s="613"/>
      <c r="CC88" s="613"/>
      <c r="CD88" s="613"/>
      <c r="CE88" s="613"/>
      <c r="CF88" s="613"/>
      <c r="CG88" s="614"/>
      <c r="CH88" s="614"/>
      <c r="CI88" s="614"/>
      <c r="CJ88" s="613"/>
      <c r="CK88" s="613"/>
      <c r="CL88" s="613"/>
      <c r="CM88" s="613"/>
      <c r="CN88" s="613"/>
      <c r="CO88" s="613"/>
    </row>
    <row r="89" spans="3:93" s="608" customFormat="1" ht="13.5" customHeight="1" x14ac:dyDescent="0.2">
      <c r="C89" s="631" t="s">
        <v>8</v>
      </c>
      <c r="D89" s="629"/>
      <c r="T89" s="605"/>
      <c r="Y89" s="656"/>
      <c r="AB89" s="630"/>
      <c r="AQ89" s="605"/>
      <c r="AR89" s="605"/>
      <c r="AS89" s="611"/>
      <c r="AT89" s="611"/>
      <c r="AU89" s="611"/>
      <c r="AV89" s="611"/>
      <c r="AW89" s="612"/>
      <c r="AX89" s="611"/>
      <c r="BG89" s="613"/>
      <c r="BH89" s="613"/>
      <c r="BI89" s="613"/>
      <c r="BJ89" s="613"/>
      <c r="BK89" s="613"/>
      <c r="BL89" s="613"/>
      <c r="BM89" s="613"/>
      <c r="BN89" s="613"/>
      <c r="BO89" s="613"/>
      <c r="BP89" s="613"/>
      <c r="BQ89" s="613"/>
      <c r="BR89" s="613"/>
      <c r="BS89" s="613"/>
      <c r="BT89" s="613"/>
      <c r="BU89" s="613"/>
      <c r="BV89" s="613"/>
      <c r="BW89" s="613"/>
      <c r="BX89" s="613"/>
      <c r="BY89" s="613"/>
      <c r="BZ89" s="613"/>
      <c r="CA89" s="613"/>
      <c r="CB89" s="613"/>
      <c r="CC89" s="613"/>
      <c r="CD89" s="613"/>
      <c r="CE89" s="613"/>
      <c r="CF89" s="613"/>
      <c r="CG89" s="614"/>
      <c r="CH89" s="614"/>
      <c r="CI89" s="614"/>
      <c r="CJ89" s="613"/>
      <c r="CK89" s="613"/>
      <c r="CL89" s="613"/>
      <c r="CM89" s="613"/>
      <c r="CN89" s="613"/>
      <c r="CO89" s="613"/>
    </row>
    <row r="90" spans="3:93" s="608" customFormat="1" ht="13.5" customHeight="1" x14ac:dyDescent="0.2">
      <c r="C90" s="631" t="s">
        <v>9</v>
      </c>
      <c r="D90" s="629"/>
      <c r="T90" s="605"/>
      <c r="Y90" s="656"/>
      <c r="AB90" s="630"/>
      <c r="AQ90" s="605"/>
      <c r="AR90" s="605"/>
      <c r="AS90" s="611"/>
      <c r="AT90" s="611"/>
      <c r="AU90" s="611"/>
      <c r="AV90" s="611"/>
      <c r="AW90" s="612"/>
      <c r="AX90" s="611"/>
      <c r="BG90" s="613"/>
      <c r="BH90" s="613"/>
      <c r="BI90" s="613"/>
      <c r="BJ90" s="613"/>
      <c r="BK90" s="613"/>
      <c r="BL90" s="613"/>
      <c r="BM90" s="613"/>
      <c r="BN90" s="613"/>
      <c r="BO90" s="613"/>
      <c r="BP90" s="613"/>
      <c r="BQ90" s="613"/>
      <c r="BR90" s="613"/>
      <c r="BS90" s="613"/>
      <c r="BT90" s="613"/>
      <c r="BU90" s="613"/>
      <c r="BV90" s="613"/>
      <c r="BW90" s="613"/>
      <c r="BX90" s="613"/>
      <c r="BY90" s="613"/>
      <c r="BZ90" s="613"/>
      <c r="CA90" s="613"/>
      <c r="CB90" s="613"/>
      <c r="CC90" s="613"/>
      <c r="CD90" s="613"/>
      <c r="CE90" s="613"/>
      <c r="CF90" s="613"/>
      <c r="CG90" s="614"/>
      <c r="CH90" s="614"/>
      <c r="CI90" s="614"/>
      <c r="CJ90" s="613"/>
      <c r="CK90" s="613"/>
      <c r="CL90" s="613"/>
      <c r="CM90" s="613"/>
      <c r="CN90" s="613"/>
      <c r="CO90" s="613"/>
    </row>
    <row r="91" spans="3:93" s="608" customFormat="1" ht="13.5" customHeight="1" x14ac:dyDescent="0.2">
      <c r="C91" s="631" t="s">
        <v>10</v>
      </c>
      <c r="D91" s="629"/>
      <c r="T91" s="605"/>
      <c r="Y91" s="656"/>
      <c r="AB91" s="630"/>
      <c r="AQ91" s="605"/>
      <c r="AR91" s="605"/>
      <c r="AS91" s="611"/>
      <c r="AT91" s="611"/>
      <c r="AU91" s="611"/>
      <c r="AV91" s="611"/>
      <c r="AW91" s="612"/>
      <c r="AX91" s="611"/>
      <c r="BG91" s="613"/>
      <c r="BH91" s="613"/>
      <c r="BI91" s="613"/>
      <c r="BJ91" s="613"/>
      <c r="BK91" s="613"/>
      <c r="BL91" s="613"/>
      <c r="BM91" s="613"/>
      <c r="BN91" s="613"/>
      <c r="BO91" s="613"/>
      <c r="BP91" s="613"/>
      <c r="BQ91" s="613"/>
      <c r="BR91" s="613"/>
      <c r="BS91" s="613"/>
      <c r="BT91" s="613"/>
      <c r="BU91" s="613"/>
      <c r="BV91" s="613"/>
      <c r="BW91" s="613"/>
      <c r="BX91" s="613"/>
      <c r="BY91" s="613"/>
      <c r="BZ91" s="613"/>
      <c r="CA91" s="613"/>
      <c r="CB91" s="613"/>
      <c r="CC91" s="613"/>
      <c r="CD91" s="613"/>
      <c r="CE91" s="613"/>
      <c r="CF91" s="613"/>
      <c r="CG91" s="614"/>
      <c r="CH91" s="614"/>
      <c r="CI91" s="614"/>
      <c r="CJ91" s="613"/>
      <c r="CK91" s="613"/>
      <c r="CL91" s="613"/>
      <c r="CM91" s="613"/>
      <c r="CN91" s="613"/>
      <c r="CO91" s="613"/>
    </row>
    <row r="92" spans="3:93" s="608" customFormat="1" ht="13.5" customHeight="1" x14ac:dyDescent="0.2">
      <c r="C92" s="631" t="s">
        <v>11</v>
      </c>
      <c r="D92" s="629"/>
      <c r="T92" s="605"/>
      <c r="Y92" s="656"/>
      <c r="AB92" s="630"/>
      <c r="AQ92" s="605"/>
      <c r="AR92" s="605"/>
      <c r="AS92" s="611"/>
      <c r="AT92" s="611"/>
      <c r="AU92" s="611"/>
      <c r="AV92" s="611"/>
      <c r="AW92" s="612"/>
      <c r="AX92" s="611"/>
      <c r="BG92" s="613"/>
      <c r="BH92" s="613"/>
      <c r="BI92" s="613"/>
      <c r="BJ92" s="613"/>
      <c r="BK92" s="613"/>
      <c r="BL92" s="613"/>
      <c r="BM92" s="613"/>
      <c r="BN92" s="613"/>
      <c r="BO92" s="613"/>
      <c r="BP92" s="613"/>
      <c r="BQ92" s="613"/>
      <c r="BR92" s="613"/>
      <c r="BS92" s="613"/>
      <c r="BT92" s="613"/>
      <c r="BU92" s="613"/>
      <c r="BV92" s="613"/>
      <c r="BW92" s="613"/>
      <c r="BX92" s="613"/>
      <c r="BY92" s="613"/>
      <c r="BZ92" s="613"/>
      <c r="CA92" s="613"/>
      <c r="CB92" s="613"/>
      <c r="CC92" s="613"/>
      <c r="CD92" s="613"/>
      <c r="CE92" s="613"/>
      <c r="CF92" s="613"/>
      <c r="CG92" s="614"/>
      <c r="CH92" s="614"/>
      <c r="CI92" s="614"/>
      <c r="CJ92" s="613"/>
      <c r="CK92" s="613"/>
      <c r="CL92" s="613"/>
      <c r="CM92" s="613"/>
      <c r="CN92" s="613"/>
      <c r="CO92" s="613"/>
    </row>
    <row r="93" spans="3:93" s="608" customFormat="1" ht="13.5" customHeight="1" x14ac:dyDescent="0.2">
      <c r="C93" s="631" t="s">
        <v>12</v>
      </c>
      <c r="D93" s="629"/>
      <c r="T93" s="605"/>
      <c r="Y93" s="656"/>
      <c r="AB93" s="630"/>
      <c r="AQ93" s="605"/>
      <c r="AR93" s="605"/>
      <c r="AS93" s="611"/>
      <c r="AT93" s="611"/>
      <c r="AU93" s="611"/>
      <c r="AV93" s="611"/>
      <c r="AW93" s="612"/>
      <c r="AX93" s="611"/>
      <c r="BG93" s="613"/>
      <c r="BH93" s="613"/>
      <c r="BI93" s="613"/>
      <c r="BJ93" s="613"/>
      <c r="BK93" s="613"/>
      <c r="BL93" s="613"/>
      <c r="BM93" s="613"/>
      <c r="BN93" s="613"/>
      <c r="BO93" s="613"/>
      <c r="BP93" s="613"/>
      <c r="BQ93" s="613"/>
      <c r="BR93" s="613"/>
      <c r="BS93" s="613"/>
      <c r="BT93" s="613"/>
      <c r="BU93" s="613"/>
      <c r="BV93" s="613"/>
      <c r="BW93" s="613"/>
      <c r="BX93" s="613"/>
      <c r="BY93" s="613"/>
      <c r="BZ93" s="613"/>
      <c r="CA93" s="613"/>
      <c r="CB93" s="613"/>
      <c r="CC93" s="613"/>
      <c r="CD93" s="613"/>
      <c r="CE93" s="613"/>
      <c r="CF93" s="613"/>
      <c r="CG93" s="614"/>
      <c r="CH93" s="614"/>
      <c r="CI93" s="614"/>
      <c r="CJ93" s="613"/>
      <c r="CK93" s="613"/>
      <c r="CL93" s="613"/>
      <c r="CM93" s="613"/>
      <c r="CN93" s="613"/>
      <c r="CO93" s="613"/>
    </row>
    <row r="94" spans="3:93" s="608" customFormat="1" ht="13.5" customHeight="1" x14ac:dyDescent="0.2">
      <c r="C94" s="631" t="s">
        <v>13</v>
      </c>
      <c r="D94" s="629"/>
      <c r="T94" s="605"/>
      <c r="Y94" s="656"/>
      <c r="AB94" s="630"/>
      <c r="AQ94" s="605"/>
      <c r="AR94" s="605"/>
      <c r="AS94" s="611"/>
      <c r="AT94" s="611"/>
      <c r="AU94" s="611"/>
      <c r="AV94" s="611"/>
      <c r="AW94" s="612"/>
      <c r="AX94" s="611"/>
      <c r="BG94" s="613"/>
      <c r="BH94" s="613"/>
      <c r="BI94" s="613"/>
      <c r="BJ94" s="613"/>
      <c r="BK94" s="613"/>
      <c r="BL94" s="613"/>
      <c r="BM94" s="613"/>
      <c r="BN94" s="613"/>
      <c r="BO94" s="613"/>
      <c r="BP94" s="613"/>
      <c r="BQ94" s="613"/>
      <c r="BR94" s="613"/>
      <c r="BS94" s="613"/>
      <c r="BT94" s="613"/>
      <c r="BU94" s="613"/>
      <c r="BV94" s="613"/>
      <c r="BW94" s="613"/>
      <c r="BX94" s="613"/>
      <c r="BY94" s="613"/>
      <c r="BZ94" s="613"/>
      <c r="CA94" s="613"/>
      <c r="CB94" s="613"/>
      <c r="CC94" s="613"/>
      <c r="CD94" s="613"/>
      <c r="CE94" s="613"/>
      <c r="CF94" s="613"/>
      <c r="CG94" s="614"/>
      <c r="CH94" s="614"/>
      <c r="CI94" s="614"/>
      <c r="CJ94" s="613"/>
      <c r="CK94" s="613"/>
      <c r="CL94" s="613"/>
      <c r="CM94" s="613"/>
      <c r="CN94" s="613"/>
      <c r="CO94" s="613"/>
    </row>
    <row r="95" spans="3:93" s="608" customFormat="1" ht="13.5" customHeight="1" x14ac:dyDescent="0.2">
      <c r="C95" s="631" t="s">
        <v>14</v>
      </c>
      <c r="D95" s="629"/>
      <c r="T95" s="605"/>
      <c r="Y95" s="656"/>
      <c r="AB95" s="630"/>
      <c r="AQ95" s="605"/>
      <c r="AR95" s="605"/>
      <c r="AS95" s="611"/>
      <c r="AT95" s="611"/>
      <c r="AU95" s="611"/>
      <c r="AV95" s="611"/>
      <c r="AW95" s="612"/>
      <c r="AX95" s="611"/>
      <c r="BG95" s="613"/>
      <c r="BH95" s="613"/>
      <c r="BI95" s="613"/>
      <c r="BJ95" s="613"/>
      <c r="BK95" s="613"/>
      <c r="BL95" s="613"/>
      <c r="BM95" s="613"/>
      <c r="BN95" s="613"/>
      <c r="BO95" s="613"/>
      <c r="BP95" s="613"/>
      <c r="BQ95" s="613"/>
      <c r="BR95" s="613"/>
      <c r="BS95" s="613"/>
      <c r="BT95" s="613"/>
      <c r="BU95" s="613"/>
      <c r="BV95" s="613"/>
      <c r="BW95" s="613"/>
      <c r="BX95" s="613"/>
      <c r="BY95" s="613"/>
      <c r="BZ95" s="613"/>
      <c r="CA95" s="613"/>
      <c r="CB95" s="613"/>
      <c r="CC95" s="613"/>
      <c r="CD95" s="613"/>
      <c r="CE95" s="613"/>
      <c r="CF95" s="613"/>
      <c r="CG95" s="614"/>
      <c r="CH95" s="614"/>
      <c r="CI95" s="614"/>
      <c r="CJ95" s="613"/>
      <c r="CK95" s="613"/>
      <c r="CL95" s="613"/>
      <c r="CM95" s="613"/>
      <c r="CN95" s="613"/>
      <c r="CO95" s="613"/>
    </row>
    <row r="96" spans="3:93" s="608" customFormat="1" ht="13.5" customHeight="1" x14ac:dyDescent="0.2">
      <c r="C96" s="631" t="s">
        <v>0</v>
      </c>
      <c r="D96" s="629"/>
      <c r="T96" s="605"/>
      <c r="Y96" s="656"/>
      <c r="AB96" s="630"/>
      <c r="AQ96" s="605"/>
      <c r="AR96" s="605"/>
      <c r="AS96" s="611"/>
      <c r="AT96" s="611"/>
      <c r="AU96" s="611"/>
      <c r="AV96" s="611"/>
      <c r="AW96" s="612"/>
      <c r="AX96" s="611"/>
      <c r="BG96" s="613"/>
      <c r="BH96" s="613"/>
      <c r="BI96" s="613"/>
      <c r="BJ96" s="613"/>
      <c r="BK96" s="613"/>
      <c r="BL96" s="613"/>
      <c r="BM96" s="613"/>
      <c r="BN96" s="613"/>
      <c r="BO96" s="613"/>
      <c r="BP96" s="613"/>
      <c r="BQ96" s="613"/>
      <c r="BR96" s="613"/>
      <c r="BS96" s="613"/>
      <c r="BT96" s="613"/>
      <c r="BU96" s="613"/>
      <c r="BV96" s="613"/>
      <c r="BW96" s="613"/>
      <c r="BX96" s="613"/>
      <c r="BY96" s="613"/>
      <c r="BZ96" s="613"/>
      <c r="CA96" s="613"/>
      <c r="CB96" s="613"/>
      <c r="CC96" s="613"/>
      <c r="CD96" s="613"/>
      <c r="CE96" s="613"/>
      <c r="CF96" s="613"/>
      <c r="CG96" s="614"/>
      <c r="CH96" s="614"/>
      <c r="CI96" s="614"/>
      <c r="CJ96" s="613"/>
      <c r="CK96" s="613"/>
      <c r="CL96" s="613"/>
      <c r="CM96" s="613"/>
      <c r="CN96" s="613"/>
      <c r="CO96" s="613"/>
    </row>
    <row r="97" spans="3:93" s="608" customFormat="1" ht="13.5" customHeight="1" x14ac:dyDescent="0.2">
      <c r="C97" s="631" t="s">
        <v>15</v>
      </c>
      <c r="D97" s="629"/>
      <c r="T97" s="605"/>
      <c r="Y97" s="656"/>
      <c r="AB97" s="630"/>
      <c r="AQ97" s="605"/>
      <c r="AR97" s="605"/>
      <c r="AS97" s="611"/>
      <c r="AT97" s="611"/>
      <c r="AU97" s="611"/>
      <c r="AV97" s="611"/>
      <c r="AW97" s="612"/>
      <c r="AX97" s="611"/>
      <c r="BG97" s="613"/>
      <c r="BH97" s="613"/>
      <c r="BI97" s="613"/>
      <c r="BJ97" s="613"/>
      <c r="BK97" s="613"/>
      <c r="BL97" s="613"/>
      <c r="BM97" s="613"/>
      <c r="BN97" s="613"/>
      <c r="BO97" s="613"/>
      <c r="BP97" s="613"/>
      <c r="BQ97" s="613"/>
      <c r="BR97" s="613"/>
      <c r="BS97" s="613"/>
      <c r="BT97" s="613"/>
      <c r="BU97" s="613"/>
      <c r="BV97" s="613"/>
      <c r="BW97" s="613"/>
      <c r="BX97" s="613"/>
      <c r="BY97" s="613"/>
      <c r="BZ97" s="613"/>
      <c r="CA97" s="613"/>
      <c r="CB97" s="613"/>
      <c r="CC97" s="613"/>
      <c r="CD97" s="613"/>
      <c r="CE97" s="613"/>
      <c r="CF97" s="613"/>
      <c r="CG97" s="614"/>
      <c r="CH97" s="614"/>
      <c r="CI97" s="614"/>
      <c r="CJ97" s="613"/>
      <c r="CK97" s="613"/>
      <c r="CL97" s="613"/>
      <c r="CM97" s="613"/>
      <c r="CN97" s="613"/>
      <c r="CO97" s="613"/>
    </row>
    <row r="98" spans="3:93" s="608" customFormat="1" ht="13.5" customHeight="1" x14ac:dyDescent="0.2">
      <c r="C98" s="631" t="s">
        <v>16</v>
      </c>
      <c r="D98" s="629"/>
      <c r="T98" s="605"/>
      <c r="Y98" s="656"/>
      <c r="AB98" s="630"/>
      <c r="AQ98" s="605"/>
      <c r="AR98" s="605"/>
      <c r="AS98" s="611"/>
      <c r="AT98" s="611"/>
      <c r="AU98" s="611"/>
      <c r="AV98" s="611"/>
      <c r="AW98" s="612"/>
      <c r="AX98" s="611"/>
      <c r="BG98" s="613"/>
      <c r="BH98" s="613"/>
      <c r="BI98" s="613"/>
      <c r="BJ98" s="613"/>
      <c r="BK98" s="613"/>
      <c r="BL98" s="613"/>
      <c r="BM98" s="613"/>
      <c r="BN98" s="613"/>
      <c r="BO98" s="613"/>
      <c r="BP98" s="613"/>
      <c r="BQ98" s="613"/>
      <c r="BR98" s="613"/>
      <c r="BS98" s="613"/>
      <c r="BT98" s="613"/>
      <c r="BU98" s="613"/>
      <c r="BV98" s="613"/>
      <c r="BW98" s="613"/>
      <c r="BX98" s="613"/>
      <c r="BY98" s="613"/>
      <c r="BZ98" s="613"/>
      <c r="CA98" s="613"/>
      <c r="CB98" s="613"/>
      <c r="CC98" s="613"/>
      <c r="CD98" s="613"/>
      <c r="CE98" s="613"/>
      <c r="CF98" s="613"/>
      <c r="CG98" s="614"/>
      <c r="CH98" s="614"/>
      <c r="CI98" s="614"/>
      <c r="CJ98" s="613"/>
      <c r="CK98" s="613"/>
      <c r="CL98" s="613"/>
      <c r="CM98" s="613"/>
      <c r="CN98" s="613"/>
      <c r="CO98" s="613"/>
    </row>
    <row r="99" spans="3:93" s="608" customFormat="1" ht="13.5" customHeight="1" x14ac:dyDescent="0.2">
      <c r="C99" s="631" t="s">
        <v>17</v>
      </c>
      <c r="D99" s="629"/>
      <c r="T99" s="605"/>
      <c r="Y99" s="656"/>
      <c r="AB99" s="630"/>
      <c r="AQ99" s="605"/>
      <c r="AR99" s="605"/>
      <c r="AS99" s="611"/>
      <c r="AT99" s="611"/>
      <c r="AU99" s="611"/>
      <c r="AV99" s="611"/>
      <c r="AW99" s="612"/>
      <c r="AX99" s="611"/>
      <c r="BG99" s="613"/>
      <c r="BH99" s="613"/>
      <c r="BI99" s="613"/>
      <c r="BJ99" s="613"/>
      <c r="BK99" s="613"/>
      <c r="BL99" s="613"/>
      <c r="BM99" s="613"/>
      <c r="BN99" s="613"/>
      <c r="BO99" s="613"/>
      <c r="BP99" s="613"/>
      <c r="BQ99" s="613"/>
      <c r="BR99" s="613"/>
      <c r="BS99" s="613"/>
      <c r="BT99" s="613"/>
      <c r="BU99" s="613"/>
      <c r="BV99" s="613"/>
      <c r="BW99" s="613"/>
      <c r="BX99" s="613"/>
      <c r="BY99" s="613"/>
      <c r="BZ99" s="613"/>
      <c r="CA99" s="613"/>
      <c r="CB99" s="613"/>
      <c r="CC99" s="613"/>
      <c r="CD99" s="613"/>
      <c r="CE99" s="613"/>
      <c r="CF99" s="613"/>
      <c r="CG99" s="614"/>
      <c r="CH99" s="614"/>
      <c r="CI99" s="614"/>
      <c r="CJ99" s="613"/>
      <c r="CK99" s="613"/>
      <c r="CL99" s="613"/>
      <c r="CM99" s="613"/>
      <c r="CN99" s="613"/>
      <c r="CO99" s="613"/>
    </row>
    <row r="100" spans="3:93" s="608" customFormat="1" ht="13.5" customHeight="1" x14ac:dyDescent="0.2">
      <c r="C100" s="631" t="s">
        <v>18</v>
      </c>
      <c r="D100" s="629"/>
      <c r="T100" s="605"/>
      <c r="Y100" s="656"/>
      <c r="AB100" s="630"/>
      <c r="AQ100" s="605"/>
      <c r="AR100" s="605"/>
      <c r="AS100" s="611"/>
      <c r="AT100" s="611"/>
      <c r="AU100" s="611"/>
      <c r="AV100" s="611"/>
      <c r="AW100" s="612"/>
      <c r="AX100" s="611"/>
      <c r="BG100" s="613"/>
      <c r="BH100" s="613"/>
      <c r="BI100" s="613"/>
      <c r="BJ100" s="613"/>
      <c r="BK100" s="613"/>
      <c r="BL100" s="613"/>
      <c r="BM100" s="613"/>
      <c r="BN100" s="613"/>
      <c r="BO100" s="613"/>
      <c r="BP100" s="613"/>
      <c r="BQ100" s="613"/>
      <c r="BR100" s="613"/>
      <c r="BS100" s="613"/>
      <c r="BT100" s="613"/>
      <c r="BU100" s="613"/>
      <c r="BV100" s="613"/>
      <c r="BW100" s="613"/>
      <c r="BX100" s="613"/>
      <c r="BY100" s="613"/>
      <c r="BZ100" s="613"/>
      <c r="CA100" s="613"/>
      <c r="CB100" s="613"/>
      <c r="CC100" s="613"/>
      <c r="CD100" s="613"/>
      <c r="CE100" s="613"/>
      <c r="CF100" s="613"/>
      <c r="CG100" s="614"/>
      <c r="CH100" s="614"/>
      <c r="CI100" s="614"/>
      <c r="CJ100" s="613"/>
      <c r="CK100" s="613"/>
      <c r="CL100" s="613"/>
      <c r="CM100" s="613"/>
      <c r="CN100" s="613"/>
      <c r="CO100" s="613"/>
    </row>
    <row r="101" spans="3:93" s="608" customFormat="1" ht="13.5" customHeight="1" x14ac:dyDescent="0.2">
      <c r="C101" s="629">
        <v>1</v>
      </c>
      <c r="D101" s="629"/>
      <c r="T101" s="605"/>
      <c r="Y101" s="656"/>
      <c r="AB101" s="630"/>
      <c r="AQ101" s="605"/>
      <c r="AR101" s="605"/>
      <c r="AS101" s="611"/>
      <c r="AT101" s="611"/>
      <c r="AU101" s="611"/>
      <c r="AV101" s="611"/>
      <c r="AW101" s="612"/>
      <c r="AX101" s="611"/>
      <c r="BG101" s="613"/>
      <c r="BH101" s="613"/>
      <c r="BI101" s="613"/>
      <c r="BJ101" s="613"/>
      <c r="BK101" s="613"/>
      <c r="BL101" s="613"/>
      <c r="BM101" s="613"/>
      <c r="BN101" s="613"/>
      <c r="BO101" s="613"/>
      <c r="BP101" s="613"/>
      <c r="BQ101" s="613"/>
      <c r="BR101" s="613"/>
      <c r="BS101" s="613"/>
      <c r="BT101" s="613"/>
      <c r="BU101" s="613"/>
      <c r="BV101" s="613"/>
      <c r="BW101" s="613"/>
      <c r="BX101" s="613"/>
      <c r="BY101" s="613"/>
      <c r="BZ101" s="613"/>
      <c r="CA101" s="613"/>
      <c r="CB101" s="613"/>
      <c r="CC101" s="613"/>
      <c r="CD101" s="613"/>
      <c r="CE101" s="613"/>
      <c r="CF101" s="613"/>
      <c r="CG101" s="614"/>
      <c r="CH101" s="614"/>
      <c r="CI101" s="614"/>
      <c r="CJ101" s="613"/>
      <c r="CK101" s="613"/>
      <c r="CL101" s="613"/>
      <c r="CM101" s="613"/>
      <c r="CN101" s="613"/>
      <c r="CO101" s="613"/>
    </row>
    <row r="102" spans="3:93" s="608" customFormat="1" ht="13.5" customHeight="1" x14ac:dyDescent="0.2">
      <c r="C102" s="629">
        <v>2</v>
      </c>
      <c r="D102" s="629"/>
      <c r="T102" s="605"/>
      <c r="Y102" s="656"/>
      <c r="AB102" s="630"/>
      <c r="AQ102" s="605"/>
      <c r="AR102" s="605"/>
      <c r="AS102" s="611"/>
      <c r="AT102" s="611"/>
      <c r="AU102" s="611"/>
      <c r="AV102" s="611"/>
      <c r="AW102" s="612"/>
      <c r="AX102" s="611"/>
      <c r="BG102" s="613"/>
      <c r="BH102" s="613"/>
      <c r="BI102" s="613"/>
      <c r="BJ102" s="613"/>
      <c r="BK102" s="613"/>
      <c r="BL102" s="613"/>
      <c r="BM102" s="613"/>
      <c r="BN102" s="613"/>
      <c r="BO102" s="613"/>
      <c r="BP102" s="613"/>
      <c r="BQ102" s="613"/>
      <c r="BR102" s="613"/>
      <c r="BS102" s="613"/>
      <c r="BT102" s="613"/>
      <c r="BU102" s="613"/>
      <c r="BV102" s="613"/>
      <c r="BW102" s="613"/>
      <c r="BX102" s="613"/>
      <c r="BY102" s="613"/>
      <c r="BZ102" s="613"/>
      <c r="CA102" s="613"/>
      <c r="CB102" s="613"/>
      <c r="CC102" s="613"/>
      <c r="CD102" s="613"/>
      <c r="CE102" s="613"/>
      <c r="CF102" s="613"/>
      <c r="CG102" s="614"/>
      <c r="CH102" s="614"/>
      <c r="CI102" s="614"/>
      <c r="CJ102" s="613"/>
      <c r="CK102" s="613"/>
      <c r="CL102" s="613"/>
      <c r="CM102" s="613"/>
      <c r="CN102" s="613"/>
      <c r="CO102" s="613"/>
    </row>
    <row r="103" spans="3:93" s="608" customFormat="1" ht="13.5" customHeight="1" x14ac:dyDescent="0.2">
      <c r="C103" s="629">
        <v>3</v>
      </c>
      <c r="D103" s="629"/>
      <c r="T103" s="605"/>
      <c r="Y103" s="656"/>
      <c r="AB103" s="630"/>
      <c r="AQ103" s="605"/>
      <c r="AR103" s="605"/>
      <c r="AS103" s="611"/>
      <c r="AT103" s="611"/>
      <c r="AU103" s="611"/>
      <c r="AV103" s="611"/>
      <c r="AW103" s="612"/>
      <c r="AX103" s="611"/>
      <c r="BG103" s="613"/>
      <c r="BH103" s="613"/>
      <c r="BI103" s="613"/>
      <c r="BJ103" s="613"/>
      <c r="BK103" s="613"/>
      <c r="BL103" s="613"/>
      <c r="BM103" s="613"/>
      <c r="BN103" s="613"/>
      <c r="BO103" s="613"/>
      <c r="BP103" s="613"/>
      <c r="BQ103" s="613"/>
      <c r="BR103" s="613"/>
      <c r="BS103" s="613"/>
      <c r="BT103" s="613"/>
      <c r="BU103" s="613"/>
      <c r="BV103" s="613"/>
      <c r="BW103" s="613"/>
      <c r="BX103" s="613"/>
      <c r="BY103" s="613"/>
      <c r="BZ103" s="613"/>
      <c r="CA103" s="613"/>
      <c r="CB103" s="613"/>
      <c r="CC103" s="613"/>
      <c r="CD103" s="613"/>
      <c r="CE103" s="613"/>
      <c r="CF103" s="613"/>
      <c r="CG103" s="614"/>
      <c r="CH103" s="614"/>
      <c r="CI103" s="614"/>
      <c r="CJ103" s="613"/>
      <c r="CK103" s="613"/>
      <c r="CL103" s="613"/>
      <c r="CM103" s="613"/>
      <c r="CN103" s="613"/>
      <c r="CO103" s="613"/>
    </row>
    <row r="104" spans="3:93" s="608" customFormat="1" ht="13.5" customHeight="1" x14ac:dyDescent="0.2">
      <c r="C104" s="629">
        <v>4</v>
      </c>
      <c r="D104" s="629"/>
      <c r="T104" s="605"/>
      <c r="Y104" s="656"/>
      <c r="AB104" s="630"/>
      <c r="AQ104" s="605"/>
      <c r="AR104" s="605"/>
      <c r="AS104" s="611"/>
      <c r="AT104" s="611"/>
      <c r="AU104" s="611"/>
      <c r="AV104" s="611"/>
      <c r="AW104" s="612"/>
      <c r="AX104" s="611"/>
      <c r="BG104" s="613"/>
      <c r="BH104" s="613"/>
      <c r="BI104" s="613"/>
      <c r="BJ104" s="613"/>
      <c r="BK104" s="613"/>
      <c r="BL104" s="613"/>
      <c r="BM104" s="613"/>
      <c r="BN104" s="613"/>
      <c r="BO104" s="613"/>
      <c r="BP104" s="613"/>
      <c r="BQ104" s="613"/>
      <c r="BR104" s="613"/>
      <c r="BS104" s="613"/>
      <c r="BT104" s="613"/>
      <c r="BU104" s="613"/>
      <c r="BV104" s="613"/>
      <c r="BW104" s="613"/>
      <c r="BX104" s="613"/>
      <c r="BY104" s="613"/>
      <c r="BZ104" s="613"/>
      <c r="CA104" s="613"/>
      <c r="CB104" s="613"/>
      <c r="CC104" s="613"/>
      <c r="CD104" s="613"/>
      <c r="CE104" s="613"/>
      <c r="CF104" s="613"/>
      <c r="CG104" s="614"/>
      <c r="CH104" s="614"/>
      <c r="CI104" s="614"/>
      <c r="CJ104" s="613"/>
      <c r="CK104" s="613"/>
      <c r="CL104" s="613"/>
      <c r="CM104" s="613"/>
      <c r="CN104" s="613"/>
      <c r="CO104" s="613"/>
    </row>
    <row r="105" spans="3:93" s="608" customFormat="1" ht="13.5" customHeight="1" x14ac:dyDescent="0.2">
      <c r="C105" s="629">
        <v>5</v>
      </c>
      <c r="D105" s="629"/>
      <c r="T105" s="605"/>
      <c r="Y105" s="656"/>
      <c r="AB105" s="630"/>
      <c r="AQ105" s="605"/>
      <c r="AR105" s="605"/>
      <c r="AS105" s="611"/>
      <c r="AT105" s="611"/>
      <c r="AU105" s="611"/>
      <c r="AV105" s="611"/>
      <c r="AW105" s="612"/>
      <c r="AX105" s="611"/>
      <c r="BG105" s="613"/>
      <c r="BH105" s="613"/>
      <c r="BI105" s="613"/>
      <c r="BJ105" s="613"/>
      <c r="BK105" s="613"/>
      <c r="BL105" s="613"/>
      <c r="BM105" s="613"/>
      <c r="BN105" s="613"/>
      <c r="BO105" s="613"/>
      <c r="BP105" s="613"/>
      <c r="BQ105" s="613"/>
      <c r="BR105" s="613"/>
      <c r="BS105" s="613"/>
      <c r="BT105" s="613"/>
      <c r="BU105" s="613"/>
      <c r="BV105" s="613"/>
      <c r="BW105" s="613"/>
      <c r="BX105" s="613"/>
      <c r="BY105" s="613"/>
      <c r="BZ105" s="613"/>
      <c r="CA105" s="613"/>
      <c r="CB105" s="613"/>
      <c r="CC105" s="613"/>
      <c r="CD105" s="613"/>
      <c r="CE105" s="613"/>
      <c r="CF105" s="613"/>
      <c r="CG105" s="614"/>
      <c r="CH105" s="614"/>
      <c r="CI105" s="614"/>
      <c r="CJ105" s="613"/>
      <c r="CK105" s="613"/>
      <c r="CL105" s="613"/>
      <c r="CM105" s="613"/>
      <c r="CN105" s="613"/>
      <c r="CO105" s="613"/>
    </row>
    <row r="106" spans="3:93" s="608" customFormat="1" ht="13.5" customHeight="1" x14ac:dyDescent="0.2">
      <c r="C106" s="629">
        <v>6</v>
      </c>
      <c r="D106" s="629"/>
      <c r="T106" s="605"/>
      <c r="Y106" s="656"/>
      <c r="AB106" s="630"/>
      <c r="AQ106" s="605"/>
      <c r="AR106" s="605"/>
      <c r="AS106" s="611"/>
      <c r="AT106" s="611"/>
      <c r="AU106" s="611"/>
      <c r="AV106" s="611"/>
      <c r="AW106" s="612"/>
      <c r="AX106" s="611"/>
      <c r="BG106" s="613"/>
      <c r="BH106" s="613"/>
      <c r="BI106" s="613"/>
      <c r="BJ106" s="613"/>
      <c r="BK106" s="613"/>
      <c r="BL106" s="613"/>
      <c r="BM106" s="613"/>
      <c r="BN106" s="613"/>
      <c r="BO106" s="613"/>
      <c r="BP106" s="613"/>
      <c r="BQ106" s="613"/>
      <c r="BR106" s="613"/>
      <c r="BS106" s="613"/>
      <c r="BT106" s="613"/>
      <c r="BU106" s="613"/>
      <c r="BV106" s="613"/>
      <c r="BW106" s="613"/>
      <c r="BX106" s="613"/>
      <c r="BY106" s="613"/>
      <c r="BZ106" s="613"/>
      <c r="CA106" s="613"/>
      <c r="CB106" s="613"/>
      <c r="CC106" s="613"/>
      <c r="CD106" s="613"/>
      <c r="CE106" s="613"/>
      <c r="CF106" s="613"/>
      <c r="CG106" s="614"/>
      <c r="CH106" s="614"/>
      <c r="CI106" s="614"/>
      <c r="CJ106" s="613"/>
      <c r="CK106" s="613"/>
      <c r="CL106" s="613"/>
      <c r="CM106" s="613"/>
      <c r="CN106" s="613"/>
      <c r="CO106" s="613"/>
    </row>
    <row r="107" spans="3:93" s="608" customFormat="1" ht="13.5" customHeight="1" x14ac:dyDescent="0.2">
      <c r="C107" s="629">
        <v>7</v>
      </c>
      <c r="D107" s="629"/>
      <c r="T107" s="605"/>
      <c r="Y107" s="656"/>
      <c r="AB107" s="630"/>
      <c r="AQ107" s="605"/>
      <c r="AR107" s="605"/>
      <c r="AS107" s="611"/>
      <c r="AT107" s="611"/>
      <c r="AU107" s="611"/>
      <c r="AV107" s="611"/>
      <c r="AW107" s="612"/>
      <c r="AX107" s="611"/>
      <c r="BG107" s="613"/>
      <c r="BH107" s="613"/>
      <c r="BI107" s="613"/>
      <c r="BJ107" s="613"/>
      <c r="BK107" s="613"/>
      <c r="BL107" s="613"/>
      <c r="BM107" s="613"/>
      <c r="BN107" s="613"/>
      <c r="BO107" s="613"/>
      <c r="BP107" s="613"/>
      <c r="BQ107" s="613"/>
      <c r="BR107" s="613"/>
      <c r="BS107" s="613"/>
      <c r="BT107" s="613"/>
      <c r="BU107" s="613"/>
      <c r="BV107" s="613"/>
      <c r="BW107" s="613"/>
      <c r="BX107" s="613"/>
      <c r="BY107" s="613"/>
      <c r="BZ107" s="613"/>
      <c r="CA107" s="613"/>
      <c r="CB107" s="613"/>
      <c r="CC107" s="613"/>
      <c r="CD107" s="613"/>
      <c r="CE107" s="613"/>
      <c r="CF107" s="613"/>
      <c r="CG107" s="614"/>
      <c r="CH107" s="614"/>
      <c r="CI107" s="614"/>
      <c r="CJ107" s="613"/>
      <c r="CK107" s="613"/>
      <c r="CL107" s="613"/>
      <c r="CM107" s="613"/>
      <c r="CN107" s="613"/>
      <c r="CO107" s="613"/>
    </row>
    <row r="108" spans="3:93" s="608" customFormat="1" ht="13.5" customHeight="1" x14ac:dyDescent="0.2">
      <c r="C108" s="629">
        <v>8</v>
      </c>
      <c r="D108" s="629"/>
      <c r="T108" s="605"/>
      <c r="Y108" s="656"/>
      <c r="AB108" s="630"/>
      <c r="AQ108" s="605"/>
      <c r="AR108" s="605"/>
      <c r="AS108" s="611"/>
      <c r="AT108" s="611"/>
      <c r="AU108" s="611"/>
      <c r="AV108" s="611"/>
      <c r="AW108" s="612"/>
      <c r="AX108" s="611"/>
      <c r="BG108" s="613"/>
      <c r="BH108" s="613"/>
      <c r="BI108" s="613"/>
      <c r="BJ108" s="613"/>
      <c r="BK108" s="613"/>
      <c r="BL108" s="613"/>
      <c r="BM108" s="613"/>
      <c r="BN108" s="613"/>
      <c r="BO108" s="613"/>
      <c r="BP108" s="613"/>
      <c r="BQ108" s="613"/>
      <c r="BR108" s="613"/>
      <c r="BS108" s="613"/>
      <c r="BT108" s="613"/>
      <c r="BU108" s="613"/>
      <c r="BV108" s="613"/>
      <c r="BW108" s="613"/>
      <c r="BX108" s="613"/>
      <c r="BY108" s="613"/>
      <c r="BZ108" s="613"/>
      <c r="CA108" s="613"/>
      <c r="CB108" s="613"/>
      <c r="CC108" s="613"/>
      <c r="CD108" s="613"/>
      <c r="CE108" s="613"/>
      <c r="CF108" s="613"/>
      <c r="CG108" s="614"/>
      <c r="CH108" s="614"/>
      <c r="CI108" s="614"/>
      <c r="CJ108" s="613"/>
      <c r="CK108" s="613"/>
      <c r="CL108" s="613"/>
      <c r="CM108" s="613"/>
      <c r="CN108" s="613"/>
      <c r="CO108" s="613"/>
    </row>
    <row r="109" spans="3:93" s="608" customFormat="1" ht="13.5" customHeight="1" x14ac:dyDescent="0.2">
      <c r="C109" s="629">
        <v>9</v>
      </c>
      <c r="D109" s="629"/>
      <c r="T109" s="605"/>
      <c r="Y109" s="656"/>
      <c r="AB109" s="630"/>
      <c r="AQ109" s="605"/>
      <c r="AR109" s="605"/>
      <c r="AS109" s="611"/>
      <c r="AT109" s="611"/>
      <c r="AU109" s="611"/>
      <c r="AV109" s="611"/>
      <c r="AW109" s="612"/>
      <c r="AX109" s="611"/>
      <c r="BG109" s="613"/>
      <c r="BH109" s="613"/>
      <c r="BI109" s="613"/>
      <c r="BJ109" s="613"/>
      <c r="BK109" s="613"/>
      <c r="BL109" s="613"/>
      <c r="BM109" s="613"/>
      <c r="BN109" s="613"/>
      <c r="BO109" s="613"/>
      <c r="BP109" s="613"/>
      <c r="BQ109" s="613"/>
      <c r="BR109" s="613"/>
      <c r="BS109" s="613"/>
      <c r="BT109" s="613"/>
      <c r="BU109" s="613"/>
      <c r="BV109" s="613"/>
      <c r="BW109" s="613"/>
      <c r="BX109" s="613"/>
      <c r="BY109" s="613"/>
      <c r="BZ109" s="613"/>
      <c r="CA109" s="613"/>
      <c r="CB109" s="613"/>
      <c r="CC109" s="613"/>
      <c r="CD109" s="613"/>
      <c r="CE109" s="613"/>
      <c r="CF109" s="613"/>
      <c r="CG109" s="614"/>
      <c r="CH109" s="614"/>
      <c r="CI109" s="614"/>
      <c r="CJ109" s="613"/>
      <c r="CK109" s="613"/>
      <c r="CL109" s="613"/>
      <c r="CM109" s="613"/>
      <c r="CN109" s="613"/>
      <c r="CO109" s="613"/>
    </row>
    <row r="110" spans="3:93" s="608" customFormat="1" ht="13.5" customHeight="1" x14ac:dyDescent="0.2">
      <c r="C110" s="629">
        <v>10</v>
      </c>
      <c r="D110" s="629"/>
      <c r="T110" s="605"/>
      <c r="Y110" s="656"/>
      <c r="AB110" s="630"/>
      <c r="AQ110" s="605"/>
      <c r="AR110" s="605"/>
      <c r="AS110" s="611"/>
      <c r="AT110" s="611"/>
      <c r="AU110" s="611"/>
      <c r="AV110" s="611"/>
      <c r="AW110" s="612"/>
      <c r="AX110" s="611"/>
      <c r="BG110" s="613"/>
      <c r="BH110" s="613"/>
      <c r="BI110" s="613"/>
      <c r="BJ110" s="613"/>
      <c r="BK110" s="613"/>
      <c r="BL110" s="613"/>
      <c r="BM110" s="613"/>
      <c r="BN110" s="613"/>
      <c r="BO110" s="613"/>
      <c r="BP110" s="613"/>
      <c r="BQ110" s="613"/>
      <c r="BR110" s="613"/>
      <c r="BS110" s="613"/>
      <c r="BT110" s="613"/>
      <c r="BU110" s="613"/>
      <c r="BV110" s="613"/>
      <c r="BW110" s="613"/>
      <c r="BX110" s="613"/>
      <c r="BY110" s="613"/>
      <c r="BZ110" s="613"/>
      <c r="CA110" s="613"/>
      <c r="CB110" s="613"/>
      <c r="CC110" s="613"/>
      <c r="CD110" s="613"/>
      <c r="CE110" s="613"/>
      <c r="CF110" s="613"/>
      <c r="CG110" s="614"/>
      <c r="CH110" s="614"/>
      <c r="CI110" s="614"/>
      <c r="CJ110" s="613"/>
      <c r="CK110" s="613"/>
      <c r="CL110" s="613"/>
      <c r="CM110" s="613"/>
      <c r="CN110" s="613"/>
      <c r="CO110" s="613"/>
    </row>
    <row r="111" spans="3:93" s="608" customFormat="1" ht="13.5" customHeight="1" x14ac:dyDescent="0.2">
      <c r="C111" s="629">
        <v>11</v>
      </c>
      <c r="D111" s="629"/>
      <c r="T111" s="605"/>
      <c r="Y111" s="656"/>
      <c r="AB111" s="630"/>
      <c r="AQ111" s="605"/>
      <c r="AR111" s="605"/>
      <c r="AS111" s="611"/>
      <c r="AT111" s="611"/>
      <c r="AU111" s="611"/>
      <c r="AV111" s="611"/>
      <c r="AW111" s="612"/>
      <c r="AX111" s="611"/>
      <c r="BG111" s="613"/>
      <c r="BH111" s="613"/>
      <c r="BI111" s="613"/>
      <c r="BJ111" s="613"/>
      <c r="BK111" s="613"/>
      <c r="BL111" s="613"/>
      <c r="BM111" s="613"/>
      <c r="BN111" s="613"/>
      <c r="BO111" s="613"/>
      <c r="BP111" s="613"/>
      <c r="BQ111" s="613"/>
      <c r="BR111" s="613"/>
      <c r="BS111" s="613"/>
      <c r="BT111" s="613"/>
      <c r="BU111" s="613"/>
      <c r="BV111" s="613"/>
      <c r="BW111" s="613"/>
      <c r="BX111" s="613"/>
      <c r="BY111" s="613"/>
      <c r="BZ111" s="613"/>
      <c r="CA111" s="613"/>
      <c r="CB111" s="613"/>
      <c r="CC111" s="613"/>
      <c r="CD111" s="613"/>
      <c r="CE111" s="613"/>
      <c r="CF111" s="613"/>
      <c r="CG111" s="614"/>
      <c r="CH111" s="614"/>
      <c r="CI111" s="614"/>
      <c r="CJ111" s="613"/>
      <c r="CK111" s="613"/>
      <c r="CL111" s="613"/>
      <c r="CM111" s="613"/>
      <c r="CN111" s="613"/>
      <c r="CO111" s="613"/>
    </row>
    <row r="112" spans="3:93" s="608" customFormat="1" ht="13.5" customHeight="1" x14ac:dyDescent="0.2">
      <c r="C112" s="629">
        <v>12</v>
      </c>
      <c r="D112" s="629"/>
      <c r="T112" s="605"/>
      <c r="Y112" s="656"/>
      <c r="AB112" s="630"/>
      <c r="AQ112" s="605"/>
      <c r="AR112" s="605"/>
      <c r="AS112" s="611"/>
      <c r="AT112" s="611"/>
      <c r="AU112" s="611"/>
      <c r="AV112" s="611"/>
      <c r="AW112" s="612"/>
      <c r="AX112" s="611"/>
      <c r="BG112" s="613"/>
      <c r="BH112" s="613"/>
      <c r="BI112" s="613"/>
      <c r="BJ112" s="613"/>
      <c r="BK112" s="613"/>
      <c r="BL112" s="613"/>
      <c r="BM112" s="613"/>
      <c r="BN112" s="613"/>
      <c r="BO112" s="613"/>
      <c r="BP112" s="613"/>
      <c r="BQ112" s="613"/>
      <c r="BR112" s="613"/>
      <c r="BS112" s="613"/>
      <c r="BT112" s="613"/>
      <c r="BU112" s="613"/>
      <c r="BV112" s="613"/>
      <c r="BW112" s="613"/>
      <c r="BX112" s="613"/>
      <c r="BY112" s="613"/>
      <c r="BZ112" s="613"/>
      <c r="CA112" s="613"/>
      <c r="CB112" s="613"/>
      <c r="CC112" s="613"/>
      <c r="CD112" s="613"/>
      <c r="CE112" s="613"/>
      <c r="CF112" s="613"/>
      <c r="CG112" s="614"/>
      <c r="CH112" s="614"/>
      <c r="CI112" s="614"/>
      <c r="CJ112" s="613"/>
      <c r="CK112" s="613"/>
      <c r="CL112" s="613"/>
      <c r="CM112" s="613"/>
      <c r="CN112" s="613"/>
      <c r="CO112" s="613"/>
    </row>
    <row r="113" spans="3:93" s="608" customFormat="1" ht="13.5" customHeight="1" x14ac:dyDescent="0.2">
      <c r="C113" s="629">
        <v>13</v>
      </c>
      <c r="D113" s="629"/>
      <c r="T113" s="605"/>
      <c r="Y113" s="656"/>
      <c r="AB113" s="630"/>
      <c r="AQ113" s="605"/>
      <c r="AR113" s="605"/>
      <c r="AS113" s="611"/>
      <c r="AT113" s="611"/>
      <c r="AU113" s="611"/>
      <c r="AV113" s="611"/>
      <c r="AW113" s="612"/>
      <c r="AX113" s="611"/>
      <c r="BG113" s="613"/>
      <c r="BH113" s="613"/>
      <c r="BI113" s="613"/>
      <c r="BJ113" s="613"/>
      <c r="BK113" s="613"/>
      <c r="BL113" s="613"/>
      <c r="BM113" s="613"/>
      <c r="BN113" s="613"/>
      <c r="BO113" s="613"/>
      <c r="BP113" s="613"/>
      <c r="BQ113" s="613"/>
      <c r="BR113" s="613"/>
      <c r="BS113" s="613"/>
      <c r="BT113" s="613"/>
      <c r="BU113" s="613"/>
      <c r="BV113" s="613"/>
      <c r="BW113" s="613"/>
      <c r="BX113" s="613"/>
      <c r="BY113" s="613"/>
      <c r="BZ113" s="613"/>
      <c r="CA113" s="613"/>
      <c r="CB113" s="613"/>
      <c r="CC113" s="613"/>
      <c r="CD113" s="613"/>
      <c r="CE113" s="613"/>
      <c r="CF113" s="613"/>
      <c r="CG113" s="614"/>
      <c r="CH113" s="614"/>
      <c r="CI113" s="614"/>
      <c r="CJ113" s="613"/>
      <c r="CK113" s="613"/>
      <c r="CL113" s="613"/>
      <c r="CM113" s="613"/>
      <c r="CN113" s="613"/>
      <c r="CO113" s="613"/>
    </row>
    <row r="114" spans="3:93" s="608" customFormat="1" ht="13.5" customHeight="1" x14ac:dyDescent="0.2">
      <c r="C114" s="629">
        <v>14</v>
      </c>
      <c r="D114" s="629"/>
      <c r="T114" s="605"/>
      <c r="Y114" s="656"/>
      <c r="AB114" s="630"/>
      <c r="AQ114" s="605"/>
      <c r="AR114" s="605"/>
      <c r="AS114" s="611"/>
      <c r="AT114" s="611"/>
      <c r="AU114" s="611"/>
      <c r="AV114" s="611"/>
      <c r="AW114" s="612"/>
      <c r="AX114" s="611"/>
      <c r="BG114" s="613"/>
      <c r="BH114" s="613"/>
      <c r="BI114" s="613"/>
      <c r="BJ114" s="613"/>
      <c r="BK114" s="613"/>
      <c r="BL114" s="613"/>
      <c r="BM114" s="613"/>
      <c r="BN114" s="613"/>
      <c r="BO114" s="613"/>
      <c r="BP114" s="613"/>
      <c r="BQ114" s="613"/>
      <c r="BR114" s="613"/>
      <c r="BS114" s="613"/>
      <c r="BT114" s="613"/>
      <c r="BU114" s="613"/>
      <c r="BV114" s="613"/>
      <c r="BW114" s="613"/>
      <c r="BX114" s="613"/>
      <c r="BY114" s="613"/>
      <c r="BZ114" s="613"/>
      <c r="CA114" s="613"/>
      <c r="CB114" s="613"/>
      <c r="CC114" s="613"/>
      <c r="CD114" s="613"/>
      <c r="CE114" s="613"/>
      <c r="CF114" s="613"/>
      <c r="CG114" s="614"/>
      <c r="CH114" s="614"/>
      <c r="CI114" s="614"/>
      <c r="CJ114" s="613"/>
      <c r="CK114" s="613"/>
      <c r="CL114" s="613"/>
      <c r="CM114" s="613"/>
      <c r="CN114" s="613"/>
      <c r="CO114" s="613"/>
    </row>
    <row r="115" spans="3:93" s="608" customFormat="1" ht="13.5" customHeight="1" x14ac:dyDescent="0.2">
      <c r="C115" s="629" t="s">
        <v>19</v>
      </c>
      <c r="D115" s="629"/>
      <c r="T115" s="605"/>
      <c r="Y115" s="656"/>
      <c r="AB115" s="630"/>
      <c r="AQ115" s="605"/>
      <c r="AR115" s="605"/>
      <c r="AS115" s="611"/>
      <c r="AT115" s="611"/>
      <c r="AU115" s="611"/>
      <c r="AV115" s="611"/>
      <c r="AW115" s="612"/>
      <c r="AX115" s="611"/>
      <c r="BG115" s="613"/>
      <c r="BH115" s="613"/>
      <c r="BI115" s="613"/>
      <c r="BJ115" s="613"/>
      <c r="BK115" s="613"/>
      <c r="BL115" s="613"/>
      <c r="BM115" s="613"/>
      <c r="BN115" s="613"/>
      <c r="BO115" s="613"/>
      <c r="BP115" s="613"/>
      <c r="BQ115" s="613"/>
      <c r="BR115" s="613"/>
      <c r="BS115" s="613"/>
      <c r="BT115" s="613"/>
      <c r="BU115" s="613"/>
      <c r="BV115" s="613"/>
      <c r="BW115" s="613"/>
      <c r="BX115" s="613"/>
      <c r="BY115" s="613"/>
      <c r="BZ115" s="613"/>
      <c r="CA115" s="613"/>
      <c r="CB115" s="613"/>
      <c r="CC115" s="613"/>
      <c r="CD115" s="613"/>
      <c r="CE115" s="613"/>
      <c r="CF115" s="613"/>
      <c r="CG115" s="614"/>
      <c r="CH115" s="614"/>
      <c r="CI115" s="614"/>
      <c r="CJ115" s="613"/>
      <c r="CK115" s="613"/>
      <c r="CL115" s="613"/>
      <c r="CM115" s="613"/>
      <c r="CN115" s="613"/>
      <c r="CO115" s="613"/>
    </row>
    <row r="116" spans="3:93" s="608" customFormat="1" ht="13.5" customHeight="1" x14ac:dyDescent="0.2">
      <c r="C116" s="629" t="s">
        <v>20</v>
      </c>
      <c r="D116" s="629"/>
      <c r="T116" s="605"/>
      <c r="Y116" s="656"/>
      <c r="AB116" s="630"/>
      <c r="AQ116" s="605"/>
      <c r="AR116" s="605"/>
      <c r="AS116" s="611"/>
      <c r="AT116" s="611"/>
      <c r="AU116" s="611"/>
      <c r="AV116" s="611"/>
      <c r="AW116" s="612"/>
      <c r="AX116" s="611"/>
      <c r="BG116" s="613"/>
      <c r="BH116" s="613"/>
      <c r="BI116" s="613"/>
      <c r="BJ116" s="613"/>
      <c r="BK116" s="613"/>
      <c r="BL116" s="613"/>
      <c r="BM116" s="613"/>
      <c r="BN116" s="613"/>
      <c r="BO116" s="613"/>
      <c r="BP116" s="613"/>
      <c r="BQ116" s="613"/>
      <c r="BR116" s="613"/>
      <c r="BS116" s="613"/>
      <c r="BT116" s="613"/>
      <c r="BU116" s="613"/>
      <c r="BV116" s="613"/>
      <c r="BW116" s="613"/>
      <c r="BX116" s="613"/>
      <c r="BY116" s="613"/>
      <c r="BZ116" s="613"/>
      <c r="CA116" s="613"/>
      <c r="CB116" s="613"/>
      <c r="CC116" s="613"/>
      <c r="CD116" s="613"/>
      <c r="CE116" s="613"/>
      <c r="CF116" s="613"/>
      <c r="CG116" s="614"/>
      <c r="CH116" s="614"/>
      <c r="CI116" s="614"/>
      <c r="CJ116" s="613"/>
      <c r="CK116" s="613"/>
      <c r="CL116" s="613"/>
      <c r="CM116" s="613"/>
      <c r="CN116" s="613"/>
      <c r="CO116" s="613"/>
    </row>
    <row r="117" spans="3:93" s="608" customFormat="1" ht="13.5" customHeight="1" x14ac:dyDescent="0.2">
      <c r="C117" s="629" t="s">
        <v>91</v>
      </c>
      <c r="D117" s="629"/>
      <c r="T117" s="605"/>
      <c r="Y117" s="656"/>
      <c r="AB117" s="630"/>
      <c r="AQ117" s="605"/>
      <c r="AR117" s="605"/>
      <c r="AS117" s="611"/>
      <c r="AT117" s="611"/>
      <c r="AU117" s="611"/>
      <c r="AV117" s="611"/>
      <c r="AW117" s="612"/>
      <c r="AX117" s="611"/>
      <c r="BG117" s="613"/>
      <c r="BH117" s="613"/>
      <c r="BI117" s="613"/>
      <c r="BJ117" s="613"/>
      <c r="BK117" s="613"/>
      <c r="BL117" s="613"/>
      <c r="BM117" s="613"/>
      <c r="BN117" s="613"/>
      <c r="BO117" s="613"/>
      <c r="BP117" s="613"/>
      <c r="BQ117" s="613"/>
      <c r="BR117" s="613"/>
      <c r="BS117" s="613"/>
      <c r="BT117" s="613"/>
      <c r="BU117" s="613"/>
      <c r="BV117" s="613"/>
      <c r="BW117" s="613"/>
      <c r="BX117" s="613"/>
      <c r="BY117" s="613"/>
      <c r="BZ117" s="613"/>
      <c r="CA117" s="613"/>
      <c r="CB117" s="613"/>
      <c r="CC117" s="613"/>
      <c r="CD117" s="613"/>
      <c r="CE117" s="613"/>
      <c r="CF117" s="613"/>
      <c r="CG117" s="614"/>
      <c r="CH117" s="614"/>
      <c r="CI117" s="614"/>
      <c r="CJ117" s="613"/>
      <c r="CK117" s="613"/>
      <c r="CL117" s="613"/>
      <c r="CM117" s="613"/>
      <c r="CN117" s="613"/>
      <c r="CO117" s="613"/>
    </row>
    <row r="118" spans="3:93" s="608" customFormat="1" ht="13.5" customHeight="1" x14ac:dyDescent="0.2">
      <c r="C118" s="629" t="s">
        <v>92</v>
      </c>
      <c r="D118" s="629"/>
      <c r="T118" s="605"/>
      <c r="Y118" s="656"/>
      <c r="AB118" s="630"/>
      <c r="AQ118" s="605"/>
      <c r="AR118" s="605"/>
      <c r="AS118" s="611"/>
      <c r="AT118" s="611"/>
      <c r="AU118" s="611"/>
      <c r="AV118" s="611"/>
      <c r="AW118" s="612"/>
      <c r="AX118" s="611"/>
      <c r="BG118" s="613"/>
      <c r="BH118" s="613"/>
      <c r="BI118" s="613"/>
      <c r="BJ118" s="613"/>
      <c r="BK118" s="613"/>
      <c r="BL118" s="613"/>
      <c r="BM118" s="613"/>
      <c r="BN118" s="613"/>
      <c r="BO118" s="613"/>
      <c r="BP118" s="613"/>
      <c r="BQ118" s="613"/>
      <c r="BR118" s="613"/>
      <c r="BS118" s="613"/>
      <c r="BT118" s="613"/>
      <c r="BU118" s="613"/>
      <c r="BV118" s="613"/>
      <c r="BW118" s="613"/>
      <c r="BX118" s="613"/>
      <c r="BY118" s="613"/>
      <c r="BZ118" s="613"/>
      <c r="CA118" s="613"/>
      <c r="CB118" s="613"/>
      <c r="CC118" s="613"/>
      <c r="CD118" s="613"/>
      <c r="CE118" s="613"/>
      <c r="CF118" s="613"/>
      <c r="CG118" s="614"/>
      <c r="CH118" s="614"/>
      <c r="CI118" s="614"/>
      <c r="CJ118" s="613"/>
      <c r="CK118" s="613"/>
      <c r="CL118" s="613"/>
      <c r="CM118" s="613"/>
      <c r="CN118" s="613"/>
      <c r="CO118" s="613"/>
    </row>
    <row r="119" spans="3:93" s="608" customFormat="1" ht="13.5" customHeight="1" x14ac:dyDescent="0.2">
      <c r="C119" s="629" t="s">
        <v>93</v>
      </c>
      <c r="D119" s="629"/>
      <c r="T119" s="605"/>
      <c r="Y119" s="656"/>
      <c r="AB119" s="630"/>
      <c r="AQ119" s="605"/>
      <c r="AR119" s="605"/>
      <c r="AS119" s="611"/>
      <c r="AT119" s="611"/>
      <c r="AU119" s="611"/>
      <c r="AV119" s="611"/>
      <c r="AW119" s="612"/>
      <c r="AX119" s="611"/>
      <c r="BG119" s="613"/>
      <c r="BH119" s="613"/>
      <c r="BI119" s="613"/>
      <c r="BJ119" s="613"/>
      <c r="BK119" s="613"/>
      <c r="BL119" s="613"/>
      <c r="BM119" s="613"/>
      <c r="BN119" s="613"/>
      <c r="BO119" s="613"/>
      <c r="BP119" s="613"/>
      <c r="BQ119" s="613"/>
      <c r="BR119" s="613"/>
      <c r="BS119" s="613"/>
      <c r="BT119" s="613"/>
      <c r="BU119" s="613"/>
      <c r="BV119" s="613"/>
      <c r="BW119" s="613"/>
      <c r="BX119" s="613"/>
      <c r="BY119" s="613"/>
      <c r="BZ119" s="613"/>
      <c r="CA119" s="613"/>
      <c r="CB119" s="613"/>
      <c r="CC119" s="613"/>
      <c r="CD119" s="613"/>
      <c r="CE119" s="613"/>
      <c r="CF119" s="613"/>
      <c r="CG119" s="614"/>
      <c r="CH119" s="614"/>
      <c r="CI119" s="614"/>
      <c r="CJ119" s="613"/>
      <c r="CK119" s="613"/>
      <c r="CL119" s="613"/>
      <c r="CM119" s="613"/>
      <c r="CN119" s="613"/>
      <c r="CO119" s="613"/>
    </row>
    <row r="120" spans="3:93" s="605" customFormat="1" ht="13.5" customHeight="1" x14ac:dyDescent="0.2">
      <c r="D120" s="609"/>
      <c r="Y120" s="650"/>
      <c r="AB120" s="610"/>
      <c r="AS120" s="611"/>
      <c r="AT120" s="611"/>
      <c r="AU120" s="611"/>
      <c r="AV120" s="611"/>
      <c r="AW120" s="612"/>
      <c r="AX120" s="611"/>
      <c r="BG120" s="613"/>
      <c r="BH120" s="613"/>
      <c r="BI120" s="613"/>
      <c r="BJ120" s="613"/>
      <c r="BK120" s="613"/>
      <c r="BL120" s="613"/>
      <c r="BM120" s="613"/>
      <c r="BN120" s="613"/>
      <c r="BO120" s="613"/>
      <c r="BP120" s="613"/>
      <c r="BQ120" s="613"/>
      <c r="BR120" s="613"/>
      <c r="BS120" s="613"/>
      <c r="BT120" s="613"/>
      <c r="BU120" s="613"/>
      <c r="BV120" s="613"/>
      <c r="BW120" s="613"/>
      <c r="BX120" s="613"/>
      <c r="BY120" s="613"/>
      <c r="BZ120" s="613"/>
      <c r="CA120" s="613"/>
      <c r="CB120" s="613"/>
      <c r="CC120" s="613"/>
      <c r="CD120" s="613"/>
      <c r="CE120" s="613"/>
      <c r="CF120" s="613"/>
      <c r="CG120" s="614"/>
      <c r="CH120" s="614"/>
      <c r="CI120" s="614"/>
      <c r="CJ120" s="613"/>
      <c r="CK120" s="613"/>
      <c r="CL120" s="613"/>
      <c r="CM120" s="613"/>
      <c r="CN120" s="613"/>
      <c r="CO120" s="613"/>
    </row>
    <row r="121" spans="3:93" s="605" customFormat="1" ht="13.5" customHeight="1" x14ac:dyDescent="0.2">
      <c r="D121" s="609"/>
      <c r="Y121" s="650"/>
      <c r="AB121" s="610"/>
      <c r="AS121" s="611"/>
      <c r="AT121" s="611"/>
      <c r="AU121" s="611"/>
      <c r="AV121" s="611"/>
      <c r="AW121" s="612"/>
      <c r="AX121" s="611"/>
      <c r="BG121" s="613"/>
      <c r="BH121" s="613"/>
      <c r="BI121" s="613"/>
      <c r="BJ121" s="613"/>
      <c r="BK121" s="613"/>
      <c r="BL121" s="613"/>
      <c r="BM121" s="613"/>
      <c r="BN121" s="613"/>
      <c r="BO121" s="613"/>
      <c r="BP121" s="613"/>
      <c r="BQ121" s="613"/>
      <c r="BR121" s="613"/>
      <c r="BS121" s="613"/>
      <c r="BT121" s="613"/>
      <c r="BU121" s="613"/>
      <c r="BV121" s="613"/>
      <c r="BW121" s="613"/>
      <c r="BX121" s="613"/>
      <c r="BY121" s="613"/>
      <c r="BZ121" s="613"/>
      <c r="CA121" s="613"/>
      <c r="CB121" s="613"/>
      <c r="CC121" s="613"/>
      <c r="CD121" s="613"/>
      <c r="CE121" s="613"/>
      <c r="CF121" s="613"/>
      <c r="CG121" s="614"/>
      <c r="CH121" s="614"/>
      <c r="CI121" s="614"/>
      <c r="CJ121" s="613"/>
      <c r="CK121" s="613"/>
      <c r="CL121" s="613"/>
      <c r="CM121" s="613"/>
      <c r="CN121" s="613"/>
      <c r="CO121" s="613"/>
    </row>
    <row r="122" spans="3:93" s="605" customFormat="1" ht="13.5" customHeight="1" x14ac:dyDescent="0.2">
      <c r="D122" s="609"/>
      <c r="Y122" s="650"/>
      <c r="AB122" s="610"/>
      <c r="AS122" s="611"/>
      <c r="AT122" s="611"/>
      <c r="AU122" s="611"/>
      <c r="AV122" s="611"/>
      <c r="AW122" s="612"/>
      <c r="AX122" s="611"/>
      <c r="BG122" s="613"/>
      <c r="BH122" s="613"/>
      <c r="BI122" s="613"/>
      <c r="BJ122" s="613"/>
      <c r="BK122" s="613"/>
      <c r="BL122" s="613"/>
      <c r="BM122" s="613"/>
      <c r="BN122" s="613"/>
      <c r="BO122" s="613"/>
      <c r="BP122" s="613"/>
      <c r="BQ122" s="613"/>
      <c r="BR122" s="613"/>
      <c r="BS122" s="613"/>
      <c r="BT122" s="613"/>
      <c r="BU122" s="613"/>
      <c r="BV122" s="613"/>
      <c r="BW122" s="613"/>
      <c r="BX122" s="613"/>
      <c r="BY122" s="613"/>
      <c r="BZ122" s="613"/>
      <c r="CA122" s="613"/>
      <c r="CB122" s="613"/>
      <c r="CC122" s="613"/>
      <c r="CD122" s="613"/>
      <c r="CE122" s="613"/>
      <c r="CF122" s="613"/>
      <c r="CG122" s="614"/>
      <c r="CH122" s="614"/>
      <c r="CI122" s="614"/>
      <c r="CJ122" s="613"/>
      <c r="CK122" s="613"/>
      <c r="CL122" s="613"/>
      <c r="CM122" s="613"/>
      <c r="CN122" s="613"/>
      <c r="CO122" s="613"/>
    </row>
    <row r="123" spans="3:93" s="605" customFormat="1" ht="13.5" customHeight="1" x14ac:dyDescent="0.2">
      <c r="D123" s="609"/>
      <c r="Y123" s="650"/>
      <c r="AB123" s="610"/>
      <c r="AS123" s="611"/>
      <c r="AT123" s="611"/>
      <c r="AU123" s="611"/>
      <c r="AV123" s="611"/>
      <c r="AW123" s="612"/>
      <c r="AX123" s="611"/>
      <c r="BG123" s="613"/>
      <c r="BH123" s="613"/>
      <c r="BI123" s="613"/>
      <c r="BJ123" s="613"/>
      <c r="BK123" s="613"/>
      <c r="BL123" s="613"/>
      <c r="BM123" s="613"/>
      <c r="BN123" s="613"/>
      <c r="BO123" s="613"/>
      <c r="BP123" s="613"/>
      <c r="BQ123" s="613"/>
      <c r="BR123" s="613"/>
      <c r="BS123" s="613"/>
      <c r="BT123" s="613"/>
      <c r="BU123" s="613"/>
      <c r="BV123" s="613"/>
      <c r="BW123" s="613"/>
      <c r="BX123" s="613"/>
      <c r="BY123" s="613"/>
      <c r="BZ123" s="613"/>
      <c r="CA123" s="613"/>
      <c r="CB123" s="613"/>
      <c r="CC123" s="613"/>
      <c r="CD123" s="613"/>
      <c r="CE123" s="613"/>
      <c r="CF123" s="613"/>
      <c r="CG123" s="614"/>
      <c r="CH123" s="614"/>
      <c r="CI123" s="614"/>
      <c r="CJ123" s="613"/>
      <c r="CK123" s="613"/>
      <c r="CL123" s="613"/>
      <c r="CM123" s="613"/>
      <c r="CN123" s="613"/>
      <c r="CO123" s="613"/>
    </row>
    <row r="124" spans="3:93" s="605" customFormat="1" ht="13.5" customHeight="1" x14ac:dyDescent="0.2">
      <c r="D124" s="609"/>
      <c r="Y124" s="650"/>
      <c r="AB124" s="610"/>
      <c r="AS124" s="611"/>
      <c r="AT124" s="611"/>
      <c r="AU124" s="611"/>
      <c r="AV124" s="611"/>
      <c r="AW124" s="612"/>
      <c r="AX124" s="611"/>
      <c r="BG124" s="613"/>
      <c r="BH124" s="613"/>
      <c r="BI124" s="613"/>
      <c r="BJ124" s="613"/>
      <c r="BK124" s="613"/>
      <c r="BL124" s="613"/>
      <c r="BM124" s="613"/>
      <c r="BN124" s="613"/>
      <c r="BO124" s="613"/>
      <c r="BP124" s="613"/>
      <c r="BQ124" s="613"/>
      <c r="BR124" s="613"/>
      <c r="BS124" s="613"/>
      <c r="BT124" s="613"/>
      <c r="BU124" s="613"/>
      <c r="BV124" s="613"/>
      <c r="BW124" s="613"/>
      <c r="BX124" s="613"/>
      <c r="BY124" s="613"/>
      <c r="BZ124" s="613"/>
      <c r="CA124" s="613"/>
      <c r="CB124" s="613"/>
      <c r="CC124" s="613"/>
      <c r="CD124" s="613"/>
      <c r="CE124" s="613"/>
      <c r="CF124" s="613"/>
      <c r="CG124" s="614"/>
      <c r="CH124" s="614"/>
      <c r="CI124" s="614"/>
      <c r="CJ124" s="613"/>
      <c r="CK124" s="613"/>
      <c r="CL124" s="613"/>
      <c r="CM124" s="613"/>
      <c r="CN124" s="613"/>
      <c r="CO124" s="613"/>
    </row>
    <row r="125" spans="3:93" s="605" customFormat="1" ht="13.5" customHeight="1" x14ac:dyDescent="0.2">
      <c r="D125" s="609"/>
      <c r="Y125" s="650"/>
      <c r="AB125" s="610"/>
      <c r="AS125" s="611"/>
      <c r="AT125" s="611"/>
      <c r="AU125" s="611"/>
      <c r="AV125" s="611"/>
      <c r="AW125" s="612"/>
      <c r="AX125" s="611"/>
      <c r="BG125" s="613"/>
      <c r="BH125" s="613"/>
      <c r="BI125" s="613"/>
      <c r="BJ125" s="613"/>
      <c r="BK125" s="613"/>
      <c r="BL125" s="613"/>
      <c r="BM125" s="613"/>
      <c r="BN125" s="613"/>
      <c r="BO125" s="613"/>
      <c r="BP125" s="613"/>
      <c r="BQ125" s="613"/>
      <c r="BR125" s="613"/>
      <c r="BS125" s="613"/>
      <c r="BT125" s="613"/>
      <c r="BU125" s="613"/>
      <c r="BV125" s="613"/>
      <c r="BW125" s="613"/>
      <c r="BX125" s="613"/>
      <c r="BY125" s="613"/>
      <c r="BZ125" s="613"/>
      <c r="CA125" s="613"/>
      <c r="CB125" s="613"/>
      <c r="CC125" s="613"/>
      <c r="CD125" s="613"/>
      <c r="CE125" s="613"/>
      <c r="CF125" s="613"/>
      <c r="CG125" s="614"/>
      <c r="CH125" s="614"/>
      <c r="CI125" s="614"/>
      <c r="CJ125" s="613"/>
      <c r="CK125" s="613"/>
      <c r="CL125" s="613"/>
      <c r="CM125" s="613"/>
      <c r="CN125" s="613"/>
      <c r="CO125" s="613"/>
    </row>
    <row r="126" spans="3:93" s="605" customFormat="1" ht="13.5" customHeight="1" x14ac:dyDescent="0.2">
      <c r="D126" s="609"/>
      <c r="Y126" s="650"/>
      <c r="AB126" s="610"/>
      <c r="AS126" s="611"/>
      <c r="AT126" s="611"/>
      <c r="AU126" s="611"/>
      <c r="AV126" s="611"/>
      <c r="AW126" s="612"/>
      <c r="AX126" s="611"/>
      <c r="BG126" s="613"/>
      <c r="BH126" s="613"/>
      <c r="BI126" s="613"/>
      <c r="BJ126" s="613"/>
      <c r="BK126" s="613"/>
      <c r="BL126" s="613"/>
      <c r="BM126" s="613"/>
      <c r="BN126" s="613"/>
      <c r="BO126" s="613"/>
      <c r="BP126" s="613"/>
      <c r="BQ126" s="613"/>
      <c r="BR126" s="613"/>
      <c r="BS126" s="613"/>
      <c r="BT126" s="613"/>
      <c r="BU126" s="613"/>
      <c r="BV126" s="613"/>
      <c r="BW126" s="613"/>
      <c r="BX126" s="613"/>
      <c r="BY126" s="613"/>
      <c r="BZ126" s="613"/>
      <c r="CA126" s="613"/>
      <c r="CB126" s="613"/>
      <c r="CC126" s="613"/>
      <c r="CD126" s="613"/>
      <c r="CE126" s="613"/>
      <c r="CF126" s="613"/>
      <c r="CG126" s="614"/>
      <c r="CH126" s="614"/>
      <c r="CI126" s="614"/>
      <c r="CJ126" s="613"/>
      <c r="CK126" s="613"/>
      <c r="CL126" s="613"/>
      <c r="CM126" s="613"/>
      <c r="CN126" s="613"/>
      <c r="CO126" s="613"/>
    </row>
    <row r="127" spans="3:93" s="605" customFormat="1" ht="13.5" customHeight="1" x14ac:dyDescent="0.2">
      <c r="D127" s="609"/>
      <c r="Y127" s="650"/>
      <c r="AB127" s="610"/>
      <c r="AS127" s="611"/>
      <c r="AT127" s="611"/>
      <c r="AU127" s="611"/>
      <c r="AV127" s="611"/>
      <c r="AW127" s="612"/>
      <c r="AX127" s="611"/>
      <c r="BG127" s="613"/>
      <c r="BH127" s="613"/>
      <c r="BI127" s="613"/>
      <c r="BJ127" s="613"/>
      <c r="BK127" s="613"/>
      <c r="BL127" s="613"/>
      <c r="BM127" s="613"/>
      <c r="BN127" s="613"/>
      <c r="BO127" s="613"/>
      <c r="BP127" s="613"/>
      <c r="BQ127" s="613"/>
      <c r="BR127" s="613"/>
      <c r="BS127" s="613"/>
      <c r="BT127" s="613"/>
      <c r="BU127" s="613"/>
      <c r="BV127" s="613"/>
      <c r="BW127" s="613"/>
      <c r="BX127" s="613"/>
      <c r="BY127" s="613"/>
      <c r="BZ127" s="613"/>
      <c r="CA127" s="613"/>
      <c r="CB127" s="613"/>
      <c r="CC127" s="613"/>
      <c r="CD127" s="613"/>
      <c r="CE127" s="613"/>
      <c r="CF127" s="613"/>
      <c r="CG127" s="614"/>
      <c r="CH127" s="614"/>
      <c r="CI127" s="614"/>
      <c r="CJ127" s="613"/>
      <c r="CK127" s="613"/>
      <c r="CL127" s="613"/>
      <c r="CM127" s="613"/>
      <c r="CN127" s="613"/>
      <c r="CO127" s="613"/>
    </row>
    <row r="128" spans="3:93" s="605" customFormat="1" ht="13.5" customHeight="1" x14ac:dyDescent="0.2">
      <c r="D128" s="609"/>
      <c r="Y128" s="650"/>
      <c r="AB128" s="610"/>
      <c r="AS128" s="611"/>
      <c r="AT128" s="611"/>
      <c r="AU128" s="611"/>
      <c r="AV128" s="611"/>
      <c r="AW128" s="612"/>
      <c r="AX128" s="611"/>
      <c r="BG128" s="613"/>
      <c r="BH128" s="613"/>
      <c r="BI128" s="613"/>
      <c r="BJ128" s="613"/>
      <c r="BK128" s="613"/>
      <c r="BL128" s="613"/>
      <c r="BM128" s="613"/>
      <c r="BN128" s="613"/>
      <c r="BO128" s="613"/>
      <c r="BP128" s="613"/>
      <c r="BQ128" s="613"/>
      <c r="BR128" s="613"/>
      <c r="BS128" s="613"/>
      <c r="BT128" s="613"/>
      <c r="BU128" s="613"/>
      <c r="BV128" s="613"/>
      <c r="BW128" s="613"/>
      <c r="BX128" s="613"/>
      <c r="BY128" s="613"/>
      <c r="BZ128" s="613"/>
      <c r="CA128" s="613"/>
      <c r="CB128" s="613"/>
      <c r="CC128" s="613"/>
      <c r="CD128" s="613"/>
      <c r="CE128" s="613"/>
      <c r="CF128" s="613"/>
      <c r="CG128" s="614"/>
      <c r="CH128" s="614"/>
      <c r="CI128" s="614"/>
      <c r="CJ128" s="613"/>
      <c r="CK128" s="613"/>
      <c r="CL128" s="613"/>
      <c r="CM128" s="613"/>
      <c r="CN128" s="613"/>
      <c r="CO128" s="613"/>
    </row>
    <row r="129" spans="4:93" s="605" customFormat="1" ht="13.5" customHeight="1" x14ac:dyDescent="0.2">
      <c r="D129" s="609"/>
      <c r="Y129" s="650"/>
      <c r="AB129" s="610"/>
      <c r="AS129" s="611"/>
      <c r="AT129" s="611"/>
      <c r="AU129" s="611"/>
      <c r="AV129" s="611"/>
      <c r="AW129" s="612"/>
      <c r="AX129" s="611"/>
      <c r="BG129" s="613"/>
      <c r="BH129" s="613"/>
      <c r="BI129" s="613"/>
      <c r="BJ129" s="613"/>
      <c r="BK129" s="613"/>
      <c r="BL129" s="613"/>
      <c r="BM129" s="613"/>
      <c r="BN129" s="613"/>
      <c r="BO129" s="613"/>
      <c r="BP129" s="613"/>
      <c r="BQ129" s="613"/>
      <c r="BR129" s="613"/>
      <c r="BS129" s="613"/>
      <c r="BT129" s="613"/>
      <c r="BU129" s="613"/>
      <c r="BV129" s="613"/>
      <c r="BW129" s="613"/>
      <c r="BX129" s="613"/>
      <c r="BY129" s="613"/>
      <c r="BZ129" s="613"/>
      <c r="CA129" s="613"/>
      <c r="CB129" s="613"/>
      <c r="CC129" s="613"/>
      <c r="CD129" s="613"/>
      <c r="CE129" s="613"/>
      <c r="CF129" s="613"/>
      <c r="CG129" s="614"/>
      <c r="CH129" s="614"/>
      <c r="CI129" s="614"/>
      <c r="CJ129" s="613"/>
      <c r="CK129" s="613"/>
      <c r="CL129" s="613"/>
      <c r="CM129" s="613"/>
      <c r="CN129" s="613"/>
      <c r="CO129" s="613"/>
    </row>
    <row r="130" spans="4:93" s="605" customFormat="1" ht="13.5" customHeight="1" x14ac:dyDescent="0.2">
      <c r="D130" s="609"/>
      <c r="Y130" s="650"/>
      <c r="AB130" s="610"/>
      <c r="AS130" s="611"/>
      <c r="AT130" s="611"/>
      <c r="AU130" s="611"/>
      <c r="AV130" s="611"/>
      <c r="AW130" s="612"/>
      <c r="AX130" s="611"/>
      <c r="BG130" s="613"/>
      <c r="BH130" s="613"/>
      <c r="BI130" s="613"/>
      <c r="BJ130" s="613"/>
      <c r="BK130" s="613"/>
      <c r="BL130" s="613"/>
      <c r="BM130" s="613"/>
      <c r="BN130" s="613"/>
      <c r="BO130" s="613"/>
      <c r="BP130" s="613"/>
      <c r="BQ130" s="613"/>
      <c r="BR130" s="613"/>
      <c r="BS130" s="613"/>
      <c r="BT130" s="613"/>
      <c r="BU130" s="613"/>
      <c r="BV130" s="613"/>
      <c r="BW130" s="613"/>
      <c r="BX130" s="613"/>
      <c r="BY130" s="613"/>
      <c r="BZ130" s="613"/>
      <c r="CA130" s="613"/>
      <c r="CB130" s="613"/>
      <c r="CC130" s="613"/>
      <c r="CD130" s="613"/>
      <c r="CE130" s="613"/>
      <c r="CF130" s="613"/>
      <c r="CG130" s="614"/>
      <c r="CH130" s="614"/>
      <c r="CI130" s="614"/>
      <c r="CJ130" s="613"/>
      <c r="CK130" s="613"/>
      <c r="CL130" s="613"/>
      <c r="CM130" s="613"/>
      <c r="CN130" s="613"/>
      <c r="CO130" s="613"/>
    </row>
    <row r="131" spans="4:93" s="605" customFormat="1" ht="13.5" customHeight="1" x14ac:dyDescent="0.2">
      <c r="D131" s="609"/>
      <c r="Y131" s="650"/>
      <c r="AB131" s="610"/>
      <c r="AS131" s="611"/>
      <c r="AT131" s="611"/>
      <c r="AU131" s="611"/>
      <c r="AV131" s="611"/>
      <c r="AW131" s="612"/>
      <c r="AX131" s="611"/>
      <c r="BG131" s="613"/>
      <c r="BH131" s="613"/>
      <c r="BI131" s="613"/>
      <c r="BJ131" s="613"/>
      <c r="BK131" s="613"/>
      <c r="BL131" s="613"/>
      <c r="BM131" s="613"/>
      <c r="BN131" s="613"/>
      <c r="BO131" s="613"/>
      <c r="BP131" s="613"/>
      <c r="BQ131" s="613"/>
      <c r="BR131" s="613"/>
      <c r="BS131" s="613"/>
      <c r="BT131" s="613"/>
      <c r="BU131" s="613"/>
      <c r="BV131" s="613"/>
      <c r="BW131" s="613"/>
      <c r="BX131" s="613"/>
      <c r="BY131" s="613"/>
      <c r="BZ131" s="613"/>
      <c r="CA131" s="613"/>
      <c r="CB131" s="613"/>
      <c r="CC131" s="613"/>
      <c r="CD131" s="613"/>
      <c r="CE131" s="613"/>
      <c r="CF131" s="613"/>
      <c r="CG131" s="614"/>
      <c r="CH131" s="614"/>
      <c r="CI131" s="614"/>
      <c r="CJ131" s="613"/>
      <c r="CK131" s="613"/>
      <c r="CL131" s="613"/>
      <c r="CM131" s="613"/>
      <c r="CN131" s="613"/>
      <c r="CO131" s="613"/>
    </row>
    <row r="132" spans="4:93" s="605" customFormat="1" ht="13.5" customHeight="1" x14ac:dyDescent="0.2">
      <c r="D132" s="609" t="b">
        <f>'wgl tot'!CG15=DATE(E125+61,E126+6,E127)</f>
        <v>0</v>
      </c>
      <c r="Y132" s="650"/>
      <c r="AB132" s="610"/>
      <c r="AS132" s="611"/>
      <c r="AT132" s="611"/>
      <c r="AU132" s="611"/>
      <c r="AV132" s="611"/>
      <c r="AW132" s="612"/>
      <c r="AX132" s="611"/>
      <c r="BG132" s="613"/>
      <c r="BH132" s="613"/>
      <c r="BI132" s="613"/>
      <c r="BJ132" s="613"/>
      <c r="BK132" s="613"/>
      <c r="BL132" s="613"/>
      <c r="BM132" s="613"/>
      <c r="BN132" s="613"/>
      <c r="BO132" s="613"/>
      <c r="BP132" s="613"/>
      <c r="BQ132" s="613"/>
      <c r="BR132" s="613"/>
      <c r="BS132" s="613"/>
      <c r="BT132" s="613"/>
      <c r="BU132" s="613"/>
      <c r="BV132" s="613"/>
      <c r="BW132" s="613"/>
      <c r="BX132" s="613"/>
      <c r="BY132" s="613"/>
      <c r="BZ132" s="613"/>
      <c r="CA132" s="613"/>
      <c r="CB132" s="613"/>
      <c r="CC132" s="613"/>
      <c r="CD132" s="613"/>
      <c r="CE132" s="613"/>
      <c r="CF132" s="613"/>
      <c r="CG132" s="614"/>
      <c r="CH132" s="614"/>
      <c r="CI132" s="614"/>
      <c r="CJ132" s="613"/>
      <c r="CK132" s="613"/>
      <c r="CL132" s="613"/>
      <c r="CM132" s="613"/>
      <c r="CN132" s="613"/>
      <c r="CO132" s="613"/>
    </row>
    <row r="133" spans="4:93" s="605" customFormat="1" ht="13.5" customHeight="1" x14ac:dyDescent="0.2">
      <c r="D133" s="609"/>
      <c r="Y133" s="650"/>
      <c r="AB133" s="610"/>
      <c r="AS133" s="611"/>
      <c r="AT133" s="611"/>
      <c r="AU133" s="611"/>
      <c r="AV133" s="611"/>
      <c r="AW133" s="612"/>
      <c r="AX133" s="611"/>
      <c r="BG133" s="613"/>
      <c r="BH133" s="613"/>
      <c r="BI133" s="613"/>
      <c r="BJ133" s="613"/>
      <c r="BK133" s="613"/>
      <c r="BL133" s="613"/>
      <c r="BM133" s="613"/>
      <c r="BN133" s="613"/>
      <c r="BO133" s="613"/>
      <c r="BP133" s="613"/>
      <c r="BQ133" s="613"/>
      <c r="BR133" s="613"/>
      <c r="BS133" s="613"/>
      <c r="BT133" s="613"/>
      <c r="BU133" s="613"/>
      <c r="BV133" s="613"/>
      <c r="BW133" s="613"/>
      <c r="BX133" s="613"/>
      <c r="BY133" s="613"/>
      <c r="BZ133" s="613"/>
      <c r="CA133" s="613"/>
      <c r="CB133" s="613"/>
      <c r="CC133" s="613"/>
      <c r="CD133" s="613"/>
      <c r="CE133" s="613"/>
      <c r="CF133" s="613"/>
      <c r="CG133" s="614"/>
      <c r="CH133" s="614"/>
      <c r="CI133" s="614"/>
      <c r="CJ133" s="613"/>
      <c r="CK133" s="613"/>
      <c r="CL133" s="613"/>
      <c r="CM133" s="613"/>
      <c r="CN133" s="613"/>
      <c r="CO133" s="613"/>
    </row>
    <row r="134" spans="4:93" s="605" customFormat="1" ht="13.5" customHeight="1" x14ac:dyDescent="0.2">
      <c r="D134" s="609"/>
      <c r="Y134" s="650"/>
      <c r="AB134" s="610"/>
      <c r="AS134" s="611"/>
      <c r="AT134" s="611"/>
      <c r="AU134" s="611"/>
      <c r="AV134" s="611"/>
      <c r="AW134" s="612"/>
      <c r="AX134" s="611"/>
      <c r="BG134" s="613"/>
      <c r="BH134" s="613"/>
      <c r="BI134" s="613"/>
      <c r="BJ134" s="613"/>
      <c r="BK134" s="613"/>
      <c r="BL134" s="613"/>
      <c r="BM134" s="613"/>
      <c r="BN134" s="613"/>
      <c r="BO134" s="613"/>
      <c r="BP134" s="613"/>
      <c r="BQ134" s="613"/>
      <c r="BR134" s="613"/>
      <c r="BS134" s="613"/>
      <c r="BT134" s="613"/>
      <c r="BU134" s="613"/>
      <c r="BV134" s="613"/>
      <c r="BW134" s="613"/>
      <c r="BX134" s="613"/>
      <c r="BY134" s="613"/>
      <c r="BZ134" s="613"/>
      <c r="CA134" s="613"/>
      <c r="CB134" s="613"/>
      <c r="CC134" s="613"/>
      <c r="CD134" s="613"/>
      <c r="CE134" s="613"/>
      <c r="CF134" s="613"/>
      <c r="CG134" s="614"/>
      <c r="CH134" s="614"/>
      <c r="CI134" s="614"/>
      <c r="CJ134" s="613"/>
      <c r="CK134" s="613"/>
      <c r="CL134" s="613"/>
      <c r="CM134" s="613"/>
      <c r="CN134" s="613"/>
      <c r="CO134" s="613"/>
    </row>
  </sheetData>
  <sheetProtection algorithmName="SHA-512" hashValue="N8dxRld3egwgQdfEBYKujgycz8bF8Vl+hHn4heIb4yRd+SKWIhQUEMurLp4ZNnie44RPvpqwUPZguWdqykLpmA==" saltValue="R61O1UvAxZPvCv2ktOtV5A==" spinCount="100000" sheet="1" objects="1" scenarios="1"/>
  <mergeCells count="3">
    <mergeCell ref="AY9:AZ9"/>
    <mergeCell ref="K9:L9"/>
    <mergeCell ref="F9:G9"/>
  </mergeCells>
  <phoneticPr fontId="0" type="noConversion"/>
  <dataValidations count="6">
    <dataValidation type="list" allowBlank="1" showInputMessage="1" showErrorMessage="1" sqref="BL15:BL69">
      <formula1>"LA,LB,LC,LD"</formula1>
    </dataValidation>
    <dataValidation type="list" allowBlank="1" showInputMessage="1" showErrorMessage="1" sqref="L15:L69 I15:J69">
      <formula1>"j,n"</formula1>
    </dataValidation>
    <dataValidation type="list" allowBlank="1" showInputMessage="1" showErrorMessage="1" sqref="K15:K69">
      <formula1>"leraar,directie,OOP S9"</formula1>
    </dataValidation>
    <dataValidation type="list" allowBlank="1" showInputMessage="1" showErrorMessage="1" sqref="F17:F69">
      <formula1>$C$76:$C$119</formula1>
    </dataValidation>
    <dataValidation type="list" allowBlank="1" showInputMessage="1" showErrorMessage="1" sqref="M15:M69">
      <formula1>"1,2,3,4"</formula1>
    </dataValidation>
    <dataValidation type="list" allowBlank="1" showInputMessage="1" showErrorMessage="1" sqref="F15:F16">
      <formula1>$C$75:$C$118</formula1>
    </dataValidation>
  </dataValidations>
  <pageMargins left="0.70866141732283472" right="0.70866141732283472" top="0.74803149606299213" bottom="0.74803149606299213" header="0.31496062992125984" footer="0.31496062992125984"/>
  <pageSetup paperSize="9" scale="48" orientation="landscape" r:id="rId1"/>
  <colBreaks count="2" manualBreakCount="2">
    <brk id="26" min="1" max="72" man="1"/>
    <brk id="56" min="1" max="6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2"/>
  <sheetViews>
    <sheetView zoomScale="85" zoomScaleNormal="85" workbookViewId="0">
      <selection activeCell="B1" sqref="B1"/>
    </sheetView>
  </sheetViews>
  <sheetFormatPr defaultColWidth="9.140625" defaultRowHeight="12.75" x14ac:dyDescent="0.2"/>
  <cols>
    <col min="1" max="1" width="30.85546875" style="346" customWidth="1"/>
    <col min="2" max="22" width="10.7109375" style="346" customWidth="1"/>
    <col min="23" max="16384" width="9.140625" style="346"/>
  </cols>
  <sheetData>
    <row r="1" spans="1:22" x14ac:dyDescent="0.2">
      <c r="A1" s="346" t="s">
        <v>234</v>
      </c>
      <c r="B1" s="569">
        <v>2015</v>
      </c>
      <c r="C1" s="420" t="s">
        <v>393</v>
      </c>
    </row>
    <row r="2" spans="1:22" x14ac:dyDescent="0.2">
      <c r="A2" s="346" t="s">
        <v>235</v>
      </c>
      <c r="B2" s="448" t="s">
        <v>375</v>
      </c>
    </row>
    <row r="4" spans="1:22" x14ac:dyDescent="0.2">
      <c r="A4" s="347" t="s">
        <v>1</v>
      </c>
      <c r="B4" s="348">
        <v>41883</v>
      </c>
      <c r="C4" s="349"/>
      <c r="D4" s="349"/>
      <c r="E4" s="350"/>
      <c r="F4" s="349"/>
      <c r="J4" s="349"/>
      <c r="K4" s="349"/>
      <c r="L4" s="349"/>
      <c r="M4" s="349"/>
      <c r="N4" s="349"/>
      <c r="O4" s="351"/>
      <c r="P4" s="351"/>
      <c r="Q4" s="351"/>
      <c r="R4" s="351"/>
      <c r="S4" s="351"/>
      <c r="T4" s="351"/>
      <c r="U4" s="351"/>
    </row>
    <row r="5" spans="1:22" x14ac:dyDescent="0.2">
      <c r="A5" s="349" t="s">
        <v>2</v>
      </c>
      <c r="B5" s="352">
        <v>1</v>
      </c>
      <c r="C5" s="352">
        <v>2</v>
      </c>
      <c r="D5" s="352">
        <v>3</v>
      </c>
      <c r="E5" s="352">
        <v>4</v>
      </c>
      <c r="F5" s="352">
        <v>5</v>
      </c>
      <c r="G5" s="352">
        <v>6</v>
      </c>
      <c r="H5" s="352">
        <v>7</v>
      </c>
      <c r="I5" s="352">
        <v>8</v>
      </c>
      <c r="J5" s="352">
        <v>9</v>
      </c>
      <c r="K5" s="352">
        <v>10</v>
      </c>
      <c r="L5" s="352">
        <v>11</v>
      </c>
      <c r="M5" s="352">
        <v>12</v>
      </c>
      <c r="N5" s="352">
        <v>13</v>
      </c>
      <c r="O5" s="352">
        <v>14</v>
      </c>
      <c r="P5" s="352">
        <v>15</v>
      </c>
      <c r="Q5" s="352">
        <v>16</v>
      </c>
      <c r="R5" s="352">
        <v>17</v>
      </c>
      <c r="S5" s="352">
        <v>18</v>
      </c>
      <c r="T5" s="352">
        <v>19</v>
      </c>
      <c r="U5" s="352">
        <v>20</v>
      </c>
      <c r="V5" s="352" t="s">
        <v>27</v>
      </c>
    </row>
    <row r="6" spans="1:22" x14ac:dyDescent="0.2">
      <c r="A6" s="349" t="s">
        <v>90</v>
      </c>
      <c r="B6" s="453">
        <v>2636</v>
      </c>
      <c r="C6" s="453">
        <v>2739</v>
      </c>
      <c r="D6" s="453">
        <v>2845</v>
      </c>
      <c r="E6" s="453">
        <v>2947</v>
      </c>
      <c r="F6" s="453">
        <v>3050</v>
      </c>
      <c r="G6" s="453">
        <v>3155</v>
      </c>
      <c r="H6" s="453">
        <v>3259</v>
      </c>
      <c r="I6" s="453">
        <v>3363</v>
      </c>
      <c r="J6" s="453">
        <v>3465</v>
      </c>
      <c r="K6" s="453">
        <v>3569</v>
      </c>
      <c r="L6" s="453">
        <v>3675</v>
      </c>
      <c r="M6" s="453"/>
      <c r="N6" s="453"/>
      <c r="O6" s="453"/>
      <c r="P6" s="453"/>
      <c r="Q6" s="453"/>
      <c r="R6" s="453"/>
      <c r="S6" s="453"/>
      <c r="T6" s="453"/>
      <c r="U6" s="453"/>
      <c r="V6" s="354">
        <f>COUNTA(B6:U6)</f>
        <v>11</v>
      </c>
    </row>
    <row r="7" spans="1:22" x14ac:dyDescent="0.2">
      <c r="A7" s="349" t="s">
        <v>83</v>
      </c>
      <c r="B7" s="453">
        <v>2636</v>
      </c>
      <c r="C7" s="453">
        <v>2739</v>
      </c>
      <c r="D7" s="453">
        <v>2845</v>
      </c>
      <c r="E7" s="453">
        <v>2947</v>
      </c>
      <c r="F7" s="453">
        <v>3050</v>
      </c>
      <c r="G7" s="453">
        <v>3155</v>
      </c>
      <c r="H7" s="453">
        <v>3259</v>
      </c>
      <c r="I7" s="453">
        <v>3363</v>
      </c>
      <c r="J7" s="453">
        <v>3465</v>
      </c>
      <c r="K7" s="453">
        <v>3569</v>
      </c>
      <c r="L7" s="453">
        <v>3675</v>
      </c>
      <c r="M7" s="453">
        <v>3778</v>
      </c>
      <c r="N7" s="453">
        <v>3883</v>
      </c>
      <c r="O7" s="453"/>
      <c r="P7" s="453"/>
      <c r="Q7" s="453"/>
      <c r="R7" s="453"/>
      <c r="S7" s="453"/>
      <c r="T7" s="453"/>
      <c r="U7" s="453"/>
      <c r="V7" s="354">
        <f t="shared" ref="V7:V51" si="0">COUNTA(B7:U7)</f>
        <v>13</v>
      </c>
    </row>
    <row r="8" spans="1:22" x14ac:dyDescent="0.2">
      <c r="A8" s="349" t="s">
        <v>84</v>
      </c>
      <c r="B8" s="453">
        <v>2739</v>
      </c>
      <c r="C8" s="453">
        <v>2947</v>
      </c>
      <c r="D8" s="453">
        <v>3155</v>
      </c>
      <c r="E8" s="453">
        <v>3259</v>
      </c>
      <c r="F8" s="453">
        <v>3363</v>
      </c>
      <c r="G8" s="453">
        <v>3465</v>
      </c>
      <c r="H8" s="453">
        <v>3569</v>
      </c>
      <c r="I8" s="453">
        <v>3675</v>
      </c>
      <c r="J8" s="453">
        <v>3778</v>
      </c>
      <c r="K8" s="453">
        <v>3883</v>
      </c>
      <c r="L8" s="453">
        <v>3987</v>
      </c>
      <c r="M8" s="453">
        <v>4089</v>
      </c>
      <c r="N8" s="453">
        <v>4194</v>
      </c>
      <c r="O8" s="453">
        <v>4296</v>
      </c>
      <c r="P8" s="453">
        <v>4402</v>
      </c>
      <c r="Q8" s="453"/>
      <c r="R8" s="453"/>
      <c r="S8" s="453"/>
      <c r="T8" s="453"/>
      <c r="U8" s="453"/>
      <c r="V8" s="354">
        <f t="shared" si="0"/>
        <v>15</v>
      </c>
    </row>
    <row r="9" spans="1:22" x14ac:dyDescent="0.2">
      <c r="A9" s="349" t="s">
        <v>85</v>
      </c>
      <c r="B9" s="453">
        <v>2739</v>
      </c>
      <c r="C9" s="453">
        <v>2947</v>
      </c>
      <c r="D9" s="453">
        <v>3155</v>
      </c>
      <c r="E9" s="453">
        <v>3259</v>
      </c>
      <c r="F9" s="453">
        <v>3363</v>
      </c>
      <c r="G9" s="453">
        <v>3465</v>
      </c>
      <c r="H9" s="453">
        <v>3569</v>
      </c>
      <c r="I9" s="453">
        <v>3675</v>
      </c>
      <c r="J9" s="453">
        <v>3778</v>
      </c>
      <c r="K9" s="453">
        <v>3883</v>
      </c>
      <c r="L9" s="453">
        <v>3987</v>
      </c>
      <c r="M9" s="453">
        <v>4089</v>
      </c>
      <c r="N9" s="453">
        <v>4194</v>
      </c>
      <c r="O9" s="453">
        <v>4296</v>
      </c>
      <c r="P9" s="453">
        <v>4402</v>
      </c>
      <c r="Q9" s="453">
        <v>4505</v>
      </c>
      <c r="R9" s="453">
        <v>4610</v>
      </c>
      <c r="S9" s="453"/>
      <c r="T9" s="453"/>
      <c r="U9" s="453"/>
      <c r="V9" s="354">
        <f t="shared" si="0"/>
        <v>17</v>
      </c>
    </row>
    <row r="10" spans="1:22" x14ac:dyDescent="0.2">
      <c r="A10" s="349" t="s">
        <v>86</v>
      </c>
      <c r="B10" s="453">
        <v>2739</v>
      </c>
      <c r="C10" s="453">
        <v>2947</v>
      </c>
      <c r="D10" s="453">
        <v>3155</v>
      </c>
      <c r="E10" s="453">
        <v>3259</v>
      </c>
      <c r="F10" s="453">
        <v>3363</v>
      </c>
      <c r="G10" s="453">
        <v>3465</v>
      </c>
      <c r="H10" s="453">
        <v>3569</v>
      </c>
      <c r="I10" s="453">
        <v>3675</v>
      </c>
      <c r="J10" s="453">
        <v>3778</v>
      </c>
      <c r="K10" s="453">
        <v>3883</v>
      </c>
      <c r="L10" s="453"/>
      <c r="M10" s="453"/>
      <c r="N10" s="453"/>
      <c r="O10" s="453"/>
      <c r="P10" s="453"/>
      <c r="Q10" s="453"/>
      <c r="R10" s="453"/>
      <c r="S10" s="453"/>
      <c r="T10" s="453"/>
      <c r="U10" s="453"/>
      <c r="V10" s="354">
        <f t="shared" si="0"/>
        <v>10</v>
      </c>
    </row>
    <row r="11" spans="1:22" x14ac:dyDescent="0.2">
      <c r="A11" s="349" t="s">
        <v>87</v>
      </c>
      <c r="B11" s="453">
        <v>2739</v>
      </c>
      <c r="C11" s="453">
        <v>2947</v>
      </c>
      <c r="D11" s="453">
        <v>3155</v>
      </c>
      <c r="E11" s="453">
        <v>3259</v>
      </c>
      <c r="F11" s="453">
        <v>3363</v>
      </c>
      <c r="G11" s="453">
        <v>3465</v>
      </c>
      <c r="H11" s="453">
        <v>3569</v>
      </c>
      <c r="I11" s="453">
        <v>3675</v>
      </c>
      <c r="J11" s="453">
        <v>3778</v>
      </c>
      <c r="K11" s="453">
        <v>3883</v>
      </c>
      <c r="L11" s="453">
        <v>3987</v>
      </c>
      <c r="M11" s="453"/>
      <c r="N11" s="453"/>
      <c r="O11" s="453"/>
      <c r="P11" s="453"/>
      <c r="Q11" s="453"/>
      <c r="R11" s="453"/>
      <c r="S11" s="453"/>
      <c r="T11" s="453"/>
      <c r="U11" s="453"/>
      <c r="V11" s="354">
        <f t="shared" si="0"/>
        <v>11</v>
      </c>
    </row>
    <row r="12" spans="1:22" x14ac:dyDescent="0.2">
      <c r="A12" s="349" t="s">
        <v>88</v>
      </c>
      <c r="B12" s="453">
        <v>2845</v>
      </c>
      <c r="C12" s="453">
        <v>3155</v>
      </c>
      <c r="D12" s="453">
        <v>3363</v>
      </c>
      <c r="E12" s="453">
        <v>3569</v>
      </c>
      <c r="F12" s="453">
        <v>3778</v>
      </c>
      <c r="G12" s="453">
        <v>3883</v>
      </c>
      <c r="H12" s="453">
        <v>3987</v>
      </c>
      <c r="I12" s="453">
        <v>4089</v>
      </c>
      <c r="J12" s="453">
        <v>4194</v>
      </c>
      <c r="K12" s="453">
        <v>4296</v>
      </c>
      <c r="L12" s="453">
        <v>4402</v>
      </c>
      <c r="M12" s="453">
        <v>4505</v>
      </c>
      <c r="N12" s="453">
        <v>4610</v>
      </c>
      <c r="O12" s="453"/>
      <c r="P12" s="453"/>
      <c r="Q12" s="453"/>
      <c r="R12" s="453"/>
      <c r="S12" s="453"/>
      <c r="T12" s="453"/>
      <c r="U12" s="453"/>
      <c r="V12" s="354">
        <f t="shared" si="0"/>
        <v>13</v>
      </c>
    </row>
    <row r="13" spans="1:22" x14ac:dyDescent="0.2">
      <c r="A13" s="349" t="s">
        <v>89</v>
      </c>
      <c r="B13" s="453">
        <v>2845</v>
      </c>
      <c r="C13" s="453">
        <v>3155</v>
      </c>
      <c r="D13" s="453">
        <v>3363</v>
      </c>
      <c r="E13" s="453">
        <v>3569</v>
      </c>
      <c r="F13" s="453">
        <v>3778</v>
      </c>
      <c r="G13" s="453">
        <v>3883</v>
      </c>
      <c r="H13" s="453">
        <v>3987</v>
      </c>
      <c r="I13" s="453">
        <v>4089</v>
      </c>
      <c r="J13" s="453">
        <v>4194</v>
      </c>
      <c r="K13" s="453">
        <v>4296</v>
      </c>
      <c r="L13" s="453">
        <v>4402</v>
      </c>
      <c r="M13" s="453">
        <v>4505</v>
      </c>
      <c r="N13" s="453">
        <v>4610</v>
      </c>
      <c r="O13" s="453">
        <v>4712</v>
      </c>
      <c r="P13" s="453">
        <v>4816</v>
      </c>
      <c r="Q13" s="453"/>
      <c r="R13" s="453"/>
      <c r="S13" s="453"/>
      <c r="T13" s="453"/>
      <c r="U13" s="453"/>
      <c r="V13" s="354">
        <f t="shared" si="0"/>
        <v>15</v>
      </c>
    </row>
    <row r="14" spans="1:22" x14ac:dyDescent="0.2">
      <c r="A14" s="355" t="s">
        <v>3</v>
      </c>
      <c r="B14" s="453">
        <v>2636</v>
      </c>
      <c r="C14" s="453">
        <v>2739</v>
      </c>
      <c r="D14" s="453">
        <v>2845</v>
      </c>
      <c r="E14" s="453">
        <v>2947</v>
      </c>
      <c r="F14" s="453">
        <v>3050</v>
      </c>
      <c r="G14" s="453">
        <v>3155</v>
      </c>
      <c r="H14" s="453">
        <v>3259</v>
      </c>
      <c r="I14" s="453">
        <v>3363</v>
      </c>
      <c r="J14" s="453">
        <v>3465</v>
      </c>
      <c r="K14" s="453">
        <v>3569</v>
      </c>
      <c r="L14" s="453">
        <v>3675</v>
      </c>
      <c r="M14" s="453">
        <v>3778</v>
      </c>
      <c r="N14" s="453">
        <v>3883</v>
      </c>
      <c r="O14" s="453"/>
      <c r="P14" s="453"/>
      <c r="Q14" s="453"/>
      <c r="R14" s="453"/>
      <c r="S14" s="453"/>
      <c r="T14" s="453"/>
      <c r="U14" s="453"/>
      <c r="V14" s="354">
        <f t="shared" si="0"/>
        <v>13</v>
      </c>
    </row>
    <row r="15" spans="1:22" x14ac:dyDescent="0.2">
      <c r="A15" s="355" t="s">
        <v>4</v>
      </c>
      <c r="B15" s="453">
        <v>2739</v>
      </c>
      <c r="C15" s="453">
        <v>2947</v>
      </c>
      <c r="D15" s="453">
        <v>3155</v>
      </c>
      <c r="E15" s="453">
        <v>3259</v>
      </c>
      <c r="F15" s="453">
        <v>3363</v>
      </c>
      <c r="G15" s="453">
        <v>3465</v>
      </c>
      <c r="H15" s="453">
        <v>3569</v>
      </c>
      <c r="I15" s="453">
        <v>3675</v>
      </c>
      <c r="J15" s="453">
        <v>3778</v>
      </c>
      <c r="K15" s="453">
        <v>3883</v>
      </c>
      <c r="L15" s="453">
        <v>3987</v>
      </c>
      <c r="M15" s="453">
        <v>4089</v>
      </c>
      <c r="N15" s="453">
        <v>4194</v>
      </c>
      <c r="O15" s="453">
        <v>4296</v>
      </c>
      <c r="P15" s="453">
        <v>4402</v>
      </c>
      <c r="Q15" s="453"/>
      <c r="R15" s="453"/>
      <c r="S15" s="453"/>
      <c r="T15" s="453"/>
      <c r="U15" s="453"/>
      <c r="V15" s="354">
        <f t="shared" si="0"/>
        <v>15</v>
      </c>
    </row>
    <row r="16" spans="1:22" x14ac:dyDescent="0.2">
      <c r="A16" s="355" t="s">
        <v>5</v>
      </c>
      <c r="B16" s="453">
        <v>2739</v>
      </c>
      <c r="C16" s="453">
        <v>2947</v>
      </c>
      <c r="D16" s="453">
        <v>3155</v>
      </c>
      <c r="E16" s="453">
        <v>3259</v>
      </c>
      <c r="F16" s="453">
        <v>3363</v>
      </c>
      <c r="G16" s="453">
        <v>3465</v>
      </c>
      <c r="H16" s="453">
        <v>3569</v>
      </c>
      <c r="I16" s="453">
        <v>3675</v>
      </c>
      <c r="J16" s="453">
        <v>3778</v>
      </c>
      <c r="K16" s="453">
        <v>3883</v>
      </c>
      <c r="L16" s="453">
        <v>3987</v>
      </c>
      <c r="M16" s="453">
        <v>4089</v>
      </c>
      <c r="N16" s="453">
        <v>4194</v>
      </c>
      <c r="O16" s="453">
        <v>4296</v>
      </c>
      <c r="P16" s="453">
        <v>4402</v>
      </c>
      <c r="Q16" s="453">
        <v>4505</v>
      </c>
      <c r="R16" s="453">
        <v>4610</v>
      </c>
      <c r="S16" s="453"/>
      <c r="T16" s="453"/>
      <c r="U16" s="453"/>
      <c r="V16" s="354">
        <f t="shared" si="0"/>
        <v>17</v>
      </c>
    </row>
    <row r="17" spans="1:22" x14ac:dyDescent="0.2">
      <c r="A17" s="355" t="s">
        <v>6</v>
      </c>
      <c r="B17" s="453">
        <v>2845</v>
      </c>
      <c r="C17" s="453">
        <v>3155</v>
      </c>
      <c r="D17" s="453">
        <v>3363</v>
      </c>
      <c r="E17" s="453">
        <v>3569</v>
      </c>
      <c r="F17" s="453">
        <v>3778</v>
      </c>
      <c r="G17" s="453">
        <v>3883</v>
      </c>
      <c r="H17" s="453">
        <v>3987</v>
      </c>
      <c r="I17" s="453">
        <v>4089</v>
      </c>
      <c r="J17" s="453">
        <v>4194</v>
      </c>
      <c r="K17" s="453">
        <v>4296</v>
      </c>
      <c r="L17" s="453">
        <v>4402</v>
      </c>
      <c r="M17" s="453">
        <v>4505</v>
      </c>
      <c r="N17" s="453">
        <v>4610</v>
      </c>
      <c r="O17" s="453">
        <v>4712</v>
      </c>
      <c r="P17" s="453">
        <v>4816</v>
      </c>
      <c r="Q17" s="453">
        <v>4921</v>
      </c>
      <c r="R17" s="453">
        <v>0</v>
      </c>
      <c r="S17" s="453"/>
      <c r="T17" s="453"/>
      <c r="U17" s="453"/>
      <c r="V17" s="354">
        <f t="shared" si="0"/>
        <v>17</v>
      </c>
    </row>
    <row r="18" spans="1:22" x14ac:dyDescent="0.2">
      <c r="A18" s="355" t="s">
        <v>7</v>
      </c>
      <c r="B18" s="453">
        <v>2845</v>
      </c>
      <c r="C18" s="453">
        <v>3155</v>
      </c>
      <c r="D18" s="453">
        <v>3363</v>
      </c>
      <c r="E18" s="453">
        <v>3569</v>
      </c>
      <c r="F18" s="453">
        <v>3778</v>
      </c>
      <c r="G18" s="453">
        <v>3883</v>
      </c>
      <c r="H18" s="453">
        <v>3987</v>
      </c>
      <c r="I18" s="453">
        <v>4089</v>
      </c>
      <c r="J18" s="453">
        <v>4194</v>
      </c>
      <c r="K18" s="453">
        <v>4296</v>
      </c>
      <c r="L18" s="453">
        <v>4402</v>
      </c>
      <c r="M18" s="453">
        <v>4505</v>
      </c>
      <c r="N18" s="453">
        <v>4610</v>
      </c>
      <c r="O18" s="453">
        <v>4712</v>
      </c>
      <c r="P18" s="453">
        <v>4816</v>
      </c>
      <c r="Q18" s="453">
        <v>4921</v>
      </c>
      <c r="R18" s="453">
        <v>5025</v>
      </c>
      <c r="S18" s="453">
        <v>5128</v>
      </c>
      <c r="T18" s="453"/>
      <c r="U18" s="453"/>
      <c r="V18" s="354">
        <f t="shared" si="0"/>
        <v>18</v>
      </c>
    </row>
    <row r="19" spans="1:22" x14ac:dyDescent="0.2">
      <c r="A19" s="355" t="s">
        <v>8</v>
      </c>
      <c r="B19" s="453">
        <v>2888</v>
      </c>
      <c r="C19" s="453">
        <v>3104</v>
      </c>
      <c r="D19" s="453">
        <v>3324</v>
      </c>
      <c r="E19" s="453">
        <v>3536</v>
      </c>
      <c r="F19" s="453">
        <v>3770</v>
      </c>
      <c r="G19" s="453">
        <v>3883</v>
      </c>
      <c r="H19" s="453">
        <v>3991</v>
      </c>
      <c r="I19" s="453">
        <v>4102</v>
      </c>
      <c r="J19" s="453">
        <v>4207</v>
      </c>
      <c r="K19" s="453">
        <v>4320</v>
      </c>
      <c r="L19" s="453">
        <v>4430</v>
      </c>
      <c r="M19" s="453">
        <v>4536</v>
      </c>
      <c r="N19" s="453">
        <v>4645</v>
      </c>
      <c r="O19" s="453">
        <v>4783</v>
      </c>
      <c r="P19" s="453">
        <v>4920</v>
      </c>
      <c r="Q19" s="453">
        <v>5057</v>
      </c>
      <c r="R19" s="453">
        <v>5195</v>
      </c>
      <c r="S19" s="453">
        <v>5260</v>
      </c>
      <c r="T19" s="453"/>
      <c r="U19" s="453"/>
      <c r="V19" s="354">
        <f t="shared" si="0"/>
        <v>18</v>
      </c>
    </row>
    <row r="20" spans="1:22" x14ac:dyDescent="0.2">
      <c r="A20" s="355" t="s">
        <v>9</v>
      </c>
      <c r="B20" s="453">
        <v>2997</v>
      </c>
      <c r="C20" s="453">
        <v>3220</v>
      </c>
      <c r="D20" s="453">
        <v>3431</v>
      </c>
      <c r="E20" s="453">
        <v>3652</v>
      </c>
      <c r="F20" s="453">
        <v>3883</v>
      </c>
      <c r="G20" s="453">
        <v>4102</v>
      </c>
      <c r="H20" s="453">
        <v>4320</v>
      </c>
      <c r="I20" s="453">
        <v>4430</v>
      </c>
      <c r="J20" s="453">
        <v>4536</v>
      </c>
      <c r="K20" s="453">
        <v>4645</v>
      </c>
      <c r="L20" s="453">
        <v>4783</v>
      </c>
      <c r="M20" s="453">
        <v>4920</v>
      </c>
      <c r="N20" s="453">
        <v>5057</v>
      </c>
      <c r="O20" s="453">
        <v>5195</v>
      </c>
      <c r="P20" s="453">
        <v>5333</v>
      </c>
      <c r="Q20" s="453">
        <v>5479</v>
      </c>
      <c r="R20" s="453">
        <v>5628</v>
      </c>
      <c r="S20" s="453">
        <v>5782</v>
      </c>
      <c r="T20" s="453"/>
      <c r="U20" s="453"/>
      <c r="V20" s="354">
        <f t="shared" si="0"/>
        <v>18</v>
      </c>
    </row>
    <row r="21" spans="1:22" x14ac:dyDescent="0.2">
      <c r="A21" s="355" t="s">
        <v>10</v>
      </c>
      <c r="B21" s="453">
        <v>2360</v>
      </c>
      <c r="C21" s="453">
        <v>2468</v>
      </c>
      <c r="D21" s="453">
        <v>2580</v>
      </c>
      <c r="E21" s="453">
        <v>2698</v>
      </c>
      <c r="F21" s="453">
        <v>2831</v>
      </c>
      <c r="G21" s="453">
        <v>2943</v>
      </c>
      <c r="H21" s="453">
        <v>3058</v>
      </c>
      <c r="I21" s="453">
        <v>3167</v>
      </c>
      <c r="J21" s="453">
        <v>3274</v>
      </c>
      <c r="K21" s="453">
        <v>3393</v>
      </c>
      <c r="L21" s="453">
        <v>3497</v>
      </c>
      <c r="M21" s="453"/>
      <c r="N21" s="453"/>
      <c r="O21" s="453"/>
      <c r="P21" s="453"/>
      <c r="Q21" s="453"/>
      <c r="R21" s="453"/>
      <c r="S21" s="453"/>
      <c r="T21" s="453"/>
      <c r="U21" s="453"/>
      <c r="V21" s="354">
        <f t="shared" si="0"/>
        <v>11</v>
      </c>
    </row>
    <row r="22" spans="1:22" x14ac:dyDescent="0.2">
      <c r="A22" s="355" t="s">
        <v>11</v>
      </c>
      <c r="B22" s="453">
        <v>2414</v>
      </c>
      <c r="C22" s="453">
        <v>2523</v>
      </c>
      <c r="D22" s="453">
        <v>2642</v>
      </c>
      <c r="E22" s="453">
        <v>2774</v>
      </c>
      <c r="F22" s="453">
        <v>2886</v>
      </c>
      <c r="G22" s="453">
        <v>3002</v>
      </c>
      <c r="H22" s="453">
        <v>3109</v>
      </c>
      <c r="I22" s="453">
        <v>3217</v>
      </c>
      <c r="J22" s="453">
        <v>3334</v>
      </c>
      <c r="K22" s="453">
        <v>3441</v>
      </c>
      <c r="L22" s="453">
        <v>3545</v>
      </c>
      <c r="M22" s="453">
        <v>3651</v>
      </c>
      <c r="N22" s="453">
        <v>3831</v>
      </c>
      <c r="O22" s="453"/>
      <c r="P22" s="453"/>
      <c r="Q22" s="453"/>
      <c r="R22" s="453"/>
      <c r="S22" s="453"/>
      <c r="T22" s="453"/>
      <c r="U22" s="453"/>
      <c r="V22" s="354">
        <f t="shared" si="0"/>
        <v>13</v>
      </c>
    </row>
    <row r="23" spans="1:22" x14ac:dyDescent="0.2">
      <c r="A23" s="355" t="s">
        <v>12</v>
      </c>
      <c r="B23" s="453">
        <v>2465</v>
      </c>
      <c r="C23" s="453">
        <v>2587</v>
      </c>
      <c r="D23" s="453">
        <v>2715</v>
      </c>
      <c r="E23" s="453">
        <v>2831</v>
      </c>
      <c r="F23" s="453">
        <v>2944</v>
      </c>
      <c r="G23" s="453">
        <v>3054</v>
      </c>
      <c r="H23" s="453">
        <v>3160</v>
      </c>
      <c r="I23" s="453">
        <v>3279</v>
      </c>
      <c r="J23" s="453">
        <v>3384</v>
      </c>
      <c r="K23" s="453">
        <v>3490</v>
      </c>
      <c r="L23" s="453">
        <v>3597</v>
      </c>
      <c r="M23" s="453">
        <v>3713</v>
      </c>
      <c r="N23" s="453">
        <v>3831</v>
      </c>
      <c r="O23" s="453">
        <v>3944</v>
      </c>
      <c r="P23" s="453">
        <v>4054</v>
      </c>
      <c r="Q23" s="453">
        <v>4163</v>
      </c>
      <c r="R23" s="453">
        <v>4271</v>
      </c>
      <c r="S23" s="453">
        <v>4326</v>
      </c>
      <c r="T23" s="453"/>
      <c r="U23" s="453"/>
      <c r="V23" s="354">
        <f t="shared" si="0"/>
        <v>18</v>
      </c>
    </row>
    <row r="24" spans="1:22" x14ac:dyDescent="0.2">
      <c r="A24" s="355" t="s">
        <v>13</v>
      </c>
      <c r="B24" s="453">
        <v>2587</v>
      </c>
      <c r="C24" s="453">
        <v>2715</v>
      </c>
      <c r="D24" s="453">
        <v>2944</v>
      </c>
      <c r="E24" s="453">
        <v>3160</v>
      </c>
      <c r="F24" s="453">
        <v>3279</v>
      </c>
      <c r="G24" s="453">
        <v>3384</v>
      </c>
      <c r="H24" s="453">
        <v>3490</v>
      </c>
      <c r="I24" s="453">
        <v>3597</v>
      </c>
      <c r="J24" s="453">
        <v>3713</v>
      </c>
      <c r="K24" s="453">
        <v>3831</v>
      </c>
      <c r="L24" s="453">
        <v>3944</v>
      </c>
      <c r="M24" s="453">
        <v>4054</v>
      </c>
      <c r="N24" s="453">
        <v>4163</v>
      </c>
      <c r="O24" s="453">
        <v>4271</v>
      </c>
      <c r="P24" s="453">
        <v>4383</v>
      </c>
      <c r="Q24" s="453">
        <v>4494</v>
      </c>
      <c r="R24" s="453">
        <v>4600</v>
      </c>
      <c r="S24" s="453">
        <v>4711</v>
      </c>
      <c r="T24" s="453">
        <v>4850</v>
      </c>
      <c r="U24" s="453">
        <v>4917</v>
      </c>
      <c r="V24" s="354">
        <f t="shared" si="0"/>
        <v>20</v>
      </c>
    </row>
    <row r="25" spans="1:22" x14ac:dyDescent="0.2">
      <c r="A25" s="355" t="s">
        <v>14</v>
      </c>
      <c r="B25" s="453">
        <v>2715</v>
      </c>
      <c r="C25" s="453">
        <v>2944</v>
      </c>
      <c r="D25" s="453">
        <v>3160</v>
      </c>
      <c r="E25" s="453">
        <v>3384</v>
      </c>
      <c r="F25" s="453">
        <v>3597</v>
      </c>
      <c r="G25" s="453">
        <v>2647</v>
      </c>
      <c r="H25" s="453">
        <v>3944</v>
      </c>
      <c r="I25" s="453">
        <v>4054</v>
      </c>
      <c r="J25" s="453">
        <v>4163</v>
      </c>
      <c r="K25" s="453">
        <v>4271</v>
      </c>
      <c r="L25" s="453">
        <v>4383</v>
      </c>
      <c r="M25" s="453">
        <v>4494</v>
      </c>
      <c r="N25" s="453">
        <v>4600</v>
      </c>
      <c r="O25" s="453">
        <v>4711</v>
      </c>
      <c r="P25" s="453">
        <v>4850</v>
      </c>
      <c r="Q25" s="453">
        <v>4986</v>
      </c>
      <c r="R25" s="453">
        <v>5125</v>
      </c>
      <c r="S25" s="453">
        <v>5263</v>
      </c>
      <c r="T25" s="453">
        <v>5329</v>
      </c>
      <c r="U25" s="453"/>
      <c r="V25" s="354">
        <f t="shared" si="0"/>
        <v>19</v>
      </c>
    </row>
    <row r="26" spans="1:22" x14ac:dyDescent="0.2">
      <c r="A26" s="355" t="s">
        <v>0</v>
      </c>
      <c r="B26" s="453">
        <v>2317</v>
      </c>
      <c r="C26" s="453">
        <v>2364</v>
      </c>
      <c r="D26" s="453">
        <v>2416</v>
      </c>
      <c r="E26" s="453">
        <v>2467</v>
      </c>
      <c r="F26" s="453">
        <v>2519</v>
      </c>
      <c r="G26" s="453">
        <v>2579</v>
      </c>
      <c r="H26" s="453">
        <v>2641</v>
      </c>
      <c r="I26" s="453">
        <v>2709</v>
      </c>
      <c r="J26" s="453">
        <v>2785</v>
      </c>
      <c r="K26" s="453">
        <v>2863</v>
      </c>
      <c r="L26" s="453">
        <v>2949</v>
      </c>
      <c r="M26" s="453">
        <v>3039</v>
      </c>
      <c r="N26" s="453">
        <v>3136</v>
      </c>
      <c r="O26" s="453">
        <v>3236</v>
      </c>
      <c r="P26" s="453">
        <v>3313</v>
      </c>
      <c r="Q26" s="453"/>
      <c r="R26" s="453"/>
      <c r="S26" s="453"/>
      <c r="T26" s="453"/>
      <c r="U26" s="453"/>
      <c r="V26" s="354">
        <f t="shared" si="0"/>
        <v>15</v>
      </c>
    </row>
    <row r="27" spans="1:22" x14ac:dyDescent="0.2">
      <c r="A27" s="355" t="s">
        <v>15</v>
      </c>
      <c r="B27" s="453">
        <v>2402</v>
      </c>
      <c r="C27" s="453">
        <v>2460</v>
      </c>
      <c r="D27" s="453">
        <v>2526</v>
      </c>
      <c r="E27" s="453">
        <v>2590</v>
      </c>
      <c r="F27" s="453">
        <v>2653</v>
      </c>
      <c r="G27" s="453">
        <v>2726</v>
      </c>
      <c r="H27" s="453">
        <v>2804</v>
      </c>
      <c r="I27" s="453">
        <v>2889</v>
      </c>
      <c r="J27" s="453">
        <v>2988</v>
      </c>
      <c r="K27" s="453">
        <v>3089</v>
      </c>
      <c r="L27" s="453">
        <v>3197</v>
      </c>
      <c r="M27" s="453">
        <v>3308</v>
      </c>
      <c r="N27" s="453">
        <v>3425</v>
      </c>
      <c r="O27" s="453">
        <v>3546</v>
      </c>
      <c r="P27" s="453">
        <v>3640</v>
      </c>
      <c r="Q27" s="453"/>
      <c r="R27" s="453"/>
      <c r="S27" s="453"/>
      <c r="T27" s="453"/>
      <c r="U27" s="453"/>
      <c r="V27" s="354">
        <f t="shared" si="0"/>
        <v>15</v>
      </c>
    </row>
    <row r="28" spans="1:22" x14ac:dyDescent="0.2">
      <c r="A28" s="355" t="s">
        <v>16</v>
      </c>
      <c r="B28" s="453">
        <v>2416</v>
      </c>
      <c r="C28" s="453">
        <v>2533</v>
      </c>
      <c r="D28" s="453">
        <v>2652</v>
      </c>
      <c r="E28" s="453">
        <v>2774</v>
      </c>
      <c r="F28" s="453">
        <v>2893</v>
      </c>
      <c r="G28" s="453">
        <v>3017</v>
      </c>
      <c r="H28" s="453">
        <v>3143</v>
      </c>
      <c r="I28" s="453">
        <v>3273</v>
      </c>
      <c r="J28" s="453">
        <v>3408</v>
      </c>
      <c r="K28" s="453">
        <v>3547</v>
      </c>
      <c r="L28" s="453">
        <v>3686</v>
      </c>
      <c r="M28" s="453">
        <v>3831</v>
      </c>
      <c r="N28" s="453">
        <v>3980</v>
      </c>
      <c r="O28" s="453">
        <v>4131</v>
      </c>
      <c r="P28" s="453">
        <v>4247</v>
      </c>
      <c r="Q28" s="453"/>
      <c r="R28" s="453"/>
      <c r="S28" s="453"/>
      <c r="T28" s="453"/>
      <c r="U28" s="453"/>
      <c r="V28" s="354">
        <f t="shared" si="0"/>
        <v>15</v>
      </c>
    </row>
    <row r="29" spans="1:22" x14ac:dyDescent="0.2">
      <c r="A29" s="355" t="s">
        <v>17</v>
      </c>
      <c r="B29" s="449">
        <v>2425</v>
      </c>
      <c r="C29" s="449">
        <v>2570</v>
      </c>
      <c r="D29" s="449">
        <v>2720</v>
      </c>
      <c r="E29" s="449">
        <v>2872</v>
      </c>
      <c r="F29" s="449">
        <v>3024</v>
      </c>
      <c r="G29" s="449">
        <v>3183</v>
      </c>
      <c r="H29" s="449">
        <v>3348</v>
      </c>
      <c r="I29" s="449">
        <v>3515</v>
      </c>
      <c r="J29" s="449">
        <v>3691</v>
      </c>
      <c r="K29" s="449">
        <v>3874</v>
      </c>
      <c r="L29" s="449">
        <v>4062</v>
      </c>
      <c r="M29" s="449">
        <v>4256</v>
      </c>
      <c r="N29" s="449">
        <v>4458</v>
      </c>
      <c r="O29" s="449">
        <v>4664</v>
      </c>
      <c r="P29" s="449">
        <v>4832</v>
      </c>
      <c r="Q29" s="449"/>
      <c r="R29" s="449"/>
      <c r="S29" s="449"/>
      <c r="T29" s="449"/>
      <c r="U29" s="449"/>
      <c r="V29" s="354">
        <f t="shared" si="0"/>
        <v>15</v>
      </c>
    </row>
    <row r="30" spans="1:22" x14ac:dyDescent="0.2">
      <c r="A30" s="355" t="s">
        <v>18</v>
      </c>
      <c r="B30" s="453">
        <v>3120</v>
      </c>
      <c r="C30" s="453">
        <v>3238</v>
      </c>
      <c r="D30" s="453">
        <v>3344</v>
      </c>
      <c r="E30" s="453">
        <v>3556</v>
      </c>
      <c r="F30" s="453">
        <v>3791</v>
      </c>
      <c r="G30" s="453">
        <v>3939</v>
      </c>
      <c r="H30" s="453">
        <v>4088</v>
      </c>
      <c r="I30" s="453">
        <v>4238</v>
      </c>
      <c r="J30" s="453">
        <v>4388</v>
      </c>
      <c r="K30" s="453">
        <v>4537</v>
      </c>
      <c r="L30" s="453">
        <v>4688</v>
      </c>
      <c r="M30" s="453">
        <v>4838</v>
      </c>
      <c r="N30" s="453">
        <v>4989</v>
      </c>
      <c r="O30" s="453">
        <v>5138</v>
      </c>
      <c r="P30" s="453">
        <v>5240</v>
      </c>
      <c r="Q30" s="453"/>
      <c r="R30" s="453"/>
      <c r="S30" s="453"/>
      <c r="T30" s="453"/>
      <c r="U30" s="453"/>
      <c r="V30" s="354">
        <f t="shared" si="0"/>
        <v>15</v>
      </c>
    </row>
    <row r="31" spans="1:22" x14ac:dyDescent="0.2">
      <c r="A31" s="349">
        <v>1</v>
      </c>
      <c r="B31" s="453">
        <v>1501.8</v>
      </c>
      <c r="C31" s="453">
        <v>1501.8</v>
      </c>
      <c r="D31" s="453">
        <v>1556</v>
      </c>
      <c r="E31" s="453">
        <v>1585</v>
      </c>
      <c r="F31" s="453">
        <v>1617</v>
      </c>
      <c r="G31" s="453">
        <v>1651</v>
      </c>
      <c r="H31" s="453">
        <v>1694</v>
      </c>
      <c r="I31" s="453"/>
      <c r="J31" s="453"/>
      <c r="K31" s="453"/>
      <c r="L31" s="453"/>
      <c r="M31" s="453"/>
      <c r="N31" s="453"/>
      <c r="O31" s="453"/>
      <c r="P31" s="453"/>
      <c r="Q31" s="453"/>
      <c r="R31" s="453"/>
      <c r="S31" s="453"/>
      <c r="T31" s="453"/>
      <c r="U31" s="453"/>
      <c r="V31" s="354">
        <f t="shared" si="0"/>
        <v>7</v>
      </c>
    </row>
    <row r="32" spans="1:22" x14ac:dyDescent="0.2">
      <c r="A32" s="349">
        <v>2</v>
      </c>
      <c r="B32" s="453">
        <v>1501.8</v>
      </c>
      <c r="C32" s="453">
        <v>1526</v>
      </c>
      <c r="D32" s="453">
        <v>1585</v>
      </c>
      <c r="E32" s="453">
        <v>1651</v>
      </c>
      <c r="F32" s="453">
        <v>1694</v>
      </c>
      <c r="G32" s="453">
        <v>1744</v>
      </c>
      <c r="H32" s="453">
        <v>1804</v>
      </c>
      <c r="I32" s="453">
        <v>1862</v>
      </c>
      <c r="J32" s="453"/>
      <c r="K32" s="453"/>
      <c r="L32" s="453"/>
      <c r="M32" s="453"/>
      <c r="N32" s="453"/>
      <c r="O32" s="453"/>
      <c r="P32" s="453"/>
      <c r="Q32" s="453"/>
      <c r="R32" s="453"/>
      <c r="S32" s="453"/>
      <c r="T32" s="453"/>
      <c r="U32" s="453"/>
      <c r="V32" s="354">
        <f t="shared" si="0"/>
        <v>8</v>
      </c>
    </row>
    <row r="33" spans="1:22" x14ac:dyDescent="0.2">
      <c r="A33" s="349">
        <v>3</v>
      </c>
      <c r="B33" s="453">
        <v>1501.8</v>
      </c>
      <c r="C33" s="453">
        <v>1585</v>
      </c>
      <c r="D33" s="453">
        <v>1651</v>
      </c>
      <c r="E33" s="453">
        <v>1744</v>
      </c>
      <c r="F33" s="453">
        <v>1804</v>
      </c>
      <c r="G33" s="453">
        <v>1862</v>
      </c>
      <c r="H33" s="453">
        <v>1919</v>
      </c>
      <c r="I33" s="453">
        <v>1973</v>
      </c>
      <c r="J33" s="453">
        <v>2028</v>
      </c>
      <c r="K33" s="453"/>
      <c r="L33" s="453"/>
      <c r="M33" s="453"/>
      <c r="N33" s="453"/>
      <c r="O33" s="453"/>
      <c r="P33" s="453"/>
      <c r="Q33" s="453"/>
      <c r="R33" s="453"/>
      <c r="S33" s="453"/>
      <c r="T33" s="453"/>
      <c r="U33" s="453"/>
      <c r="V33" s="354">
        <f t="shared" si="0"/>
        <v>9</v>
      </c>
    </row>
    <row r="34" spans="1:22" x14ac:dyDescent="0.2">
      <c r="A34" s="349">
        <v>4</v>
      </c>
      <c r="B34" s="453">
        <v>1501.8</v>
      </c>
      <c r="C34" s="453">
        <v>1556</v>
      </c>
      <c r="D34" s="453">
        <v>1617</v>
      </c>
      <c r="E34" s="453">
        <v>1694</v>
      </c>
      <c r="F34" s="453">
        <v>1804</v>
      </c>
      <c r="G34" s="453">
        <v>1862</v>
      </c>
      <c r="H34" s="453">
        <v>1919</v>
      </c>
      <c r="I34" s="453">
        <v>1973</v>
      </c>
      <c r="J34" s="453">
        <v>2028</v>
      </c>
      <c r="K34" s="453">
        <v>2081</v>
      </c>
      <c r="L34" s="453">
        <v>2133</v>
      </c>
      <c r="M34" s="453"/>
      <c r="N34" s="453"/>
      <c r="O34" s="453"/>
      <c r="P34" s="453"/>
      <c r="Q34" s="453"/>
      <c r="R34" s="453"/>
      <c r="S34" s="453"/>
      <c r="T34" s="453"/>
      <c r="U34" s="453"/>
      <c r="V34" s="354">
        <f t="shared" si="0"/>
        <v>11</v>
      </c>
    </row>
    <row r="35" spans="1:22" x14ac:dyDescent="0.2">
      <c r="A35" s="349">
        <v>5</v>
      </c>
      <c r="B35" s="453">
        <v>1526</v>
      </c>
      <c r="C35" s="453">
        <v>1556</v>
      </c>
      <c r="D35" s="453">
        <v>1651</v>
      </c>
      <c r="E35" s="453">
        <v>1744</v>
      </c>
      <c r="F35" s="453">
        <v>1862</v>
      </c>
      <c r="G35" s="453">
        <v>1919</v>
      </c>
      <c r="H35" s="453">
        <v>1973</v>
      </c>
      <c r="I35" s="453">
        <v>2028</v>
      </c>
      <c r="J35" s="453">
        <v>2081</v>
      </c>
      <c r="K35" s="453">
        <v>2133</v>
      </c>
      <c r="L35" s="453">
        <v>2184</v>
      </c>
      <c r="M35" s="453">
        <v>2243</v>
      </c>
      <c r="N35" s="453"/>
      <c r="O35" s="453"/>
      <c r="P35" s="453"/>
      <c r="Q35" s="453"/>
      <c r="R35" s="453"/>
      <c r="S35" s="453"/>
      <c r="T35" s="453"/>
      <c r="U35" s="453"/>
      <c r="V35" s="354">
        <f t="shared" si="0"/>
        <v>12</v>
      </c>
    </row>
    <row r="36" spans="1:22" x14ac:dyDescent="0.2">
      <c r="A36" s="349">
        <v>6</v>
      </c>
      <c r="B36" s="453">
        <v>1585</v>
      </c>
      <c r="C36" s="453">
        <v>1651</v>
      </c>
      <c r="D36" s="453">
        <v>1862</v>
      </c>
      <c r="E36" s="453">
        <v>1973</v>
      </c>
      <c r="F36" s="453">
        <v>2028</v>
      </c>
      <c r="G36" s="453">
        <v>2081</v>
      </c>
      <c r="H36" s="453">
        <v>2133</v>
      </c>
      <c r="I36" s="453">
        <v>2184</v>
      </c>
      <c r="J36" s="453">
        <v>2243</v>
      </c>
      <c r="K36" s="453">
        <v>2297</v>
      </c>
      <c r="L36" s="453">
        <v>2350</v>
      </c>
      <c r="M36" s="453"/>
      <c r="N36" s="453"/>
      <c r="O36" s="453"/>
      <c r="P36" s="453"/>
      <c r="Q36" s="453"/>
      <c r="R36" s="453"/>
      <c r="S36" s="453"/>
      <c r="T36" s="453"/>
      <c r="U36" s="453"/>
      <c r="V36" s="354">
        <f t="shared" si="0"/>
        <v>11</v>
      </c>
    </row>
    <row r="37" spans="1:22" x14ac:dyDescent="0.2">
      <c r="A37" s="349">
        <v>7</v>
      </c>
      <c r="B37" s="453">
        <v>1694</v>
      </c>
      <c r="C37" s="453">
        <v>1744</v>
      </c>
      <c r="D37" s="453">
        <v>1862</v>
      </c>
      <c r="E37" s="453">
        <v>2081</v>
      </c>
      <c r="F37" s="453">
        <v>2184</v>
      </c>
      <c r="G37" s="453">
        <v>2243</v>
      </c>
      <c r="H37" s="453">
        <v>2297</v>
      </c>
      <c r="I37" s="453">
        <v>2350</v>
      </c>
      <c r="J37" s="453">
        <v>2405</v>
      </c>
      <c r="K37" s="453">
        <v>2463</v>
      </c>
      <c r="L37" s="453">
        <v>2524</v>
      </c>
      <c r="M37" s="453">
        <v>2591</v>
      </c>
      <c r="N37" s="453"/>
      <c r="O37" s="453"/>
      <c r="P37" s="453"/>
      <c r="Q37" s="453"/>
      <c r="R37" s="453"/>
      <c r="S37" s="453"/>
      <c r="T37" s="453"/>
      <c r="U37" s="453"/>
      <c r="V37" s="354">
        <f t="shared" si="0"/>
        <v>12</v>
      </c>
    </row>
    <row r="38" spans="1:22" x14ac:dyDescent="0.2">
      <c r="A38" s="349">
        <v>8</v>
      </c>
      <c r="B38" s="453">
        <v>1919</v>
      </c>
      <c r="C38" s="453">
        <v>1973</v>
      </c>
      <c r="D38" s="453">
        <v>2081</v>
      </c>
      <c r="E38" s="453">
        <v>2297</v>
      </c>
      <c r="F38" s="453">
        <v>2405</v>
      </c>
      <c r="G38" s="453">
        <v>2524</v>
      </c>
      <c r="H38" s="453">
        <v>2591</v>
      </c>
      <c r="I38" s="453">
        <v>2652</v>
      </c>
      <c r="J38" s="453">
        <v>2707</v>
      </c>
      <c r="K38" s="453">
        <v>2766</v>
      </c>
      <c r="L38" s="453">
        <v>2824</v>
      </c>
      <c r="M38" s="453">
        <v>2879</v>
      </c>
      <c r="N38" s="453">
        <v>2931</v>
      </c>
      <c r="O38" s="453"/>
      <c r="P38" s="453"/>
      <c r="Q38" s="453"/>
      <c r="R38" s="453"/>
      <c r="S38" s="453"/>
      <c r="T38" s="453"/>
      <c r="U38" s="453"/>
      <c r="V38" s="354">
        <f t="shared" si="0"/>
        <v>13</v>
      </c>
    </row>
    <row r="39" spans="1:22" x14ac:dyDescent="0.2">
      <c r="A39" s="349">
        <v>9</v>
      </c>
      <c r="B39" s="453">
        <v>2206</v>
      </c>
      <c r="C39" s="453">
        <v>2320</v>
      </c>
      <c r="D39" s="453">
        <v>2548</v>
      </c>
      <c r="E39" s="453">
        <v>2679</v>
      </c>
      <c r="F39" s="453">
        <v>2792</v>
      </c>
      <c r="G39" s="453">
        <v>2907</v>
      </c>
      <c r="H39" s="453">
        <v>3016</v>
      </c>
      <c r="I39" s="453">
        <v>3124</v>
      </c>
      <c r="J39" s="453">
        <v>3242</v>
      </c>
      <c r="K39" s="453">
        <v>3346</v>
      </c>
      <c r="L39" s="453"/>
      <c r="M39" s="453"/>
      <c r="N39" s="453"/>
      <c r="O39" s="453"/>
      <c r="P39" s="453"/>
      <c r="Q39" s="453"/>
      <c r="R39" s="453"/>
      <c r="S39" s="453"/>
      <c r="T39" s="453"/>
      <c r="U39" s="453"/>
      <c r="V39" s="354">
        <f t="shared" si="0"/>
        <v>10</v>
      </c>
    </row>
    <row r="40" spans="1:22" x14ac:dyDescent="0.2">
      <c r="A40" s="349">
        <v>10</v>
      </c>
      <c r="B40" s="453">
        <v>2206</v>
      </c>
      <c r="C40" s="453">
        <v>2429</v>
      </c>
      <c r="D40" s="453">
        <v>2548</v>
      </c>
      <c r="E40" s="453">
        <v>2679</v>
      </c>
      <c r="F40" s="453">
        <v>2792</v>
      </c>
      <c r="G40" s="453">
        <v>2907</v>
      </c>
      <c r="H40" s="453">
        <v>3016</v>
      </c>
      <c r="I40" s="453">
        <v>3094</v>
      </c>
      <c r="J40" s="453">
        <v>3242</v>
      </c>
      <c r="K40" s="453">
        <v>3346</v>
      </c>
      <c r="L40" s="453">
        <v>3454</v>
      </c>
      <c r="M40" s="453">
        <v>3558</v>
      </c>
      <c r="N40" s="453">
        <v>3677</v>
      </c>
      <c r="O40" s="453"/>
      <c r="P40" s="453"/>
      <c r="Q40" s="453"/>
      <c r="R40" s="453"/>
      <c r="S40" s="453"/>
      <c r="T40" s="453"/>
      <c r="U40" s="453"/>
      <c r="V40" s="354">
        <f t="shared" si="0"/>
        <v>13</v>
      </c>
    </row>
    <row r="41" spans="1:22" x14ac:dyDescent="0.2">
      <c r="A41" s="349">
        <v>11</v>
      </c>
      <c r="B41" s="453">
        <v>2320</v>
      </c>
      <c r="C41" s="453">
        <v>2429</v>
      </c>
      <c r="D41" s="453">
        <v>2548</v>
      </c>
      <c r="E41" s="453">
        <v>2679</v>
      </c>
      <c r="F41" s="453">
        <v>2792</v>
      </c>
      <c r="G41" s="453">
        <v>2907</v>
      </c>
      <c r="H41" s="453">
        <v>3016</v>
      </c>
      <c r="I41" s="453">
        <v>3242</v>
      </c>
      <c r="J41" s="453">
        <v>3346</v>
      </c>
      <c r="K41" s="453">
        <v>3454</v>
      </c>
      <c r="L41" s="453">
        <v>3558</v>
      </c>
      <c r="M41" s="453">
        <v>3677</v>
      </c>
      <c r="N41" s="453">
        <v>3793</v>
      </c>
      <c r="O41" s="453">
        <v>3907</v>
      </c>
      <c r="P41" s="453">
        <v>4016</v>
      </c>
      <c r="Q41" s="453">
        <v>4127</v>
      </c>
      <c r="R41" s="453">
        <v>4232</v>
      </c>
      <c r="S41" s="453">
        <v>4290</v>
      </c>
      <c r="T41" s="453"/>
      <c r="U41" s="453"/>
      <c r="V41" s="354">
        <f t="shared" si="0"/>
        <v>18</v>
      </c>
    </row>
    <row r="42" spans="1:22" x14ac:dyDescent="0.2">
      <c r="A42" s="349">
        <v>12</v>
      </c>
      <c r="B42" s="453">
        <v>3124</v>
      </c>
      <c r="C42" s="453">
        <v>3242</v>
      </c>
      <c r="D42" s="453">
        <v>3346</v>
      </c>
      <c r="E42" s="453">
        <v>3454</v>
      </c>
      <c r="F42" s="453">
        <v>3558</v>
      </c>
      <c r="G42" s="453">
        <v>3677</v>
      </c>
      <c r="H42" s="453">
        <v>3907</v>
      </c>
      <c r="I42" s="453">
        <v>4016</v>
      </c>
      <c r="J42" s="453">
        <v>4127</v>
      </c>
      <c r="K42" s="453">
        <v>4232</v>
      </c>
      <c r="L42" s="453">
        <v>4347</v>
      </c>
      <c r="M42" s="453">
        <v>4458</v>
      </c>
      <c r="N42" s="453">
        <v>4563</v>
      </c>
      <c r="O42" s="453">
        <v>4674</v>
      </c>
      <c r="P42" s="453">
        <v>4811</v>
      </c>
      <c r="Q42" s="453">
        <v>4881</v>
      </c>
      <c r="R42" s="453"/>
      <c r="S42" s="453"/>
      <c r="T42" s="453"/>
      <c r="U42" s="453"/>
      <c r="V42" s="354">
        <f t="shared" si="0"/>
        <v>16</v>
      </c>
    </row>
    <row r="43" spans="1:22" x14ac:dyDescent="0.2">
      <c r="A43" s="349">
        <v>13</v>
      </c>
      <c r="B43" s="453">
        <v>3793</v>
      </c>
      <c r="C43" s="453">
        <v>3907</v>
      </c>
      <c r="D43" s="453">
        <v>4016</v>
      </c>
      <c r="E43" s="453">
        <v>4127</v>
      </c>
      <c r="F43" s="453">
        <v>4232</v>
      </c>
      <c r="G43" s="453">
        <v>4458</v>
      </c>
      <c r="H43" s="453">
        <v>4563</v>
      </c>
      <c r="I43" s="453">
        <v>4674</v>
      </c>
      <c r="J43" s="453">
        <v>4811</v>
      </c>
      <c r="K43" s="453">
        <v>4950</v>
      </c>
      <c r="L43" s="453">
        <v>5088</v>
      </c>
      <c r="M43" s="453">
        <v>5225</v>
      </c>
      <c r="N43" s="453">
        <v>5293</v>
      </c>
      <c r="O43" s="453"/>
      <c r="P43" s="453"/>
      <c r="Q43" s="453"/>
      <c r="R43" s="453"/>
      <c r="S43" s="453"/>
      <c r="T43" s="453"/>
      <c r="U43" s="453"/>
      <c r="V43" s="354">
        <f t="shared" si="0"/>
        <v>13</v>
      </c>
    </row>
    <row r="44" spans="1:22" x14ac:dyDescent="0.2">
      <c r="A44" s="349">
        <v>14</v>
      </c>
      <c r="B44" s="453">
        <v>4347</v>
      </c>
      <c r="C44" s="453">
        <v>4458</v>
      </c>
      <c r="D44" s="453">
        <v>4674</v>
      </c>
      <c r="E44" s="453">
        <v>4811</v>
      </c>
      <c r="F44" s="453">
        <v>4950</v>
      </c>
      <c r="G44" s="453">
        <v>5088</v>
      </c>
      <c r="H44" s="453">
        <v>5225</v>
      </c>
      <c r="I44" s="453">
        <v>5365</v>
      </c>
      <c r="J44" s="453">
        <v>5512</v>
      </c>
      <c r="K44" s="453">
        <v>5660</v>
      </c>
      <c r="L44" s="453">
        <v>5815</v>
      </c>
      <c r="M44" s="453"/>
      <c r="N44" s="453"/>
      <c r="O44" s="453"/>
      <c r="P44" s="453"/>
      <c r="Q44" s="453"/>
      <c r="R44" s="453"/>
      <c r="S44" s="453"/>
      <c r="T44" s="453"/>
      <c r="U44" s="453"/>
      <c r="V44" s="354">
        <f t="shared" si="0"/>
        <v>11</v>
      </c>
    </row>
    <row r="45" spans="1:22" s="451" customFormat="1" x14ac:dyDescent="0.2">
      <c r="A45" s="444">
        <v>15</v>
      </c>
      <c r="B45" s="449">
        <v>4563</v>
      </c>
      <c r="C45" s="449">
        <v>4674</v>
      </c>
      <c r="D45" s="449">
        <v>4811</v>
      </c>
      <c r="E45" s="449">
        <v>5088</v>
      </c>
      <c r="F45" s="449">
        <v>5225</v>
      </c>
      <c r="G45" s="449">
        <v>5365</v>
      </c>
      <c r="H45" s="449">
        <v>5512</v>
      </c>
      <c r="I45" s="449">
        <v>5660</v>
      </c>
      <c r="J45" s="449">
        <v>5815</v>
      </c>
      <c r="K45" s="449">
        <v>5999</v>
      </c>
      <c r="L45" s="449">
        <v>6192</v>
      </c>
      <c r="M45" s="449">
        <v>6390</v>
      </c>
      <c r="N45" s="449"/>
      <c r="O45" s="449"/>
      <c r="P45" s="449"/>
      <c r="Q45" s="449"/>
      <c r="R45" s="449"/>
      <c r="S45" s="449"/>
      <c r="T45" s="449"/>
      <c r="U45" s="449"/>
      <c r="V45" s="450">
        <f t="shared" si="0"/>
        <v>12</v>
      </c>
    </row>
    <row r="46" spans="1:22" s="451" customFormat="1" x14ac:dyDescent="0.2">
      <c r="A46" s="444">
        <v>16</v>
      </c>
      <c r="B46" s="449">
        <v>4950</v>
      </c>
      <c r="C46" s="449">
        <v>5088</v>
      </c>
      <c r="D46" s="449">
        <v>5225</v>
      </c>
      <c r="E46" s="449">
        <v>5512</v>
      </c>
      <c r="F46" s="449">
        <v>5660</v>
      </c>
      <c r="G46" s="449">
        <v>5815</v>
      </c>
      <c r="H46" s="449">
        <v>5999</v>
      </c>
      <c r="I46" s="449">
        <v>6192</v>
      </c>
      <c r="J46" s="449">
        <v>6390</v>
      </c>
      <c r="K46" s="449">
        <v>6594</v>
      </c>
      <c r="L46" s="449">
        <v>6802</v>
      </c>
      <c r="M46" s="449">
        <v>7019</v>
      </c>
      <c r="N46" s="449"/>
      <c r="O46" s="449"/>
      <c r="P46" s="449"/>
      <c r="Q46" s="449"/>
      <c r="R46" s="449"/>
      <c r="S46" s="449"/>
      <c r="T46" s="449"/>
      <c r="U46" s="449"/>
      <c r="V46" s="450">
        <f t="shared" si="0"/>
        <v>12</v>
      </c>
    </row>
    <row r="47" spans="1:22" x14ac:dyDescent="0.2">
      <c r="A47" s="349" t="s">
        <v>19</v>
      </c>
      <c r="B47" s="458">
        <v>1158.5</v>
      </c>
      <c r="C47" s="453"/>
      <c r="D47" s="453"/>
      <c r="E47" s="453"/>
      <c r="F47" s="453"/>
      <c r="G47" s="453"/>
      <c r="H47" s="453"/>
      <c r="I47" s="453"/>
      <c r="J47" s="453"/>
      <c r="K47" s="453"/>
      <c r="L47" s="453"/>
      <c r="M47" s="453"/>
      <c r="N47" s="453"/>
      <c r="O47" s="453"/>
      <c r="P47" s="453"/>
      <c r="Q47" s="453"/>
      <c r="R47" s="453"/>
      <c r="S47" s="453"/>
      <c r="T47" s="453"/>
      <c r="U47" s="453"/>
      <c r="V47" s="354">
        <f t="shared" si="0"/>
        <v>1</v>
      </c>
    </row>
    <row r="48" spans="1:22" x14ac:dyDescent="0.2">
      <c r="A48" s="349" t="s">
        <v>20</v>
      </c>
      <c r="B48" s="458">
        <v>1201</v>
      </c>
      <c r="C48" s="453"/>
      <c r="D48" s="453"/>
      <c r="E48" s="453"/>
      <c r="F48" s="453"/>
      <c r="G48" s="453"/>
      <c r="H48" s="453"/>
      <c r="I48" s="453"/>
      <c r="J48" s="453"/>
      <c r="K48" s="453"/>
      <c r="L48" s="453"/>
      <c r="M48" s="453"/>
      <c r="N48" s="453"/>
      <c r="O48" s="453"/>
      <c r="P48" s="453"/>
      <c r="Q48" s="453"/>
      <c r="R48" s="453"/>
      <c r="S48" s="453"/>
      <c r="T48" s="453"/>
      <c r="U48" s="453"/>
      <c r="V48" s="354">
        <f t="shared" si="0"/>
        <v>1</v>
      </c>
    </row>
    <row r="49" spans="1:22" x14ac:dyDescent="0.2">
      <c r="A49" s="349" t="s">
        <v>91</v>
      </c>
      <c r="B49" s="458">
        <v>1501.8</v>
      </c>
      <c r="C49" s="458">
        <v>1501.8</v>
      </c>
      <c r="D49" s="458">
        <v>1556</v>
      </c>
      <c r="E49" s="458">
        <v>1585</v>
      </c>
      <c r="F49" s="458">
        <v>1617</v>
      </c>
      <c r="G49" s="458">
        <v>1651</v>
      </c>
      <c r="H49" s="458">
        <v>1694</v>
      </c>
      <c r="I49" s="453"/>
      <c r="J49" s="453"/>
      <c r="K49" s="453"/>
      <c r="L49" s="453"/>
      <c r="M49" s="453"/>
      <c r="N49" s="453"/>
      <c r="O49" s="453"/>
      <c r="P49" s="453"/>
      <c r="Q49" s="453"/>
      <c r="R49" s="453"/>
      <c r="S49" s="453"/>
      <c r="T49" s="453"/>
      <c r="U49" s="453"/>
      <c r="V49" s="354">
        <f t="shared" si="0"/>
        <v>7</v>
      </c>
    </row>
    <row r="50" spans="1:22" x14ac:dyDescent="0.2">
      <c r="A50" s="349" t="s">
        <v>92</v>
      </c>
      <c r="B50" s="458">
        <v>1501.8</v>
      </c>
      <c r="C50" s="458">
        <v>1526</v>
      </c>
      <c r="D50" s="458">
        <v>1585</v>
      </c>
      <c r="E50" s="458">
        <v>1651</v>
      </c>
      <c r="F50" s="458">
        <v>1694</v>
      </c>
      <c r="G50" s="458">
        <v>1744</v>
      </c>
      <c r="H50" s="458">
        <v>1804</v>
      </c>
      <c r="I50" s="458">
        <v>1862</v>
      </c>
      <c r="J50" s="453"/>
      <c r="K50" s="453"/>
      <c r="L50" s="453"/>
      <c r="M50" s="453"/>
      <c r="N50" s="453"/>
      <c r="O50" s="453"/>
      <c r="P50" s="453"/>
      <c r="Q50" s="453"/>
      <c r="R50" s="453"/>
      <c r="S50" s="453"/>
      <c r="T50" s="453"/>
      <c r="U50" s="453"/>
      <c r="V50" s="354">
        <f t="shared" si="0"/>
        <v>8</v>
      </c>
    </row>
    <row r="51" spans="1:22" x14ac:dyDescent="0.2">
      <c r="A51" s="349" t="s">
        <v>93</v>
      </c>
      <c r="B51" s="458">
        <v>1501.8</v>
      </c>
      <c r="C51" s="458">
        <v>1585</v>
      </c>
      <c r="D51" s="458">
        <v>1651</v>
      </c>
      <c r="E51" s="458">
        <v>1744</v>
      </c>
      <c r="F51" s="458">
        <v>1804</v>
      </c>
      <c r="G51" s="458">
        <v>1862</v>
      </c>
      <c r="H51" s="458">
        <v>1919</v>
      </c>
      <c r="I51" s="453"/>
      <c r="J51" s="453"/>
      <c r="K51" s="453"/>
      <c r="L51" s="453"/>
      <c r="M51" s="453"/>
      <c r="N51" s="453"/>
      <c r="O51" s="453"/>
      <c r="P51" s="453"/>
      <c r="Q51" s="453"/>
      <c r="R51" s="453"/>
      <c r="S51" s="453"/>
      <c r="T51" s="453"/>
      <c r="U51" s="453"/>
      <c r="V51" s="354">
        <f t="shared" si="0"/>
        <v>7</v>
      </c>
    </row>
    <row r="55" spans="1:22" s="349" customFormat="1" x14ac:dyDescent="0.2">
      <c r="A55" s="443" t="s">
        <v>43</v>
      </c>
      <c r="B55" s="570" t="s">
        <v>386</v>
      </c>
    </row>
    <row r="56" spans="1:22" s="349" customFormat="1" x14ac:dyDescent="0.2">
      <c r="A56" s="443"/>
      <c r="B56" s="347"/>
      <c r="C56" s="349" t="s">
        <v>40</v>
      </c>
      <c r="D56" s="349" t="s">
        <v>41</v>
      </c>
      <c r="E56" s="349" t="s">
        <v>99</v>
      </c>
      <c r="F56" s="349" t="s">
        <v>100</v>
      </c>
      <c r="G56" s="349" t="s">
        <v>45</v>
      </c>
      <c r="H56" s="349" t="s">
        <v>48</v>
      </c>
    </row>
    <row r="57" spans="1:22" s="349" customFormat="1" x14ac:dyDescent="0.2">
      <c r="A57" s="444" t="s">
        <v>39</v>
      </c>
      <c r="B57" s="350">
        <v>1</v>
      </c>
      <c r="C57" s="452">
        <v>0.13405</v>
      </c>
      <c r="D57" s="452">
        <v>6.497E-2</v>
      </c>
      <c r="E57" s="453">
        <v>12650</v>
      </c>
      <c r="F57" s="454">
        <f>+E57/12</f>
        <v>1054.1666666666667</v>
      </c>
    </row>
    <row r="58" spans="1:22" s="349" customFormat="1" x14ac:dyDescent="0.2">
      <c r="A58" s="444" t="s">
        <v>196</v>
      </c>
      <c r="B58" s="350">
        <v>2</v>
      </c>
      <c r="C58" s="452">
        <v>3.7499999999999999E-3</v>
      </c>
      <c r="D58" s="452">
        <v>1.25E-3</v>
      </c>
      <c r="E58" s="453">
        <v>19450</v>
      </c>
      <c r="F58" s="454">
        <f>+E58/12</f>
        <v>1620.8333333333333</v>
      </c>
    </row>
    <row r="59" spans="1:22" s="349" customFormat="1" x14ac:dyDescent="0.2">
      <c r="A59" s="444" t="s">
        <v>263</v>
      </c>
      <c r="B59" s="350">
        <v>3</v>
      </c>
      <c r="C59" s="445">
        <v>0.03</v>
      </c>
      <c r="D59" s="445">
        <v>0</v>
      </c>
      <c r="E59" s="455"/>
      <c r="F59" s="455"/>
    </row>
    <row r="60" spans="1:22" s="349" customFormat="1" x14ac:dyDescent="0.2">
      <c r="A60" s="565" t="s">
        <v>350</v>
      </c>
      <c r="B60" s="349">
        <v>4</v>
      </c>
      <c r="C60" s="572">
        <v>5.7500000000000002E-2</v>
      </c>
      <c r="D60" s="359"/>
      <c r="E60" s="359"/>
      <c r="F60" s="359"/>
      <c r="G60" s="356">
        <v>51976</v>
      </c>
      <c r="H60" s="356">
        <f>+G60/12</f>
        <v>4331.333333333333</v>
      </c>
    </row>
    <row r="61" spans="1:22" s="349" customFormat="1" x14ac:dyDescent="0.2">
      <c r="A61" s="565" t="s">
        <v>357</v>
      </c>
      <c r="B61" s="349">
        <v>5</v>
      </c>
      <c r="C61" s="572">
        <v>9.1000000000000004E-3</v>
      </c>
      <c r="D61" s="359"/>
      <c r="E61" s="359"/>
      <c r="F61" s="359"/>
      <c r="G61" s="356">
        <f>+G60</f>
        <v>51976</v>
      </c>
      <c r="H61" s="356">
        <f t="shared" ref="H61:H64" si="1">+G61/12</f>
        <v>4331.333333333333</v>
      </c>
    </row>
    <row r="62" spans="1:22" s="349" customFormat="1" x14ac:dyDescent="0.2">
      <c r="A62" s="565" t="s">
        <v>94</v>
      </c>
      <c r="B62" s="349">
        <v>7</v>
      </c>
      <c r="C62" s="359"/>
      <c r="D62" s="357">
        <v>0</v>
      </c>
      <c r="E62" s="353">
        <v>0</v>
      </c>
      <c r="F62" s="356">
        <v>0</v>
      </c>
      <c r="G62" s="356">
        <v>0</v>
      </c>
      <c r="H62" s="356">
        <v>0</v>
      </c>
    </row>
    <row r="63" spans="1:22" s="349" customFormat="1" x14ac:dyDescent="0.2">
      <c r="A63" s="565" t="s">
        <v>95</v>
      </c>
      <c r="B63" s="349">
        <v>8</v>
      </c>
      <c r="C63" s="456">
        <v>6.9500000000000006E-2</v>
      </c>
      <c r="D63" s="346"/>
      <c r="E63" s="358"/>
      <c r="F63" s="358"/>
      <c r="G63" s="356">
        <f>+G60</f>
        <v>51976</v>
      </c>
      <c r="H63" s="356">
        <f>+G63/12</f>
        <v>4331.333333333333</v>
      </c>
    </row>
    <row r="64" spans="1:22" s="349" customFormat="1" x14ac:dyDescent="0.2">
      <c r="A64" s="565" t="s">
        <v>351</v>
      </c>
      <c r="B64" s="349">
        <v>9</v>
      </c>
      <c r="C64" s="445">
        <v>7.7999999999999996E-3</v>
      </c>
      <c r="D64" s="359"/>
      <c r="E64" s="359"/>
      <c r="F64" s="359"/>
      <c r="G64" s="356">
        <f>+G60</f>
        <v>51976</v>
      </c>
      <c r="H64" s="356">
        <f t="shared" si="1"/>
        <v>4331.333333333333</v>
      </c>
    </row>
    <row r="65" spans="1:8" s="349" customFormat="1" x14ac:dyDescent="0.2">
      <c r="A65" s="444" t="s">
        <v>197</v>
      </c>
      <c r="B65" s="349">
        <v>10</v>
      </c>
      <c r="C65" s="445">
        <v>0.06</v>
      </c>
      <c r="D65" s="360" t="s">
        <v>259</v>
      </c>
      <c r="E65" s="359"/>
      <c r="F65" s="359"/>
      <c r="G65" s="358"/>
      <c r="H65" s="358"/>
    </row>
    <row r="66" spans="1:8" s="349" customFormat="1" x14ac:dyDescent="0.2">
      <c r="A66" s="444" t="s">
        <v>198</v>
      </c>
      <c r="C66" s="445">
        <v>0.06</v>
      </c>
      <c r="D66" s="446" t="s">
        <v>260</v>
      </c>
      <c r="E66" s="359"/>
      <c r="F66" s="359"/>
      <c r="G66" s="358"/>
      <c r="H66" s="358"/>
    </row>
    <row r="67" spans="1:8" s="349" customFormat="1" x14ac:dyDescent="0.2">
      <c r="A67" s="444" t="s">
        <v>325</v>
      </c>
      <c r="B67" s="444"/>
      <c r="C67" s="445">
        <v>2.0999999999999999E-3</v>
      </c>
      <c r="D67" s="446" t="s">
        <v>261</v>
      </c>
      <c r="E67" s="359"/>
      <c r="F67" s="359"/>
      <c r="G67" s="358"/>
      <c r="H67" s="358"/>
    </row>
    <row r="68" spans="1:8" s="349" customFormat="1" x14ac:dyDescent="0.2">
      <c r="A68" s="444" t="s">
        <v>258</v>
      </c>
      <c r="B68" s="444"/>
      <c r="C68" s="445">
        <v>0</v>
      </c>
      <c r="D68" s="446" t="s">
        <v>262</v>
      </c>
      <c r="E68" s="359"/>
      <c r="F68" s="359"/>
      <c r="G68" s="358"/>
      <c r="H68" s="358"/>
    </row>
    <row r="69" spans="1:8" s="349" customFormat="1" x14ac:dyDescent="0.2">
      <c r="A69" s="444" t="s">
        <v>79</v>
      </c>
      <c r="B69" s="444">
        <v>11</v>
      </c>
      <c r="C69" s="445">
        <v>0.05</v>
      </c>
      <c r="D69" s="359"/>
      <c r="E69" s="359"/>
      <c r="F69" s="359"/>
      <c r="G69" s="358"/>
      <c r="H69" s="358"/>
    </row>
    <row r="70" spans="1:8" s="349" customFormat="1" x14ac:dyDescent="0.2">
      <c r="B70" s="349" t="s">
        <v>188</v>
      </c>
      <c r="C70" s="361">
        <f>SUM(C57:C65)+C69</f>
        <v>0.42169999999999996</v>
      </c>
      <c r="D70" s="361">
        <f>SUM(D57:D69)</f>
        <v>6.6220000000000001E-2</v>
      </c>
      <c r="E70" s="361">
        <f>SUM(C70:D70)</f>
        <v>0.48791999999999996</v>
      </c>
    </row>
    <row r="71" spans="1:8" s="349" customFormat="1" x14ac:dyDescent="0.2"/>
    <row r="72" spans="1:8" s="349" customFormat="1" x14ac:dyDescent="0.2">
      <c r="A72" s="347" t="s">
        <v>72</v>
      </c>
      <c r="B72" s="349" t="s">
        <v>0</v>
      </c>
      <c r="C72" s="362">
        <v>29.59</v>
      </c>
      <c r="G72" s="363"/>
    </row>
    <row r="73" spans="1:8" s="349" customFormat="1" x14ac:dyDescent="0.2">
      <c r="B73" s="349" t="s">
        <v>15</v>
      </c>
      <c r="C73" s="362">
        <v>25.96</v>
      </c>
    </row>
    <row r="74" spans="1:8" s="349" customFormat="1" x14ac:dyDescent="0.2">
      <c r="B74" s="349" t="s">
        <v>16</v>
      </c>
      <c r="C74" s="362">
        <v>47.27</v>
      </c>
    </row>
    <row r="75" spans="1:8" s="349" customFormat="1" x14ac:dyDescent="0.2">
      <c r="B75" s="349" t="s">
        <v>17</v>
      </c>
      <c r="C75" s="362">
        <v>23.38</v>
      </c>
    </row>
    <row r="76" spans="1:8" s="349" customFormat="1" x14ac:dyDescent="0.2">
      <c r="C76" s="364"/>
    </row>
    <row r="77" spans="1:8" s="349" customFormat="1" x14ac:dyDescent="0.2">
      <c r="A77" s="347" t="s">
        <v>206</v>
      </c>
      <c r="B77" s="349" t="s">
        <v>207</v>
      </c>
      <c r="C77" s="362">
        <v>61.73</v>
      </c>
    </row>
    <row r="78" spans="1:8" s="349" customFormat="1" x14ac:dyDescent="0.2">
      <c r="C78" s="364"/>
    </row>
    <row r="79" spans="1:8" s="349" customFormat="1" x14ac:dyDescent="0.2">
      <c r="D79" s="365" t="s">
        <v>48</v>
      </c>
    </row>
    <row r="80" spans="1:8" s="349" customFormat="1" x14ac:dyDescent="0.2">
      <c r="A80" s="347" t="s">
        <v>73</v>
      </c>
      <c r="B80" s="349" t="s">
        <v>74</v>
      </c>
      <c r="C80" s="362">
        <v>723.79</v>
      </c>
      <c r="D80" s="366">
        <f>ROUND(+C80/13.717,2)</f>
        <v>52.77</v>
      </c>
    </row>
    <row r="81" spans="1:8" s="349" customFormat="1" x14ac:dyDescent="0.2">
      <c r="B81" s="349" t="s">
        <v>75</v>
      </c>
      <c r="C81" s="362">
        <v>221.61</v>
      </c>
      <c r="D81" s="366">
        <f>ROUND(+C81/13.717,2)</f>
        <v>16.16</v>
      </c>
    </row>
    <row r="82" spans="1:8" s="349" customFormat="1" x14ac:dyDescent="0.2">
      <c r="B82" s="349" t="s">
        <v>76</v>
      </c>
      <c r="C82" s="362">
        <f>+C81</f>
        <v>221.61</v>
      </c>
      <c r="D82" s="366">
        <f>ROUND(+C82/13.717,2)</f>
        <v>16.16</v>
      </c>
    </row>
    <row r="83" spans="1:8" s="349" customFormat="1" x14ac:dyDescent="0.2">
      <c r="B83" s="349" t="s">
        <v>257</v>
      </c>
      <c r="C83" s="362">
        <v>0</v>
      </c>
      <c r="D83" s="366">
        <f>ROUND(+C83/13.717,2)</f>
        <v>0</v>
      </c>
    </row>
    <row r="84" spans="1:8" s="349" customFormat="1" x14ac:dyDescent="0.2"/>
    <row r="85" spans="1:8" s="349" customFormat="1" x14ac:dyDescent="0.2">
      <c r="A85" s="347" t="s">
        <v>114</v>
      </c>
      <c r="C85" s="367">
        <v>32.799999999999997</v>
      </c>
      <c r="D85" s="368"/>
    </row>
    <row r="86" spans="1:8" s="349" customFormat="1" x14ac:dyDescent="0.2"/>
    <row r="87" spans="1:8" s="349" customFormat="1" x14ac:dyDescent="0.2">
      <c r="A87" s="347" t="s">
        <v>200</v>
      </c>
      <c r="C87" s="357">
        <v>8.0000000000000002E-3</v>
      </c>
      <c r="D87" s="361"/>
    </row>
    <row r="88" spans="1:8" s="349" customFormat="1" x14ac:dyDescent="0.2"/>
    <row r="89" spans="1:8" s="349" customFormat="1" x14ac:dyDescent="0.2">
      <c r="A89" s="347" t="s">
        <v>82</v>
      </c>
      <c r="B89" s="347"/>
      <c r="D89" s="362">
        <v>157.97999999999999</v>
      </c>
      <c r="E89" s="349" t="s">
        <v>213</v>
      </c>
    </row>
    <row r="90" spans="1:8" s="349" customFormat="1" x14ac:dyDescent="0.2">
      <c r="A90" s="347" t="s">
        <v>80</v>
      </c>
      <c r="B90" s="347"/>
      <c r="D90" s="357">
        <v>6.3E-2</v>
      </c>
    </row>
    <row r="91" spans="1:8" s="349" customFormat="1" x14ac:dyDescent="0.2">
      <c r="A91" s="349" t="s">
        <v>116</v>
      </c>
      <c r="B91" s="347"/>
      <c r="C91" s="349">
        <v>0</v>
      </c>
      <c r="D91" s="362">
        <v>0</v>
      </c>
      <c r="G91" s="346"/>
      <c r="H91" s="346"/>
    </row>
    <row r="92" spans="1:8" s="349" customFormat="1" x14ac:dyDescent="0.2">
      <c r="B92" s="347"/>
      <c r="C92" s="349">
        <v>1</v>
      </c>
      <c r="D92" s="362">
        <v>1083.1199999999999</v>
      </c>
      <c r="G92" s="346"/>
      <c r="H92" s="346"/>
    </row>
    <row r="93" spans="1:8" s="349" customFormat="1" x14ac:dyDescent="0.2">
      <c r="B93" s="347"/>
      <c r="C93" s="349">
        <v>6</v>
      </c>
      <c r="D93" s="362">
        <v>1037.58</v>
      </c>
      <c r="G93" s="346"/>
      <c r="H93" s="346"/>
    </row>
    <row r="94" spans="1:8" s="349" customFormat="1" x14ac:dyDescent="0.2">
      <c r="B94" s="347"/>
      <c r="C94" s="349">
        <v>9</v>
      </c>
      <c r="D94" s="362">
        <v>0</v>
      </c>
      <c r="G94" s="346"/>
      <c r="H94" s="346"/>
    </row>
    <row r="95" spans="1:8" s="349" customFormat="1" x14ac:dyDescent="0.2">
      <c r="B95" s="347"/>
      <c r="D95" s="364"/>
      <c r="G95" s="346"/>
      <c r="H95" s="346"/>
    </row>
    <row r="96" spans="1:8" s="349" customFormat="1" x14ac:dyDescent="0.2">
      <c r="A96" s="369" t="s">
        <v>195</v>
      </c>
      <c r="B96" s="346"/>
      <c r="C96" s="346"/>
      <c r="D96" s="362">
        <v>328</v>
      </c>
      <c r="E96" s="346"/>
      <c r="F96" s="346"/>
    </row>
    <row r="97" spans="1:7" s="349" customFormat="1" x14ac:dyDescent="0.2">
      <c r="A97" s="667" t="s">
        <v>374</v>
      </c>
      <c r="B97" s="667"/>
      <c r="C97" s="346"/>
      <c r="D97" s="362">
        <v>500</v>
      </c>
      <c r="E97" s="346"/>
      <c r="F97" s="346"/>
    </row>
    <row r="98" spans="1:7" s="349" customFormat="1" x14ac:dyDescent="0.2"/>
    <row r="99" spans="1:7" s="349" customFormat="1" x14ac:dyDescent="0.2">
      <c r="A99" s="347" t="s">
        <v>209</v>
      </c>
      <c r="D99" s="362">
        <v>301.58</v>
      </c>
    </row>
    <row r="100" spans="1:7" s="349" customFormat="1" x14ac:dyDescent="0.2"/>
    <row r="101" spans="1:7" s="349" customFormat="1" x14ac:dyDescent="0.2">
      <c r="A101" s="443" t="s">
        <v>372</v>
      </c>
    </row>
    <row r="102" spans="1:7" s="349" customFormat="1" x14ac:dyDescent="0.2">
      <c r="A102" s="443" t="s">
        <v>373</v>
      </c>
    </row>
    <row r="103" spans="1:7" s="349" customFormat="1" x14ac:dyDescent="0.2">
      <c r="A103" s="370" t="s">
        <v>101</v>
      </c>
    </row>
    <row r="104" spans="1:7" s="349" customFormat="1" x14ac:dyDescent="0.2">
      <c r="A104" s="370"/>
    </row>
    <row r="105" spans="1:7" s="349" customFormat="1" x14ac:dyDescent="0.2">
      <c r="A105" s="347" t="s">
        <v>186</v>
      </c>
      <c r="G105" s="371"/>
    </row>
    <row r="106" spans="1:7" s="349" customFormat="1" x14ac:dyDescent="0.2">
      <c r="A106" s="347" t="s">
        <v>102</v>
      </c>
      <c r="B106" s="349" t="s">
        <v>187</v>
      </c>
      <c r="C106" s="349" t="s">
        <v>103</v>
      </c>
    </row>
    <row r="107" spans="1:7" s="349" customFormat="1" x14ac:dyDescent="0.2">
      <c r="A107" s="349">
        <v>1</v>
      </c>
      <c r="B107" s="663">
        <v>19822</v>
      </c>
      <c r="C107" s="664">
        <v>0.36499999999999999</v>
      </c>
    </row>
    <row r="108" spans="1:7" s="349" customFormat="1" x14ac:dyDescent="0.2">
      <c r="A108" s="349">
        <v>2</v>
      </c>
      <c r="B108" s="663">
        <v>33589</v>
      </c>
      <c r="C108" s="664">
        <v>0.42</v>
      </c>
    </row>
    <row r="109" spans="1:7" s="349" customFormat="1" x14ac:dyDescent="0.2">
      <c r="A109" s="349">
        <v>3</v>
      </c>
      <c r="B109" s="663">
        <v>57585</v>
      </c>
      <c r="C109" s="664">
        <v>0.42</v>
      </c>
    </row>
    <row r="110" spans="1:7" s="349" customFormat="1" x14ac:dyDescent="0.2">
      <c r="A110" s="349">
        <v>4</v>
      </c>
      <c r="B110" s="663">
        <v>999999</v>
      </c>
      <c r="C110" s="664">
        <v>0.52</v>
      </c>
    </row>
    <row r="111" spans="1:7" s="349" customFormat="1" x14ac:dyDescent="0.2"/>
    <row r="112" spans="1:7" s="349" customFormat="1" x14ac:dyDescent="0.2">
      <c r="A112" s="347" t="s">
        <v>104</v>
      </c>
    </row>
    <row r="113" spans="1:5" s="349" customFormat="1" x14ac:dyDescent="0.2">
      <c r="A113" s="349" t="s">
        <v>105</v>
      </c>
      <c r="B113" s="665">
        <v>2203</v>
      </c>
    </row>
    <row r="114" spans="1:5" s="349" customFormat="1" x14ac:dyDescent="0.2">
      <c r="B114" s="349" t="s">
        <v>107</v>
      </c>
      <c r="C114" s="349" t="s">
        <v>108</v>
      </c>
      <c r="D114" s="350" t="s">
        <v>109</v>
      </c>
      <c r="E114" s="350"/>
    </row>
    <row r="115" spans="1:5" s="444" customFormat="1" x14ac:dyDescent="0.2">
      <c r="A115" s="444" t="s">
        <v>106</v>
      </c>
      <c r="B115" s="444">
        <v>1947</v>
      </c>
      <c r="C115" s="571">
        <v>0.1232</v>
      </c>
      <c r="D115" s="455">
        <v>1611</v>
      </c>
      <c r="E115" s="565"/>
    </row>
    <row r="116" spans="1:5" s="444" customFormat="1" x14ac:dyDescent="0.2">
      <c r="B116" s="444">
        <v>1949</v>
      </c>
      <c r="C116" s="571">
        <v>0.1232</v>
      </c>
      <c r="D116" s="455">
        <v>1611</v>
      </c>
      <c r="E116" s="565"/>
    </row>
    <row r="117" spans="1:5" s="444" customFormat="1" x14ac:dyDescent="0.2">
      <c r="B117" s="444">
        <v>1951</v>
      </c>
      <c r="C117" s="571">
        <v>0.1232</v>
      </c>
      <c r="D117" s="455">
        <v>1611</v>
      </c>
      <c r="E117" s="565"/>
    </row>
    <row r="118" spans="1:5" s="444" customFormat="1" x14ac:dyDescent="0.2">
      <c r="B118" s="444">
        <v>1954</v>
      </c>
      <c r="C118" s="571">
        <v>0.1232</v>
      </c>
      <c r="D118" s="455">
        <v>1611</v>
      </c>
      <c r="E118" s="565"/>
    </row>
    <row r="119" spans="1:5" s="349" customFormat="1" x14ac:dyDescent="0.2">
      <c r="C119" s="372"/>
    </row>
    <row r="120" spans="1:5" s="349" customFormat="1" x14ac:dyDescent="0.2">
      <c r="A120" s="373"/>
      <c r="B120" s="374"/>
    </row>
    <row r="121" spans="1:5" x14ac:dyDescent="0.2">
      <c r="A121" s="426"/>
      <c r="B121" s="426"/>
      <c r="C121" s="566"/>
    </row>
    <row r="122" spans="1:5" x14ac:dyDescent="0.2">
      <c r="C122" s="566"/>
    </row>
  </sheetData>
  <sheetProtection algorithmName="SHA-512" hashValue="9PWRR0Veg+LoZ6a+UN6vT8DgZgwPf3smseOCusIBooG4uEfotET+b5mOMpN3o17cAnjhY3ny7pUDIdVrZN/x0A==" saltValue="bSslCx5OYI1C3j4xKYIBIQ==" spinCount="100000" sheet="1" objects="1" scenarios="1"/>
  <phoneticPr fontId="0" type="noConversion"/>
  <printOptions gridLines="1"/>
  <pageMargins left="0.75" right="0.75" top="1" bottom="1" header="0.5" footer="0.5"/>
  <pageSetup paperSize="9" scale="51" orientation="landscape" r:id="rId1"/>
  <headerFooter alignWithMargins="0">
    <oddHeader>&amp;L&amp;"Arial,Vet"&amp;A&amp;C&amp;"Arial,Vet"&amp;D&amp;R&amp;"Arial,Vet"&amp;F</oddHeader>
    <oddFooter>&amp;L&amp;"Arial,Vet"&amp;8gemaakt door keizer, vos/abb&amp;R&amp;"Arial,Vet"&amp;P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13</vt:i4>
      </vt:variant>
    </vt:vector>
  </HeadingPairs>
  <TitlesOfParts>
    <vt:vector size="20" baseType="lpstr">
      <vt:lpstr>toel</vt:lpstr>
      <vt:lpstr>wgl</vt:lpstr>
      <vt:lpstr>Ouderschapsverlof</vt:lpstr>
      <vt:lpstr>Functiedifferentiatie</vt:lpstr>
      <vt:lpstr>Extra periodieken</vt:lpstr>
      <vt:lpstr>wgl tot</vt:lpstr>
      <vt:lpstr>tabellen</vt:lpstr>
      <vt:lpstr>'Extra periodieken'!Afdrukbereik</vt:lpstr>
      <vt:lpstr>Functiedifferentiatie!Afdrukbereik</vt:lpstr>
      <vt:lpstr>Ouderschapsverlof!Afdrukbereik</vt:lpstr>
      <vt:lpstr>tabellen!Afdrukbereik</vt:lpstr>
      <vt:lpstr>toel!Afdrukbereik</vt:lpstr>
      <vt:lpstr>wgl!Afdrukbereik</vt:lpstr>
      <vt:lpstr>'wgl tot'!Afdrukbereik</vt:lpstr>
      <vt:lpstr>arbeidskorting</vt:lpstr>
      <vt:lpstr>bindingstoelage</vt:lpstr>
      <vt:lpstr>eindejaarsuitkering_OOP</vt:lpstr>
      <vt:lpstr>premies</vt:lpstr>
      <vt:lpstr>salaristabellen</vt:lpstr>
      <vt:lpstr>uitlooptoeslag</vt:lpstr>
    </vt:vector>
  </TitlesOfParts>
  <Company>VOS/ABB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Personele kosten onder LS PO</dc:title>
  <dc:creator>Keizer</dc:creator>
  <cp:lastModifiedBy>B. Keizer</cp:lastModifiedBy>
  <cp:lastPrinted>2015-05-25T11:58:34Z</cp:lastPrinted>
  <dcterms:created xsi:type="dcterms:W3CDTF">2002-04-23T20:54:25Z</dcterms:created>
  <dcterms:modified xsi:type="dcterms:W3CDTF">2015-10-06T15:01:23Z</dcterms:modified>
</cp:coreProperties>
</file>