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3.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mc:AlternateContent xmlns:mc="http://schemas.openxmlformats.org/markup-compatibility/2006">
    <mc:Choice Requires="x15">
      <x15ac:absPath xmlns:x15ac="http://schemas.microsoft.com/office/spreadsheetml/2010/11/ac" url="D:\Users\B. Keizer\Documents\Instrumenten\toolbox 2016\basisschool\"/>
    </mc:Choice>
  </mc:AlternateContent>
  <bookViews>
    <workbookView xWindow="0" yWindow="0" windowWidth="19200" windowHeight="11595" tabRatio="785" activeTab="1"/>
  </bookViews>
  <sheets>
    <sheet name="toel" sheetId="1" r:id="rId1"/>
    <sheet name="geg" sheetId="2" r:id="rId2"/>
    <sheet name="pers" sheetId="3" r:id="rId3"/>
    <sheet name="dir" sheetId="4" r:id="rId4"/>
    <sheet name="op" sheetId="5" r:id="rId5"/>
    <sheet name="obp" sheetId="6" r:id="rId6"/>
    <sheet name="mat" sheetId="7" r:id="rId7"/>
    <sheet name="mop" sheetId="8" r:id="rId8"/>
    <sheet name="mip" sheetId="9" r:id="rId9"/>
    <sheet name="act" sheetId="10" r:id="rId10"/>
    <sheet name="beleid" sheetId="21" state="hidden" r:id="rId11"/>
    <sheet name="begr" sheetId="11" r:id="rId12"/>
    <sheet name="bal" sheetId="12" r:id="rId13"/>
    <sheet name="liq" sheetId="13" r:id="rId14"/>
    <sheet name="ken" sheetId="14" r:id="rId15"/>
    <sheet name="graf" sheetId="15" state="hidden" r:id="rId16"/>
    <sheet name="som" sheetId="16" r:id="rId17"/>
    <sheet name="tab" sheetId="19" r:id="rId18"/>
    <sheet name="Module1" sheetId="18" state="veryHidden" r:id="rId19"/>
  </sheets>
  <definedNames>
    <definedName name="_xlnm._FilterDatabase" localSheetId="8" hidden="1">mip!$I$8:$I$213</definedName>
    <definedName name="_xlnm.Print_Area" localSheetId="9">act!$B$2:$L$64</definedName>
    <definedName name="_xlnm.Print_Area" localSheetId="12">bal!$B$2:$M$60</definedName>
    <definedName name="_xlnm.Print_Area" localSheetId="11">begr!$B$2:$L$54</definedName>
    <definedName name="_xlnm.Print_Area" localSheetId="10">beleid!$B$2:$V$72</definedName>
    <definedName name="_xlnm.Print_Area" localSheetId="3">dir!$B$2:$V$50</definedName>
    <definedName name="_xlnm.Print_Area" localSheetId="1">geg!$B$2:$M$66</definedName>
    <definedName name="_xlnm.Print_Area" localSheetId="15">graf!$B$2:$R$186</definedName>
    <definedName name="_xlnm.Print_Area" localSheetId="14">ken!$B$2:$K$81</definedName>
    <definedName name="_xlnm.Print_Area" localSheetId="13">liq!$B$2:$L$55</definedName>
    <definedName name="_xlnm.Print_Area" localSheetId="6">mat!$B$2:$N$170</definedName>
    <definedName name="_xlnm.Print_Area" localSheetId="8">mip!$B$2:$AD$216</definedName>
    <definedName name="_xlnm.Print_Area" localSheetId="7">mop!$B$2:$Q$32</definedName>
    <definedName name="_xlnm.Print_Area" localSheetId="5">obp!$B$2:$V$70</definedName>
    <definedName name="_xlnm.Print_Area" localSheetId="4">op!$B$2:$V$141</definedName>
    <definedName name="_xlnm.Print_Area" localSheetId="2">pers!$B$2:$N$143</definedName>
    <definedName name="_xlnm.Print_Area" localSheetId="16">som!$B$2:$K$70</definedName>
    <definedName name="_xlnm.Print_Area" localSheetId="17">tab!$A$1:$J$227</definedName>
    <definedName name="_xlnm.Print_Area" localSheetId="0">toel!$B$2:$P$189</definedName>
    <definedName name="groepenleerlingennu">tab!$A$178:$A$212</definedName>
    <definedName name="Postcode_gebieden">tab!$C$230:$C$1197</definedName>
    <definedName name="regels2011">tab!$W$73:$W$114</definedName>
    <definedName name="rugzakmat">tab!#REF!</definedName>
    <definedName name="rugzakpers">tab!#REF!</definedName>
    <definedName name="schaal2011">tab!$A$73:$A$114</definedName>
    <definedName name="vloeroppervlaknu">tab!$B$178:$B$212</definedName>
  </definedNames>
  <calcPr calcId="152511"/>
</workbook>
</file>

<file path=xl/calcChain.xml><?xml version="1.0" encoding="utf-8"?>
<calcChain xmlns="http://schemas.openxmlformats.org/spreadsheetml/2006/main">
  <c r="W159" i="19" l="1"/>
  <c r="W158" i="19"/>
  <c r="W157" i="19"/>
  <c r="W156" i="19"/>
  <c r="W155" i="19"/>
  <c r="W154" i="19"/>
  <c r="W153" i="19"/>
  <c r="W152" i="19"/>
  <c r="W151" i="19"/>
  <c r="W150" i="19"/>
  <c r="W149" i="19"/>
  <c r="W148" i="19"/>
  <c r="W147" i="19"/>
  <c r="C146" i="19"/>
  <c r="W146" i="19" s="1"/>
  <c r="C145" i="19"/>
  <c r="W145" i="19" s="1"/>
  <c r="W144" i="19"/>
  <c r="W143" i="19"/>
  <c r="W142" i="19"/>
  <c r="W141" i="19"/>
  <c r="W140" i="19"/>
  <c r="W139" i="19"/>
  <c r="C138" i="19"/>
  <c r="W138" i="19" s="1"/>
  <c r="C137" i="19"/>
  <c r="W137" i="19" s="1"/>
  <c r="W136" i="19"/>
  <c r="W135" i="19"/>
  <c r="W134" i="19"/>
  <c r="W133" i="19"/>
  <c r="W132" i="19"/>
  <c r="W131" i="19"/>
  <c r="W130" i="19"/>
  <c r="W129" i="19"/>
  <c r="W128" i="19"/>
  <c r="W127" i="19"/>
  <c r="W126" i="19"/>
  <c r="W125" i="19"/>
  <c r="W124" i="19"/>
  <c r="W123" i="19"/>
  <c r="W122" i="19"/>
  <c r="W121" i="19"/>
  <c r="W120" i="19"/>
  <c r="W119" i="19"/>
  <c r="W118" i="19"/>
  <c r="W91" i="19" l="1"/>
  <c r="D56" i="19" l="1"/>
  <c r="E29" i="19" l="1"/>
  <c r="E27" i="19"/>
  <c r="E26" i="19"/>
  <c r="E25" i="19"/>
  <c r="E24" i="19"/>
  <c r="E23" i="19"/>
  <c r="E22" i="19"/>
  <c r="E21" i="19"/>
  <c r="E55" i="19"/>
  <c r="E54" i="19"/>
  <c r="E53" i="19"/>
  <c r="E52" i="19"/>
  <c r="E51" i="19"/>
  <c r="E50" i="19"/>
  <c r="C92" i="19" l="1"/>
  <c r="C101" i="19"/>
  <c r="C100" i="19"/>
  <c r="C93" i="19"/>
  <c r="I67" i="16" l="1"/>
  <c r="H67" i="16"/>
  <c r="G67" i="16"/>
  <c r="F67" i="16"/>
  <c r="F34" i="14"/>
  <c r="F52" i="13" l="1"/>
  <c r="F44" i="13"/>
  <c r="F38" i="13"/>
  <c r="F37" i="13"/>
  <c r="F28" i="13"/>
  <c r="F26" i="13"/>
  <c r="F25" i="13"/>
  <c r="F24" i="13"/>
  <c r="F23" i="13"/>
  <c r="F22" i="13"/>
  <c r="F11" i="13"/>
  <c r="F32" i="12" l="1"/>
  <c r="E67" i="19" l="1"/>
  <c r="E65" i="19"/>
  <c r="D68" i="19"/>
  <c r="E68" i="19" s="1"/>
  <c r="D66" i="19"/>
  <c r="E66" i="19" s="1"/>
  <c r="J61" i="14" l="1"/>
  <c r="J59" i="14"/>
  <c r="G67" i="14"/>
  <c r="F67" i="14"/>
  <c r="I67" i="14" l="1"/>
  <c r="I34" i="14"/>
  <c r="H34" i="14"/>
  <c r="G34" i="14"/>
  <c r="O16" i="5" l="1"/>
  <c r="N16" i="4"/>
  <c r="F38" i="4" l="1"/>
  <c r="F39" i="4"/>
  <c r="F40" i="4"/>
  <c r="F64" i="4" s="1"/>
  <c r="F87" i="4" s="1"/>
  <c r="F109" i="4" s="1"/>
  <c r="F41" i="4"/>
  <c r="F65" i="4" s="1"/>
  <c r="F88" i="4" s="1"/>
  <c r="F110" i="4" s="1"/>
  <c r="F42" i="4"/>
  <c r="F43" i="4"/>
  <c r="F44" i="4"/>
  <c r="F68" i="4" s="1"/>
  <c r="F91" i="4" s="1"/>
  <c r="F113" i="4" s="1"/>
  <c r="F45" i="4"/>
  <c r="F69" i="4" s="1"/>
  <c r="F92" i="4" s="1"/>
  <c r="F114" i="4" s="1"/>
  <c r="F46" i="4"/>
  <c r="F47" i="4"/>
  <c r="F62" i="4"/>
  <c r="F85" i="4" s="1"/>
  <c r="F107" i="4" s="1"/>
  <c r="F63" i="4"/>
  <c r="F86" i="4" s="1"/>
  <c r="F108" i="4" s="1"/>
  <c r="F66" i="4"/>
  <c r="F89" i="4" s="1"/>
  <c r="F111" i="4" s="1"/>
  <c r="F67" i="4"/>
  <c r="F90" i="4" s="1"/>
  <c r="F112" i="4" s="1"/>
  <c r="F70" i="4"/>
  <c r="F93" i="4" s="1"/>
  <c r="F115" i="4" s="1"/>
  <c r="F71" i="4"/>
  <c r="F94" i="4" s="1"/>
  <c r="F116" i="4" s="1"/>
  <c r="E64" i="19" l="1"/>
  <c r="AF16" i="4" l="1"/>
  <c r="AE16" i="4"/>
  <c r="L38" i="3"/>
  <c r="K38" i="3"/>
  <c r="J38" i="3"/>
  <c r="I38" i="3"/>
  <c r="H4" i="19"/>
  <c r="M67" i="6" l="1"/>
  <c r="L67" i="6"/>
  <c r="M66" i="6"/>
  <c r="L66" i="6"/>
  <c r="M65" i="6"/>
  <c r="L65" i="6"/>
  <c r="M64" i="6"/>
  <c r="L64" i="6"/>
  <c r="M63" i="6"/>
  <c r="L63" i="6"/>
  <c r="M62" i="6"/>
  <c r="L62" i="6"/>
  <c r="M61" i="6"/>
  <c r="L61" i="6"/>
  <c r="M60" i="6"/>
  <c r="L60" i="6"/>
  <c r="M59" i="6"/>
  <c r="L59" i="6"/>
  <c r="M58" i="6"/>
  <c r="L58" i="6"/>
  <c r="M57" i="6"/>
  <c r="L57" i="6"/>
  <c r="M56" i="6"/>
  <c r="L56" i="6"/>
  <c r="M55" i="6"/>
  <c r="L55" i="6"/>
  <c r="M54" i="6"/>
  <c r="L54" i="6"/>
  <c r="M53" i="6"/>
  <c r="L53" i="6"/>
  <c r="M52" i="6"/>
  <c r="L52" i="6"/>
  <c r="M51" i="6"/>
  <c r="L51" i="6"/>
  <c r="M50" i="6"/>
  <c r="L50" i="6"/>
  <c r="M49" i="6"/>
  <c r="L49" i="6"/>
  <c r="M48" i="6"/>
  <c r="L48" i="6"/>
  <c r="M138" i="5"/>
  <c r="L138" i="5"/>
  <c r="M137" i="5"/>
  <c r="L137" i="5"/>
  <c r="M136" i="5"/>
  <c r="L136" i="5"/>
  <c r="M135" i="5"/>
  <c r="L135" i="5"/>
  <c r="M134" i="5"/>
  <c r="L134" i="5"/>
  <c r="M133" i="5"/>
  <c r="L133" i="5"/>
  <c r="M132" i="5"/>
  <c r="L132" i="5"/>
  <c r="M131" i="5"/>
  <c r="L131" i="5"/>
  <c r="M130" i="5"/>
  <c r="L130" i="5"/>
  <c r="M129" i="5"/>
  <c r="L129" i="5"/>
  <c r="M128" i="5"/>
  <c r="L128" i="5"/>
  <c r="M127" i="5"/>
  <c r="L127" i="5"/>
  <c r="M126" i="5"/>
  <c r="L126" i="5"/>
  <c r="M125" i="5"/>
  <c r="L125" i="5"/>
  <c r="M124" i="5"/>
  <c r="L124" i="5"/>
  <c r="M123" i="5"/>
  <c r="L123" i="5"/>
  <c r="M122" i="5"/>
  <c r="L122" i="5"/>
  <c r="M121" i="5"/>
  <c r="L121" i="5"/>
  <c r="M120" i="5"/>
  <c r="L120" i="5"/>
  <c r="M119" i="5"/>
  <c r="L119" i="5"/>
  <c r="M118" i="5"/>
  <c r="L118" i="5"/>
  <c r="M117" i="5"/>
  <c r="L117" i="5"/>
  <c r="M116" i="5"/>
  <c r="L116" i="5"/>
  <c r="M115" i="5"/>
  <c r="L115" i="5"/>
  <c r="M114" i="5"/>
  <c r="L114" i="5"/>
  <c r="M113" i="5"/>
  <c r="L113" i="5"/>
  <c r="M112" i="5"/>
  <c r="L112" i="5"/>
  <c r="M111" i="5"/>
  <c r="L111" i="5"/>
  <c r="M110" i="5"/>
  <c r="L110" i="5"/>
  <c r="M109" i="5"/>
  <c r="L109" i="5"/>
  <c r="M108" i="5"/>
  <c r="L108" i="5"/>
  <c r="M107" i="5"/>
  <c r="L107" i="5"/>
  <c r="M106" i="5"/>
  <c r="L106" i="5"/>
  <c r="M105" i="5"/>
  <c r="L105" i="5"/>
  <c r="M104" i="5"/>
  <c r="L104" i="5"/>
  <c r="M103" i="5"/>
  <c r="L103" i="5"/>
  <c r="M102" i="5"/>
  <c r="L102" i="5"/>
  <c r="M101" i="5"/>
  <c r="L101" i="5"/>
  <c r="M100" i="5"/>
  <c r="L100" i="5"/>
  <c r="M99" i="5"/>
  <c r="L99" i="5"/>
  <c r="M98" i="5"/>
  <c r="L98" i="5"/>
  <c r="M97" i="5"/>
  <c r="L97" i="5"/>
  <c r="M96" i="5"/>
  <c r="L96" i="5"/>
  <c r="M95" i="5"/>
  <c r="L95" i="5"/>
  <c r="M94" i="5"/>
  <c r="L94" i="5"/>
  <c r="M93" i="5"/>
  <c r="L93" i="5"/>
  <c r="M92" i="5"/>
  <c r="L92" i="5"/>
  <c r="M91" i="5"/>
  <c r="L91" i="5"/>
  <c r="M90" i="5"/>
  <c r="L90" i="5"/>
  <c r="M89" i="5"/>
  <c r="L89" i="5"/>
  <c r="M88" i="5"/>
  <c r="L88" i="5"/>
  <c r="M87" i="5"/>
  <c r="L87" i="5"/>
  <c r="M86" i="5"/>
  <c r="L86" i="5"/>
  <c r="M85" i="5"/>
  <c r="L85" i="5"/>
  <c r="M84" i="5"/>
  <c r="L84" i="5"/>
  <c r="M47" i="4"/>
  <c r="L47" i="4"/>
  <c r="M46" i="4"/>
  <c r="L46" i="4"/>
  <c r="M45" i="4"/>
  <c r="L45" i="4"/>
  <c r="M44" i="4"/>
  <c r="L44" i="4"/>
  <c r="M43" i="4"/>
  <c r="L43" i="4"/>
  <c r="M42" i="4"/>
  <c r="L42" i="4"/>
  <c r="M41" i="4"/>
  <c r="L41" i="4"/>
  <c r="M40" i="4"/>
  <c r="L40" i="4"/>
  <c r="M39" i="4"/>
  <c r="L39" i="4"/>
  <c r="M38" i="4"/>
  <c r="L38" i="4"/>
  <c r="L62" i="4" s="1"/>
  <c r="R164" i="6" l="1"/>
  <c r="R163" i="6"/>
  <c r="R162" i="6"/>
  <c r="R161" i="6"/>
  <c r="R160" i="6"/>
  <c r="R159" i="6"/>
  <c r="R158" i="6"/>
  <c r="R157" i="6"/>
  <c r="R156" i="6"/>
  <c r="R155" i="6"/>
  <c r="R154" i="6"/>
  <c r="R153" i="6"/>
  <c r="R152" i="6"/>
  <c r="R151" i="6"/>
  <c r="R150" i="6"/>
  <c r="R149" i="6"/>
  <c r="R148" i="6"/>
  <c r="R147" i="6"/>
  <c r="R146" i="6"/>
  <c r="R132" i="6"/>
  <c r="R131" i="6"/>
  <c r="R130" i="6"/>
  <c r="R129" i="6"/>
  <c r="R128" i="6"/>
  <c r="R127" i="6"/>
  <c r="R126" i="6"/>
  <c r="R125" i="6"/>
  <c r="R124" i="6"/>
  <c r="R123" i="6"/>
  <c r="R122" i="6"/>
  <c r="R121" i="6"/>
  <c r="R120" i="6"/>
  <c r="R119" i="6"/>
  <c r="R118" i="6"/>
  <c r="R117" i="6"/>
  <c r="R116" i="6"/>
  <c r="R115" i="6"/>
  <c r="R114" i="6"/>
  <c r="R100" i="6"/>
  <c r="R99" i="6"/>
  <c r="R98" i="6"/>
  <c r="R97" i="6"/>
  <c r="R96" i="6"/>
  <c r="R95" i="6"/>
  <c r="R94" i="6"/>
  <c r="R93" i="6"/>
  <c r="R92" i="6"/>
  <c r="R91" i="6"/>
  <c r="R90" i="6"/>
  <c r="R89" i="6"/>
  <c r="R88" i="6"/>
  <c r="R87" i="6"/>
  <c r="R86" i="6"/>
  <c r="R85" i="6"/>
  <c r="R84" i="6"/>
  <c r="R83" i="6"/>
  <c r="R82" i="6"/>
  <c r="R67" i="6"/>
  <c r="R66" i="6"/>
  <c r="R65" i="6"/>
  <c r="R64" i="6"/>
  <c r="R63" i="6"/>
  <c r="R62" i="6"/>
  <c r="R61" i="6"/>
  <c r="R60" i="6"/>
  <c r="R59" i="6"/>
  <c r="R58" i="6"/>
  <c r="R57" i="6"/>
  <c r="R56" i="6"/>
  <c r="R55" i="6"/>
  <c r="R54" i="6"/>
  <c r="R53" i="6"/>
  <c r="R52" i="6"/>
  <c r="R51" i="6"/>
  <c r="R50" i="6"/>
  <c r="R49" i="6"/>
  <c r="R35" i="6"/>
  <c r="R34" i="6"/>
  <c r="R33" i="6"/>
  <c r="R32" i="6"/>
  <c r="R31" i="6"/>
  <c r="R30" i="6"/>
  <c r="R29" i="6"/>
  <c r="R28" i="6"/>
  <c r="R27" i="6"/>
  <c r="R26" i="6"/>
  <c r="R25" i="6"/>
  <c r="R24" i="6"/>
  <c r="R23" i="6"/>
  <c r="R22" i="6"/>
  <c r="R21" i="6"/>
  <c r="R20" i="6"/>
  <c r="R19" i="6"/>
  <c r="R18" i="6"/>
  <c r="R17" i="6"/>
  <c r="R340" i="5"/>
  <c r="R339" i="5"/>
  <c r="R338" i="5"/>
  <c r="R337" i="5"/>
  <c r="R336" i="5"/>
  <c r="R335" i="5"/>
  <c r="R334" i="5"/>
  <c r="R333" i="5"/>
  <c r="R332" i="5"/>
  <c r="R331" i="5"/>
  <c r="R330" i="5"/>
  <c r="R329" i="5"/>
  <c r="R328" i="5"/>
  <c r="R327" i="5"/>
  <c r="R326" i="5"/>
  <c r="R325" i="5"/>
  <c r="R324" i="5"/>
  <c r="R323" i="5"/>
  <c r="R322" i="5"/>
  <c r="R321" i="5"/>
  <c r="R320" i="5"/>
  <c r="R319" i="5"/>
  <c r="R318" i="5"/>
  <c r="R317" i="5"/>
  <c r="R316" i="5"/>
  <c r="R315" i="5"/>
  <c r="R314" i="5"/>
  <c r="R313" i="5"/>
  <c r="R312" i="5"/>
  <c r="R311" i="5"/>
  <c r="R310" i="5"/>
  <c r="R309" i="5"/>
  <c r="R308" i="5"/>
  <c r="R307" i="5"/>
  <c r="R306" i="5"/>
  <c r="R305" i="5"/>
  <c r="R304" i="5"/>
  <c r="R303" i="5"/>
  <c r="R302" i="5"/>
  <c r="R301" i="5"/>
  <c r="R300" i="5"/>
  <c r="R299" i="5"/>
  <c r="R298" i="5"/>
  <c r="R297" i="5"/>
  <c r="R296" i="5"/>
  <c r="R295" i="5"/>
  <c r="R294" i="5"/>
  <c r="R293" i="5"/>
  <c r="R292" i="5"/>
  <c r="R291" i="5"/>
  <c r="R290" i="5"/>
  <c r="R289" i="5"/>
  <c r="R273" i="5"/>
  <c r="R272" i="5"/>
  <c r="R271" i="5"/>
  <c r="R270" i="5"/>
  <c r="R269" i="5"/>
  <c r="R268" i="5"/>
  <c r="R267" i="5"/>
  <c r="R266" i="5"/>
  <c r="R265" i="5"/>
  <c r="R264" i="5"/>
  <c r="R263" i="5"/>
  <c r="R262" i="5"/>
  <c r="R261" i="5"/>
  <c r="R260" i="5"/>
  <c r="R259" i="5"/>
  <c r="R258" i="5"/>
  <c r="R257" i="5"/>
  <c r="R256" i="5"/>
  <c r="R255" i="5"/>
  <c r="R254" i="5"/>
  <c r="R253" i="5"/>
  <c r="R252" i="5"/>
  <c r="R251" i="5"/>
  <c r="R250" i="5"/>
  <c r="R249" i="5"/>
  <c r="R248" i="5"/>
  <c r="R247" i="5"/>
  <c r="R246" i="5"/>
  <c r="R245" i="5"/>
  <c r="R244" i="5"/>
  <c r="R243" i="5"/>
  <c r="R242" i="5"/>
  <c r="R241" i="5"/>
  <c r="R240" i="5"/>
  <c r="R239" i="5"/>
  <c r="R238" i="5"/>
  <c r="R237" i="5"/>
  <c r="R236" i="5"/>
  <c r="R235" i="5"/>
  <c r="R234" i="5"/>
  <c r="R233" i="5"/>
  <c r="R232" i="5"/>
  <c r="R231" i="5"/>
  <c r="R230" i="5"/>
  <c r="R229" i="5"/>
  <c r="R228" i="5"/>
  <c r="R227" i="5"/>
  <c r="R226" i="5"/>
  <c r="R225" i="5"/>
  <c r="R224" i="5"/>
  <c r="R223" i="5"/>
  <c r="R222" i="5"/>
  <c r="R206" i="5"/>
  <c r="R205" i="5"/>
  <c r="R204" i="5"/>
  <c r="R203" i="5"/>
  <c r="R202" i="5"/>
  <c r="R201" i="5"/>
  <c r="R200" i="5"/>
  <c r="R199" i="5"/>
  <c r="R198" i="5"/>
  <c r="R197" i="5"/>
  <c r="R196" i="5"/>
  <c r="R195" i="5"/>
  <c r="R194" i="5"/>
  <c r="R193" i="5"/>
  <c r="R192" i="5"/>
  <c r="R191" i="5"/>
  <c r="R190" i="5"/>
  <c r="R189" i="5"/>
  <c r="R188" i="5"/>
  <c r="R187" i="5"/>
  <c r="R186" i="5"/>
  <c r="R185" i="5"/>
  <c r="R184" i="5"/>
  <c r="R183" i="5"/>
  <c r="R182" i="5"/>
  <c r="R181" i="5"/>
  <c r="R180" i="5"/>
  <c r="R179" i="5"/>
  <c r="R178" i="5"/>
  <c r="R177" i="5"/>
  <c r="R176" i="5"/>
  <c r="R175" i="5"/>
  <c r="R174" i="5"/>
  <c r="R173" i="5"/>
  <c r="R172" i="5"/>
  <c r="R171" i="5"/>
  <c r="R170" i="5"/>
  <c r="R169" i="5"/>
  <c r="R168" i="5"/>
  <c r="R167" i="5"/>
  <c r="R166" i="5"/>
  <c r="R165" i="5"/>
  <c r="R164" i="5"/>
  <c r="R163" i="5"/>
  <c r="R162" i="5"/>
  <c r="R161" i="5"/>
  <c r="R160" i="5"/>
  <c r="R159" i="5"/>
  <c r="R158" i="5"/>
  <c r="R157" i="5"/>
  <c r="R156" i="5"/>
  <c r="R155" i="5"/>
  <c r="R138" i="5"/>
  <c r="R137" i="5"/>
  <c r="R136" i="5"/>
  <c r="R135" i="5"/>
  <c r="R134" i="5"/>
  <c r="R133" i="5"/>
  <c r="R132" i="5"/>
  <c r="R131" i="5"/>
  <c r="R130" i="5"/>
  <c r="R129" i="5"/>
  <c r="R128" i="5"/>
  <c r="R127" i="5"/>
  <c r="R126" i="5"/>
  <c r="R125" i="5"/>
  <c r="R124" i="5"/>
  <c r="R123" i="5"/>
  <c r="R122" i="5"/>
  <c r="R121" i="5"/>
  <c r="R120" i="5"/>
  <c r="R119" i="5"/>
  <c r="R118" i="5"/>
  <c r="R117" i="5"/>
  <c r="R116" i="5"/>
  <c r="R115" i="5"/>
  <c r="R114" i="5"/>
  <c r="R113" i="5"/>
  <c r="R112" i="5"/>
  <c r="R111" i="5"/>
  <c r="R110" i="5"/>
  <c r="R109" i="5"/>
  <c r="R108" i="5"/>
  <c r="R107" i="5"/>
  <c r="R106" i="5"/>
  <c r="R105" i="5"/>
  <c r="R104" i="5"/>
  <c r="R103" i="5"/>
  <c r="R102" i="5"/>
  <c r="R101" i="5"/>
  <c r="R100" i="5"/>
  <c r="R99" i="5"/>
  <c r="R98" i="5"/>
  <c r="R97" i="5"/>
  <c r="R96" i="5"/>
  <c r="R95" i="5"/>
  <c r="R94" i="5"/>
  <c r="R93" i="5"/>
  <c r="R92" i="5"/>
  <c r="R91" i="5"/>
  <c r="R90" i="5"/>
  <c r="R89" i="5"/>
  <c r="R88" i="5"/>
  <c r="R87" i="5"/>
  <c r="R70" i="5"/>
  <c r="R69" i="5"/>
  <c r="R68" i="5"/>
  <c r="R67" i="5"/>
  <c r="R66" i="5"/>
  <c r="R65" i="5"/>
  <c r="R64" i="5"/>
  <c r="R63" i="5"/>
  <c r="R62" i="5"/>
  <c r="R61" i="5"/>
  <c r="R60" i="5"/>
  <c r="R59" i="5"/>
  <c r="R58" i="5"/>
  <c r="R57" i="5"/>
  <c r="R56" i="5"/>
  <c r="R55" i="5"/>
  <c r="R54" i="5"/>
  <c r="R53" i="5"/>
  <c r="R52" i="5"/>
  <c r="R51" i="5"/>
  <c r="R50" i="5"/>
  <c r="R49" i="5"/>
  <c r="R48" i="5"/>
  <c r="R47" i="5"/>
  <c r="R46" i="5"/>
  <c r="R45" i="5"/>
  <c r="R44" i="5"/>
  <c r="R43" i="5"/>
  <c r="R42" i="5"/>
  <c r="R41" i="5"/>
  <c r="R40" i="5"/>
  <c r="R39" i="5"/>
  <c r="R38" i="5"/>
  <c r="R37" i="5"/>
  <c r="R36" i="5"/>
  <c r="R35" i="5"/>
  <c r="R34" i="5"/>
  <c r="R33" i="5"/>
  <c r="R32" i="5"/>
  <c r="R31" i="5"/>
  <c r="R30" i="5"/>
  <c r="R29" i="5"/>
  <c r="R28" i="5"/>
  <c r="R27" i="5"/>
  <c r="R26" i="5"/>
  <c r="R25" i="5"/>
  <c r="R24" i="5"/>
  <c r="R23" i="5"/>
  <c r="R22" i="5"/>
  <c r="R21" i="5"/>
  <c r="R20" i="5"/>
  <c r="R19" i="5"/>
  <c r="R25" i="4"/>
  <c r="R24" i="4"/>
  <c r="R23" i="4"/>
  <c r="R22" i="4"/>
  <c r="R21" i="4"/>
  <c r="R20" i="4"/>
  <c r="R19" i="4"/>
  <c r="R18" i="4"/>
  <c r="R17" i="4"/>
  <c r="I164" i="6" l="1"/>
  <c r="I163" i="6"/>
  <c r="I162" i="6"/>
  <c r="I161" i="6"/>
  <c r="I160" i="6"/>
  <c r="I159" i="6"/>
  <c r="I158" i="6"/>
  <c r="I157" i="6"/>
  <c r="I156" i="6"/>
  <c r="I155" i="6"/>
  <c r="I154" i="6"/>
  <c r="I153" i="6"/>
  <c r="I152" i="6"/>
  <c r="I151" i="6"/>
  <c r="I150" i="6"/>
  <c r="I149" i="6"/>
  <c r="I148" i="6"/>
  <c r="I147" i="6"/>
  <c r="I146" i="6"/>
  <c r="I132" i="6"/>
  <c r="I131" i="6"/>
  <c r="I130" i="6"/>
  <c r="I129" i="6"/>
  <c r="I128" i="6"/>
  <c r="I127" i="6"/>
  <c r="I126" i="6"/>
  <c r="I125" i="6"/>
  <c r="I124" i="6"/>
  <c r="I123" i="6"/>
  <c r="I122" i="6"/>
  <c r="I121" i="6"/>
  <c r="I120" i="6"/>
  <c r="I119" i="6"/>
  <c r="I118" i="6"/>
  <c r="I117" i="6"/>
  <c r="I116" i="6"/>
  <c r="I115" i="6"/>
  <c r="I114" i="6"/>
  <c r="I100" i="6"/>
  <c r="I99" i="6"/>
  <c r="I98" i="6"/>
  <c r="I97" i="6"/>
  <c r="I96" i="6"/>
  <c r="I95" i="6"/>
  <c r="I94" i="6"/>
  <c r="I93" i="6"/>
  <c r="I92" i="6"/>
  <c r="I91" i="6"/>
  <c r="I90" i="6"/>
  <c r="I89" i="6"/>
  <c r="I88" i="6"/>
  <c r="I87" i="6"/>
  <c r="I86" i="6"/>
  <c r="I85" i="6"/>
  <c r="I84" i="6"/>
  <c r="I83" i="6"/>
  <c r="I82" i="6"/>
  <c r="I67" i="6"/>
  <c r="I66" i="6"/>
  <c r="I65" i="6"/>
  <c r="I64" i="6"/>
  <c r="I63" i="6"/>
  <c r="I62" i="6"/>
  <c r="I61" i="6"/>
  <c r="I60" i="6"/>
  <c r="I59" i="6"/>
  <c r="I58" i="6"/>
  <c r="I57" i="6"/>
  <c r="I56" i="6"/>
  <c r="I55" i="6"/>
  <c r="I54" i="6"/>
  <c r="I53" i="6"/>
  <c r="I52" i="6"/>
  <c r="I51" i="6"/>
  <c r="I50" i="6"/>
  <c r="I49" i="6"/>
  <c r="I340" i="5"/>
  <c r="I339" i="5"/>
  <c r="I338" i="5"/>
  <c r="I337" i="5"/>
  <c r="I336" i="5"/>
  <c r="I335" i="5"/>
  <c r="I334" i="5"/>
  <c r="I333" i="5"/>
  <c r="I332" i="5"/>
  <c r="I331" i="5"/>
  <c r="I330" i="5"/>
  <c r="I329" i="5"/>
  <c r="I328" i="5"/>
  <c r="I327" i="5"/>
  <c r="I326" i="5"/>
  <c r="I325" i="5"/>
  <c r="I324" i="5"/>
  <c r="I323" i="5"/>
  <c r="I322" i="5"/>
  <c r="I321" i="5"/>
  <c r="I320" i="5"/>
  <c r="I319" i="5"/>
  <c r="I318" i="5"/>
  <c r="I317" i="5"/>
  <c r="I316" i="5"/>
  <c r="I315" i="5"/>
  <c r="I314" i="5"/>
  <c r="I313" i="5"/>
  <c r="I312" i="5"/>
  <c r="I311" i="5"/>
  <c r="I310" i="5"/>
  <c r="I309" i="5"/>
  <c r="I308" i="5"/>
  <c r="I307" i="5"/>
  <c r="I306" i="5"/>
  <c r="I305" i="5"/>
  <c r="I304" i="5"/>
  <c r="I303" i="5"/>
  <c r="I302" i="5"/>
  <c r="I301" i="5"/>
  <c r="I300" i="5"/>
  <c r="I299" i="5"/>
  <c r="I298" i="5"/>
  <c r="I297" i="5"/>
  <c r="I296" i="5"/>
  <c r="I295" i="5"/>
  <c r="I294" i="5"/>
  <c r="I293" i="5"/>
  <c r="I292" i="5"/>
  <c r="I291" i="5"/>
  <c r="I290" i="5"/>
  <c r="I289" i="5"/>
  <c r="I273" i="5"/>
  <c r="I272" i="5"/>
  <c r="I271" i="5"/>
  <c r="I270" i="5"/>
  <c r="I269" i="5"/>
  <c r="I268" i="5"/>
  <c r="I267" i="5"/>
  <c r="I266" i="5"/>
  <c r="I265" i="5"/>
  <c r="I264" i="5"/>
  <c r="I263" i="5"/>
  <c r="I262" i="5"/>
  <c r="I261" i="5"/>
  <c r="I260" i="5"/>
  <c r="I259" i="5"/>
  <c r="I258" i="5"/>
  <c r="I257" i="5"/>
  <c r="I256" i="5"/>
  <c r="I255" i="5"/>
  <c r="I254" i="5"/>
  <c r="I253" i="5"/>
  <c r="I252" i="5"/>
  <c r="I251" i="5"/>
  <c r="I250" i="5"/>
  <c r="I249" i="5"/>
  <c r="I248" i="5"/>
  <c r="I247" i="5"/>
  <c r="I246" i="5"/>
  <c r="I245" i="5"/>
  <c r="I244" i="5"/>
  <c r="I243" i="5"/>
  <c r="I242" i="5"/>
  <c r="I241" i="5"/>
  <c r="I240" i="5"/>
  <c r="I239" i="5"/>
  <c r="I238" i="5"/>
  <c r="I237" i="5"/>
  <c r="I236" i="5"/>
  <c r="I235" i="5"/>
  <c r="I234" i="5"/>
  <c r="I233" i="5"/>
  <c r="I232" i="5"/>
  <c r="I231" i="5"/>
  <c r="I230" i="5"/>
  <c r="I229" i="5"/>
  <c r="I228" i="5"/>
  <c r="I227" i="5"/>
  <c r="I226" i="5"/>
  <c r="I225" i="5"/>
  <c r="I224" i="5"/>
  <c r="I223" i="5"/>
  <c r="I222" i="5"/>
  <c r="I206" i="5"/>
  <c r="I205" i="5"/>
  <c r="I204" i="5"/>
  <c r="I203" i="5"/>
  <c r="I202" i="5"/>
  <c r="I201" i="5"/>
  <c r="I200" i="5"/>
  <c r="I199" i="5"/>
  <c r="I198" i="5"/>
  <c r="I197" i="5"/>
  <c r="I196" i="5"/>
  <c r="I195" i="5"/>
  <c r="I194" i="5"/>
  <c r="I193" i="5"/>
  <c r="I192" i="5"/>
  <c r="I191" i="5"/>
  <c r="I190" i="5"/>
  <c r="I189" i="5"/>
  <c r="I188" i="5"/>
  <c r="I187" i="5"/>
  <c r="I186" i="5"/>
  <c r="I185" i="5"/>
  <c r="I184" i="5"/>
  <c r="I183" i="5"/>
  <c r="I182" i="5"/>
  <c r="I181" i="5"/>
  <c r="I180" i="5"/>
  <c r="I179" i="5"/>
  <c r="I178" i="5"/>
  <c r="I177" i="5"/>
  <c r="I176" i="5"/>
  <c r="I175" i="5"/>
  <c r="I174" i="5"/>
  <c r="I173" i="5"/>
  <c r="I172" i="5"/>
  <c r="I171" i="5"/>
  <c r="I170" i="5"/>
  <c r="I169" i="5"/>
  <c r="I168" i="5"/>
  <c r="I167" i="5"/>
  <c r="I166" i="5"/>
  <c r="I165" i="5"/>
  <c r="I164" i="5"/>
  <c r="I163" i="5"/>
  <c r="I162" i="5"/>
  <c r="I161" i="5"/>
  <c r="I160" i="5"/>
  <c r="I159" i="5"/>
  <c r="I158" i="5"/>
  <c r="I157" i="5"/>
  <c r="I156" i="5"/>
  <c r="I155" i="5"/>
  <c r="I138" i="5"/>
  <c r="I137" i="5"/>
  <c r="I136" i="5"/>
  <c r="I135" i="5"/>
  <c r="I134" i="5"/>
  <c r="I133" i="5"/>
  <c r="I132" i="5"/>
  <c r="I131" i="5"/>
  <c r="I130" i="5"/>
  <c r="I129" i="5"/>
  <c r="I128" i="5"/>
  <c r="I127" i="5"/>
  <c r="I126" i="5"/>
  <c r="I125" i="5"/>
  <c r="I124" i="5"/>
  <c r="I123" i="5"/>
  <c r="I122" i="5"/>
  <c r="I121" i="5"/>
  <c r="I120" i="5"/>
  <c r="I119" i="5"/>
  <c r="I118" i="5"/>
  <c r="I117" i="5"/>
  <c r="I116" i="5"/>
  <c r="I115" i="5"/>
  <c r="I114" i="5"/>
  <c r="I113" i="5"/>
  <c r="I112" i="5"/>
  <c r="I111" i="5"/>
  <c r="I110" i="5"/>
  <c r="I109" i="5"/>
  <c r="I108" i="5"/>
  <c r="I107" i="5"/>
  <c r="I106" i="5"/>
  <c r="I105" i="5"/>
  <c r="I104" i="5"/>
  <c r="I103" i="5"/>
  <c r="I102" i="5"/>
  <c r="I101" i="5"/>
  <c r="I100" i="5"/>
  <c r="I99" i="5"/>
  <c r="I98" i="5"/>
  <c r="I97" i="5"/>
  <c r="I96" i="5"/>
  <c r="I95" i="5"/>
  <c r="I94" i="5"/>
  <c r="I93" i="5"/>
  <c r="I92" i="5"/>
  <c r="I91" i="5"/>
  <c r="I90" i="5"/>
  <c r="I89" i="5"/>
  <c r="I88" i="5"/>
  <c r="I87" i="5"/>
  <c r="Z35" i="6" l="1"/>
  <c r="Z34" i="6"/>
  <c r="Z33" i="6"/>
  <c r="Z32" i="6"/>
  <c r="Z31" i="6"/>
  <c r="Z30" i="6"/>
  <c r="Z29" i="6"/>
  <c r="Z28" i="6"/>
  <c r="Z27" i="6"/>
  <c r="Z26" i="6"/>
  <c r="Z25" i="6"/>
  <c r="Z24" i="6"/>
  <c r="Z23" i="6"/>
  <c r="Z22" i="6"/>
  <c r="Z21" i="6"/>
  <c r="Z20" i="6"/>
  <c r="Z19" i="6"/>
  <c r="Z18" i="6"/>
  <c r="Z17" i="6"/>
  <c r="Z16" i="6"/>
  <c r="Z70" i="5"/>
  <c r="Z69" i="5"/>
  <c r="Z68" i="5"/>
  <c r="Z67" i="5"/>
  <c r="Z66" i="5"/>
  <c r="Z65" i="5"/>
  <c r="Z64" i="5"/>
  <c r="Z63" i="5"/>
  <c r="Z62" i="5"/>
  <c r="Z61" i="5"/>
  <c r="Z60" i="5"/>
  <c r="Z59" i="5"/>
  <c r="Z58" i="5"/>
  <c r="Z57" i="5"/>
  <c r="Z56" i="5"/>
  <c r="Z55" i="5"/>
  <c r="Z54" i="5"/>
  <c r="Z53" i="5"/>
  <c r="Z52" i="5"/>
  <c r="Z51" i="5"/>
  <c r="Z50" i="5"/>
  <c r="Z49" i="5"/>
  <c r="Z48" i="5"/>
  <c r="Z47" i="5"/>
  <c r="Z46" i="5"/>
  <c r="Z45" i="5"/>
  <c r="Z44" i="5"/>
  <c r="Z43" i="5"/>
  <c r="Z42" i="5"/>
  <c r="Z41" i="5"/>
  <c r="Z40" i="5"/>
  <c r="Z39" i="5"/>
  <c r="Z38" i="5"/>
  <c r="Z37" i="5"/>
  <c r="Z36" i="5"/>
  <c r="Z35" i="5"/>
  <c r="Z34" i="5"/>
  <c r="Z33" i="5"/>
  <c r="Z32" i="5"/>
  <c r="Z31" i="5"/>
  <c r="Z30" i="5"/>
  <c r="Z29" i="5"/>
  <c r="Z28" i="5"/>
  <c r="Z27" i="5"/>
  <c r="Z26" i="5"/>
  <c r="Z25" i="5"/>
  <c r="Z24" i="5"/>
  <c r="Z23" i="5"/>
  <c r="Z22" i="5"/>
  <c r="Z21" i="5"/>
  <c r="Z20" i="5"/>
  <c r="Z19" i="5"/>
  <c r="Z18" i="5"/>
  <c r="Z17" i="5"/>
  <c r="Z16" i="5"/>
  <c r="Z25" i="4"/>
  <c r="Z24" i="4"/>
  <c r="Z23" i="4"/>
  <c r="Z22" i="4"/>
  <c r="Z21" i="4"/>
  <c r="Z20" i="4"/>
  <c r="Z19" i="4"/>
  <c r="Z18" i="4"/>
  <c r="Z17" i="4"/>
  <c r="Z16" i="4"/>
  <c r="N164" i="6" l="1"/>
  <c r="N163" i="6"/>
  <c r="N162" i="6"/>
  <c r="N161" i="6"/>
  <c r="N160" i="6"/>
  <c r="N159" i="6"/>
  <c r="N158" i="6"/>
  <c r="N157" i="6"/>
  <c r="N156" i="6"/>
  <c r="N155" i="6"/>
  <c r="N154" i="6"/>
  <c r="N153" i="6"/>
  <c r="N152" i="6"/>
  <c r="N151" i="6"/>
  <c r="N150" i="6"/>
  <c r="N149" i="6"/>
  <c r="N148" i="6"/>
  <c r="N147" i="6"/>
  <c r="N146" i="6"/>
  <c r="N132" i="6"/>
  <c r="N131" i="6"/>
  <c r="N130" i="6"/>
  <c r="N129" i="6"/>
  <c r="N128" i="6"/>
  <c r="N127" i="6"/>
  <c r="N126" i="6"/>
  <c r="N125" i="6"/>
  <c r="N124" i="6"/>
  <c r="N123" i="6"/>
  <c r="N122" i="6"/>
  <c r="N121" i="6"/>
  <c r="N120" i="6"/>
  <c r="N119" i="6"/>
  <c r="N118" i="6"/>
  <c r="N117" i="6"/>
  <c r="N116" i="6"/>
  <c r="N115" i="6"/>
  <c r="N114" i="6"/>
  <c r="N100" i="6"/>
  <c r="N99" i="6"/>
  <c r="N98" i="6"/>
  <c r="N97" i="6"/>
  <c r="N96" i="6"/>
  <c r="N95" i="6"/>
  <c r="N94" i="6"/>
  <c r="N93" i="6"/>
  <c r="N92" i="6"/>
  <c r="N91" i="6"/>
  <c r="N90" i="6"/>
  <c r="N89" i="6"/>
  <c r="N88" i="6"/>
  <c r="N87" i="6"/>
  <c r="N86" i="6"/>
  <c r="N85" i="6"/>
  <c r="N84" i="6"/>
  <c r="N83" i="6"/>
  <c r="N82" i="6"/>
  <c r="N67" i="6"/>
  <c r="N66" i="6"/>
  <c r="N65" i="6"/>
  <c r="N64" i="6"/>
  <c r="N63" i="6"/>
  <c r="N62" i="6"/>
  <c r="N61" i="6"/>
  <c r="N60" i="6"/>
  <c r="N59" i="6"/>
  <c r="N58" i="6"/>
  <c r="N57" i="6"/>
  <c r="N56" i="6"/>
  <c r="N55" i="6"/>
  <c r="N54" i="6"/>
  <c r="N53" i="6"/>
  <c r="N52" i="6"/>
  <c r="N51" i="6"/>
  <c r="N50" i="6"/>
  <c r="N49" i="6"/>
  <c r="N35" i="6"/>
  <c r="N34" i="6"/>
  <c r="N33" i="6"/>
  <c r="N32" i="6"/>
  <c r="N31" i="6"/>
  <c r="N30" i="6"/>
  <c r="N29" i="6"/>
  <c r="N28" i="6"/>
  <c r="N27" i="6"/>
  <c r="N26" i="6"/>
  <c r="N25" i="6"/>
  <c r="N24" i="6"/>
  <c r="N23" i="6"/>
  <c r="N22" i="6"/>
  <c r="N21" i="6"/>
  <c r="N20" i="6"/>
  <c r="N19" i="6"/>
  <c r="N18" i="6"/>
  <c r="N17" i="6"/>
  <c r="N16" i="6"/>
  <c r="N25" i="4"/>
  <c r="N24" i="4"/>
  <c r="N23" i="4"/>
  <c r="N22" i="4"/>
  <c r="N21" i="4"/>
  <c r="N20" i="4"/>
  <c r="N19" i="4"/>
  <c r="N18" i="4"/>
  <c r="N17" i="4"/>
  <c r="O340" i="5"/>
  <c r="N340" i="5"/>
  <c r="O339" i="5"/>
  <c r="N339" i="5"/>
  <c r="O338" i="5"/>
  <c r="N338" i="5"/>
  <c r="O337" i="5"/>
  <c r="N337" i="5"/>
  <c r="O336" i="5"/>
  <c r="N336" i="5"/>
  <c r="O335" i="5"/>
  <c r="N335" i="5"/>
  <c r="O334" i="5"/>
  <c r="N334" i="5"/>
  <c r="O333" i="5"/>
  <c r="N333" i="5"/>
  <c r="O332" i="5"/>
  <c r="N332" i="5"/>
  <c r="O331" i="5"/>
  <c r="N331" i="5"/>
  <c r="O330" i="5"/>
  <c r="N330" i="5"/>
  <c r="O329" i="5"/>
  <c r="N329" i="5"/>
  <c r="O328" i="5"/>
  <c r="N328" i="5"/>
  <c r="O327" i="5"/>
  <c r="N327" i="5"/>
  <c r="O326" i="5"/>
  <c r="N326" i="5"/>
  <c r="O325" i="5"/>
  <c r="N325" i="5"/>
  <c r="O324" i="5"/>
  <c r="N324" i="5"/>
  <c r="O323" i="5"/>
  <c r="N323" i="5"/>
  <c r="O322" i="5"/>
  <c r="N322" i="5"/>
  <c r="O321" i="5"/>
  <c r="N321" i="5"/>
  <c r="O320" i="5"/>
  <c r="N320" i="5"/>
  <c r="O319" i="5"/>
  <c r="N319" i="5"/>
  <c r="O318" i="5"/>
  <c r="N318" i="5"/>
  <c r="O317" i="5"/>
  <c r="N317" i="5"/>
  <c r="O316" i="5"/>
  <c r="N316" i="5"/>
  <c r="O315" i="5"/>
  <c r="N315" i="5"/>
  <c r="O314" i="5"/>
  <c r="N314" i="5"/>
  <c r="O313" i="5"/>
  <c r="N313" i="5"/>
  <c r="O312" i="5"/>
  <c r="N312" i="5"/>
  <c r="O311" i="5"/>
  <c r="N311" i="5"/>
  <c r="O310" i="5"/>
  <c r="N310" i="5"/>
  <c r="O309" i="5"/>
  <c r="N309" i="5"/>
  <c r="O308" i="5"/>
  <c r="N308" i="5"/>
  <c r="O307" i="5"/>
  <c r="N307" i="5"/>
  <c r="O306" i="5"/>
  <c r="N306" i="5"/>
  <c r="O305" i="5"/>
  <c r="N305" i="5"/>
  <c r="O304" i="5"/>
  <c r="N304" i="5"/>
  <c r="O303" i="5"/>
  <c r="N303" i="5"/>
  <c r="O302" i="5"/>
  <c r="N302" i="5"/>
  <c r="O301" i="5"/>
  <c r="N301" i="5"/>
  <c r="O300" i="5"/>
  <c r="N300" i="5"/>
  <c r="O299" i="5"/>
  <c r="N299" i="5"/>
  <c r="O298" i="5"/>
  <c r="N298" i="5"/>
  <c r="O297" i="5"/>
  <c r="N297" i="5"/>
  <c r="O296" i="5"/>
  <c r="N296" i="5"/>
  <c r="O295" i="5"/>
  <c r="N295" i="5"/>
  <c r="O294" i="5"/>
  <c r="N294" i="5"/>
  <c r="O293" i="5"/>
  <c r="N293" i="5"/>
  <c r="O292" i="5"/>
  <c r="N292" i="5"/>
  <c r="O291" i="5"/>
  <c r="N291" i="5"/>
  <c r="O290" i="5"/>
  <c r="N290" i="5"/>
  <c r="O289" i="5"/>
  <c r="N289" i="5"/>
  <c r="O273" i="5"/>
  <c r="N273" i="5"/>
  <c r="O272" i="5"/>
  <c r="N272" i="5"/>
  <c r="O271" i="5"/>
  <c r="N271" i="5"/>
  <c r="O270" i="5"/>
  <c r="N270" i="5"/>
  <c r="O269" i="5"/>
  <c r="N269" i="5"/>
  <c r="O268" i="5"/>
  <c r="N268" i="5"/>
  <c r="O267" i="5"/>
  <c r="N267" i="5"/>
  <c r="O266" i="5"/>
  <c r="N266" i="5"/>
  <c r="O265" i="5"/>
  <c r="N265" i="5"/>
  <c r="O264" i="5"/>
  <c r="N264" i="5"/>
  <c r="O263" i="5"/>
  <c r="N263" i="5"/>
  <c r="O262" i="5"/>
  <c r="N262" i="5"/>
  <c r="O261" i="5"/>
  <c r="N261" i="5"/>
  <c r="O260" i="5"/>
  <c r="N260" i="5"/>
  <c r="O259" i="5"/>
  <c r="N259" i="5"/>
  <c r="O258" i="5"/>
  <c r="N258" i="5"/>
  <c r="O257" i="5"/>
  <c r="N257" i="5"/>
  <c r="O256" i="5"/>
  <c r="N256" i="5"/>
  <c r="O255" i="5"/>
  <c r="N255" i="5"/>
  <c r="O254" i="5"/>
  <c r="N254" i="5"/>
  <c r="O253" i="5"/>
  <c r="N253" i="5"/>
  <c r="O252" i="5"/>
  <c r="N252" i="5"/>
  <c r="O251" i="5"/>
  <c r="N251" i="5"/>
  <c r="O250" i="5"/>
  <c r="N250" i="5"/>
  <c r="O249" i="5"/>
  <c r="N249" i="5"/>
  <c r="O248" i="5"/>
  <c r="N248" i="5"/>
  <c r="O247" i="5"/>
  <c r="N247" i="5"/>
  <c r="O246" i="5"/>
  <c r="N246" i="5"/>
  <c r="O245" i="5"/>
  <c r="N245" i="5"/>
  <c r="O244" i="5"/>
  <c r="N244" i="5"/>
  <c r="O243" i="5"/>
  <c r="N243" i="5"/>
  <c r="O242" i="5"/>
  <c r="N242" i="5"/>
  <c r="O241" i="5"/>
  <c r="N241" i="5"/>
  <c r="O240" i="5"/>
  <c r="N240" i="5"/>
  <c r="O239" i="5"/>
  <c r="N239" i="5"/>
  <c r="O238" i="5"/>
  <c r="N238" i="5"/>
  <c r="O237" i="5"/>
  <c r="N237" i="5"/>
  <c r="O236" i="5"/>
  <c r="N236" i="5"/>
  <c r="O235" i="5"/>
  <c r="N235" i="5"/>
  <c r="O234" i="5"/>
  <c r="N234" i="5"/>
  <c r="O233" i="5"/>
  <c r="N233" i="5"/>
  <c r="O232" i="5"/>
  <c r="N232" i="5"/>
  <c r="O231" i="5"/>
  <c r="N231" i="5"/>
  <c r="O230" i="5"/>
  <c r="N230" i="5"/>
  <c r="O229" i="5"/>
  <c r="N229" i="5"/>
  <c r="O228" i="5"/>
  <c r="N228" i="5"/>
  <c r="O227" i="5"/>
  <c r="N227" i="5"/>
  <c r="O226" i="5"/>
  <c r="N226" i="5"/>
  <c r="O225" i="5"/>
  <c r="N225" i="5"/>
  <c r="O224" i="5"/>
  <c r="N224" i="5"/>
  <c r="O223" i="5"/>
  <c r="N223" i="5"/>
  <c r="O222" i="5"/>
  <c r="N222" i="5"/>
  <c r="O206" i="5"/>
  <c r="N206" i="5"/>
  <c r="O205" i="5"/>
  <c r="N205" i="5"/>
  <c r="O204" i="5"/>
  <c r="N204" i="5"/>
  <c r="O203" i="5"/>
  <c r="N203" i="5"/>
  <c r="O202" i="5"/>
  <c r="N202" i="5"/>
  <c r="O201" i="5"/>
  <c r="N201" i="5"/>
  <c r="O200" i="5"/>
  <c r="N200" i="5"/>
  <c r="O199" i="5"/>
  <c r="N199" i="5"/>
  <c r="O198" i="5"/>
  <c r="N198" i="5"/>
  <c r="O197" i="5"/>
  <c r="N197" i="5"/>
  <c r="O196" i="5"/>
  <c r="N196" i="5"/>
  <c r="O195" i="5"/>
  <c r="N195" i="5"/>
  <c r="O194" i="5"/>
  <c r="N194" i="5"/>
  <c r="O193" i="5"/>
  <c r="N193" i="5"/>
  <c r="O192" i="5"/>
  <c r="N192" i="5"/>
  <c r="O191" i="5"/>
  <c r="N191" i="5"/>
  <c r="O190" i="5"/>
  <c r="N190" i="5"/>
  <c r="O189" i="5"/>
  <c r="N189" i="5"/>
  <c r="O188" i="5"/>
  <c r="N188" i="5"/>
  <c r="O187" i="5"/>
  <c r="N187" i="5"/>
  <c r="O186" i="5"/>
  <c r="N186" i="5"/>
  <c r="O185" i="5"/>
  <c r="N185" i="5"/>
  <c r="O184" i="5"/>
  <c r="N184" i="5"/>
  <c r="O183" i="5"/>
  <c r="N183" i="5"/>
  <c r="O182" i="5"/>
  <c r="N182" i="5"/>
  <c r="O181" i="5"/>
  <c r="N181" i="5"/>
  <c r="O180" i="5"/>
  <c r="N180" i="5"/>
  <c r="O179" i="5"/>
  <c r="N179" i="5"/>
  <c r="O178" i="5"/>
  <c r="N178" i="5"/>
  <c r="O177" i="5"/>
  <c r="N177" i="5"/>
  <c r="O176" i="5"/>
  <c r="N176" i="5"/>
  <c r="O175" i="5"/>
  <c r="N175" i="5"/>
  <c r="O174" i="5"/>
  <c r="N174" i="5"/>
  <c r="O173" i="5"/>
  <c r="N173" i="5"/>
  <c r="O172" i="5"/>
  <c r="N172" i="5"/>
  <c r="O171" i="5"/>
  <c r="N171" i="5"/>
  <c r="O170" i="5"/>
  <c r="N170" i="5"/>
  <c r="O169" i="5"/>
  <c r="N169" i="5"/>
  <c r="O168" i="5"/>
  <c r="N168" i="5"/>
  <c r="O167" i="5"/>
  <c r="N167" i="5"/>
  <c r="O166" i="5"/>
  <c r="N166" i="5"/>
  <c r="O165" i="5"/>
  <c r="N165" i="5"/>
  <c r="O164" i="5"/>
  <c r="N164" i="5"/>
  <c r="O163" i="5"/>
  <c r="N163" i="5"/>
  <c r="O162" i="5"/>
  <c r="N162" i="5"/>
  <c r="O161" i="5"/>
  <c r="N161" i="5"/>
  <c r="O160" i="5"/>
  <c r="N160" i="5"/>
  <c r="O159" i="5"/>
  <c r="N159" i="5"/>
  <c r="O158" i="5"/>
  <c r="N158" i="5"/>
  <c r="O157" i="5"/>
  <c r="N157" i="5"/>
  <c r="O156" i="5"/>
  <c r="N156" i="5"/>
  <c r="O155" i="5"/>
  <c r="N155" i="5"/>
  <c r="O138" i="5"/>
  <c r="N138" i="5"/>
  <c r="O137" i="5"/>
  <c r="N137" i="5"/>
  <c r="O136" i="5"/>
  <c r="N136" i="5"/>
  <c r="O135" i="5"/>
  <c r="N135" i="5"/>
  <c r="O134" i="5"/>
  <c r="N134" i="5"/>
  <c r="O133" i="5"/>
  <c r="N133" i="5"/>
  <c r="O132" i="5"/>
  <c r="N132" i="5"/>
  <c r="O131" i="5"/>
  <c r="N131" i="5"/>
  <c r="O130" i="5"/>
  <c r="N130" i="5"/>
  <c r="O129" i="5"/>
  <c r="N129" i="5"/>
  <c r="O128" i="5"/>
  <c r="N128" i="5"/>
  <c r="O127" i="5"/>
  <c r="N127" i="5"/>
  <c r="O126" i="5"/>
  <c r="N126" i="5"/>
  <c r="O125" i="5"/>
  <c r="N125" i="5"/>
  <c r="O124" i="5"/>
  <c r="N124" i="5"/>
  <c r="O123" i="5"/>
  <c r="N123" i="5"/>
  <c r="O122" i="5"/>
  <c r="N122" i="5"/>
  <c r="O121" i="5"/>
  <c r="N121" i="5"/>
  <c r="O120" i="5"/>
  <c r="N120" i="5"/>
  <c r="O119" i="5"/>
  <c r="N119" i="5"/>
  <c r="O118" i="5"/>
  <c r="N118" i="5"/>
  <c r="O117" i="5"/>
  <c r="N117" i="5"/>
  <c r="O116" i="5"/>
  <c r="N116" i="5"/>
  <c r="O115" i="5"/>
  <c r="N115" i="5"/>
  <c r="O114" i="5"/>
  <c r="N114" i="5"/>
  <c r="O113" i="5"/>
  <c r="N113" i="5"/>
  <c r="O112" i="5"/>
  <c r="N112" i="5"/>
  <c r="O111" i="5"/>
  <c r="N111" i="5"/>
  <c r="O110" i="5"/>
  <c r="N110" i="5"/>
  <c r="O109" i="5"/>
  <c r="N109" i="5"/>
  <c r="O108" i="5"/>
  <c r="N108" i="5"/>
  <c r="O107" i="5"/>
  <c r="N107" i="5"/>
  <c r="O106" i="5"/>
  <c r="N106" i="5"/>
  <c r="O105" i="5"/>
  <c r="N105" i="5"/>
  <c r="O104" i="5"/>
  <c r="N104" i="5"/>
  <c r="O103" i="5"/>
  <c r="N103" i="5"/>
  <c r="O102" i="5"/>
  <c r="N102" i="5"/>
  <c r="O101" i="5"/>
  <c r="N101" i="5"/>
  <c r="O100" i="5"/>
  <c r="N100" i="5"/>
  <c r="O99" i="5"/>
  <c r="N99" i="5"/>
  <c r="O98" i="5"/>
  <c r="N98" i="5"/>
  <c r="O97" i="5"/>
  <c r="N97" i="5"/>
  <c r="O96" i="5"/>
  <c r="N96" i="5"/>
  <c r="O95" i="5"/>
  <c r="N95" i="5"/>
  <c r="O94" i="5"/>
  <c r="N94" i="5"/>
  <c r="O93" i="5"/>
  <c r="N93" i="5"/>
  <c r="O92" i="5"/>
  <c r="N92" i="5"/>
  <c r="O91" i="5"/>
  <c r="N91" i="5"/>
  <c r="O90" i="5"/>
  <c r="N90" i="5"/>
  <c r="O89" i="5"/>
  <c r="N89" i="5"/>
  <c r="O88" i="5"/>
  <c r="N88" i="5"/>
  <c r="O87" i="5"/>
  <c r="N87" i="5"/>
  <c r="O70" i="5"/>
  <c r="N70" i="5"/>
  <c r="O69" i="5"/>
  <c r="N69" i="5"/>
  <c r="O68" i="5"/>
  <c r="N68" i="5"/>
  <c r="O67" i="5"/>
  <c r="N67" i="5"/>
  <c r="O66" i="5"/>
  <c r="N66" i="5"/>
  <c r="O65" i="5"/>
  <c r="N65" i="5"/>
  <c r="O64" i="5"/>
  <c r="N64" i="5"/>
  <c r="O63" i="5"/>
  <c r="N63" i="5"/>
  <c r="O62" i="5"/>
  <c r="N62" i="5"/>
  <c r="O61" i="5"/>
  <c r="N61" i="5"/>
  <c r="O60" i="5"/>
  <c r="N60" i="5"/>
  <c r="O59" i="5"/>
  <c r="N59" i="5"/>
  <c r="O58" i="5"/>
  <c r="N58" i="5"/>
  <c r="O57" i="5"/>
  <c r="N57" i="5"/>
  <c r="O56" i="5"/>
  <c r="N56" i="5"/>
  <c r="O55" i="5"/>
  <c r="N55" i="5"/>
  <c r="O54" i="5"/>
  <c r="N54" i="5"/>
  <c r="O53" i="5"/>
  <c r="N53" i="5"/>
  <c r="O52" i="5"/>
  <c r="N52" i="5"/>
  <c r="O51" i="5"/>
  <c r="N51" i="5"/>
  <c r="O50" i="5"/>
  <c r="N50" i="5"/>
  <c r="O49" i="5"/>
  <c r="N49" i="5"/>
  <c r="O48" i="5"/>
  <c r="N48" i="5"/>
  <c r="O47" i="5"/>
  <c r="N47" i="5"/>
  <c r="O46" i="5"/>
  <c r="N46" i="5"/>
  <c r="O45" i="5"/>
  <c r="N45" i="5"/>
  <c r="O44" i="5"/>
  <c r="N44" i="5"/>
  <c r="O43" i="5"/>
  <c r="N43" i="5"/>
  <c r="O42" i="5"/>
  <c r="N42" i="5"/>
  <c r="O41" i="5"/>
  <c r="N41" i="5"/>
  <c r="O40" i="5"/>
  <c r="N40" i="5"/>
  <c r="O39" i="5"/>
  <c r="N39" i="5"/>
  <c r="O38" i="5"/>
  <c r="N38" i="5"/>
  <c r="O37" i="5"/>
  <c r="N37" i="5"/>
  <c r="O36" i="5"/>
  <c r="N36" i="5"/>
  <c r="O35" i="5"/>
  <c r="N35" i="5"/>
  <c r="O34" i="5"/>
  <c r="N34" i="5"/>
  <c r="O33" i="5"/>
  <c r="N33" i="5"/>
  <c r="O32" i="5"/>
  <c r="N32" i="5"/>
  <c r="O31" i="5"/>
  <c r="N31" i="5"/>
  <c r="O30" i="5"/>
  <c r="N30" i="5"/>
  <c r="O29" i="5"/>
  <c r="N29" i="5"/>
  <c r="O28" i="5"/>
  <c r="N28" i="5"/>
  <c r="O27" i="5"/>
  <c r="N27" i="5"/>
  <c r="O26" i="5"/>
  <c r="N26" i="5"/>
  <c r="O25" i="5"/>
  <c r="N25" i="5"/>
  <c r="O24" i="5"/>
  <c r="N24" i="5"/>
  <c r="O23" i="5"/>
  <c r="N23" i="5"/>
  <c r="O22" i="5"/>
  <c r="N22" i="5"/>
  <c r="O21" i="5"/>
  <c r="N21" i="5"/>
  <c r="O20" i="5"/>
  <c r="N20" i="5"/>
  <c r="O19" i="5"/>
  <c r="N19" i="5"/>
  <c r="O18" i="5"/>
  <c r="N18" i="5"/>
  <c r="O17" i="5"/>
  <c r="N17" i="5"/>
  <c r="N16" i="5"/>
  <c r="Z14" i="4" l="1"/>
  <c r="Z14" i="6"/>
  <c r="AF164" i="6"/>
  <c r="T164" i="6"/>
  <c r="S164" i="6"/>
  <c r="P164" i="6"/>
  <c r="AD164" i="6"/>
  <c r="AF163" i="6"/>
  <c r="T163" i="6"/>
  <c r="S163" i="6"/>
  <c r="P163" i="6"/>
  <c r="AD163" i="6"/>
  <c r="AF162" i="6"/>
  <c r="T162" i="6"/>
  <c r="S162" i="6"/>
  <c r="P162" i="6"/>
  <c r="AD162" i="6"/>
  <c r="AF161" i="6"/>
  <c r="T161" i="6"/>
  <c r="S161" i="6"/>
  <c r="P161" i="6"/>
  <c r="AD161" i="6"/>
  <c r="AF160" i="6"/>
  <c r="T160" i="6"/>
  <c r="S160" i="6"/>
  <c r="P160" i="6"/>
  <c r="AD160" i="6"/>
  <c r="AF159" i="6"/>
  <c r="T159" i="6"/>
  <c r="S159" i="6"/>
  <c r="P159" i="6"/>
  <c r="AD159" i="6"/>
  <c r="AF158" i="6"/>
  <c r="T158" i="6"/>
  <c r="S158" i="6"/>
  <c r="P158" i="6"/>
  <c r="AD158" i="6"/>
  <c r="AF157" i="6"/>
  <c r="T157" i="6"/>
  <c r="S157" i="6"/>
  <c r="P157" i="6"/>
  <c r="AD157" i="6"/>
  <c r="AF156" i="6"/>
  <c r="T156" i="6"/>
  <c r="S156" i="6"/>
  <c r="P156" i="6"/>
  <c r="AD156" i="6"/>
  <c r="AF155" i="6"/>
  <c r="T155" i="6"/>
  <c r="S155" i="6"/>
  <c r="P155" i="6"/>
  <c r="AD155" i="6"/>
  <c r="AF154" i="6"/>
  <c r="T154" i="6"/>
  <c r="S154" i="6"/>
  <c r="P154" i="6"/>
  <c r="AD154" i="6"/>
  <c r="AF153" i="6"/>
  <c r="T153" i="6"/>
  <c r="S153" i="6"/>
  <c r="P153" i="6"/>
  <c r="AD153" i="6"/>
  <c r="AF152" i="6"/>
  <c r="T152" i="6"/>
  <c r="S152" i="6"/>
  <c r="P152" i="6"/>
  <c r="AD152" i="6"/>
  <c r="AF151" i="6"/>
  <c r="T151" i="6"/>
  <c r="S151" i="6"/>
  <c r="P151" i="6"/>
  <c r="AD151" i="6"/>
  <c r="AF150" i="6"/>
  <c r="T150" i="6"/>
  <c r="S150" i="6"/>
  <c r="P150" i="6"/>
  <c r="AD150" i="6"/>
  <c r="AF149" i="6"/>
  <c r="T149" i="6"/>
  <c r="S149" i="6"/>
  <c r="P149" i="6"/>
  <c r="AD149" i="6"/>
  <c r="AF148" i="6"/>
  <c r="T148" i="6"/>
  <c r="S148" i="6"/>
  <c r="P148" i="6"/>
  <c r="AD148" i="6"/>
  <c r="AF147" i="6"/>
  <c r="T147" i="6"/>
  <c r="S147" i="6"/>
  <c r="P147" i="6"/>
  <c r="AD147" i="6"/>
  <c r="AF146" i="6"/>
  <c r="T146" i="6"/>
  <c r="S146" i="6"/>
  <c r="P146" i="6"/>
  <c r="AD146" i="6"/>
  <c r="AF132" i="6"/>
  <c r="T132" i="6"/>
  <c r="S132" i="6"/>
  <c r="P132" i="6"/>
  <c r="AD132" i="6"/>
  <c r="AF131" i="6"/>
  <c r="T131" i="6"/>
  <c r="S131" i="6"/>
  <c r="P131" i="6"/>
  <c r="AD131" i="6"/>
  <c r="AF130" i="6"/>
  <c r="T130" i="6"/>
  <c r="S130" i="6"/>
  <c r="P130" i="6"/>
  <c r="AD130" i="6"/>
  <c r="AF129" i="6"/>
  <c r="T129" i="6"/>
  <c r="S129" i="6"/>
  <c r="P129" i="6"/>
  <c r="AD129" i="6"/>
  <c r="AF128" i="6"/>
  <c r="T128" i="6"/>
  <c r="S128" i="6"/>
  <c r="P128" i="6"/>
  <c r="AD128" i="6"/>
  <c r="AF127" i="6"/>
  <c r="T127" i="6"/>
  <c r="S127" i="6"/>
  <c r="P127" i="6"/>
  <c r="AD127" i="6"/>
  <c r="AF126" i="6"/>
  <c r="T126" i="6"/>
  <c r="S126" i="6"/>
  <c r="P126" i="6"/>
  <c r="AD126" i="6"/>
  <c r="AF125" i="6"/>
  <c r="T125" i="6"/>
  <c r="S125" i="6"/>
  <c r="P125" i="6"/>
  <c r="AD125" i="6"/>
  <c r="AF124" i="6"/>
  <c r="T124" i="6"/>
  <c r="S124" i="6"/>
  <c r="P124" i="6"/>
  <c r="AD124" i="6"/>
  <c r="AF123" i="6"/>
  <c r="T123" i="6"/>
  <c r="S123" i="6"/>
  <c r="P123" i="6"/>
  <c r="AD123" i="6"/>
  <c r="AF122" i="6"/>
  <c r="T122" i="6"/>
  <c r="S122" i="6"/>
  <c r="P122" i="6"/>
  <c r="AD122" i="6"/>
  <c r="AF121" i="6"/>
  <c r="T121" i="6"/>
  <c r="S121" i="6"/>
  <c r="P121" i="6"/>
  <c r="AD121" i="6"/>
  <c r="AF120" i="6"/>
  <c r="T120" i="6"/>
  <c r="S120" i="6"/>
  <c r="P120" i="6"/>
  <c r="AD120" i="6"/>
  <c r="AF119" i="6"/>
  <c r="T119" i="6"/>
  <c r="S119" i="6"/>
  <c r="P119" i="6"/>
  <c r="AD119" i="6"/>
  <c r="AF118" i="6"/>
  <c r="T118" i="6"/>
  <c r="S118" i="6"/>
  <c r="P118" i="6"/>
  <c r="AD118" i="6"/>
  <c r="AF117" i="6"/>
  <c r="T117" i="6"/>
  <c r="S117" i="6"/>
  <c r="P117" i="6"/>
  <c r="AD117" i="6"/>
  <c r="AF116" i="6"/>
  <c r="T116" i="6"/>
  <c r="S116" i="6"/>
  <c r="P116" i="6"/>
  <c r="AD116" i="6"/>
  <c r="AF115" i="6"/>
  <c r="T115" i="6"/>
  <c r="S115" i="6"/>
  <c r="P115" i="6"/>
  <c r="AD115" i="6"/>
  <c r="AF114" i="6"/>
  <c r="T114" i="6"/>
  <c r="S114" i="6"/>
  <c r="P114" i="6"/>
  <c r="AD114" i="6"/>
  <c r="AF100" i="6"/>
  <c r="T100" i="6"/>
  <c r="S100" i="6"/>
  <c r="P100" i="6"/>
  <c r="AD100" i="6"/>
  <c r="AF99" i="6"/>
  <c r="T99" i="6"/>
  <c r="S99" i="6"/>
  <c r="P99" i="6"/>
  <c r="AD99" i="6"/>
  <c r="AF98" i="6"/>
  <c r="T98" i="6"/>
  <c r="S98" i="6"/>
  <c r="P98" i="6"/>
  <c r="AD98" i="6"/>
  <c r="AF97" i="6"/>
  <c r="T97" i="6"/>
  <c r="S97" i="6"/>
  <c r="P97" i="6"/>
  <c r="AD97" i="6"/>
  <c r="AF96" i="6"/>
  <c r="T96" i="6"/>
  <c r="S96" i="6"/>
  <c r="P96" i="6"/>
  <c r="AD96" i="6"/>
  <c r="AF95" i="6"/>
  <c r="T95" i="6"/>
  <c r="S95" i="6"/>
  <c r="P95" i="6"/>
  <c r="AD95" i="6"/>
  <c r="AF94" i="6"/>
  <c r="T94" i="6"/>
  <c r="S94" i="6"/>
  <c r="P94" i="6"/>
  <c r="AD94" i="6"/>
  <c r="AF93" i="6"/>
  <c r="T93" i="6"/>
  <c r="S93" i="6"/>
  <c r="P93" i="6"/>
  <c r="AD93" i="6"/>
  <c r="AF92" i="6"/>
  <c r="T92" i="6"/>
  <c r="S92" i="6"/>
  <c r="P92" i="6"/>
  <c r="AD92" i="6"/>
  <c r="AF91" i="6"/>
  <c r="T91" i="6"/>
  <c r="S91" i="6"/>
  <c r="P91" i="6"/>
  <c r="AD91" i="6"/>
  <c r="AF90" i="6"/>
  <c r="T90" i="6"/>
  <c r="S90" i="6"/>
  <c r="P90" i="6"/>
  <c r="AD90" i="6"/>
  <c r="AF89" i="6"/>
  <c r="T89" i="6"/>
  <c r="S89" i="6"/>
  <c r="P89" i="6"/>
  <c r="AD89" i="6"/>
  <c r="AF88" i="6"/>
  <c r="T88" i="6"/>
  <c r="S88" i="6"/>
  <c r="P88" i="6"/>
  <c r="AD88" i="6"/>
  <c r="AF87" i="6"/>
  <c r="T87" i="6"/>
  <c r="S87" i="6"/>
  <c r="P87" i="6"/>
  <c r="AD87" i="6"/>
  <c r="AF86" i="6"/>
  <c r="T86" i="6"/>
  <c r="S86" i="6"/>
  <c r="P86" i="6"/>
  <c r="AD86" i="6"/>
  <c r="AF85" i="6"/>
  <c r="T85" i="6"/>
  <c r="S85" i="6"/>
  <c r="P85" i="6"/>
  <c r="AD85" i="6"/>
  <c r="AF84" i="6"/>
  <c r="T84" i="6"/>
  <c r="S84" i="6"/>
  <c r="P84" i="6"/>
  <c r="AD84" i="6"/>
  <c r="AF83" i="6"/>
  <c r="T83" i="6"/>
  <c r="S83" i="6"/>
  <c r="P83" i="6"/>
  <c r="AD83" i="6"/>
  <c r="AF82" i="6"/>
  <c r="T82" i="6"/>
  <c r="S82" i="6"/>
  <c r="P82" i="6"/>
  <c r="AD82" i="6"/>
  <c r="AF67" i="6"/>
  <c r="AE67" i="6"/>
  <c r="Y67" i="6"/>
  <c r="T67" i="6"/>
  <c r="S67" i="6"/>
  <c r="P67" i="6"/>
  <c r="AD67" i="6"/>
  <c r="AF66" i="6"/>
  <c r="AE66" i="6"/>
  <c r="Y66" i="6"/>
  <c r="T66" i="6"/>
  <c r="S66" i="6"/>
  <c r="P66" i="6"/>
  <c r="AD66" i="6"/>
  <c r="AF65" i="6"/>
  <c r="AE65" i="6"/>
  <c r="Y65" i="6"/>
  <c r="T65" i="6"/>
  <c r="S65" i="6"/>
  <c r="P65" i="6"/>
  <c r="AD65" i="6"/>
  <c r="AF64" i="6"/>
  <c r="AE64" i="6"/>
  <c r="Y64" i="6"/>
  <c r="AA64" i="6" s="1"/>
  <c r="T64" i="6"/>
  <c r="S64" i="6"/>
  <c r="P64" i="6"/>
  <c r="AD64" i="6"/>
  <c r="AF63" i="6"/>
  <c r="AE63" i="6"/>
  <c r="Y63" i="6"/>
  <c r="T63" i="6"/>
  <c r="S63" i="6"/>
  <c r="P63" i="6"/>
  <c r="AD63" i="6"/>
  <c r="AF62" i="6"/>
  <c r="AE62" i="6"/>
  <c r="Y62" i="6"/>
  <c r="T62" i="6"/>
  <c r="S62" i="6"/>
  <c r="P62" i="6"/>
  <c r="AD62" i="6"/>
  <c r="AF61" i="6"/>
  <c r="AE61" i="6"/>
  <c r="Y61" i="6"/>
  <c r="T61" i="6"/>
  <c r="S61" i="6"/>
  <c r="P61" i="6"/>
  <c r="AD61" i="6"/>
  <c r="AF60" i="6"/>
  <c r="AE60" i="6"/>
  <c r="Y60" i="6"/>
  <c r="AA60" i="6" s="1"/>
  <c r="T60" i="6"/>
  <c r="S60" i="6"/>
  <c r="P60" i="6"/>
  <c r="AD60" i="6"/>
  <c r="AF59" i="6"/>
  <c r="AE59" i="6"/>
  <c r="Y59" i="6"/>
  <c r="T59" i="6"/>
  <c r="S59" i="6"/>
  <c r="P59" i="6"/>
  <c r="AD59" i="6"/>
  <c r="AF58" i="6"/>
  <c r="AE58" i="6"/>
  <c r="Y58" i="6"/>
  <c r="T58" i="6"/>
  <c r="S58" i="6"/>
  <c r="P58" i="6"/>
  <c r="AD58" i="6"/>
  <c r="AF57" i="6"/>
  <c r="AE57" i="6"/>
  <c r="Y57" i="6"/>
  <c r="T57" i="6"/>
  <c r="S57" i="6"/>
  <c r="P57" i="6"/>
  <c r="AD57" i="6"/>
  <c r="AF56" i="6"/>
  <c r="AE56" i="6"/>
  <c r="Y56" i="6"/>
  <c r="AA56" i="6" s="1"/>
  <c r="T56" i="6"/>
  <c r="S56" i="6"/>
  <c r="P56" i="6"/>
  <c r="AD56" i="6"/>
  <c r="AF55" i="6"/>
  <c r="AE55" i="6"/>
  <c r="Y55" i="6"/>
  <c r="T55" i="6"/>
  <c r="S55" i="6"/>
  <c r="P55" i="6"/>
  <c r="AD55" i="6"/>
  <c r="AF54" i="6"/>
  <c r="AE54" i="6"/>
  <c r="Y54" i="6"/>
  <c r="T54" i="6"/>
  <c r="S54" i="6"/>
  <c r="P54" i="6"/>
  <c r="AD54" i="6"/>
  <c r="AF53" i="6"/>
  <c r="AE53" i="6"/>
  <c r="Y53" i="6"/>
  <c r="T53" i="6"/>
  <c r="S53" i="6"/>
  <c r="P53" i="6"/>
  <c r="AD53" i="6"/>
  <c r="AF52" i="6"/>
  <c r="AE52" i="6"/>
  <c r="Y52" i="6"/>
  <c r="AA52" i="6" s="1"/>
  <c r="T52" i="6"/>
  <c r="S52" i="6"/>
  <c r="P52" i="6"/>
  <c r="AD52" i="6"/>
  <c r="AF51" i="6"/>
  <c r="AE51" i="6"/>
  <c r="Y51" i="6"/>
  <c r="T51" i="6"/>
  <c r="S51" i="6"/>
  <c r="P51" i="6"/>
  <c r="AD51" i="6"/>
  <c r="AF50" i="6"/>
  <c r="AE50" i="6"/>
  <c r="Y50" i="6"/>
  <c r="T50" i="6"/>
  <c r="S50" i="6"/>
  <c r="P50" i="6"/>
  <c r="AD50" i="6"/>
  <c r="AF49" i="6"/>
  <c r="AE49" i="6"/>
  <c r="Y49" i="6"/>
  <c r="T49" i="6"/>
  <c r="S49" i="6"/>
  <c r="P49" i="6"/>
  <c r="AD49" i="6"/>
  <c r="AF35" i="6"/>
  <c r="AE35" i="6"/>
  <c r="Y35" i="6"/>
  <c r="T35" i="6"/>
  <c r="S35" i="6"/>
  <c r="P35" i="6"/>
  <c r="AD35" i="6"/>
  <c r="AF34" i="6"/>
  <c r="AE34" i="6"/>
  <c r="Y34" i="6"/>
  <c r="AB34" i="6" s="1"/>
  <c r="T34" i="6"/>
  <c r="S34" i="6"/>
  <c r="P34" i="6"/>
  <c r="AD34" i="6"/>
  <c r="AF33" i="6"/>
  <c r="AE33" i="6"/>
  <c r="Y33" i="6"/>
  <c r="AB33" i="6" s="1"/>
  <c r="T33" i="6"/>
  <c r="S33" i="6"/>
  <c r="P33" i="6"/>
  <c r="AD33" i="6"/>
  <c r="AF32" i="6"/>
  <c r="AE32" i="6"/>
  <c r="Y32" i="6"/>
  <c r="AA32" i="6" s="1"/>
  <c r="T32" i="6"/>
  <c r="S32" i="6"/>
  <c r="P32" i="6"/>
  <c r="AD32" i="6"/>
  <c r="AF31" i="6"/>
  <c r="AE31" i="6"/>
  <c r="Y31" i="6"/>
  <c r="T31" i="6"/>
  <c r="S31" i="6"/>
  <c r="P31" i="6"/>
  <c r="AD31" i="6"/>
  <c r="AF30" i="6"/>
  <c r="AE30" i="6"/>
  <c r="Y30" i="6"/>
  <c r="AB30" i="6" s="1"/>
  <c r="T30" i="6"/>
  <c r="S30" i="6"/>
  <c r="P30" i="6"/>
  <c r="AD30" i="6"/>
  <c r="AF29" i="6"/>
  <c r="AE29" i="6"/>
  <c r="Y29" i="6"/>
  <c r="AB29" i="6" s="1"/>
  <c r="T29" i="6"/>
  <c r="S29" i="6"/>
  <c r="P29" i="6"/>
  <c r="AD29" i="6"/>
  <c r="AF28" i="6"/>
  <c r="AE28" i="6"/>
  <c r="Y28" i="6"/>
  <c r="AA28" i="6" s="1"/>
  <c r="T28" i="6"/>
  <c r="S28" i="6"/>
  <c r="P28" i="6"/>
  <c r="AD28" i="6"/>
  <c r="AF27" i="6"/>
  <c r="AE27" i="6"/>
  <c r="Y27" i="6"/>
  <c r="T27" i="6"/>
  <c r="S27" i="6"/>
  <c r="P27" i="6"/>
  <c r="AD27" i="6"/>
  <c r="AF26" i="6"/>
  <c r="AE26" i="6"/>
  <c r="Y26" i="6"/>
  <c r="AB26" i="6" s="1"/>
  <c r="T26" i="6"/>
  <c r="S26" i="6"/>
  <c r="P26" i="6"/>
  <c r="AD26" i="6"/>
  <c r="AF25" i="6"/>
  <c r="AE25" i="6"/>
  <c r="Y25" i="6"/>
  <c r="AB25" i="6" s="1"/>
  <c r="T25" i="6"/>
  <c r="S25" i="6"/>
  <c r="P25" i="6"/>
  <c r="AD25" i="6"/>
  <c r="AF24" i="6"/>
  <c r="AE24" i="6"/>
  <c r="Y24" i="6"/>
  <c r="AA24" i="6" s="1"/>
  <c r="T24" i="6"/>
  <c r="S24" i="6"/>
  <c r="P24" i="6"/>
  <c r="AD24" i="6"/>
  <c r="AF23" i="6"/>
  <c r="AE23" i="6"/>
  <c r="Y23" i="6"/>
  <c r="T23" i="6"/>
  <c r="S23" i="6"/>
  <c r="P23" i="6"/>
  <c r="AD23" i="6"/>
  <c r="AF22" i="6"/>
  <c r="AE22" i="6"/>
  <c r="Y22" i="6"/>
  <c r="AB22" i="6" s="1"/>
  <c r="T22" i="6"/>
  <c r="S22" i="6"/>
  <c r="P22" i="6"/>
  <c r="AD22" i="6"/>
  <c r="AF21" i="6"/>
  <c r="AE21" i="6"/>
  <c r="Y21" i="6"/>
  <c r="AB21" i="6" s="1"/>
  <c r="T21" i="6"/>
  <c r="S21" i="6"/>
  <c r="P21" i="6"/>
  <c r="AD21" i="6"/>
  <c r="AF20" i="6"/>
  <c r="AE20" i="6"/>
  <c r="Y20" i="6"/>
  <c r="AA20" i="6" s="1"/>
  <c r="T20" i="6"/>
  <c r="S20" i="6"/>
  <c r="P20" i="6"/>
  <c r="AD20" i="6"/>
  <c r="AF19" i="6"/>
  <c r="AE19" i="6"/>
  <c r="Y19" i="6"/>
  <c r="T19" i="6"/>
  <c r="S19" i="6"/>
  <c r="P19" i="6"/>
  <c r="AD19" i="6"/>
  <c r="AF18" i="6"/>
  <c r="AE18" i="6"/>
  <c r="Y18" i="6"/>
  <c r="AB18" i="6" s="1"/>
  <c r="T18" i="6"/>
  <c r="S18" i="6"/>
  <c r="P18" i="6"/>
  <c r="AD18" i="6"/>
  <c r="AF17" i="6"/>
  <c r="AE17" i="6"/>
  <c r="Y17" i="6"/>
  <c r="AB17" i="6" s="1"/>
  <c r="T17" i="6"/>
  <c r="S17" i="6"/>
  <c r="P17" i="6"/>
  <c r="AD17" i="6"/>
  <c r="Y16" i="6"/>
  <c r="Y138" i="5"/>
  <c r="Y137" i="5"/>
  <c r="Y136" i="5"/>
  <c r="Y135" i="5"/>
  <c r="Y134" i="5"/>
  <c r="Y133" i="5"/>
  <c r="Y132" i="5"/>
  <c r="Y131" i="5"/>
  <c r="Y130" i="5"/>
  <c r="Y129" i="5"/>
  <c r="Y128" i="5"/>
  <c r="Y127" i="5"/>
  <c r="Y126" i="5"/>
  <c r="Y125" i="5"/>
  <c r="Y124" i="5"/>
  <c r="Y123" i="5"/>
  <c r="Y122" i="5"/>
  <c r="Y121" i="5"/>
  <c r="Y120" i="5"/>
  <c r="Y119" i="5"/>
  <c r="Y118" i="5"/>
  <c r="Y117" i="5"/>
  <c r="Y116" i="5"/>
  <c r="Y115" i="5"/>
  <c r="Y114" i="5"/>
  <c r="Y113" i="5"/>
  <c r="Y112" i="5"/>
  <c r="Y111" i="5"/>
  <c r="Y110" i="5"/>
  <c r="Y109" i="5"/>
  <c r="Y108" i="5"/>
  <c r="Y107" i="5"/>
  <c r="Y106" i="5"/>
  <c r="Y105" i="5"/>
  <c r="Y104" i="5"/>
  <c r="Y103" i="5"/>
  <c r="Y102" i="5"/>
  <c r="Y101" i="5"/>
  <c r="Y100" i="5"/>
  <c r="Y99" i="5"/>
  <c r="Y98" i="5"/>
  <c r="Y97" i="5"/>
  <c r="Y96" i="5"/>
  <c r="Y95" i="5"/>
  <c r="Y94" i="5"/>
  <c r="Y93" i="5"/>
  <c r="Y92" i="5"/>
  <c r="Y91" i="5"/>
  <c r="Y90" i="5"/>
  <c r="Y89" i="5"/>
  <c r="Y88" i="5"/>
  <c r="Y87" i="5"/>
  <c r="Y70" i="5"/>
  <c r="Y69" i="5"/>
  <c r="Y68" i="5"/>
  <c r="Y67" i="5"/>
  <c r="Y66" i="5"/>
  <c r="Y65" i="5"/>
  <c r="Y64" i="5"/>
  <c r="Y63" i="5"/>
  <c r="Y62" i="5"/>
  <c r="Y61" i="5"/>
  <c r="Y60" i="5"/>
  <c r="Y59" i="5"/>
  <c r="Y58" i="5"/>
  <c r="Y57" i="5"/>
  <c r="Y56" i="5"/>
  <c r="Y55" i="5"/>
  <c r="Y54" i="5"/>
  <c r="Y53" i="5"/>
  <c r="Y52" i="5"/>
  <c r="Y51" i="5"/>
  <c r="Y50" i="5"/>
  <c r="Y49" i="5"/>
  <c r="Y48" i="5"/>
  <c r="Y47" i="5"/>
  <c r="Y46" i="5"/>
  <c r="Y45" i="5"/>
  <c r="Y44" i="5"/>
  <c r="Y43" i="5"/>
  <c r="Y42" i="5"/>
  <c r="Y41" i="5"/>
  <c r="Y40" i="5"/>
  <c r="Y39" i="5"/>
  <c r="Y38" i="5"/>
  <c r="Y37" i="5"/>
  <c r="Y36" i="5"/>
  <c r="Y35" i="5"/>
  <c r="Y34" i="5"/>
  <c r="Y33" i="5"/>
  <c r="Y32" i="5"/>
  <c r="Y31" i="5"/>
  <c r="Y30" i="5"/>
  <c r="Y29" i="5"/>
  <c r="Y28" i="5"/>
  <c r="Y27" i="5"/>
  <c r="Y26" i="5"/>
  <c r="Y25" i="5"/>
  <c r="Y24" i="5"/>
  <c r="Y23" i="5"/>
  <c r="Y22" i="5"/>
  <c r="Y21" i="5"/>
  <c r="Y20" i="5"/>
  <c r="Y19" i="5"/>
  <c r="Y18" i="5"/>
  <c r="Y17" i="5"/>
  <c r="Y16" i="5"/>
  <c r="Y25" i="4"/>
  <c r="AB25" i="4" s="1"/>
  <c r="Y24" i="4"/>
  <c r="AB24" i="4" s="1"/>
  <c r="Y23" i="4"/>
  <c r="AB23" i="4" s="1"/>
  <c r="Y22" i="4"/>
  <c r="Y21" i="4"/>
  <c r="AB21" i="4" s="1"/>
  <c r="Y20" i="4"/>
  <c r="AA20" i="4" s="1"/>
  <c r="Y19" i="4"/>
  <c r="AB19" i="4" s="1"/>
  <c r="Y18" i="4"/>
  <c r="AA18" i="4" s="1"/>
  <c r="Y17" i="4"/>
  <c r="AB17" i="4" s="1"/>
  <c r="Y16" i="4"/>
  <c r="AB16" i="4" s="1"/>
  <c r="AF16" i="6"/>
  <c r="AE16" i="6"/>
  <c r="P16" i="6"/>
  <c r="AD16" i="6"/>
  <c r="AE47" i="4"/>
  <c r="AE46" i="4"/>
  <c r="AE45" i="4"/>
  <c r="AE44" i="4"/>
  <c r="AE43" i="4"/>
  <c r="AE42" i="4"/>
  <c r="AE41" i="4"/>
  <c r="AE40" i="4"/>
  <c r="AE39" i="4"/>
  <c r="AF25" i="4"/>
  <c r="AE25" i="4"/>
  <c r="T25" i="4"/>
  <c r="S25" i="4"/>
  <c r="P25" i="4"/>
  <c r="AD25" i="4"/>
  <c r="AF24" i="4"/>
  <c r="AE24" i="4"/>
  <c r="T24" i="4"/>
  <c r="S24" i="4"/>
  <c r="P24" i="4"/>
  <c r="AD24" i="4"/>
  <c r="AF23" i="4"/>
  <c r="AE23" i="4"/>
  <c r="T23" i="4"/>
  <c r="S23" i="4"/>
  <c r="P23" i="4"/>
  <c r="AD23" i="4"/>
  <c r="AF22" i="4"/>
  <c r="AE22" i="4"/>
  <c r="T22" i="4"/>
  <c r="S22" i="4"/>
  <c r="P22" i="4"/>
  <c r="AD22" i="4"/>
  <c r="AF21" i="4"/>
  <c r="AE21" i="4"/>
  <c r="T21" i="4"/>
  <c r="S21" i="4"/>
  <c r="P21" i="4"/>
  <c r="AD21" i="4"/>
  <c r="AF20" i="4"/>
  <c r="AE20" i="4"/>
  <c r="T20" i="4"/>
  <c r="S20" i="4"/>
  <c r="P20" i="4"/>
  <c r="AD20" i="4"/>
  <c r="AF19" i="4"/>
  <c r="AE19" i="4"/>
  <c r="T19" i="4"/>
  <c r="S19" i="4"/>
  <c r="P19" i="4"/>
  <c r="AD19" i="4"/>
  <c r="AF18" i="4"/>
  <c r="AE18" i="4"/>
  <c r="T18" i="4"/>
  <c r="S18" i="4"/>
  <c r="P18" i="4"/>
  <c r="AD18" i="4"/>
  <c r="AF17" i="4"/>
  <c r="AE17" i="4"/>
  <c r="T17" i="4"/>
  <c r="S17" i="4"/>
  <c r="P17" i="4"/>
  <c r="AD17" i="4"/>
  <c r="P16" i="4"/>
  <c r="R16" i="4" l="1"/>
  <c r="AB20" i="4"/>
  <c r="AC20" i="4" s="1"/>
  <c r="AA24" i="4"/>
  <c r="AC24" i="4" s="1"/>
  <c r="AA54" i="6"/>
  <c r="AA30" i="6"/>
  <c r="AC30" i="6" s="1"/>
  <c r="AA18" i="6"/>
  <c r="AC18" i="6" s="1"/>
  <c r="AA34" i="6"/>
  <c r="AC34" i="6" s="1"/>
  <c r="AA66" i="6"/>
  <c r="AA22" i="6"/>
  <c r="AC22" i="6" s="1"/>
  <c r="AA26" i="6"/>
  <c r="AC26" i="6" s="1"/>
  <c r="AA62" i="6"/>
  <c r="AA50" i="6"/>
  <c r="AA58" i="6"/>
  <c r="AD16" i="4"/>
  <c r="AB22" i="4"/>
  <c r="AB20" i="6"/>
  <c r="AC20" i="6" s="1"/>
  <c r="AB23" i="6"/>
  <c r="AB28" i="6"/>
  <c r="AC28" i="6" s="1"/>
  <c r="AB31" i="6"/>
  <c r="AB16" i="6"/>
  <c r="R16" i="6" s="1"/>
  <c r="AB19" i="6"/>
  <c r="AB24" i="6"/>
  <c r="AC24" i="6" s="1"/>
  <c r="AB27" i="6"/>
  <c r="AB32" i="6"/>
  <c r="AC32" i="6" s="1"/>
  <c r="AB35" i="6"/>
  <c r="AA49" i="6"/>
  <c r="AA51" i="6"/>
  <c r="AA53" i="6"/>
  <c r="AA55" i="6"/>
  <c r="AA57" i="6"/>
  <c r="AA59" i="6"/>
  <c r="AA61" i="6"/>
  <c r="AA63" i="6"/>
  <c r="AA65" i="6"/>
  <c r="AA67" i="6"/>
  <c r="AA17" i="6"/>
  <c r="AC17" i="6" s="1"/>
  <c r="AA19" i="6"/>
  <c r="AA21" i="6"/>
  <c r="AC21" i="6" s="1"/>
  <c r="AA23" i="6"/>
  <c r="AA25" i="6"/>
  <c r="AC25" i="6" s="1"/>
  <c r="AA27" i="6"/>
  <c r="AA29" i="6"/>
  <c r="AC29" i="6" s="1"/>
  <c r="AA31" i="6"/>
  <c r="AA33" i="6"/>
  <c r="AC33" i="6" s="1"/>
  <c r="AA35" i="6"/>
  <c r="AB18" i="4"/>
  <c r="AC18" i="4" s="1"/>
  <c r="AA22" i="4"/>
  <c r="AC22" i="4" s="1"/>
  <c r="AA16" i="6"/>
  <c r="AA21" i="4"/>
  <c r="AC21" i="4" s="1"/>
  <c r="AA23" i="4"/>
  <c r="AC23" i="4" s="1"/>
  <c r="AA25" i="4"/>
  <c r="AC25" i="4" s="1"/>
  <c r="AA17" i="4"/>
  <c r="AC17" i="4" s="1"/>
  <c r="AA19" i="4"/>
  <c r="AC19" i="4" s="1"/>
  <c r="AA16" i="4"/>
  <c r="AC16" i="4" s="1"/>
  <c r="S16" i="4" s="1"/>
  <c r="AA16" i="5"/>
  <c r="T340" i="5"/>
  <c r="S340" i="5"/>
  <c r="P340" i="5"/>
  <c r="AD340" i="5"/>
  <c r="AD339" i="5"/>
  <c r="T339" i="5"/>
  <c r="S339" i="5"/>
  <c r="P339" i="5"/>
  <c r="AD338" i="5"/>
  <c r="T338" i="5"/>
  <c r="S338" i="5"/>
  <c r="P338" i="5"/>
  <c r="T337" i="5"/>
  <c r="S337" i="5"/>
  <c r="P337" i="5"/>
  <c r="AD337" i="5"/>
  <c r="T336" i="5"/>
  <c r="S336" i="5"/>
  <c r="P336" i="5"/>
  <c r="AD336" i="5"/>
  <c r="AD335" i="5"/>
  <c r="T335" i="5"/>
  <c r="S335" i="5"/>
  <c r="P335" i="5"/>
  <c r="AD334" i="5"/>
  <c r="T334" i="5"/>
  <c r="S334" i="5"/>
  <c r="P334" i="5"/>
  <c r="T333" i="5"/>
  <c r="S333" i="5"/>
  <c r="P333" i="5"/>
  <c r="AD333" i="5"/>
  <c r="T332" i="5"/>
  <c r="S332" i="5"/>
  <c r="P332" i="5"/>
  <c r="AD332" i="5"/>
  <c r="AD331" i="5"/>
  <c r="T331" i="5"/>
  <c r="S331" i="5"/>
  <c r="P331" i="5"/>
  <c r="AD330" i="5"/>
  <c r="T330" i="5"/>
  <c r="S330" i="5"/>
  <c r="P330" i="5"/>
  <c r="T329" i="5"/>
  <c r="S329" i="5"/>
  <c r="P329" i="5"/>
  <c r="AD329" i="5"/>
  <c r="T328" i="5"/>
  <c r="S328" i="5"/>
  <c r="P328" i="5"/>
  <c r="AD328" i="5"/>
  <c r="AD327" i="5"/>
  <c r="T327" i="5"/>
  <c r="S327" i="5"/>
  <c r="P327" i="5"/>
  <c r="AD326" i="5"/>
  <c r="T326" i="5"/>
  <c r="S326" i="5"/>
  <c r="P326" i="5"/>
  <c r="T325" i="5"/>
  <c r="S325" i="5"/>
  <c r="P325" i="5"/>
  <c r="AD325" i="5"/>
  <c r="T324" i="5"/>
  <c r="S324" i="5"/>
  <c r="P324" i="5"/>
  <c r="AD324" i="5"/>
  <c r="AD323" i="5"/>
  <c r="T323" i="5"/>
  <c r="S323" i="5"/>
  <c r="P323" i="5"/>
  <c r="AD322" i="5"/>
  <c r="T322" i="5"/>
  <c r="S322" i="5"/>
  <c r="P322" i="5"/>
  <c r="T321" i="5"/>
  <c r="S321" i="5"/>
  <c r="P321" i="5"/>
  <c r="AD321" i="5"/>
  <c r="T320" i="5"/>
  <c r="S320" i="5"/>
  <c r="P320" i="5"/>
  <c r="AD320" i="5"/>
  <c r="AD319" i="5"/>
  <c r="T319" i="5"/>
  <c r="S319" i="5"/>
  <c r="P319" i="5"/>
  <c r="AD318" i="5"/>
  <c r="T318" i="5"/>
  <c r="S318" i="5"/>
  <c r="P318" i="5"/>
  <c r="T317" i="5"/>
  <c r="S317" i="5"/>
  <c r="P317" i="5"/>
  <c r="AD317" i="5"/>
  <c r="T316" i="5"/>
  <c r="S316" i="5"/>
  <c r="P316" i="5"/>
  <c r="AD316" i="5"/>
  <c r="AD315" i="5"/>
  <c r="T315" i="5"/>
  <c r="S315" i="5"/>
  <c r="P315" i="5"/>
  <c r="AD314" i="5"/>
  <c r="T314" i="5"/>
  <c r="S314" i="5"/>
  <c r="P314" i="5"/>
  <c r="T313" i="5"/>
  <c r="S313" i="5"/>
  <c r="P313" i="5"/>
  <c r="AD313" i="5"/>
  <c r="T312" i="5"/>
  <c r="S312" i="5"/>
  <c r="P312" i="5"/>
  <c r="AD312" i="5"/>
  <c r="AD311" i="5"/>
  <c r="T311" i="5"/>
  <c r="S311" i="5"/>
  <c r="P311" i="5"/>
  <c r="AD310" i="5"/>
  <c r="T310" i="5"/>
  <c r="S310" i="5"/>
  <c r="P310" i="5"/>
  <c r="T309" i="5"/>
  <c r="S309" i="5"/>
  <c r="P309" i="5"/>
  <c r="AD309" i="5"/>
  <c r="T308" i="5"/>
  <c r="S308" i="5"/>
  <c r="P308" i="5"/>
  <c r="AD308" i="5"/>
  <c r="AD307" i="5"/>
  <c r="T307" i="5"/>
  <c r="S307" i="5"/>
  <c r="P307" i="5"/>
  <c r="AD306" i="5"/>
  <c r="T306" i="5"/>
  <c r="S306" i="5"/>
  <c r="P306" i="5"/>
  <c r="T305" i="5"/>
  <c r="S305" i="5"/>
  <c r="P305" i="5"/>
  <c r="AD305" i="5"/>
  <c r="T304" i="5"/>
  <c r="S304" i="5"/>
  <c r="P304" i="5"/>
  <c r="AD304" i="5"/>
  <c r="AD303" i="5"/>
  <c r="T303" i="5"/>
  <c r="S303" i="5"/>
  <c r="P303" i="5"/>
  <c r="AD302" i="5"/>
  <c r="T302" i="5"/>
  <c r="S302" i="5"/>
  <c r="P302" i="5"/>
  <c r="T301" i="5"/>
  <c r="S301" i="5"/>
  <c r="P301" i="5"/>
  <c r="AD301" i="5"/>
  <c r="T300" i="5"/>
  <c r="S300" i="5"/>
  <c r="P300" i="5"/>
  <c r="AD300" i="5"/>
  <c r="AD299" i="5"/>
  <c r="T299" i="5"/>
  <c r="S299" i="5"/>
  <c r="P299" i="5"/>
  <c r="AD298" i="5"/>
  <c r="T298" i="5"/>
  <c r="S298" i="5"/>
  <c r="P298" i="5"/>
  <c r="T297" i="5"/>
  <c r="S297" i="5"/>
  <c r="P297" i="5"/>
  <c r="AD297" i="5"/>
  <c r="T296" i="5"/>
  <c r="S296" i="5"/>
  <c r="P296" i="5"/>
  <c r="AD296" i="5"/>
  <c r="AD295" i="5"/>
  <c r="T295" i="5"/>
  <c r="S295" i="5"/>
  <c r="P295" i="5"/>
  <c r="AD294" i="5"/>
  <c r="T294" i="5"/>
  <c r="S294" i="5"/>
  <c r="P294" i="5"/>
  <c r="T293" i="5"/>
  <c r="S293" i="5"/>
  <c r="P293" i="5"/>
  <c r="AD293" i="5"/>
  <c r="T292" i="5"/>
  <c r="S292" i="5"/>
  <c r="P292" i="5"/>
  <c r="AD292" i="5"/>
  <c r="AD291" i="5"/>
  <c r="T291" i="5"/>
  <c r="S291" i="5"/>
  <c r="P291" i="5"/>
  <c r="AD290" i="5"/>
  <c r="T290" i="5"/>
  <c r="S290" i="5"/>
  <c r="P290" i="5"/>
  <c r="T289" i="5"/>
  <c r="S289" i="5"/>
  <c r="P289" i="5"/>
  <c r="AD289" i="5"/>
  <c r="T273" i="5"/>
  <c r="S273" i="5"/>
  <c r="P273" i="5"/>
  <c r="AD273" i="5"/>
  <c r="T272" i="5"/>
  <c r="S272" i="5"/>
  <c r="P272" i="5"/>
  <c r="AD272" i="5"/>
  <c r="AD271" i="5"/>
  <c r="T271" i="5"/>
  <c r="S271" i="5"/>
  <c r="P271" i="5"/>
  <c r="T270" i="5"/>
  <c r="S270" i="5"/>
  <c r="P270" i="5"/>
  <c r="AD270" i="5"/>
  <c r="T269" i="5"/>
  <c r="S269" i="5"/>
  <c r="P269" i="5"/>
  <c r="AD269" i="5"/>
  <c r="T268" i="5"/>
  <c r="S268" i="5"/>
  <c r="P268" i="5"/>
  <c r="AD268" i="5"/>
  <c r="AD267" i="5"/>
  <c r="T267" i="5"/>
  <c r="S267" i="5"/>
  <c r="P267" i="5"/>
  <c r="T266" i="5"/>
  <c r="S266" i="5"/>
  <c r="P266" i="5"/>
  <c r="AD266" i="5"/>
  <c r="T265" i="5"/>
  <c r="S265" i="5"/>
  <c r="P265" i="5"/>
  <c r="AD265" i="5"/>
  <c r="T264" i="5"/>
  <c r="S264" i="5"/>
  <c r="P264" i="5"/>
  <c r="AD264" i="5"/>
  <c r="AD263" i="5"/>
  <c r="T263" i="5"/>
  <c r="S263" i="5"/>
  <c r="P263" i="5"/>
  <c r="T262" i="5"/>
  <c r="S262" i="5"/>
  <c r="P262" i="5"/>
  <c r="AD262" i="5"/>
  <c r="T261" i="5"/>
  <c r="S261" i="5"/>
  <c r="P261" i="5"/>
  <c r="AD261" i="5"/>
  <c r="T260" i="5"/>
  <c r="S260" i="5"/>
  <c r="P260" i="5"/>
  <c r="AD260" i="5"/>
  <c r="AD259" i="5"/>
  <c r="T259" i="5"/>
  <c r="S259" i="5"/>
  <c r="P259" i="5"/>
  <c r="T258" i="5"/>
  <c r="S258" i="5"/>
  <c r="P258" i="5"/>
  <c r="AD258" i="5"/>
  <c r="T257" i="5"/>
  <c r="S257" i="5"/>
  <c r="P257" i="5"/>
  <c r="AD257" i="5"/>
  <c r="T256" i="5"/>
  <c r="S256" i="5"/>
  <c r="P256" i="5"/>
  <c r="AD256" i="5"/>
  <c r="AD255" i="5"/>
  <c r="T255" i="5"/>
  <c r="S255" i="5"/>
  <c r="P255" i="5"/>
  <c r="T254" i="5"/>
  <c r="S254" i="5"/>
  <c r="P254" i="5"/>
  <c r="AD254" i="5"/>
  <c r="T253" i="5"/>
  <c r="S253" i="5"/>
  <c r="P253" i="5"/>
  <c r="AD253" i="5"/>
  <c r="T252" i="5"/>
  <c r="S252" i="5"/>
  <c r="P252" i="5"/>
  <c r="AD252" i="5"/>
  <c r="AD251" i="5"/>
  <c r="T251" i="5"/>
  <c r="S251" i="5"/>
  <c r="P251" i="5"/>
  <c r="T250" i="5"/>
  <c r="S250" i="5"/>
  <c r="P250" i="5"/>
  <c r="AD250" i="5"/>
  <c r="T249" i="5"/>
  <c r="S249" i="5"/>
  <c r="P249" i="5"/>
  <c r="AD249" i="5"/>
  <c r="T248" i="5"/>
  <c r="S248" i="5"/>
  <c r="P248" i="5"/>
  <c r="AD248" i="5"/>
  <c r="AD247" i="5"/>
  <c r="T247" i="5"/>
  <c r="S247" i="5"/>
  <c r="P247" i="5"/>
  <c r="T246" i="5"/>
  <c r="S246" i="5"/>
  <c r="P246" i="5"/>
  <c r="AD246" i="5"/>
  <c r="T245" i="5"/>
  <c r="S245" i="5"/>
  <c r="P245" i="5"/>
  <c r="AD245" i="5"/>
  <c r="T244" i="5"/>
  <c r="S244" i="5"/>
  <c r="P244" i="5"/>
  <c r="AD244" i="5"/>
  <c r="AD243" i="5"/>
  <c r="T243" i="5"/>
  <c r="S243" i="5"/>
  <c r="P243" i="5"/>
  <c r="T242" i="5"/>
  <c r="S242" i="5"/>
  <c r="P242" i="5"/>
  <c r="AD242" i="5"/>
  <c r="T241" i="5"/>
  <c r="S241" i="5"/>
  <c r="P241" i="5"/>
  <c r="AD241" i="5"/>
  <c r="T240" i="5"/>
  <c r="S240" i="5"/>
  <c r="P240" i="5"/>
  <c r="AD240" i="5"/>
  <c r="AD239" i="5"/>
  <c r="T239" i="5"/>
  <c r="S239" i="5"/>
  <c r="P239" i="5"/>
  <c r="T238" i="5"/>
  <c r="S238" i="5"/>
  <c r="P238" i="5"/>
  <c r="AD238" i="5"/>
  <c r="T237" i="5"/>
  <c r="S237" i="5"/>
  <c r="P237" i="5"/>
  <c r="AD237" i="5"/>
  <c r="T236" i="5"/>
  <c r="S236" i="5"/>
  <c r="P236" i="5"/>
  <c r="AD236" i="5"/>
  <c r="AD235" i="5"/>
  <c r="T235" i="5"/>
  <c r="S235" i="5"/>
  <c r="P235" i="5"/>
  <c r="T234" i="5"/>
  <c r="S234" i="5"/>
  <c r="P234" i="5"/>
  <c r="AD234" i="5"/>
  <c r="T233" i="5"/>
  <c r="S233" i="5"/>
  <c r="P233" i="5"/>
  <c r="AD233" i="5"/>
  <c r="T232" i="5"/>
  <c r="S232" i="5"/>
  <c r="P232" i="5"/>
  <c r="AD232" i="5"/>
  <c r="AD231" i="5"/>
  <c r="T231" i="5"/>
  <c r="S231" i="5"/>
  <c r="P231" i="5"/>
  <c r="T230" i="5"/>
  <c r="S230" i="5"/>
  <c r="P230" i="5"/>
  <c r="AD230" i="5"/>
  <c r="T229" i="5"/>
  <c r="S229" i="5"/>
  <c r="P229" i="5"/>
  <c r="AD229" i="5"/>
  <c r="T228" i="5"/>
  <c r="S228" i="5"/>
  <c r="P228" i="5"/>
  <c r="AD228" i="5"/>
  <c r="AD227" i="5"/>
  <c r="T227" i="5"/>
  <c r="S227" i="5"/>
  <c r="P227" i="5"/>
  <c r="T226" i="5"/>
  <c r="S226" i="5"/>
  <c r="P226" i="5"/>
  <c r="AD226" i="5"/>
  <c r="T225" i="5"/>
  <c r="S225" i="5"/>
  <c r="P225" i="5"/>
  <c r="AD225" i="5"/>
  <c r="T224" i="5"/>
  <c r="S224" i="5"/>
  <c r="P224" i="5"/>
  <c r="AD224" i="5"/>
  <c r="AD223" i="5"/>
  <c r="T223" i="5"/>
  <c r="S223" i="5"/>
  <c r="P223" i="5"/>
  <c r="T222" i="5"/>
  <c r="S222" i="5"/>
  <c r="P222" i="5"/>
  <c r="AD222" i="5"/>
  <c r="T206" i="5"/>
  <c r="S206" i="5"/>
  <c r="P206" i="5"/>
  <c r="AD206" i="5"/>
  <c r="T205" i="5"/>
  <c r="S205" i="5"/>
  <c r="P205" i="5"/>
  <c r="AD205" i="5"/>
  <c r="AD204" i="5"/>
  <c r="T204" i="5"/>
  <c r="S204" i="5"/>
  <c r="P204" i="5"/>
  <c r="T203" i="5"/>
  <c r="S203" i="5"/>
  <c r="P203" i="5"/>
  <c r="AD203" i="5"/>
  <c r="T202" i="5"/>
  <c r="S202" i="5"/>
  <c r="P202" i="5"/>
  <c r="AD202" i="5"/>
  <c r="T201" i="5"/>
  <c r="S201" i="5"/>
  <c r="P201" i="5"/>
  <c r="AD201" i="5"/>
  <c r="AD200" i="5"/>
  <c r="T200" i="5"/>
  <c r="S200" i="5"/>
  <c r="P200" i="5"/>
  <c r="T199" i="5"/>
  <c r="S199" i="5"/>
  <c r="P199" i="5"/>
  <c r="AD199" i="5"/>
  <c r="T198" i="5"/>
  <c r="S198" i="5"/>
  <c r="P198" i="5"/>
  <c r="AD198" i="5"/>
  <c r="T197" i="5"/>
  <c r="S197" i="5"/>
  <c r="P197" i="5"/>
  <c r="AD197" i="5"/>
  <c r="AD196" i="5"/>
  <c r="T196" i="5"/>
  <c r="S196" i="5"/>
  <c r="P196" i="5"/>
  <c r="T195" i="5"/>
  <c r="S195" i="5"/>
  <c r="P195" i="5"/>
  <c r="AD195" i="5"/>
  <c r="T194" i="5"/>
  <c r="S194" i="5"/>
  <c r="P194" i="5"/>
  <c r="AD194" i="5"/>
  <c r="T193" i="5"/>
  <c r="S193" i="5"/>
  <c r="P193" i="5"/>
  <c r="AD193" i="5"/>
  <c r="AD192" i="5"/>
  <c r="T192" i="5"/>
  <c r="S192" i="5"/>
  <c r="P192" i="5"/>
  <c r="T191" i="5"/>
  <c r="S191" i="5"/>
  <c r="P191" i="5"/>
  <c r="AD191" i="5"/>
  <c r="T190" i="5"/>
  <c r="S190" i="5"/>
  <c r="P190" i="5"/>
  <c r="AD190" i="5"/>
  <c r="T189" i="5"/>
  <c r="S189" i="5"/>
  <c r="P189" i="5"/>
  <c r="AD189" i="5"/>
  <c r="AD188" i="5"/>
  <c r="T188" i="5"/>
  <c r="S188" i="5"/>
  <c r="P188" i="5"/>
  <c r="T187" i="5"/>
  <c r="S187" i="5"/>
  <c r="P187" i="5"/>
  <c r="AD187" i="5"/>
  <c r="T186" i="5"/>
  <c r="S186" i="5"/>
  <c r="P186" i="5"/>
  <c r="AD186" i="5"/>
  <c r="T185" i="5"/>
  <c r="S185" i="5"/>
  <c r="P185" i="5"/>
  <c r="AD185" i="5"/>
  <c r="AD184" i="5"/>
  <c r="T184" i="5"/>
  <c r="S184" i="5"/>
  <c r="P184" i="5"/>
  <c r="T183" i="5"/>
  <c r="S183" i="5"/>
  <c r="P183" i="5"/>
  <c r="AD183" i="5"/>
  <c r="T182" i="5"/>
  <c r="S182" i="5"/>
  <c r="P182" i="5"/>
  <c r="AD182" i="5"/>
  <c r="T181" i="5"/>
  <c r="S181" i="5"/>
  <c r="P181" i="5"/>
  <c r="AD181" i="5"/>
  <c r="AD180" i="5"/>
  <c r="T180" i="5"/>
  <c r="S180" i="5"/>
  <c r="P180" i="5"/>
  <c r="T179" i="5"/>
  <c r="S179" i="5"/>
  <c r="P179" i="5"/>
  <c r="AD179" i="5"/>
  <c r="T178" i="5"/>
  <c r="S178" i="5"/>
  <c r="P178" i="5"/>
  <c r="AD178" i="5"/>
  <c r="T177" i="5"/>
  <c r="S177" i="5"/>
  <c r="P177" i="5"/>
  <c r="AD177" i="5"/>
  <c r="AD176" i="5"/>
  <c r="T176" i="5"/>
  <c r="S176" i="5"/>
  <c r="P176" i="5"/>
  <c r="T175" i="5"/>
  <c r="S175" i="5"/>
  <c r="P175" i="5"/>
  <c r="AD175" i="5"/>
  <c r="T174" i="5"/>
  <c r="S174" i="5"/>
  <c r="P174" i="5"/>
  <c r="AD174" i="5"/>
  <c r="T173" i="5"/>
  <c r="S173" i="5"/>
  <c r="P173" i="5"/>
  <c r="AD173" i="5"/>
  <c r="AD172" i="5"/>
  <c r="T172" i="5"/>
  <c r="S172" i="5"/>
  <c r="P172" i="5"/>
  <c r="T171" i="5"/>
  <c r="S171" i="5"/>
  <c r="P171" i="5"/>
  <c r="AD171" i="5"/>
  <c r="T170" i="5"/>
  <c r="S170" i="5"/>
  <c r="P170" i="5"/>
  <c r="AD170" i="5"/>
  <c r="T169" i="5"/>
  <c r="S169" i="5"/>
  <c r="P169" i="5"/>
  <c r="AD169" i="5"/>
  <c r="AD168" i="5"/>
  <c r="T168" i="5"/>
  <c r="S168" i="5"/>
  <c r="P168" i="5"/>
  <c r="T167" i="5"/>
  <c r="S167" i="5"/>
  <c r="P167" i="5"/>
  <c r="AD167" i="5"/>
  <c r="T166" i="5"/>
  <c r="S166" i="5"/>
  <c r="P166" i="5"/>
  <c r="AD166" i="5"/>
  <c r="T165" i="5"/>
  <c r="S165" i="5"/>
  <c r="P165" i="5"/>
  <c r="AD165" i="5"/>
  <c r="AD164" i="5"/>
  <c r="T164" i="5"/>
  <c r="S164" i="5"/>
  <c r="P164" i="5"/>
  <c r="T163" i="5"/>
  <c r="S163" i="5"/>
  <c r="P163" i="5"/>
  <c r="AD163" i="5"/>
  <c r="T162" i="5"/>
  <c r="S162" i="5"/>
  <c r="P162" i="5"/>
  <c r="AD162" i="5"/>
  <c r="T161" i="5"/>
  <c r="S161" i="5"/>
  <c r="P161" i="5"/>
  <c r="AD161" i="5"/>
  <c r="AD160" i="5"/>
  <c r="T160" i="5"/>
  <c r="S160" i="5"/>
  <c r="P160" i="5"/>
  <c r="T159" i="5"/>
  <c r="S159" i="5"/>
  <c r="P159" i="5"/>
  <c r="AD159" i="5"/>
  <c r="T158" i="5"/>
  <c r="S158" i="5"/>
  <c r="P158" i="5"/>
  <c r="AD158" i="5"/>
  <c r="T157" i="5"/>
  <c r="S157" i="5"/>
  <c r="P157" i="5"/>
  <c r="AD157" i="5"/>
  <c r="AD156" i="5"/>
  <c r="T156" i="5"/>
  <c r="S156" i="5"/>
  <c r="P156" i="5"/>
  <c r="T155" i="5"/>
  <c r="S155" i="5"/>
  <c r="P155" i="5"/>
  <c r="AD155" i="5"/>
  <c r="AE138" i="5"/>
  <c r="AA138" i="5"/>
  <c r="T138" i="5"/>
  <c r="S138" i="5"/>
  <c r="P138" i="5"/>
  <c r="AD138" i="5"/>
  <c r="AE137" i="5"/>
  <c r="AD137" i="5"/>
  <c r="T137" i="5"/>
  <c r="S137" i="5"/>
  <c r="P137" i="5"/>
  <c r="AE136" i="5"/>
  <c r="AD136" i="5"/>
  <c r="AA136" i="5"/>
  <c r="T136" i="5"/>
  <c r="S136" i="5"/>
  <c r="P136" i="5"/>
  <c r="AE135" i="5"/>
  <c r="AA135" i="5"/>
  <c r="T135" i="5"/>
  <c r="S135" i="5"/>
  <c r="P135" i="5"/>
  <c r="AD135" i="5"/>
  <c r="AE134" i="5"/>
  <c r="AA134" i="5"/>
  <c r="T134" i="5"/>
  <c r="S134" i="5"/>
  <c r="P134" i="5"/>
  <c r="AD134" i="5"/>
  <c r="AE133" i="5"/>
  <c r="AD133" i="5"/>
  <c r="T133" i="5"/>
  <c r="S133" i="5"/>
  <c r="P133" i="5"/>
  <c r="AE132" i="5"/>
  <c r="AD132" i="5"/>
  <c r="AA132" i="5"/>
  <c r="T132" i="5"/>
  <c r="S132" i="5"/>
  <c r="P132" i="5"/>
  <c r="AE131" i="5"/>
  <c r="AA131" i="5"/>
  <c r="T131" i="5"/>
  <c r="S131" i="5"/>
  <c r="P131" i="5"/>
  <c r="AD131" i="5"/>
  <c r="AE130" i="5"/>
  <c r="AA130" i="5"/>
  <c r="T130" i="5"/>
  <c r="S130" i="5"/>
  <c r="P130" i="5"/>
  <c r="AD130" i="5"/>
  <c r="AE129" i="5"/>
  <c r="AD129" i="5"/>
  <c r="T129" i="5"/>
  <c r="S129" i="5"/>
  <c r="P129" i="5"/>
  <c r="AE128" i="5"/>
  <c r="AD128" i="5"/>
  <c r="AA128" i="5"/>
  <c r="T128" i="5"/>
  <c r="S128" i="5"/>
  <c r="P128" i="5"/>
  <c r="AE127" i="5"/>
  <c r="AA127" i="5"/>
  <c r="T127" i="5"/>
  <c r="S127" i="5"/>
  <c r="P127" i="5"/>
  <c r="AD127" i="5"/>
  <c r="AE126" i="5"/>
  <c r="AA126" i="5"/>
  <c r="T126" i="5"/>
  <c r="S126" i="5"/>
  <c r="P126" i="5"/>
  <c r="AD126" i="5"/>
  <c r="AE125" i="5"/>
  <c r="AD125" i="5"/>
  <c r="T125" i="5"/>
  <c r="S125" i="5"/>
  <c r="P125" i="5"/>
  <c r="AE124" i="5"/>
  <c r="AD124" i="5"/>
  <c r="AA124" i="5"/>
  <c r="T124" i="5"/>
  <c r="S124" i="5"/>
  <c r="P124" i="5"/>
  <c r="AE123" i="5"/>
  <c r="AA123" i="5"/>
  <c r="T123" i="5"/>
  <c r="S123" i="5"/>
  <c r="P123" i="5"/>
  <c r="AD123" i="5"/>
  <c r="AE122" i="5"/>
  <c r="AA122" i="5"/>
  <c r="T122" i="5"/>
  <c r="S122" i="5"/>
  <c r="P122" i="5"/>
  <c r="AD122" i="5"/>
  <c r="AE121" i="5"/>
  <c r="AD121" i="5"/>
  <c r="T121" i="5"/>
  <c r="S121" i="5"/>
  <c r="P121" i="5"/>
  <c r="AE120" i="5"/>
  <c r="AD120" i="5"/>
  <c r="AA120" i="5"/>
  <c r="T120" i="5"/>
  <c r="S120" i="5"/>
  <c r="P120" i="5"/>
  <c r="AE119" i="5"/>
  <c r="AA119" i="5"/>
  <c r="T119" i="5"/>
  <c r="S119" i="5"/>
  <c r="P119" i="5"/>
  <c r="AD119" i="5"/>
  <c r="AE118" i="5"/>
  <c r="AA118" i="5"/>
  <c r="T118" i="5"/>
  <c r="S118" i="5"/>
  <c r="P118" i="5"/>
  <c r="AD118" i="5"/>
  <c r="AE117" i="5"/>
  <c r="AD117" i="5"/>
  <c r="T117" i="5"/>
  <c r="S117" i="5"/>
  <c r="P117" i="5"/>
  <c r="AE116" i="5"/>
  <c r="AD116" i="5"/>
  <c r="AA116" i="5"/>
  <c r="T116" i="5"/>
  <c r="S116" i="5"/>
  <c r="P116" i="5"/>
  <c r="AE115" i="5"/>
  <c r="AA115" i="5"/>
  <c r="T115" i="5"/>
  <c r="S115" i="5"/>
  <c r="P115" i="5"/>
  <c r="AD115" i="5"/>
  <c r="AE114" i="5"/>
  <c r="AA114" i="5"/>
  <c r="T114" i="5"/>
  <c r="S114" i="5"/>
  <c r="P114" i="5"/>
  <c r="AD114" i="5"/>
  <c r="AE113" i="5"/>
  <c r="AD113" i="5"/>
  <c r="T113" i="5"/>
  <c r="S113" i="5"/>
  <c r="P113" i="5"/>
  <c r="AE112" i="5"/>
  <c r="AD112" i="5"/>
  <c r="AA112" i="5"/>
  <c r="T112" i="5"/>
  <c r="S112" i="5"/>
  <c r="P112" i="5"/>
  <c r="AE111" i="5"/>
  <c r="AA111" i="5"/>
  <c r="T111" i="5"/>
  <c r="S111" i="5"/>
  <c r="P111" i="5"/>
  <c r="AD111" i="5"/>
  <c r="AE110" i="5"/>
  <c r="AA110" i="5"/>
  <c r="T110" i="5"/>
  <c r="S110" i="5"/>
  <c r="P110" i="5"/>
  <c r="AD110" i="5"/>
  <c r="AE109" i="5"/>
  <c r="AD109" i="5"/>
  <c r="T109" i="5"/>
  <c r="S109" i="5"/>
  <c r="P109" i="5"/>
  <c r="AE108" i="5"/>
  <c r="AD108" i="5"/>
  <c r="AA108" i="5"/>
  <c r="T108" i="5"/>
  <c r="S108" i="5"/>
  <c r="P108" i="5"/>
  <c r="AE107" i="5"/>
  <c r="AA107" i="5"/>
  <c r="T107" i="5"/>
  <c r="S107" i="5"/>
  <c r="P107" i="5"/>
  <c r="AD107" i="5"/>
  <c r="AE106" i="5"/>
  <c r="AA106" i="5"/>
  <c r="T106" i="5"/>
  <c r="S106" i="5"/>
  <c r="P106" i="5"/>
  <c r="AD106" i="5"/>
  <c r="AE105" i="5"/>
  <c r="AD105" i="5"/>
  <c r="T105" i="5"/>
  <c r="S105" i="5"/>
  <c r="P105" i="5"/>
  <c r="AE104" i="5"/>
  <c r="AD104" i="5"/>
  <c r="AA104" i="5"/>
  <c r="T104" i="5"/>
  <c r="S104" i="5"/>
  <c r="P104" i="5"/>
  <c r="AE103" i="5"/>
  <c r="AA103" i="5"/>
  <c r="T103" i="5"/>
  <c r="S103" i="5"/>
  <c r="P103" i="5"/>
  <c r="AD103" i="5"/>
  <c r="AE102" i="5"/>
  <c r="AA102" i="5"/>
  <c r="T102" i="5"/>
  <c r="S102" i="5"/>
  <c r="P102" i="5"/>
  <c r="AD102" i="5"/>
  <c r="AE101" i="5"/>
  <c r="AD101" i="5"/>
  <c r="T101" i="5"/>
  <c r="S101" i="5"/>
  <c r="P101" i="5"/>
  <c r="AE100" i="5"/>
  <c r="AD100" i="5"/>
  <c r="AA100" i="5"/>
  <c r="T100" i="5"/>
  <c r="S100" i="5"/>
  <c r="P100" i="5"/>
  <c r="AE99" i="5"/>
  <c r="AA99" i="5"/>
  <c r="T99" i="5"/>
  <c r="S99" i="5"/>
  <c r="P99" i="5"/>
  <c r="AD99" i="5"/>
  <c r="AE98" i="5"/>
  <c r="AA98" i="5"/>
  <c r="T98" i="5"/>
  <c r="S98" i="5"/>
  <c r="P98" i="5"/>
  <c r="AD98" i="5"/>
  <c r="AE97" i="5"/>
  <c r="AD97" i="5"/>
  <c r="T97" i="5"/>
  <c r="S97" i="5"/>
  <c r="P97" i="5"/>
  <c r="AE96" i="5"/>
  <c r="AD96" i="5"/>
  <c r="AA96" i="5"/>
  <c r="T96" i="5"/>
  <c r="S96" i="5"/>
  <c r="P96" i="5"/>
  <c r="AE95" i="5"/>
  <c r="AA95" i="5"/>
  <c r="T95" i="5"/>
  <c r="S95" i="5"/>
  <c r="P95" i="5"/>
  <c r="AD95" i="5"/>
  <c r="AE94" i="5"/>
  <c r="AA94" i="5"/>
  <c r="T94" i="5"/>
  <c r="S94" i="5"/>
  <c r="P94" i="5"/>
  <c r="AD94" i="5"/>
  <c r="AE93" i="5"/>
  <c r="AD93" i="5"/>
  <c r="T93" i="5"/>
  <c r="S93" i="5"/>
  <c r="P93" i="5"/>
  <c r="AE92" i="5"/>
  <c r="AD92" i="5"/>
  <c r="AA92" i="5"/>
  <c r="T92" i="5"/>
  <c r="S92" i="5"/>
  <c r="P92" i="5"/>
  <c r="AE91" i="5"/>
  <c r="AA91" i="5"/>
  <c r="T91" i="5"/>
  <c r="S91" i="5"/>
  <c r="P91" i="5"/>
  <c r="AD91" i="5"/>
  <c r="AE90" i="5"/>
  <c r="AA90" i="5"/>
  <c r="T90" i="5"/>
  <c r="S90" i="5"/>
  <c r="P90" i="5"/>
  <c r="AD90" i="5"/>
  <c r="AE89" i="5"/>
  <c r="AD89" i="5"/>
  <c r="T89" i="5"/>
  <c r="S89" i="5"/>
  <c r="P89" i="5"/>
  <c r="AE88" i="5"/>
  <c r="AD88" i="5"/>
  <c r="AA88" i="5"/>
  <c r="T88" i="5"/>
  <c r="S88" i="5"/>
  <c r="P88" i="5"/>
  <c r="AE87" i="5"/>
  <c r="AA87" i="5"/>
  <c r="T87" i="5"/>
  <c r="S87" i="5"/>
  <c r="P87" i="5"/>
  <c r="AD87" i="5"/>
  <c r="AE70" i="5"/>
  <c r="AA70" i="5"/>
  <c r="T70" i="5"/>
  <c r="S70" i="5"/>
  <c r="P70" i="5"/>
  <c r="AD70" i="5"/>
  <c r="AE69" i="5"/>
  <c r="AD69" i="5"/>
  <c r="AB69" i="5"/>
  <c r="T69" i="5"/>
  <c r="S69" i="5"/>
  <c r="P69" i="5"/>
  <c r="AE68" i="5"/>
  <c r="AA68" i="5"/>
  <c r="AB68" i="5"/>
  <c r="T68" i="5"/>
  <c r="S68" i="5"/>
  <c r="P68" i="5"/>
  <c r="AD68" i="5"/>
  <c r="AE67" i="5"/>
  <c r="AB67" i="5"/>
  <c r="AA67" i="5"/>
  <c r="T67" i="5"/>
  <c r="S67" i="5"/>
  <c r="P67" i="5"/>
  <c r="AD67" i="5"/>
  <c r="AE66" i="5"/>
  <c r="AA66" i="5"/>
  <c r="T66" i="5"/>
  <c r="S66" i="5"/>
  <c r="P66" i="5"/>
  <c r="AD66" i="5"/>
  <c r="AE65" i="5"/>
  <c r="AD65" i="5"/>
  <c r="AB65" i="5"/>
  <c r="T65" i="5"/>
  <c r="S65" i="5"/>
  <c r="P65" i="5"/>
  <c r="AE64" i="5"/>
  <c r="AA64" i="5"/>
  <c r="AB64" i="5"/>
  <c r="T64" i="5"/>
  <c r="S64" i="5"/>
  <c r="P64" i="5"/>
  <c r="AD64" i="5"/>
  <c r="AE63" i="5"/>
  <c r="AB63" i="5"/>
  <c r="AA63" i="5"/>
  <c r="T63" i="5"/>
  <c r="S63" i="5"/>
  <c r="P63" i="5"/>
  <c r="AD63" i="5"/>
  <c r="AE62" i="5"/>
  <c r="AA62" i="5"/>
  <c r="T62" i="5"/>
  <c r="S62" i="5"/>
  <c r="P62" i="5"/>
  <c r="AD62" i="5"/>
  <c r="AE61" i="5"/>
  <c r="AD61" i="5"/>
  <c r="AB61" i="5"/>
  <c r="T61" i="5"/>
  <c r="S61" i="5"/>
  <c r="P61" i="5"/>
  <c r="AE60" i="5"/>
  <c r="AA60" i="5"/>
  <c r="AB60" i="5"/>
  <c r="T60" i="5"/>
  <c r="S60" i="5"/>
  <c r="P60" i="5"/>
  <c r="AD60" i="5"/>
  <c r="AE59" i="5"/>
  <c r="AB59" i="5"/>
  <c r="AA59" i="5"/>
  <c r="T59" i="5"/>
  <c r="S59" i="5"/>
  <c r="P59" i="5"/>
  <c r="AD59" i="5"/>
  <c r="AE58" i="5"/>
  <c r="AA58" i="5"/>
  <c r="T58" i="5"/>
  <c r="S58" i="5"/>
  <c r="P58" i="5"/>
  <c r="AD58" i="5"/>
  <c r="AE57" i="5"/>
  <c r="AD57" i="5"/>
  <c r="AB57" i="5"/>
  <c r="T57" i="5"/>
  <c r="S57" i="5"/>
  <c r="P57" i="5"/>
  <c r="AE56" i="5"/>
  <c r="AA56" i="5"/>
  <c r="AB56" i="5"/>
  <c r="T56" i="5"/>
  <c r="S56" i="5"/>
  <c r="P56" i="5"/>
  <c r="AD56" i="5"/>
  <c r="AE55" i="5"/>
  <c r="AB55" i="5"/>
  <c r="AA55" i="5"/>
  <c r="T55" i="5"/>
  <c r="S55" i="5"/>
  <c r="P55" i="5"/>
  <c r="AD55" i="5"/>
  <c r="AE54" i="5"/>
  <c r="AA54" i="5"/>
  <c r="T54" i="5"/>
  <c r="S54" i="5"/>
  <c r="P54" i="5"/>
  <c r="AD54" i="5"/>
  <c r="AE53" i="5"/>
  <c r="AD53" i="5"/>
  <c r="AB53" i="5"/>
  <c r="T53" i="5"/>
  <c r="S53" i="5"/>
  <c r="P53" i="5"/>
  <c r="AE52" i="5"/>
  <c r="AA52" i="5"/>
  <c r="AB52" i="5"/>
  <c r="T52" i="5"/>
  <c r="S52" i="5"/>
  <c r="P52" i="5"/>
  <c r="AD52" i="5"/>
  <c r="AE51" i="5"/>
  <c r="AB51" i="5"/>
  <c r="AA51" i="5"/>
  <c r="T51" i="5"/>
  <c r="S51" i="5"/>
  <c r="P51" i="5"/>
  <c r="AD51" i="5"/>
  <c r="AE50" i="5"/>
  <c r="AA50" i="5"/>
  <c r="T50" i="5"/>
  <c r="S50" i="5"/>
  <c r="P50" i="5"/>
  <c r="AD50" i="5"/>
  <c r="AE49" i="5"/>
  <c r="AD49" i="5"/>
  <c r="AB49" i="5"/>
  <c r="T49" i="5"/>
  <c r="S49" i="5"/>
  <c r="P49" i="5"/>
  <c r="AE48" i="5"/>
  <c r="AA48" i="5"/>
  <c r="AB48" i="5"/>
  <c r="T48" i="5"/>
  <c r="S48" i="5"/>
  <c r="P48" i="5"/>
  <c r="AD48" i="5"/>
  <c r="AE47" i="5"/>
  <c r="AB47" i="5"/>
  <c r="AA47" i="5"/>
  <c r="T47" i="5"/>
  <c r="S47" i="5"/>
  <c r="P47" i="5"/>
  <c r="AD47" i="5"/>
  <c r="AE46" i="5"/>
  <c r="AD46" i="5"/>
  <c r="AA46" i="5"/>
  <c r="T46" i="5"/>
  <c r="S46" i="5"/>
  <c r="P46" i="5"/>
  <c r="AE45" i="5"/>
  <c r="AD45" i="5"/>
  <c r="AA45" i="5"/>
  <c r="AB45" i="5"/>
  <c r="T45" i="5"/>
  <c r="S45" i="5"/>
  <c r="P45" i="5"/>
  <c r="AE44" i="5"/>
  <c r="AB44" i="5"/>
  <c r="AA44" i="5"/>
  <c r="T44" i="5"/>
  <c r="S44" i="5"/>
  <c r="P44" i="5"/>
  <c r="AD44" i="5"/>
  <c r="AE43" i="5"/>
  <c r="AB43" i="5"/>
  <c r="AA43" i="5"/>
  <c r="T43" i="5"/>
  <c r="S43" i="5"/>
  <c r="P43" i="5"/>
  <c r="AD43" i="5"/>
  <c r="AE42" i="5"/>
  <c r="AD42" i="5"/>
  <c r="AA42" i="5"/>
  <c r="T42" i="5"/>
  <c r="S42" i="5"/>
  <c r="P42" i="5"/>
  <c r="AE41" i="5"/>
  <c r="AD41" i="5"/>
  <c r="AA41" i="5"/>
  <c r="AB41" i="5"/>
  <c r="T41" i="5"/>
  <c r="S41" i="5"/>
  <c r="P41" i="5"/>
  <c r="AE40" i="5"/>
  <c r="AB40" i="5"/>
  <c r="AA40" i="5"/>
  <c r="T40" i="5"/>
  <c r="S40" i="5"/>
  <c r="P40" i="5"/>
  <c r="AD40" i="5"/>
  <c r="AE39" i="5"/>
  <c r="AB39" i="5"/>
  <c r="AA39" i="5"/>
  <c r="T39" i="5"/>
  <c r="S39" i="5"/>
  <c r="P39" i="5"/>
  <c r="AD39" i="5"/>
  <c r="AE38" i="5"/>
  <c r="AD38" i="5"/>
  <c r="AA38" i="5"/>
  <c r="T38" i="5"/>
  <c r="S38" i="5"/>
  <c r="P38" i="5"/>
  <c r="AE37" i="5"/>
  <c r="AD37" i="5"/>
  <c r="AA37" i="5"/>
  <c r="AB37" i="5"/>
  <c r="T37" i="5"/>
  <c r="S37" i="5"/>
  <c r="P37" i="5"/>
  <c r="AE36" i="5"/>
  <c r="AB36" i="5"/>
  <c r="AA36" i="5"/>
  <c r="T36" i="5"/>
  <c r="S36" i="5"/>
  <c r="P36" i="5"/>
  <c r="AD36" i="5"/>
  <c r="AE35" i="5"/>
  <c r="AB35" i="5"/>
  <c r="AA35" i="5"/>
  <c r="T35" i="5"/>
  <c r="S35" i="5"/>
  <c r="P35" i="5"/>
  <c r="AD35" i="5"/>
  <c r="AE34" i="5"/>
  <c r="AD34" i="5"/>
  <c r="AA34" i="5"/>
  <c r="T34" i="5"/>
  <c r="S34" i="5"/>
  <c r="P34" i="5"/>
  <c r="AE33" i="5"/>
  <c r="AD33" i="5"/>
  <c r="AA33" i="5"/>
  <c r="AB33" i="5"/>
  <c r="T33" i="5"/>
  <c r="S33" i="5"/>
  <c r="P33" i="5"/>
  <c r="AE32" i="5"/>
  <c r="AB32" i="5"/>
  <c r="AA32" i="5"/>
  <c r="T32" i="5"/>
  <c r="S32" i="5"/>
  <c r="P32" i="5"/>
  <c r="AD32" i="5"/>
  <c r="AE31" i="5"/>
  <c r="AB31" i="5"/>
  <c r="AA31" i="5"/>
  <c r="T31" i="5"/>
  <c r="S31" i="5"/>
  <c r="P31" i="5"/>
  <c r="AD31" i="5"/>
  <c r="AE30" i="5"/>
  <c r="AD30" i="5"/>
  <c r="AA30" i="5"/>
  <c r="T30" i="5"/>
  <c r="S30" i="5"/>
  <c r="P30" i="5"/>
  <c r="AE29" i="5"/>
  <c r="AD29" i="5"/>
  <c r="AA29" i="5"/>
  <c r="AB29" i="5"/>
  <c r="T29" i="5"/>
  <c r="S29" i="5"/>
  <c r="P29" i="5"/>
  <c r="AE28" i="5"/>
  <c r="AB28" i="5"/>
  <c r="AA28" i="5"/>
  <c r="T28" i="5"/>
  <c r="S28" i="5"/>
  <c r="P28" i="5"/>
  <c r="AD28" i="5"/>
  <c r="AE27" i="5"/>
  <c r="AB27" i="5"/>
  <c r="AA27" i="5"/>
  <c r="T27" i="5"/>
  <c r="S27" i="5"/>
  <c r="P27" i="5"/>
  <c r="AD27" i="5"/>
  <c r="AE26" i="5"/>
  <c r="AD26" i="5"/>
  <c r="AA26" i="5"/>
  <c r="T26" i="5"/>
  <c r="S26" i="5"/>
  <c r="P26" i="5"/>
  <c r="AE25" i="5"/>
  <c r="AD25" i="5"/>
  <c r="AA25" i="5"/>
  <c r="AB25" i="5"/>
  <c r="T25" i="5"/>
  <c r="S25" i="5"/>
  <c r="P25" i="5"/>
  <c r="AE24" i="5"/>
  <c r="AB24" i="5"/>
  <c r="AA24" i="5"/>
  <c r="T24" i="5"/>
  <c r="S24" i="5"/>
  <c r="P24" i="5"/>
  <c r="AD24" i="5"/>
  <c r="AE23" i="5"/>
  <c r="AB23" i="5"/>
  <c r="AA23" i="5"/>
  <c r="T23" i="5"/>
  <c r="S23" i="5"/>
  <c r="P23" i="5"/>
  <c r="AD23" i="5"/>
  <c r="AE22" i="5"/>
  <c r="AD22" i="5"/>
  <c r="AA22" i="5"/>
  <c r="T22" i="5"/>
  <c r="S22" i="5"/>
  <c r="P22" i="5"/>
  <c r="AE21" i="5"/>
  <c r="AD21" i="5"/>
  <c r="AA21" i="5"/>
  <c r="AB21" i="5"/>
  <c r="T21" i="5"/>
  <c r="S21" i="5"/>
  <c r="P21" i="5"/>
  <c r="AE20" i="5"/>
  <c r="AB20" i="5"/>
  <c r="AA20" i="5"/>
  <c r="T20" i="5"/>
  <c r="S20" i="5"/>
  <c r="P20" i="5"/>
  <c r="AD20" i="5"/>
  <c r="AE19" i="5"/>
  <c r="AB19" i="5"/>
  <c r="AA19" i="5"/>
  <c r="T19" i="5"/>
  <c r="S19" i="5"/>
  <c r="P19" i="5"/>
  <c r="AD19" i="5"/>
  <c r="AE18" i="5"/>
  <c r="AD18" i="5"/>
  <c r="AA18" i="5"/>
  <c r="P18" i="5"/>
  <c r="R18" i="5" s="1"/>
  <c r="AE17" i="5"/>
  <c r="AA17" i="5"/>
  <c r="AB17" i="5"/>
  <c r="P17" i="5"/>
  <c r="R17" i="5" s="1"/>
  <c r="T16" i="4" l="1"/>
  <c r="AC27" i="6"/>
  <c r="AC33" i="5"/>
  <c r="AC52" i="5"/>
  <c r="AC68" i="5"/>
  <c r="AC23" i="5"/>
  <c r="AC39" i="5"/>
  <c r="AC23" i="6"/>
  <c r="AC28" i="5"/>
  <c r="AC29" i="5"/>
  <c r="AC45" i="5"/>
  <c r="AC44" i="5"/>
  <c r="AC55" i="5"/>
  <c r="AC56" i="5"/>
  <c r="AC17" i="5"/>
  <c r="AC35" i="6"/>
  <c r="AC19" i="6"/>
  <c r="AC16" i="6"/>
  <c r="S16" i="6" s="1"/>
  <c r="T16" i="6" s="1"/>
  <c r="AD17" i="5"/>
  <c r="AC31" i="6"/>
  <c r="AC32" i="5"/>
  <c r="AC21" i="5"/>
  <c r="AC36" i="5"/>
  <c r="AC63" i="5"/>
  <c r="AC64" i="5"/>
  <c r="AC67" i="5"/>
  <c r="AC20" i="5"/>
  <c r="AC37" i="5"/>
  <c r="AC51" i="5"/>
  <c r="AC24" i="5"/>
  <c r="AC25" i="5"/>
  <c r="AC31" i="5"/>
  <c r="AC40" i="5"/>
  <c r="AC41" i="5"/>
  <c r="AC48" i="5"/>
  <c r="AC59" i="5"/>
  <c r="AC60" i="5"/>
  <c r="AA89" i="5"/>
  <c r="AA93" i="5"/>
  <c r="AA97" i="5"/>
  <c r="AA101" i="5"/>
  <c r="AA105" i="5"/>
  <c r="AA109" i="5"/>
  <c r="AA113" i="5"/>
  <c r="AA117" i="5"/>
  <c r="AA121" i="5"/>
  <c r="AA125" i="5"/>
  <c r="AA129" i="5"/>
  <c r="AA133" i="5"/>
  <c r="AA137" i="5"/>
  <c r="S17" i="5"/>
  <c r="AC47" i="5"/>
  <c r="AC19" i="5"/>
  <c r="AC27" i="5"/>
  <c r="AC35" i="5"/>
  <c r="AC43" i="5"/>
  <c r="AB18" i="5"/>
  <c r="AC18" i="5" s="1"/>
  <c r="S18" i="5" s="1"/>
  <c r="AB22" i="5"/>
  <c r="AC22" i="5" s="1"/>
  <c r="AB26" i="5"/>
  <c r="AC26" i="5" s="1"/>
  <c r="AB30" i="5"/>
  <c r="AC30" i="5" s="1"/>
  <c r="AB34" i="5"/>
  <c r="AC34" i="5" s="1"/>
  <c r="AB38" i="5"/>
  <c r="AC38" i="5" s="1"/>
  <c r="AB42" i="5"/>
  <c r="AC42" i="5" s="1"/>
  <c r="AB46" i="5"/>
  <c r="AC46" i="5" s="1"/>
  <c r="AB50" i="5"/>
  <c r="AC50" i="5" s="1"/>
  <c r="AB54" i="5"/>
  <c r="AC54" i="5" s="1"/>
  <c r="AB58" i="5"/>
  <c r="AC58" i="5" s="1"/>
  <c r="AB62" i="5"/>
  <c r="AC62" i="5" s="1"/>
  <c r="AB66" i="5"/>
  <c r="AC66" i="5" s="1"/>
  <c r="AB70" i="5"/>
  <c r="AC70" i="5" s="1"/>
  <c r="AA49" i="5"/>
  <c r="AC49" i="5" s="1"/>
  <c r="AA53" i="5"/>
  <c r="AC53" i="5" s="1"/>
  <c r="AA57" i="5"/>
  <c r="AC57" i="5" s="1"/>
  <c r="AA61" i="5"/>
  <c r="AC61" i="5" s="1"/>
  <c r="AA65" i="5"/>
  <c r="AC65" i="5" s="1"/>
  <c r="AA69" i="5"/>
  <c r="AC69" i="5" s="1"/>
  <c r="T18" i="5" l="1"/>
  <c r="T17" i="5"/>
  <c r="AE16" i="5" l="1"/>
  <c r="AD16" i="5" l="1"/>
  <c r="P16" i="5" l="1"/>
  <c r="AG16" i="6" l="1"/>
  <c r="AH16" i="6" s="1"/>
  <c r="M36" i="6"/>
  <c r="L36" i="6"/>
  <c r="M100" i="6"/>
  <c r="M132" i="6" s="1"/>
  <c r="M164" i="6" s="1"/>
  <c r="L100" i="6"/>
  <c r="M99" i="6"/>
  <c r="M131" i="6" s="1"/>
  <c r="M163" i="6" s="1"/>
  <c r="L99" i="6"/>
  <c r="M98" i="6"/>
  <c r="M130" i="6" s="1"/>
  <c r="M162" i="6" s="1"/>
  <c r="L98" i="6"/>
  <c r="M97" i="6"/>
  <c r="M129" i="6" s="1"/>
  <c r="M161" i="6" s="1"/>
  <c r="L97" i="6"/>
  <c r="M96" i="6"/>
  <c r="M128" i="6" s="1"/>
  <c r="M160" i="6" s="1"/>
  <c r="L96" i="6"/>
  <c r="M95" i="6"/>
  <c r="M127" i="6" s="1"/>
  <c r="M159" i="6" s="1"/>
  <c r="L95" i="6"/>
  <c r="M94" i="6"/>
  <c r="M126" i="6" s="1"/>
  <c r="M158" i="6" s="1"/>
  <c r="L94" i="6"/>
  <c r="M93" i="6"/>
  <c r="M125" i="6" s="1"/>
  <c r="M157" i="6" s="1"/>
  <c r="L93" i="6"/>
  <c r="M92" i="6"/>
  <c r="M124" i="6" s="1"/>
  <c r="M156" i="6" s="1"/>
  <c r="L92" i="6"/>
  <c r="M91" i="6"/>
  <c r="M123" i="6" s="1"/>
  <c r="M155" i="6" s="1"/>
  <c r="L91" i="6"/>
  <c r="M90" i="6"/>
  <c r="M122" i="6" s="1"/>
  <c r="M154" i="6" s="1"/>
  <c r="L90" i="6"/>
  <c r="M89" i="6"/>
  <c r="M121" i="6" s="1"/>
  <c r="M153" i="6" s="1"/>
  <c r="L89" i="6"/>
  <c r="M88" i="6"/>
  <c r="M120" i="6" s="1"/>
  <c r="M152" i="6" s="1"/>
  <c r="L88" i="6"/>
  <c r="M87" i="6"/>
  <c r="M119" i="6" s="1"/>
  <c r="M151" i="6" s="1"/>
  <c r="L87" i="6"/>
  <c r="M86" i="6"/>
  <c r="M118" i="6" s="1"/>
  <c r="M150" i="6" s="1"/>
  <c r="L86" i="6"/>
  <c r="M85" i="6"/>
  <c r="M117" i="6" s="1"/>
  <c r="M149" i="6" s="1"/>
  <c r="L85" i="6"/>
  <c r="M84" i="6"/>
  <c r="M116" i="6" s="1"/>
  <c r="M148" i="6" s="1"/>
  <c r="L84" i="6"/>
  <c r="M83" i="6"/>
  <c r="M115" i="6" s="1"/>
  <c r="M147" i="6" s="1"/>
  <c r="L83" i="6"/>
  <c r="M82" i="6"/>
  <c r="M114" i="6" s="1"/>
  <c r="M146" i="6" s="1"/>
  <c r="L82" i="6"/>
  <c r="AE48" i="6"/>
  <c r="M26" i="4"/>
  <c r="L26" i="4"/>
  <c r="N26" i="4"/>
  <c r="M62" i="4"/>
  <c r="M85" i="4" s="1"/>
  <c r="M206" i="5"/>
  <c r="M273" i="5" s="1"/>
  <c r="M340" i="5" s="1"/>
  <c r="L206" i="5"/>
  <c r="M205" i="5"/>
  <c r="M272" i="5" s="1"/>
  <c r="M339" i="5" s="1"/>
  <c r="L205" i="5"/>
  <c r="M204" i="5"/>
  <c r="M271" i="5" s="1"/>
  <c r="M338" i="5" s="1"/>
  <c r="L204" i="5"/>
  <c r="M203" i="5"/>
  <c r="M270" i="5" s="1"/>
  <c r="M337" i="5" s="1"/>
  <c r="L203" i="5"/>
  <c r="M202" i="5"/>
  <c r="M269" i="5" s="1"/>
  <c r="M336" i="5" s="1"/>
  <c r="L202" i="5"/>
  <c r="M201" i="5"/>
  <c r="M268" i="5" s="1"/>
  <c r="M335" i="5" s="1"/>
  <c r="L201" i="5"/>
  <c r="M200" i="5"/>
  <c r="M267" i="5" s="1"/>
  <c r="M334" i="5" s="1"/>
  <c r="L200" i="5"/>
  <c r="M199" i="5"/>
  <c r="M266" i="5" s="1"/>
  <c r="M333" i="5" s="1"/>
  <c r="L199" i="5"/>
  <c r="M198" i="5"/>
  <c r="M265" i="5" s="1"/>
  <c r="M332" i="5" s="1"/>
  <c r="L198" i="5"/>
  <c r="M197" i="5"/>
  <c r="M264" i="5" s="1"/>
  <c r="M331" i="5" s="1"/>
  <c r="L197" i="5"/>
  <c r="M196" i="5"/>
  <c r="M263" i="5" s="1"/>
  <c r="M330" i="5" s="1"/>
  <c r="L196" i="5"/>
  <c r="M195" i="5"/>
  <c r="M262" i="5" s="1"/>
  <c r="M329" i="5" s="1"/>
  <c r="L195" i="5"/>
  <c r="M194" i="5"/>
  <c r="M261" i="5" s="1"/>
  <c r="M328" i="5" s="1"/>
  <c r="L194" i="5"/>
  <c r="M193" i="5"/>
  <c r="M260" i="5" s="1"/>
  <c r="M327" i="5" s="1"/>
  <c r="L193" i="5"/>
  <c r="M192" i="5"/>
  <c r="M259" i="5" s="1"/>
  <c r="M326" i="5" s="1"/>
  <c r="L192" i="5"/>
  <c r="M191" i="5"/>
  <c r="M258" i="5" s="1"/>
  <c r="M325" i="5" s="1"/>
  <c r="L191" i="5"/>
  <c r="M190" i="5"/>
  <c r="M257" i="5" s="1"/>
  <c r="M324" i="5" s="1"/>
  <c r="L190" i="5"/>
  <c r="M189" i="5"/>
  <c r="M256" i="5" s="1"/>
  <c r="M323" i="5" s="1"/>
  <c r="L189" i="5"/>
  <c r="M188" i="5"/>
  <c r="M255" i="5" s="1"/>
  <c r="M322" i="5" s="1"/>
  <c r="L188" i="5"/>
  <c r="M187" i="5"/>
  <c r="M254" i="5" s="1"/>
  <c r="M321" i="5" s="1"/>
  <c r="L187" i="5"/>
  <c r="M186" i="5"/>
  <c r="M253" i="5" s="1"/>
  <c r="M320" i="5" s="1"/>
  <c r="L186" i="5"/>
  <c r="M185" i="5"/>
  <c r="M252" i="5" s="1"/>
  <c r="M319" i="5" s="1"/>
  <c r="L185" i="5"/>
  <c r="M184" i="5"/>
  <c r="M251" i="5" s="1"/>
  <c r="M318" i="5" s="1"/>
  <c r="L184" i="5"/>
  <c r="M183" i="5"/>
  <c r="M250" i="5" s="1"/>
  <c r="M317" i="5" s="1"/>
  <c r="L183" i="5"/>
  <c r="M182" i="5"/>
  <c r="M249" i="5" s="1"/>
  <c r="M316" i="5" s="1"/>
  <c r="L182" i="5"/>
  <c r="M181" i="5"/>
  <c r="M248" i="5" s="1"/>
  <c r="M315" i="5" s="1"/>
  <c r="L181" i="5"/>
  <c r="M180" i="5"/>
  <c r="M247" i="5" s="1"/>
  <c r="M314" i="5" s="1"/>
  <c r="L180" i="5"/>
  <c r="M179" i="5"/>
  <c r="M246" i="5" s="1"/>
  <c r="M313" i="5" s="1"/>
  <c r="L179" i="5"/>
  <c r="M178" i="5"/>
  <c r="M245" i="5" s="1"/>
  <c r="M312" i="5" s="1"/>
  <c r="L178" i="5"/>
  <c r="M177" i="5"/>
  <c r="M244" i="5" s="1"/>
  <c r="M311" i="5" s="1"/>
  <c r="L177" i="5"/>
  <c r="M176" i="5"/>
  <c r="M243" i="5" s="1"/>
  <c r="M310" i="5" s="1"/>
  <c r="L176" i="5"/>
  <c r="M175" i="5"/>
  <c r="M242" i="5" s="1"/>
  <c r="M309" i="5" s="1"/>
  <c r="L175" i="5"/>
  <c r="M174" i="5"/>
  <c r="M241" i="5" s="1"/>
  <c r="M308" i="5" s="1"/>
  <c r="L174" i="5"/>
  <c r="M173" i="5"/>
  <c r="M240" i="5" s="1"/>
  <c r="M307" i="5" s="1"/>
  <c r="L173" i="5"/>
  <c r="M172" i="5"/>
  <c r="M239" i="5" s="1"/>
  <c r="M306" i="5" s="1"/>
  <c r="L172" i="5"/>
  <c r="M171" i="5"/>
  <c r="M238" i="5" s="1"/>
  <c r="M305" i="5" s="1"/>
  <c r="L171" i="5"/>
  <c r="M170" i="5"/>
  <c r="M237" i="5" s="1"/>
  <c r="M304" i="5" s="1"/>
  <c r="L170" i="5"/>
  <c r="M169" i="5"/>
  <c r="M236" i="5" s="1"/>
  <c r="M303" i="5" s="1"/>
  <c r="L169" i="5"/>
  <c r="M168" i="5"/>
  <c r="M235" i="5" s="1"/>
  <c r="M302" i="5" s="1"/>
  <c r="L168" i="5"/>
  <c r="M167" i="5"/>
  <c r="M234" i="5" s="1"/>
  <c r="M301" i="5" s="1"/>
  <c r="L167" i="5"/>
  <c r="M166" i="5"/>
  <c r="M233" i="5" s="1"/>
  <c r="M300" i="5" s="1"/>
  <c r="L166" i="5"/>
  <c r="M165" i="5"/>
  <c r="M232" i="5" s="1"/>
  <c r="M299" i="5" s="1"/>
  <c r="L165" i="5"/>
  <c r="M164" i="5"/>
  <c r="M231" i="5" s="1"/>
  <c r="M298" i="5" s="1"/>
  <c r="L164" i="5"/>
  <c r="M163" i="5"/>
  <c r="M230" i="5" s="1"/>
  <c r="M297" i="5" s="1"/>
  <c r="L163" i="5"/>
  <c r="M162" i="5"/>
  <c r="M229" i="5" s="1"/>
  <c r="M296" i="5" s="1"/>
  <c r="L162" i="5"/>
  <c r="M161" i="5"/>
  <c r="M228" i="5" s="1"/>
  <c r="M295" i="5" s="1"/>
  <c r="L161" i="5"/>
  <c r="M160" i="5"/>
  <c r="M227" i="5" s="1"/>
  <c r="M294" i="5" s="1"/>
  <c r="L160" i="5"/>
  <c r="M159" i="5"/>
  <c r="M226" i="5" s="1"/>
  <c r="M293" i="5" s="1"/>
  <c r="L159" i="5"/>
  <c r="M158" i="5"/>
  <c r="M225" i="5" s="1"/>
  <c r="M292" i="5" s="1"/>
  <c r="L158" i="5"/>
  <c r="M157" i="5"/>
  <c r="M224" i="5" s="1"/>
  <c r="M291" i="5" s="1"/>
  <c r="L157" i="5"/>
  <c r="M156" i="5"/>
  <c r="M223" i="5" s="1"/>
  <c r="M290" i="5" s="1"/>
  <c r="L156" i="5"/>
  <c r="M155" i="5"/>
  <c r="M222" i="5" s="1"/>
  <c r="M289" i="5" s="1"/>
  <c r="L155" i="5"/>
  <c r="M154" i="5"/>
  <c r="M221" i="5" s="1"/>
  <c r="M288" i="5" s="1"/>
  <c r="M153" i="5"/>
  <c r="M220" i="5" s="1"/>
  <c r="M287" i="5" s="1"/>
  <c r="M152" i="5"/>
  <c r="M219" i="5" s="1"/>
  <c r="M286" i="5" s="1"/>
  <c r="AE84" i="5"/>
  <c r="AG25" i="4"/>
  <c r="AH25" i="4" s="1"/>
  <c r="AG24" i="4"/>
  <c r="AH24" i="4" s="1"/>
  <c r="AG23" i="4"/>
  <c r="AH23" i="4" s="1"/>
  <c r="AG22" i="4"/>
  <c r="AH22" i="4" s="1"/>
  <c r="AG21" i="4"/>
  <c r="AH21" i="4" s="1"/>
  <c r="AG20" i="4"/>
  <c r="AH20" i="4" s="1"/>
  <c r="AG19" i="4"/>
  <c r="AH19" i="4" s="1"/>
  <c r="AG18" i="4"/>
  <c r="AH18" i="4" s="1"/>
  <c r="AG17" i="4"/>
  <c r="AH17" i="4" s="1"/>
  <c r="M71" i="4"/>
  <c r="M94" i="4" s="1"/>
  <c r="M116" i="4" s="1"/>
  <c r="L71" i="4"/>
  <c r="M70" i="4"/>
  <c r="M93" i="4" s="1"/>
  <c r="L70" i="4"/>
  <c r="M69" i="4"/>
  <c r="M92" i="4" s="1"/>
  <c r="M114" i="4" s="1"/>
  <c r="L69" i="4"/>
  <c r="M68" i="4"/>
  <c r="M91" i="4" s="1"/>
  <c r="M113" i="4" s="1"/>
  <c r="L68" i="4"/>
  <c r="M67" i="4"/>
  <c r="M90" i="4" s="1"/>
  <c r="M112" i="4" s="1"/>
  <c r="L67" i="4"/>
  <c r="M66" i="4"/>
  <c r="M89" i="4" s="1"/>
  <c r="M111" i="4" s="1"/>
  <c r="L66" i="4"/>
  <c r="M65" i="4"/>
  <c r="M88" i="4" s="1"/>
  <c r="M110" i="4" s="1"/>
  <c r="L65" i="4"/>
  <c r="M64" i="4"/>
  <c r="M87" i="4" s="1"/>
  <c r="M109" i="4" s="1"/>
  <c r="L64" i="4"/>
  <c r="M63" i="4"/>
  <c r="M86" i="4" s="1"/>
  <c r="M108" i="4" s="1"/>
  <c r="L63" i="4"/>
  <c r="AG16" i="4"/>
  <c r="AH16" i="4" s="1"/>
  <c r="L115" i="6" l="1"/>
  <c r="AE83" i="6"/>
  <c r="L117" i="6"/>
  <c r="AE85" i="6"/>
  <c r="L119" i="6"/>
  <c r="AE87" i="6"/>
  <c r="L121" i="6"/>
  <c r="AE89" i="6"/>
  <c r="L123" i="6"/>
  <c r="AE91" i="6"/>
  <c r="L125" i="6"/>
  <c r="AE93" i="6"/>
  <c r="L127" i="6"/>
  <c r="AE95" i="6"/>
  <c r="L129" i="6"/>
  <c r="AE97" i="6"/>
  <c r="L131" i="6"/>
  <c r="AE99" i="6"/>
  <c r="L114" i="6"/>
  <c r="AE82" i="6"/>
  <c r="L116" i="6"/>
  <c r="AE84" i="6"/>
  <c r="L118" i="6"/>
  <c r="AE86" i="6"/>
  <c r="L120" i="6"/>
  <c r="AE88" i="6"/>
  <c r="L122" i="6"/>
  <c r="AE90" i="6"/>
  <c r="L124" i="6"/>
  <c r="AE92" i="6"/>
  <c r="L126" i="6"/>
  <c r="AE94" i="6"/>
  <c r="L128" i="6"/>
  <c r="AE96" i="6"/>
  <c r="L130" i="6"/>
  <c r="AE98" i="6"/>
  <c r="L132" i="6"/>
  <c r="AE100" i="6"/>
  <c r="L222" i="5"/>
  <c r="AE155" i="5"/>
  <c r="L224" i="5"/>
  <c r="AE157" i="5"/>
  <c r="L226" i="5"/>
  <c r="AE159" i="5"/>
  <c r="L228" i="5"/>
  <c r="AE161" i="5"/>
  <c r="L230" i="5"/>
  <c r="AE163" i="5"/>
  <c r="L232" i="5"/>
  <c r="AE165" i="5"/>
  <c r="L234" i="5"/>
  <c r="AE167" i="5"/>
  <c r="L236" i="5"/>
  <c r="AE169" i="5"/>
  <c r="L238" i="5"/>
  <c r="AE171" i="5"/>
  <c r="L240" i="5"/>
  <c r="AE173" i="5"/>
  <c r="L242" i="5"/>
  <c r="AE175" i="5"/>
  <c r="L244" i="5"/>
  <c r="AE177" i="5"/>
  <c r="L246" i="5"/>
  <c r="AE179" i="5"/>
  <c r="L248" i="5"/>
  <c r="AE181" i="5"/>
  <c r="L250" i="5"/>
  <c r="AE183" i="5"/>
  <c r="L252" i="5"/>
  <c r="AE185" i="5"/>
  <c r="L254" i="5"/>
  <c r="AE187" i="5"/>
  <c r="L256" i="5"/>
  <c r="AE189" i="5"/>
  <c r="L258" i="5"/>
  <c r="AE191" i="5"/>
  <c r="L260" i="5"/>
  <c r="AE193" i="5"/>
  <c r="L262" i="5"/>
  <c r="AE195" i="5"/>
  <c r="L264" i="5"/>
  <c r="AE197" i="5"/>
  <c r="L266" i="5"/>
  <c r="AE199" i="5"/>
  <c r="L268" i="5"/>
  <c r="AE201" i="5"/>
  <c r="L270" i="5"/>
  <c r="AE203" i="5"/>
  <c r="L272" i="5"/>
  <c r="AE205" i="5"/>
  <c r="L223" i="5"/>
  <c r="AE156" i="5"/>
  <c r="L225" i="5"/>
  <c r="AE158" i="5"/>
  <c r="L227" i="5"/>
  <c r="AE160" i="5"/>
  <c r="L229" i="5"/>
  <c r="AE162" i="5"/>
  <c r="L231" i="5"/>
  <c r="AE164" i="5"/>
  <c r="L233" i="5"/>
  <c r="AE166" i="5"/>
  <c r="L235" i="5"/>
  <c r="AE168" i="5"/>
  <c r="L237" i="5"/>
  <c r="AE170" i="5"/>
  <c r="L239" i="5"/>
  <c r="AE172" i="5"/>
  <c r="L241" i="5"/>
  <c r="AE174" i="5"/>
  <c r="L243" i="5"/>
  <c r="AE176" i="5"/>
  <c r="L245" i="5"/>
  <c r="AE178" i="5"/>
  <c r="L247" i="5"/>
  <c r="AE180" i="5"/>
  <c r="L249" i="5"/>
  <c r="AE182" i="5"/>
  <c r="L251" i="5"/>
  <c r="AE184" i="5"/>
  <c r="L253" i="5"/>
  <c r="AE186" i="5"/>
  <c r="L255" i="5"/>
  <c r="AE188" i="5"/>
  <c r="L257" i="5"/>
  <c r="AE190" i="5"/>
  <c r="L259" i="5"/>
  <c r="AE192" i="5"/>
  <c r="L261" i="5"/>
  <c r="AE194" i="5"/>
  <c r="L263" i="5"/>
  <c r="AE196" i="5"/>
  <c r="L265" i="5"/>
  <c r="AE198" i="5"/>
  <c r="L267" i="5"/>
  <c r="AE200" i="5"/>
  <c r="L269" i="5"/>
  <c r="AE202" i="5"/>
  <c r="L271" i="5"/>
  <c r="AE204" i="5"/>
  <c r="L273" i="5"/>
  <c r="AE206" i="5"/>
  <c r="L86" i="4"/>
  <c r="AE63" i="4"/>
  <c r="L88" i="4"/>
  <c r="AE65" i="4"/>
  <c r="L90" i="4"/>
  <c r="AE67" i="4"/>
  <c r="L92" i="4"/>
  <c r="AE69" i="4"/>
  <c r="L94" i="4"/>
  <c r="AE71" i="4"/>
  <c r="L87" i="4"/>
  <c r="AE64" i="4"/>
  <c r="L89" i="4"/>
  <c r="AE66" i="4"/>
  <c r="L91" i="4"/>
  <c r="AE68" i="4"/>
  <c r="L93" i="4"/>
  <c r="AE70" i="4"/>
  <c r="AE38" i="4"/>
  <c r="L154" i="5"/>
  <c r="AE86" i="5"/>
  <c r="L153" i="5"/>
  <c r="AE85" i="5"/>
  <c r="L81" i="6"/>
  <c r="L68" i="6"/>
  <c r="M81" i="6"/>
  <c r="M68" i="6"/>
  <c r="AE36" i="6"/>
  <c r="P36" i="6"/>
  <c r="AD36" i="6"/>
  <c r="M115" i="4"/>
  <c r="P26" i="4"/>
  <c r="L48" i="4"/>
  <c r="M72" i="4"/>
  <c r="AE26" i="4"/>
  <c r="M48" i="4"/>
  <c r="AD26" i="4"/>
  <c r="M95" i="4"/>
  <c r="M107" i="4"/>
  <c r="L152" i="5"/>
  <c r="AE62" i="4"/>
  <c r="N71" i="5"/>
  <c r="L162" i="6" l="1"/>
  <c r="AE162" i="6" s="1"/>
  <c r="AE130" i="6"/>
  <c r="L158" i="6"/>
  <c r="AE158" i="6" s="1"/>
  <c r="AE126" i="6"/>
  <c r="L154" i="6"/>
  <c r="AE154" i="6" s="1"/>
  <c r="AE122" i="6"/>
  <c r="L150" i="6"/>
  <c r="AE150" i="6" s="1"/>
  <c r="AE118" i="6"/>
  <c r="L146" i="6"/>
  <c r="AE146" i="6" s="1"/>
  <c r="AE114" i="6"/>
  <c r="L161" i="6"/>
  <c r="AE161" i="6" s="1"/>
  <c r="AE129" i="6"/>
  <c r="L157" i="6"/>
  <c r="AE157" i="6" s="1"/>
  <c r="AE125" i="6"/>
  <c r="L153" i="6"/>
  <c r="AE153" i="6" s="1"/>
  <c r="AE121" i="6"/>
  <c r="L149" i="6"/>
  <c r="AE149" i="6" s="1"/>
  <c r="AE117" i="6"/>
  <c r="L164" i="6"/>
  <c r="AE164" i="6" s="1"/>
  <c r="AE132" i="6"/>
  <c r="L160" i="6"/>
  <c r="AE160" i="6" s="1"/>
  <c r="AE128" i="6"/>
  <c r="L156" i="6"/>
  <c r="AE156" i="6" s="1"/>
  <c r="AE124" i="6"/>
  <c r="L152" i="6"/>
  <c r="AE152" i="6" s="1"/>
  <c r="AE120" i="6"/>
  <c r="L148" i="6"/>
  <c r="AE148" i="6" s="1"/>
  <c r="AE116" i="6"/>
  <c r="L163" i="6"/>
  <c r="AE163" i="6" s="1"/>
  <c r="AE131" i="6"/>
  <c r="L159" i="6"/>
  <c r="AE159" i="6" s="1"/>
  <c r="AE127" i="6"/>
  <c r="L155" i="6"/>
  <c r="AE155" i="6" s="1"/>
  <c r="AE123" i="6"/>
  <c r="L151" i="6"/>
  <c r="AE151" i="6" s="1"/>
  <c r="AE119" i="6"/>
  <c r="L147" i="6"/>
  <c r="AE147" i="6" s="1"/>
  <c r="AE115" i="6"/>
  <c r="L316" i="5"/>
  <c r="AE316" i="5" s="1"/>
  <c r="AE249" i="5"/>
  <c r="L312" i="5"/>
  <c r="AE312" i="5" s="1"/>
  <c r="AE245" i="5"/>
  <c r="L308" i="5"/>
  <c r="AE308" i="5" s="1"/>
  <c r="AE241" i="5"/>
  <c r="L304" i="5"/>
  <c r="AE304" i="5" s="1"/>
  <c r="AE237" i="5"/>
  <c r="L300" i="5"/>
  <c r="AE300" i="5" s="1"/>
  <c r="AE233" i="5"/>
  <c r="L296" i="5"/>
  <c r="AE296" i="5" s="1"/>
  <c r="AE229" i="5"/>
  <c r="L292" i="5"/>
  <c r="AE292" i="5" s="1"/>
  <c r="AE225" i="5"/>
  <c r="L339" i="5"/>
  <c r="AE339" i="5" s="1"/>
  <c r="AE272" i="5"/>
  <c r="L335" i="5"/>
  <c r="AE335" i="5" s="1"/>
  <c r="AE268" i="5"/>
  <c r="L331" i="5"/>
  <c r="AE331" i="5" s="1"/>
  <c r="AE264" i="5"/>
  <c r="L327" i="5"/>
  <c r="AE327" i="5" s="1"/>
  <c r="AE260" i="5"/>
  <c r="L323" i="5"/>
  <c r="AE323" i="5" s="1"/>
  <c r="AE256" i="5"/>
  <c r="L319" i="5"/>
  <c r="AE319" i="5" s="1"/>
  <c r="AE252" i="5"/>
  <c r="L315" i="5"/>
  <c r="AE315" i="5" s="1"/>
  <c r="AE248" i="5"/>
  <c r="L311" i="5"/>
  <c r="AE311" i="5" s="1"/>
  <c r="AE244" i="5"/>
  <c r="L307" i="5"/>
  <c r="AE307" i="5" s="1"/>
  <c r="AE240" i="5"/>
  <c r="L303" i="5"/>
  <c r="AE303" i="5" s="1"/>
  <c r="AE236" i="5"/>
  <c r="L299" i="5"/>
  <c r="AE299" i="5" s="1"/>
  <c r="AE232" i="5"/>
  <c r="L295" i="5"/>
  <c r="AE295" i="5" s="1"/>
  <c r="AE228" i="5"/>
  <c r="L291" i="5"/>
  <c r="AE291" i="5" s="1"/>
  <c r="AE224" i="5"/>
  <c r="L336" i="5"/>
  <c r="AE336" i="5" s="1"/>
  <c r="AE269" i="5"/>
  <c r="L324" i="5"/>
  <c r="AE324" i="5" s="1"/>
  <c r="AE257" i="5"/>
  <c r="L340" i="5"/>
  <c r="AE340" i="5" s="1"/>
  <c r="AE273" i="5"/>
  <c r="L332" i="5"/>
  <c r="AE332" i="5" s="1"/>
  <c r="AE265" i="5"/>
  <c r="L328" i="5"/>
  <c r="AE328" i="5" s="1"/>
  <c r="AE261" i="5"/>
  <c r="L320" i="5"/>
  <c r="AE320" i="5" s="1"/>
  <c r="AE253" i="5"/>
  <c r="L338" i="5"/>
  <c r="AE338" i="5" s="1"/>
  <c r="AE271" i="5"/>
  <c r="L334" i="5"/>
  <c r="AE334" i="5" s="1"/>
  <c r="AE267" i="5"/>
  <c r="L330" i="5"/>
  <c r="AE330" i="5" s="1"/>
  <c r="AE263" i="5"/>
  <c r="L326" i="5"/>
  <c r="AE326" i="5" s="1"/>
  <c r="AE259" i="5"/>
  <c r="L322" i="5"/>
  <c r="AE322" i="5" s="1"/>
  <c r="AE255" i="5"/>
  <c r="L318" i="5"/>
  <c r="AE318" i="5" s="1"/>
  <c r="AE251" i="5"/>
  <c r="L314" i="5"/>
  <c r="AE314" i="5" s="1"/>
  <c r="AE247" i="5"/>
  <c r="L310" i="5"/>
  <c r="AE310" i="5" s="1"/>
  <c r="AE243" i="5"/>
  <c r="L306" i="5"/>
  <c r="AE306" i="5" s="1"/>
  <c r="AE239" i="5"/>
  <c r="L302" i="5"/>
  <c r="AE302" i="5" s="1"/>
  <c r="AE235" i="5"/>
  <c r="L298" i="5"/>
  <c r="AE298" i="5" s="1"/>
  <c r="AE231" i="5"/>
  <c r="L294" i="5"/>
  <c r="AE294" i="5" s="1"/>
  <c r="AE227" i="5"/>
  <c r="L290" i="5"/>
  <c r="AE290" i="5" s="1"/>
  <c r="AE223" i="5"/>
  <c r="L337" i="5"/>
  <c r="AE337" i="5" s="1"/>
  <c r="AE270" i="5"/>
  <c r="L333" i="5"/>
  <c r="AE333" i="5" s="1"/>
  <c r="AE266" i="5"/>
  <c r="L329" i="5"/>
  <c r="AE329" i="5" s="1"/>
  <c r="AE262" i="5"/>
  <c r="L325" i="5"/>
  <c r="AE325" i="5" s="1"/>
  <c r="AE258" i="5"/>
  <c r="L321" i="5"/>
  <c r="AE321" i="5" s="1"/>
  <c r="AE254" i="5"/>
  <c r="L317" i="5"/>
  <c r="AE317" i="5" s="1"/>
  <c r="AE250" i="5"/>
  <c r="L313" i="5"/>
  <c r="AE313" i="5" s="1"/>
  <c r="AE246" i="5"/>
  <c r="L309" i="5"/>
  <c r="AE309" i="5" s="1"/>
  <c r="AE242" i="5"/>
  <c r="L305" i="5"/>
  <c r="AE305" i="5" s="1"/>
  <c r="AE238" i="5"/>
  <c r="L301" i="5"/>
  <c r="AE301" i="5" s="1"/>
  <c r="AE234" i="5"/>
  <c r="L297" i="5"/>
  <c r="AE297" i="5" s="1"/>
  <c r="AE230" i="5"/>
  <c r="L293" i="5"/>
  <c r="AE293" i="5" s="1"/>
  <c r="AE226" i="5"/>
  <c r="L289" i="5"/>
  <c r="AE289" i="5" s="1"/>
  <c r="AE222" i="5"/>
  <c r="L113" i="4"/>
  <c r="AE113" i="4" s="1"/>
  <c r="AE91" i="4"/>
  <c r="L109" i="4"/>
  <c r="AE109" i="4" s="1"/>
  <c r="AE87" i="4"/>
  <c r="L114" i="4"/>
  <c r="AE114" i="4" s="1"/>
  <c r="AE92" i="4"/>
  <c r="L110" i="4"/>
  <c r="AE110" i="4" s="1"/>
  <c r="AE88" i="4"/>
  <c r="L115" i="4"/>
  <c r="AE115" i="4" s="1"/>
  <c r="AE93" i="4"/>
  <c r="L111" i="4"/>
  <c r="AE111" i="4" s="1"/>
  <c r="AE89" i="4"/>
  <c r="L116" i="4"/>
  <c r="AE116" i="4" s="1"/>
  <c r="AE94" i="4"/>
  <c r="L112" i="4"/>
  <c r="AE112" i="4" s="1"/>
  <c r="AE90" i="4"/>
  <c r="L108" i="4"/>
  <c r="AE108" i="4" s="1"/>
  <c r="AE86" i="4"/>
  <c r="L219" i="5"/>
  <c r="AE152" i="5"/>
  <c r="L220" i="5"/>
  <c r="AE153" i="5"/>
  <c r="L221" i="5"/>
  <c r="AE154" i="5"/>
  <c r="AE81" i="6"/>
  <c r="M117" i="4"/>
  <c r="M113" i="6"/>
  <c r="M101" i="6"/>
  <c r="L113" i="6"/>
  <c r="L101" i="6"/>
  <c r="L72" i="4"/>
  <c r="L85" i="4"/>
  <c r="AE85" i="4" s="1"/>
  <c r="M341" i="5"/>
  <c r="M274" i="5"/>
  <c r="L274" i="5"/>
  <c r="M207" i="5"/>
  <c r="L207" i="5"/>
  <c r="AF16" i="5"/>
  <c r="AF32" i="5"/>
  <c r="M139" i="5"/>
  <c r="L139" i="5"/>
  <c r="L71" i="5"/>
  <c r="M71" i="5"/>
  <c r="AG70" i="5"/>
  <c r="AH70" i="5" s="1"/>
  <c r="AF70" i="5"/>
  <c r="AG69" i="5"/>
  <c r="AH69" i="5" s="1"/>
  <c r="AF69" i="5"/>
  <c r="AG68" i="5"/>
  <c r="AH68" i="5" s="1"/>
  <c r="AF68" i="5"/>
  <c r="AG67" i="5"/>
  <c r="AH67" i="5" s="1"/>
  <c r="AF67" i="5"/>
  <c r="AG66" i="5"/>
  <c r="AH66" i="5" s="1"/>
  <c r="AF66" i="5"/>
  <c r="AG65" i="5"/>
  <c r="AH65" i="5" s="1"/>
  <c r="AF65" i="5"/>
  <c r="AG64" i="5"/>
  <c r="AH64" i="5" s="1"/>
  <c r="AF64" i="5"/>
  <c r="AG63" i="5"/>
  <c r="AH63" i="5" s="1"/>
  <c r="AF63" i="5"/>
  <c r="AG62" i="5"/>
  <c r="AH62" i="5" s="1"/>
  <c r="AF62" i="5"/>
  <c r="AG61" i="5"/>
  <c r="AH61" i="5" s="1"/>
  <c r="AF61" i="5"/>
  <c r="AG60" i="5"/>
  <c r="AH60" i="5" s="1"/>
  <c r="AF60" i="5"/>
  <c r="AG59" i="5"/>
  <c r="AH59" i="5" s="1"/>
  <c r="AF59" i="5"/>
  <c r="AG58" i="5"/>
  <c r="AH58" i="5" s="1"/>
  <c r="AF58" i="5"/>
  <c r="AG57" i="5"/>
  <c r="AH57" i="5" s="1"/>
  <c r="AF57" i="5"/>
  <c r="AG56" i="5"/>
  <c r="AH56" i="5" s="1"/>
  <c r="AF56" i="5"/>
  <c r="AG55" i="5"/>
  <c r="AH55" i="5" s="1"/>
  <c r="AF55" i="5"/>
  <c r="AG54" i="5"/>
  <c r="AH54" i="5" s="1"/>
  <c r="AF54" i="5"/>
  <c r="AG53" i="5"/>
  <c r="AH53" i="5" s="1"/>
  <c r="AF53" i="5"/>
  <c r="AG52" i="5"/>
  <c r="AH52" i="5" s="1"/>
  <c r="AF52" i="5"/>
  <c r="AG51" i="5"/>
  <c r="AH51" i="5" s="1"/>
  <c r="AF51" i="5"/>
  <c r="AG50" i="5"/>
  <c r="AH50" i="5" s="1"/>
  <c r="AF50" i="5"/>
  <c r="AG49" i="5"/>
  <c r="AH49" i="5" s="1"/>
  <c r="AF49" i="5"/>
  <c r="AG48" i="5"/>
  <c r="AH48" i="5" s="1"/>
  <c r="AF48" i="5"/>
  <c r="AG47" i="5"/>
  <c r="AH47" i="5" s="1"/>
  <c r="AF47" i="5"/>
  <c r="AG46" i="5"/>
  <c r="AH46" i="5" s="1"/>
  <c r="AF46" i="5"/>
  <c r="AG45" i="5"/>
  <c r="AH45" i="5" s="1"/>
  <c r="AF45" i="5"/>
  <c r="AG44" i="5"/>
  <c r="AH44" i="5" s="1"/>
  <c r="AF44" i="5"/>
  <c r="AG43" i="5"/>
  <c r="AH43" i="5" s="1"/>
  <c r="AF43" i="5"/>
  <c r="AG42" i="5"/>
  <c r="AH42" i="5" s="1"/>
  <c r="AF42" i="5"/>
  <c r="AG41" i="5"/>
  <c r="AH41" i="5" s="1"/>
  <c r="AF41" i="5"/>
  <c r="AG40" i="5"/>
  <c r="AH40" i="5" s="1"/>
  <c r="AF40" i="5"/>
  <c r="AG39" i="5"/>
  <c r="AH39" i="5" s="1"/>
  <c r="AF39" i="5"/>
  <c r="AG38" i="5"/>
  <c r="AH38" i="5" s="1"/>
  <c r="AF38" i="5"/>
  <c r="AG37" i="5"/>
  <c r="AH37" i="5" s="1"/>
  <c r="AF37" i="5"/>
  <c r="AG36" i="5"/>
  <c r="AH36" i="5" s="1"/>
  <c r="AF36" i="5"/>
  <c r="AG35" i="5"/>
  <c r="AH35" i="5" s="1"/>
  <c r="AF35" i="5"/>
  <c r="AG34" i="5"/>
  <c r="AH34" i="5" s="1"/>
  <c r="AF34" i="5"/>
  <c r="AG33" i="5"/>
  <c r="AH33" i="5" s="1"/>
  <c r="AF33" i="5"/>
  <c r="AG32" i="5"/>
  <c r="AH32" i="5" s="1"/>
  <c r="AG31" i="5"/>
  <c r="AH31" i="5" s="1"/>
  <c r="AF31" i="5"/>
  <c r="AG30" i="5"/>
  <c r="AH30" i="5" s="1"/>
  <c r="AF30" i="5"/>
  <c r="AG29" i="5"/>
  <c r="AH29" i="5" s="1"/>
  <c r="AF29" i="5"/>
  <c r="AG28" i="5"/>
  <c r="AH28" i="5" s="1"/>
  <c r="AF28" i="5"/>
  <c r="AG27" i="5"/>
  <c r="AH27" i="5" s="1"/>
  <c r="AF27" i="5"/>
  <c r="AG26" i="5"/>
  <c r="AH26" i="5" s="1"/>
  <c r="AF26" i="5"/>
  <c r="AG25" i="5"/>
  <c r="AH25" i="5" s="1"/>
  <c r="AF25" i="5"/>
  <c r="AG24" i="5"/>
  <c r="AH24" i="5" s="1"/>
  <c r="AF24" i="5"/>
  <c r="AG23" i="5"/>
  <c r="AH23" i="5" s="1"/>
  <c r="AF23" i="5"/>
  <c r="AG22" i="5"/>
  <c r="AH22" i="5" s="1"/>
  <c r="AF22" i="5"/>
  <c r="AG21" i="5"/>
  <c r="AH21" i="5" s="1"/>
  <c r="AF21" i="5"/>
  <c r="AG20" i="5"/>
  <c r="AH20" i="5" s="1"/>
  <c r="AF20" i="5"/>
  <c r="AG19" i="5"/>
  <c r="AH19" i="5" s="1"/>
  <c r="AF19" i="5"/>
  <c r="AF18" i="5"/>
  <c r="AF17" i="5"/>
  <c r="AE113" i="6" l="1"/>
  <c r="L288" i="5"/>
  <c r="AE288" i="5" s="1"/>
  <c r="AE221" i="5"/>
  <c r="L287" i="5"/>
  <c r="AE287" i="5" s="1"/>
  <c r="AE220" i="5"/>
  <c r="L286" i="5"/>
  <c r="AE219" i="5"/>
  <c r="L145" i="6"/>
  <c r="L133" i="6"/>
  <c r="M133" i="6"/>
  <c r="M145" i="6"/>
  <c r="L95" i="4"/>
  <c r="L107" i="4"/>
  <c r="O71" i="5"/>
  <c r="AG18" i="5"/>
  <c r="AH18" i="5" s="1"/>
  <c r="AG17" i="5"/>
  <c r="AH17" i="5" s="1"/>
  <c r="L117" i="4" l="1"/>
  <c r="AE107" i="4"/>
  <c r="AE286" i="5"/>
  <c r="L341" i="5"/>
  <c r="AE145" i="6"/>
  <c r="M165" i="6"/>
  <c r="L165" i="6"/>
  <c r="P71" i="5" l="1"/>
  <c r="AG16" i="5" l="1"/>
  <c r="J70" i="11" l="1"/>
  <c r="J69" i="11"/>
  <c r="I70" i="11"/>
  <c r="I69" i="11"/>
  <c r="H70" i="11"/>
  <c r="H69" i="11"/>
  <c r="G70" i="11"/>
  <c r="G69" i="11"/>
  <c r="F70" i="11"/>
  <c r="F69" i="11"/>
  <c r="F62" i="11"/>
  <c r="J58" i="11"/>
  <c r="I58" i="11"/>
  <c r="H58" i="11"/>
  <c r="G58" i="11"/>
  <c r="F58" i="11"/>
  <c r="H30" i="7" l="1"/>
  <c r="I30" i="7"/>
  <c r="J20" i="7"/>
  <c r="K20" i="7" s="1"/>
  <c r="L20" i="7" s="1"/>
  <c r="J29" i="7"/>
  <c r="K29" i="7" s="1"/>
  <c r="L29" i="7" s="1"/>
  <c r="J27" i="7"/>
  <c r="K27" i="7" s="1"/>
  <c r="L27" i="7" s="1"/>
  <c r="J26" i="7"/>
  <c r="K26" i="7" s="1"/>
  <c r="K30" i="7" s="1"/>
  <c r="L50" i="3"/>
  <c r="K50" i="3"/>
  <c r="J50" i="3"/>
  <c r="I50" i="3"/>
  <c r="J152" i="3" s="1"/>
  <c r="H50" i="3"/>
  <c r="I152" i="3" s="1"/>
  <c r="J30" i="7" l="1"/>
  <c r="L26" i="7"/>
  <c r="L30" i="7" s="1"/>
  <c r="F38" i="12"/>
  <c r="F42" i="12" s="1"/>
  <c r="F15" i="12"/>
  <c r="F55" i="12"/>
  <c r="F46" i="12"/>
  <c r="F23" i="12"/>
  <c r="F17" i="12"/>
  <c r="F51" i="11"/>
  <c r="F25" i="12" l="1"/>
  <c r="F36" i="12" s="1"/>
  <c r="F57" i="12" s="1"/>
  <c r="Z38" i="4"/>
  <c r="Z36" i="4"/>
  <c r="Z284" i="5"/>
  <c r="Z111" i="6"/>
  <c r="Z162" i="6"/>
  <c r="Z158" i="6"/>
  <c r="Z154" i="6"/>
  <c r="Z150" i="6"/>
  <c r="Z146" i="6"/>
  <c r="Z130" i="6"/>
  <c r="Z126" i="6"/>
  <c r="Z122" i="6"/>
  <c r="Z118" i="6"/>
  <c r="Z114" i="6"/>
  <c r="Z98" i="6"/>
  <c r="Z94" i="6"/>
  <c r="Z90" i="6"/>
  <c r="Z86" i="6"/>
  <c r="Z82" i="6"/>
  <c r="Z65" i="6"/>
  <c r="AB65" i="6" s="1"/>
  <c r="AC65" i="6" s="1"/>
  <c r="Z61" i="6"/>
  <c r="AB61" i="6" s="1"/>
  <c r="AC61" i="6" s="1"/>
  <c r="Z57" i="6"/>
  <c r="AB57" i="6" s="1"/>
  <c r="AC57" i="6" s="1"/>
  <c r="Z53" i="6"/>
  <c r="AB53" i="6" s="1"/>
  <c r="AC53" i="6" s="1"/>
  <c r="Z49" i="6"/>
  <c r="AB49" i="6" s="1"/>
  <c r="AC49" i="6" s="1"/>
  <c r="Z339" i="5"/>
  <c r="Z335" i="5"/>
  <c r="Z331" i="5"/>
  <c r="Z327" i="5"/>
  <c r="Z323" i="5"/>
  <c r="Z319" i="5"/>
  <c r="Z315" i="5"/>
  <c r="Z311" i="5"/>
  <c r="Z307" i="5"/>
  <c r="Z303" i="5"/>
  <c r="Z299" i="5"/>
  <c r="Z295" i="5"/>
  <c r="Z291" i="5"/>
  <c r="Z287" i="5"/>
  <c r="Z271" i="5"/>
  <c r="Z267" i="5"/>
  <c r="Z263" i="5"/>
  <c r="Z259" i="5"/>
  <c r="Z255" i="5"/>
  <c r="Z251" i="5"/>
  <c r="Z247" i="5"/>
  <c r="Z243" i="5"/>
  <c r="Z239" i="5"/>
  <c r="Z235" i="5"/>
  <c r="Z231" i="5"/>
  <c r="Z227" i="5"/>
  <c r="Z223" i="5"/>
  <c r="Z219" i="5"/>
  <c r="Z203" i="5"/>
  <c r="Z199" i="5"/>
  <c r="Z195" i="5"/>
  <c r="Z191" i="5"/>
  <c r="Z187" i="5"/>
  <c r="Z183" i="5"/>
  <c r="Z179" i="5"/>
  <c r="Z175" i="5"/>
  <c r="Z171" i="5"/>
  <c r="Z167" i="5"/>
  <c r="Z163" i="5"/>
  <c r="Z159" i="5"/>
  <c r="Z155" i="5"/>
  <c r="Z138" i="5"/>
  <c r="AB138" i="5" s="1"/>
  <c r="AC138" i="5" s="1"/>
  <c r="Z134" i="5"/>
  <c r="AB134" i="5" s="1"/>
  <c r="AC134" i="5" s="1"/>
  <c r="Z130" i="5"/>
  <c r="AB130" i="5" s="1"/>
  <c r="AC130" i="5" s="1"/>
  <c r="Z126" i="5"/>
  <c r="AB126" i="5" s="1"/>
  <c r="AC126" i="5" s="1"/>
  <c r="Z122" i="5"/>
  <c r="AB122" i="5" s="1"/>
  <c r="AC122" i="5" s="1"/>
  <c r="Z118" i="5"/>
  <c r="AB118" i="5" s="1"/>
  <c r="AC118" i="5" s="1"/>
  <c r="Z114" i="5"/>
  <c r="AB114" i="5" s="1"/>
  <c r="AC114" i="5" s="1"/>
  <c r="Z110" i="5"/>
  <c r="AB110" i="5" s="1"/>
  <c r="AC110" i="5" s="1"/>
  <c r="Z106" i="5"/>
  <c r="AB106" i="5" s="1"/>
  <c r="AC106" i="5" s="1"/>
  <c r="Z102" i="5"/>
  <c r="AB102" i="5" s="1"/>
  <c r="AC102" i="5" s="1"/>
  <c r="Z98" i="5"/>
  <c r="AB98" i="5" s="1"/>
  <c r="AC98" i="5" s="1"/>
  <c r="Z94" i="5"/>
  <c r="AB94" i="5" s="1"/>
  <c r="AC94" i="5" s="1"/>
  <c r="Z90" i="5"/>
  <c r="AB90" i="5" s="1"/>
  <c r="AC90" i="5" s="1"/>
  <c r="Z86" i="5"/>
  <c r="Z115" i="4"/>
  <c r="Z111" i="4"/>
  <c r="Z107" i="4"/>
  <c r="Z91" i="4"/>
  <c r="Z87" i="4"/>
  <c r="Z70" i="4"/>
  <c r="Z66" i="4"/>
  <c r="Z60" i="4"/>
  <c r="Z217" i="5"/>
  <c r="Z143" i="6"/>
  <c r="Z161" i="6"/>
  <c r="Z157" i="6"/>
  <c r="Z153" i="6"/>
  <c r="Z149" i="6"/>
  <c r="Z145" i="6"/>
  <c r="Z129" i="6"/>
  <c r="Z125" i="6"/>
  <c r="Z121" i="6"/>
  <c r="Z117" i="6"/>
  <c r="Z113" i="6"/>
  <c r="Z97" i="6"/>
  <c r="Z93" i="6"/>
  <c r="Z89" i="6"/>
  <c r="Z85" i="6"/>
  <c r="Z81" i="6"/>
  <c r="Z64" i="6"/>
  <c r="AB64" i="6" s="1"/>
  <c r="AC64" i="6" s="1"/>
  <c r="Z60" i="6"/>
  <c r="AB60" i="6" s="1"/>
  <c r="AC60" i="6" s="1"/>
  <c r="Z56" i="6"/>
  <c r="AB56" i="6" s="1"/>
  <c r="AC56" i="6" s="1"/>
  <c r="Z52" i="6"/>
  <c r="AB52" i="6" s="1"/>
  <c r="AC52" i="6" s="1"/>
  <c r="Z48" i="6"/>
  <c r="Z338" i="5"/>
  <c r="Z334" i="5"/>
  <c r="Z330" i="5"/>
  <c r="Z326" i="5"/>
  <c r="Z322" i="5"/>
  <c r="Z318" i="5"/>
  <c r="Z314" i="5"/>
  <c r="Z310" i="5"/>
  <c r="Z306" i="5"/>
  <c r="Z302" i="5"/>
  <c r="Z298" i="5"/>
  <c r="Z294" i="5"/>
  <c r="Z290" i="5"/>
  <c r="Z286" i="5"/>
  <c r="Z270" i="5"/>
  <c r="Z266" i="5"/>
  <c r="Z262" i="5"/>
  <c r="Z258" i="5"/>
  <c r="Z254" i="5"/>
  <c r="Z250" i="5"/>
  <c r="Z246" i="5"/>
  <c r="Z242" i="5"/>
  <c r="Z238" i="5"/>
  <c r="Z234" i="5"/>
  <c r="Z230" i="5"/>
  <c r="Z226" i="5"/>
  <c r="Z222" i="5"/>
  <c r="Z206" i="5"/>
  <c r="Z202" i="5"/>
  <c r="Z198" i="5"/>
  <c r="Z194" i="5"/>
  <c r="Z190" i="5"/>
  <c r="Z186" i="5"/>
  <c r="Z182" i="5"/>
  <c r="Z178" i="5"/>
  <c r="Z174" i="5"/>
  <c r="Z170" i="5"/>
  <c r="Z166" i="5"/>
  <c r="Z162" i="5"/>
  <c r="Z158" i="5"/>
  <c r="Z154" i="5"/>
  <c r="Z137" i="5"/>
  <c r="AB137" i="5" s="1"/>
  <c r="AC137" i="5" s="1"/>
  <c r="Z133" i="5"/>
  <c r="AB133" i="5" s="1"/>
  <c r="AC133" i="5" s="1"/>
  <c r="Z129" i="5"/>
  <c r="AB129" i="5" s="1"/>
  <c r="AC129" i="5" s="1"/>
  <c r="Z125" i="5"/>
  <c r="AB125" i="5" s="1"/>
  <c r="AC125" i="5" s="1"/>
  <c r="Z121" i="5"/>
  <c r="AB121" i="5" s="1"/>
  <c r="AC121" i="5" s="1"/>
  <c r="Z117" i="5"/>
  <c r="AB117" i="5" s="1"/>
  <c r="AC117" i="5" s="1"/>
  <c r="Z113" i="5"/>
  <c r="AB113" i="5" s="1"/>
  <c r="AC113" i="5" s="1"/>
  <c r="Z109" i="5"/>
  <c r="AB109" i="5" s="1"/>
  <c r="AC109" i="5" s="1"/>
  <c r="Z105" i="5"/>
  <c r="AB105" i="5" s="1"/>
  <c r="AC105" i="5" s="1"/>
  <c r="Z101" i="5"/>
  <c r="AB101" i="5" s="1"/>
  <c r="AC101" i="5" s="1"/>
  <c r="Z97" i="5"/>
  <c r="AB97" i="5" s="1"/>
  <c r="AC97" i="5" s="1"/>
  <c r="Z93" i="5"/>
  <c r="AB93" i="5" s="1"/>
  <c r="AC93" i="5" s="1"/>
  <c r="Z89" i="5"/>
  <c r="AB89" i="5" s="1"/>
  <c r="AC89" i="5" s="1"/>
  <c r="Z85" i="5"/>
  <c r="Z114" i="4"/>
  <c r="Z110" i="4"/>
  <c r="Z94" i="4"/>
  <c r="Z90" i="4"/>
  <c r="Z86" i="4"/>
  <c r="Z69" i="4"/>
  <c r="Z65" i="4"/>
  <c r="Z83" i="4"/>
  <c r="Z164" i="6"/>
  <c r="Z156" i="6"/>
  <c r="Z148" i="6"/>
  <c r="Z128" i="6"/>
  <c r="Z120" i="6"/>
  <c r="Z100" i="6"/>
  <c r="Z92" i="6"/>
  <c r="Z84" i="6"/>
  <c r="Z63" i="6"/>
  <c r="AB63" i="6" s="1"/>
  <c r="AC63" i="6" s="1"/>
  <c r="Z55" i="6"/>
  <c r="AB55" i="6" s="1"/>
  <c r="AC55" i="6" s="1"/>
  <c r="Z46" i="6"/>
  <c r="Z333" i="5"/>
  <c r="Z325" i="5"/>
  <c r="Z317" i="5"/>
  <c r="Z309" i="5"/>
  <c r="Z301" i="5"/>
  <c r="Z293" i="5"/>
  <c r="Z273" i="5"/>
  <c r="Z265" i="5"/>
  <c r="Z257" i="5"/>
  <c r="Z249" i="5"/>
  <c r="Z241" i="5"/>
  <c r="Z233" i="5"/>
  <c r="Z225" i="5"/>
  <c r="Z205" i="5"/>
  <c r="Z197" i="5"/>
  <c r="Z189" i="5"/>
  <c r="Z181" i="5"/>
  <c r="Z173" i="5"/>
  <c r="Z165" i="5"/>
  <c r="Z157" i="5"/>
  <c r="Z136" i="5"/>
  <c r="AB136" i="5" s="1"/>
  <c r="AC136" i="5" s="1"/>
  <c r="Z128" i="5"/>
  <c r="AB128" i="5" s="1"/>
  <c r="AC128" i="5" s="1"/>
  <c r="Z120" i="5"/>
  <c r="AB120" i="5" s="1"/>
  <c r="AC120" i="5" s="1"/>
  <c r="Z112" i="5"/>
  <c r="AB112" i="5" s="1"/>
  <c r="AC112" i="5" s="1"/>
  <c r="Z104" i="5"/>
  <c r="AB104" i="5" s="1"/>
  <c r="AC104" i="5" s="1"/>
  <c r="Z96" i="5"/>
  <c r="AB96" i="5" s="1"/>
  <c r="AC96" i="5" s="1"/>
  <c r="Z88" i="5"/>
  <c r="AB88" i="5" s="1"/>
  <c r="AC88" i="5" s="1"/>
  <c r="Z113" i="4"/>
  <c r="Z93" i="4"/>
  <c r="Z85" i="4"/>
  <c r="Z64" i="4"/>
  <c r="Z46" i="4"/>
  <c r="Z42" i="4"/>
  <c r="Z92" i="4"/>
  <c r="Z63" i="4"/>
  <c r="Z41" i="4"/>
  <c r="Z150" i="5"/>
  <c r="Z132" i="6"/>
  <c r="Z116" i="6"/>
  <c r="Z96" i="6"/>
  <c r="Z67" i="6"/>
  <c r="AB67" i="6" s="1"/>
  <c r="AC67" i="6" s="1"/>
  <c r="Z51" i="6"/>
  <c r="AB51" i="6" s="1"/>
  <c r="AC51" i="6" s="1"/>
  <c r="Z329" i="5"/>
  <c r="Z313" i="5"/>
  <c r="Z297" i="5"/>
  <c r="Z269" i="5"/>
  <c r="Z253" i="5"/>
  <c r="Z237" i="5"/>
  <c r="Z221" i="5"/>
  <c r="Z193" i="5"/>
  <c r="Z177" i="5"/>
  <c r="Z161" i="5"/>
  <c r="Z132" i="5"/>
  <c r="AB132" i="5" s="1"/>
  <c r="AC132" i="5" s="1"/>
  <c r="Z116" i="5"/>
  <c r="AB116" i="5" s="1"/>
  <c r="AC116" i="5" s="1"/>
  <c r="Z100" i="5"/>
  <c r="AB100" i="5" s="1"/>
  <c r="AC100" i="5" s="1"/>
  <c r="Z84" i="5"/>
  <c r="Z89" i="4"/>
  <c r="Z62" i="4"/>
  <c r="Z44" i="4"/>
  <c r="Z79" i="6"/>
  <c r="Z131" i="6"/>
  <c r="Z115" i="6"/>
  <c r="Z87" i="6"/>
  <c r="Z58" i="6"/>
  <c r="AB58" i="6" s="1"/>
  <c r="AC58" i="6" s="1"/>
  <c r="Z336" i="5"/>
  <c r="Z320" i="5"/>
  <c r="Z304" i="5"/>
  <c r="Z288" i="5"/>
  <c r="Z260" i="5"/>
  <c r="Z244" i="5"/>
  <c r="Z228" i="5"/>
  <c r="Z200" i="5"/>
  <c r="Z184" i="5"/>
  <c r="Z168" i="5"/>
  <c r="Z152" i="5"/>
  <c r="Z123" i="5"/>
  <c r="AB123" i="5" s="1"/>
  <c r="AC123" i="5" s="1"/>
  <c r="Z107" i="5"/>
  <c r="AB107" i="5" s="1"/>
  <c r="AC107" i="5" s="1"/>
  <c r="Z91" i="5"/>
  <c r="AB91" i="5" s="1"/>
  <c r="AC91" i="5" s="1"/>
  <c r="Z116" i="4"/>
  <c r="Z88" i="4"/>
  <c r="Z105" i="4"/>
  <c r="Z163" i="6"/>
  <c r="Z155" i="6"/>
  <c r="Z147" i="6"/>
  <c r="Z127" i="6"/>
  <c r="Z119" i="6"/>
  <c r="Z99" i="6"/>
  <c r="Z91" i="6"/>
  <c r="Z83" i="6"/>
  <c r="Z62" i="6"/>
  <c r="AB62" i="6" s="1"/>
  <c r="AC62" i="6" s="1"/>
  <c r="Z54" i="6"/>
  <c r="AB54" i="6" s="1"/>
  <c r="AC54" i="6" s="1"/>
  <c r="Z340" i="5"/>
  <c r="Z332" i="5"/>
  <c r="Z324" i="5"/>
  <c r="Z316" i="5"/>
  <c r="Z308" i="5"/>
  <c r="Z300" i="5"/>
  <c r="Z292" i="5"/>
  <c r="Z272" i="5"/>
  <c r="Z264" i="5"/>
  <c r="Z256" i="5"/>
  <c r="Z248" i="5"/>
  <c r="Z240" i="5"/>
  <c r="Z232" i="5"/>
  <c r="Z224" i="5"/>
  <c r="Z204" i="5"/>
  <c r="Z196" i="5"/>
  <c r="Z188" i="5"/>
  <c r="Z180" i="5"/>
  <c r="Z172" i="5"/>
  <c r="Z164" i="5"/>
  <c r="Z156" i="5"/>
  <c r="Z135" i="5"/>
  <c r="AB135" i="5" s="1"/>
  <c r="AC135" i="5" s="1"/>
  <c r="Z127" i="5"/>
  <c r="AB127" i="5" s="1"/>
  <c r="AC127" i="5" s="1"/>
  <c r="Z119" i="5"/>
  <c r="AB119" i="5" s="1"/>
  <c r="AC119" i="5" s="1"/>
  <c r="Z111" i="5"/>
  <c r="AB111" i="5" s="1"/>
  <c r="AC111" i="5" s="1"/>
  <c r="Z103" i="5"/>
  <c r="AB103" i="5" s="1"/>
  <c r="AC103" i="5" s="1"/>
  <c r="Z95" i="5"/>
  <c r="AB95" i="5" s="1"/>
  <c r="AC95" i="5" s="1"/>
  <c r="Z87" i="5"/>
  <c r="AB87" i="5" s="1"/>
  <c r="AC87" i="5" s="1"/>
  <c r="Z112" i="4"/>
  <c r="Z71" i="4"/>
  <c r="Z45" i="4"/>
  <c r="Z160" i="6"/>
  <c r="Z152" i="6"/>
  <c r="Z124" i="6"/>
  <c r="Z88" i="6"/>
  <c r="Z59" i="6"/>
  <c r="AB59" i="6" s="1"/>
  <c r="AC59" i="6" s="1"/>
  <c r="Z337" i="5"/>
  <c r="Z321" i="5"/>
  <c r="Z305" i="5"/>
  <c r="Z289" i="5"/>
  <c r="Z261" i="5"/>
  <c r="Z245" i="5"/>
  <c r="Z229" i="5"/>
  <c r="Z201" i="5"/>
  <c r="Z185" i="5"/>
  <c r="Z169" i="5"/>
  <c r="Z153" i="5"/>
  <c r="Z124" i="5"/>
  <c r="AB124" i="5" s="1"/>
  <c r="AC124" i="5" s="1"/>
  <c r="Z108" i="5"/>
  <c r="AB108" i="5" s="1"/>
  <c r="AC108" i="5" s="1"/>
  <c r="Z92" i="5"/>
  <c r="AB92" i="5" s="1"/>
  <c r="AC92" i="5" s="1"/>
  <c r="Z109" i="4"/>
  <c r="Z68" i="4"/>
  <c r="Z40" i="4"/>
  <c r="Z159" i="6"/>
  <c r="Z151" i="6"/>
  <c r="Z123" i="6"/>
  <c r="Z95" i="6"/>
  <c r="Z66" i="6"/>
  <c r="AB66" i="6" s="1"/>
  <c r="AC66" i="6" s="1"/>
  <c r="Z50" i="6"/>
  <c r="AB50" i="6" s="1"/>
  <c r="AC50" i="6" s="1"/>
  <c r="Z328" i="5"/>
  <c r="Z312" i="5"/>
  <c r="Z296" i="5"/>
  <c r="Z268" i="5"/>
  <c r="Z252" i="5"/>
  <c r="Z236" i="5"/>
  <c r="Z220" i="5"/>
  <c r="Z192" i="5"/>
  <c r="Z176" i="5"/>
  <c r="Z160" i="5"/>
  <c r="Z131" i="5"/>
  <c r="AB131" i="5" s="1"/>
  <c r="AC131" i="5" s="1"/>
  <c r="Z115" i="5"/>
  <c r="AB115" i="5" s="1"/>
  <c r="AC115" i="5" s="1"/>
  <c r="Z99" i="5"/>
  <c r="AB99" i="5" s="1"/>
  <c r="AC99" i="5" s="1"/>
  <c r="Z82" i="5"/>
  <c r="Z108" i="4"/>
  <c r="Z47" i="4"/>
  <c r="Z43" i="4"/>
  <c r="Z39" i="4"/>
  <c r="Z67" i="4"/>
  <c r="H65" i="3"/>
  <c r="L152" i="3" l="1"/>
  <c r="K152" i="3"/>
  <c r="I97" i="3"/>
  <c r="J97" i="3" s="1"/>
  <c r="K97" i="3" s="1"/>
  <c r="L97" i="3" s="1"/>
  <c r="E28" i="19" l="1"/>
  <c r="O198" i="9"/>
  <c r="N198" i="9"/>
  <c r="M198" i="9"/>
  <c r="L198" i="9"/>
  <c r="N197" i="9"/>
  <c r="M197" i="9"/>
  <c r="L197" i="9"/>
  <c r="O197" i="9" s="1"/>
  <c r="O196" i="9"/>
  <c r="N196" i="9"/>
  <c r="M196" i="9"/>
  <c r="L196" i="9"/>
  <c r="N195" i="9"/>
  <c r="M195" i="9"/>
  <c r="L195" i="9"/>
  <c r="O195" i="9" s="1"/>
  <c r="O194" i="9"/>
  <c r="N194" i="9"/>
  <c r="M194" i="9"/>
  <c r="L194" i="9"/>
  <c r="N193" i="9"/>
  <c r="M193" i="9"/>
  <c r="L193" i="9"/>
  <c r="O193" i="9" s="1"/>
  <c r="O192" i="9"/>
  <c r="N192" i="9"/>
  <c r="M192" i="9"/>
  <c r="L192" i="9"/>
  <c r="N191" i="9"/>
  <c r="M191" i="9"/>
  <c r="L191" i="9"/>
  <c r="O191" i="9" s="1"/>
  <c r="O190" i="9"/>
  <c r="N190" i="9"/>
  <c r="M190" i="9"/>
  <c r="L190" i="9"/>
  <c r="N189" i="9"/>
  <c r="M189" i="9"/>
  <c r="L189" i="9"/>
  <c r="O189" i="9" s="1"/>
  <c r="O188" i="9"/>
  <c r="N188" i="9"/>
  <c r="M188" i="9"/>
  <c r="L188" i="9"/>
  <c r="N187" i="9"/>
  <c r="M187" i="9"/>
  <c r="L187" i="9"/>
  <c r="O187" i="9" s="1"/>
  <c r="O186" i="9"/>
  <c r="N186" i="9"/>
  <c r="M186" i="9"/>
  <c r="L186" i="9"/>
  <c r="N185" i="9"/>
  <c r="M185" i="9"/>
  <c r="L185" i="9"/>
  <c r="O185" i="9" s="1"/>
  <c r="O184" i="9"/>
  <c r="N184" i="9"/>
  <c r="M184" i="9"/>
  <c r="L184" i="9"/>
  <c r="N183" i="9"/>
  <c r="M183" i="9"/>
  <c r="L183" i="9"/>
  <c r="O183" i="9" s="1"/>
  <c r="O182" i="9"/>
  <c r="N182" i="9"/>
  <c r="M182" i="9"/>
  <c r="L182" i="9"/>
  <c r="N181" i="9"/>
  <c r="M181" i="9"/>
  <c r="L181" i="9"/>
  <c r="O181" i="9" s="1"/>
  <c r="N180" i="9"/>
  <c r="M180" i="9"/>
  <c r="L180" i="9"/>
  <c r="O180" i="9" s="1"/>
  <c r="N179" i="9"/>
  <c r="M179" i="9"/>
  <c r="L179" i="9"/>
  <c r="O179" i="9" s="1"/>
  <c r="O178" i="9"/>
  <c r="N178" i="9"/>
  <c r="M178" i="9"/>
  <c r="L178" i="9"/>
  <c r="O177" i="9"/>
  <c r="N177" i="9"/>
  <c r="M177" i="9"/>
  <c r="L177" i="9"/>
  <c r="N176" i="9"/>
  <c r="M176" i="9"/>
  <c r="L176" i="9"/>
  <c r="O176" i="9" s="1"/>
  <c r="N175" i="9"/>
  <c r="M175" i="9"/>
  <c r="L175" i="9"/>
  <c r="O175" i="9" s="1"/>
  <c r="O174" i="9"/>
  <c r="N174" i="9"/>
  <c r="M174" i="9"/>
  <c r="L174" i="9"/>
  <c r="O173" i="9"/>
  <c r="N173" i="9"/>
  <c r="M173" i="9"/>
  <c r="L173" i="9"/>
  <c r="N172" i="9"/>
  <c r="M172" i="9"/>
  <c r="L172" i="9"/>
  <c r="O172" i="9" s="1"/>
  <c r="N171" i="9"/>
  <c r="M171" i="9"/>
  <c r="L171" i="9"/>
  <c r="O171" i="9" s="1"/>
  <c r="O170" i="9"/>
  <c r="N170" i="9"/>
  <c r="M170" i="9"/>
  <c r="L170" i="9"/>
  <c r="O169" i="9"/>
  <c r="N169" i="9"/>
  <c r="M169" i="9"/>
  <c r="L169" i="9"/>
  <c r="N168" i="9"/>
  <c r="M168" i="9"/>
  <c r="L168" i="9"/>
  <c r="O168" i="9" s="1"/>
  <c r="N167" i="9"/>
  <c r="M167" i="9"/>
  <c r="L167" i="9"/>
  <c r="O167" i="9" s="1"/>
  <c r="O166" i="9"/>
  <c r="N166" i="9"/>
  <c r="M166" i="9"/>
  <c r="L166" i="9"/>
  <c r="O165" i="9"/>
  <c r="N165" i="9"/>
  <c r="M165" i="9"/>
  <c r="L165" i="9"/>
  <c r="N164" i="9"/>
  <c r="M164" i="9"/>
  <c r="L164" i="9"/>
  <c r="O164" i="9" s="1"/>
  <c r="N163" i="9"/>
  <c r="M163" i="9"/>
  <c r="L163" i="9"/>
  <c r="O163" i="9" s="1"/>
  <c r="O162" i="9"/>
  <c r="N162" i="9"/>
  <c r="M162" i="9"/>
  <c r="L162" i="9"/>
  <c r="O161" i="9"/>
  <c r="N161" i="9"/>
  <c r="M161" i="9"/>
  <c r="L161" i="9"/>
  <c r="N160" i="9"/>
  <c r="M160" i="9"/>
  <c r="L160" i="9"/>
  <c r="O160" i="9" s="1"/>
  <c r="N159" i="9"/>
  <c r="M159" i="9"/>
  <c r="L159" i="9"/>
  <c r="O159" i="9" s="1"/>
  <c r="O158" i="9"/>
  <c r="N158" i="9"/>
  <c r="M158" i="9"/>
  <c r="L158" i="9"/>
  <c r="O157" i="9"/>
  <c r="N157" i="9"/>
  <c r="M157" i="9"/>
  <c r="L157" i="9"/>
  <c r="N156" i="9"/>
  <c r="M156" i="9"/>
  <c r="L156" i="9"/>
  <c r="O156" i="9" s="1"/>
  <c r="N155" i="9"/>
  <c r="M155" i="9"/>
  <c r="L155" i="9"/>
  <c r="O155" i="9" s="1"/>
  <c r="O154" i="9"/>
  <c r="N154" i="9"/>
  <c r="M154" i="9"/>
  <c r="L154" i="9"/>
  <c r="O153" i="9"/>
  <c r="N153" i="9"/>
  <c r="M153" i="9"/>
  <c r="L153" i="9"/>
  <c r="N152" i="9"/>
  <c r="M152" i="9"/>
  <c r="L152" i="9"/>
  <c r="O152" i="9" s="1"/>
  <c r="N151" i="9"/>
  <c r="M151" i="9"/>
  <c r="L151" i="9"/>
  <c r="O151" i="9" s="1"/>
  <c r="O150" i="9"/>
  <c r="N150" i="9"/>
  <c r="M150" i="9"/>
  <c r="L150" i="9"/>
  <c r="O149" i="9"/>
  <c r="N149" i="9"/>
  <c r="M149" i="9"/>
  <c r="L149" i="9"/>
  <c r="O148" i="9"/>
  <c r="N148" i="9"/>
  <c r="M148" i="9"/>
  <c r="L148" i="9"/>
  <c r="N147" i="9"/>
  <c r="M147" i="9"/>
  <c r="L147" i="9"/>
  <c r="O147" i="9" s="1"/>
  <c r="O146" i="9"/>
  <c r="N146" i="9"/>
  <c r="M146" i="9"/>
  <c r="L146" i="9"/>
  <c r="O145" i="9"/>
  <c r="N145" i="9"/>
  <c r="M145" i="9"/>
  <c r="L145" i="9"/>
  <c r="O144" i="9"/>
  <c r="N144" i="9"/>
  <c r="M144" i="9"/>
  <c r="L144" i="9"/>
  <c r="N143" i="9"/>
  <c r="M143" i="9"/>
  <c r="L143" i="9"/>
  <c r="O143" i="9" s="1"/>
  <c r="O142" i="9"/>
  <c r="N142" i="9"/>
  <c r="M142" i="9"/>
  <c r="L142" i="9"/>
  <c r="O141" i="9"/>
  <c r="N141" i="9"/>
  <c r="M141" i="9"/>
  <c r="L141" i="9"/>
  <c r="O140" i="9"/>
  <c r="N140" i="9"/>
  <c r="M140" i="9"/>
  <c r="L140" i="9"/>
  <c r="N139" i="9"/>
  <c r="M139" i="9"/>
  <c r="L139" i="9"/>
  <c r="O139" i="9" s="1"/>
  <c r="O138" i="9"/>
  <c r="N138" i="9"/>
  <c r="M138" i="9"/>
  <c r="L138" i="9"/>
  <c r="O137" i="9"/>
  <c r="N137" i="9"/>
  <c r="M137" i="9"/>
  <c r="L137" i="9"/>
  <c r="O136" i="9"/>
  <c r="N136" i="9"/>
  <c r="M136" i="9"/>
  <c r="L136" i="9"/>
  <c r="N135" i="9"/>
  <c r="M135" i="9"/>
  <c r="L135" i="9"/>
  <c r="O135" i="9" s="1"/>
  <c r="O134" i="9"/>
  <c r="N134" i="9"/>
  <c r="M134" i="9"/>
  <c r="L134" i="9"/>
  <c r="O133" i="9"/>
  <c r="N133" i="9"/>
  <c r="M133" i="9"/>
  <c r="L133" i="9"/>
  <c r="N132" i="9"/>
  <c r="M132" i="9"/>
  <c r="L132" i="9"/>
  <c r="O132" i="9" s="1"/>
  <c r="N131" i="9"/>
  <c r="M131" i="9"/>
  <c r="L131" i="9"/>
  <c r="O131" i="9" s="1"/>
  <c r="O130" i="9"/>
  <c r="N130" i="9"/>
  <c r="M130" i="9"/>
  <c r="L130" i="9"/>
  <c r="O129" i="9"/>
  <c r="N129" i="9"/>
  <c r="M129" i="9"/>
  <c r="L129" i="9"/>
  <c r="N128" i="9"/>
  <c r="M128" i="9"/>
  <c r="L128" i="9"/>
  <c r="O128" i="9" s="1"/>
  <c r="N127" i="9"/>
  <c r="M127" i="9"/>
  <c r="L127" i="9"/>
  <c r="O127" i="9" s="1"/>
  <c r="K181" i="19" l="1"/>
  <c r="H82" i="3" l="1"/>
  <c r="F61" i="11" s="1"/>
  <c r="L66" i="21" l="1"/>
  <c r="L65" i="21"/>
  <c r="L64" i="21"/>
  <c r="L63" i="21"/>
  <c r="L62" i="21"/>
  <c r="L61" i="21"/>
  <c r="L54" i="21"/>
  <c r="L53" i="21"/>
  <c r="L52" i="21"/>
  <c r="L51" i="21"/>
  <c r="L50" i="21"/>
  <c r="L49" i="21"/>
  <c r="L38" i="21"/>
  <c r="L39" i="21"/>
  <c r="L40" i="21"/>
  <c r="L41" i="21"/>
  <c r="L42" i="21"/>
  <c r="L37" i="21"/>
  <c r="L26" i="21"/>
  <c r="L27" i="21"/>
  <c r="L28" i="21"/>
  <c r="L29" i="21"/>
  <c r="L30" i="21"/>
  <c r="L25" i="21"/>
  <c r="L16" i="21"/>
  <c r="L17" i="21"/>
  <c r="L18" i="21"/>
  <c r="L15" i="21"/>
  <c r="L14" i="21"/>
  <c r="L13" i="21"/>
  <c r="W113" i="19" l="1"/>
  <c r="W114" i="19"/>
  <c r="J21" i="7" l="1"/>
  <c r="K21" i="7" s="1"/>
  <c r="L21" i="7" s="1"/>
  <c r="F38" i="11" l="1"/>
  <c r="F22" i="11"/>
  <c r="F21" i="11"/>
  <c r="F19" i="11"/>
  <c r="R67" i="21"/>
  <c r="O67" i="21"/>
  <c r="T66" i="21"/>
  <c r="T65" i="21"/>
  <c r="T64" i="21"/>
  <c r="T63" i="21"/>
  <c r="T62" i="21"/>
  <c r="L67" i="21"/>
  <c r="T67" i="21" l="1"/>
  <c r="T61" i="21"/>
  <c r="F8" i="11" l="1"/>
  <c r="F8" i="13" s="1"/>
  <c r="D175" i="19"/>
  <c r="I175" i="19" l="1"/>
  <c r="R55" i="21"/>
  <c r="O55" i="21"/>
  <c r="T54" i="21"/>
  <c r="T53" i="21"/>
  <c r="T52" i="21"/>
  <c r="T51" i="21"/>
  <c r="T50" i="21"/>
  <c r="L55" i="21" l="1"/>
  <c r="T55" i="21" s="1"/>
  <c r="T49" i="21"/>
  <c r="T41" i="21" l="1"/>
  <c r="T38" i="21"/>
  <c r="T29" i="21"/>
  <c r="T27" i="21"/>
  <c r="T17" i="21"/>
  <c r="T16" i="21"/>
  <c r="T42" i="21"/>
  <c r="T40" i="21"/>
  <c r="T39" i="21"/>
  <c r="T37" i="21"/>
  <c r="T30" i="21"/>
  <c r="T28" i="21"/>
  <c r="T26" i="21"/>
  <c r="T25" i="21"/>
  <c r="T18" i="21"/>
  <c r="T15" i="21"/>
  <c r="T14" i="21"/>
  <c r="O43" i="21" l="1"/>
  <c r="O31" i="21"/>
  <c r="O19" i="21"/>
  <c r="L31" i="21" l="1"/>
  <c r="H158" i="7"/>
  <c r="F26" i="11" s="1"/>
  <c r="R43" i="21" l="1"/>
  <c r="L43" i="21"/>
  <c r="R31" i="21"/>
  <c r="T31" i="21" s="1"/>
  <c r="R19" i="21"/>
  <c r="T43" i="21" l="1"/>
  <c r="C5" i="21"/>
  <c r="H62" i="7" l="1"/>
  <c r="I58" i="14" l="1"/>
  <c r="H58" i="14"/>
  <c r="G58" i="14"/>
  <c r="F58" i="14"/>
  <c r="I99" i="3"/>
  <c r="J99" i="3" s="1"/>
  <c r="K99" i="3" s="1"/>
  <c r="L99" i="3" s="1"/>
  <c r="I25" i="2"/>
  <c r="J25" i="2" s="1"/>
  <c r="I26" i="2"/>
  <c r="J26" i="2" s="1"/>
  <c r="H27" i="2"/>
  <c r="I28" i="2"/>
  <c r="J28" i="2" s="1"/>
  <c r="K28" i="2" s="1"/>
  <c r="I29" i="2"/>
  <c r="I34" i="2" s="1"/>
  <c r="G84" i="5"/>
  <c r="G152" i="5" s="1"/>
  <c r="G85" i="5"/>
  <c r="G153" i="5" s="1"/>
  <c r="G86" i="5"/>
  <c r="G154" i="5" s="1"/>
  <c r="G87" i="5"/>
  <c r="G88" i="5"/>
  <c r="G156" i="5" s="1"/>
  <c r="G223" i="5" s="1"/>
  <c r="G89" i="5"/>
  <c r="G157" i="5" s="1"/>
  <c r="G224" i="5" s="1"/>
  <c r="G291" i="5" s="1"/>
  <c r="AI291" i="5" s="1"/>
  <c r="G90" i="5"/>
  <c r="G158" i="5" s="1"/>
  <c r="G91" i="5"/>
  <c r="G92" i="5"/>
  <c r="G160" i="5" s="1"/>
  <c r="G93" i="5"/>
  <c r="G161" i="5" s="1"/>
  <c r="G228" i="5" s="1"/>
  <c r="G295" i="5" s="1"/>
  <c r="AI295" i="5" s="1"/>
  <c r="G94" i="5"/>
  <c r="G95" i="5"/>
  <c r="G163" i="5" s="1"/>
  <c r="G96" i="5"/>
  <c r="G164" i="5" s="1"/>
  <c r="G97" i="5"/>
  <c r="G165" i="5" s="1"/>
  <c r="G232" i="5" s="1"/>
  <c r="G299" i="5" s="1"/>
  <c r="AI299" i="5" s="1"/>
  <c r="G98" i="5"/>
  <c r="G166" i="5" s="1"/>
  <c r="G33" i="2"/>
  <c r="I46" i="2"/>
  <c r="J46" i="2" s="1"/>
  <c r="AI86" i="5"/>
  <c r="AI90" i="5"/>
  <c r="H30" i="2"/>
  <c r="AI16" i="5"/>
  <c r="AI17" i="5"/>
  <c r="AI18" i="5"/>
  <c r="AI19" i="5"/>
  <c r="AI20" i="5"/>
  <c r="AI21" i="5"/>
  <c r="AI22" i="5"/>
  <c r="AI23" i="5"/>
  <c r="AI24" i="5"/>
  <c r="AI25" i="5"/>
  <c r="AI26" i="5"/>
  <c r="AI27" i="5"/>
  <c r="AI28" i="5"/>
  <c r="AI29" i="5"/>
  <c r="AI30" i="5"/>
  <c r="G27" i="2"/>
  <c r="H38" i="3" s="1"/>
  <c r="H43" i="3" s="1"/>
  <c r="G30" i="2"/>
  <c r="H47" i="2"/>
  <c r="I17" i="7" s="1"/>
  <c r="G34" i="2"/>
  <c r="I71" i="7"/>
  <c r="J71" i="7" s="1"/>
  <c r="K71" i="7" s="1"/>
  <c r="L71" i="7" s="1"/>
  <c r="Z14" i="5"/>
  <c r="E38" i="4"/>
  <c r="J38" i="4"/>
  <c r="F66" i="19"/>
  <c r="E39" i="4"/>
  <c r="J39" i="4"/>
  <c r="E40" i="4"/>
  <c r="J40" i="4"/>
  <c r="E41" i="4"/>
  <c r="J41" i="4"/>
  <c r="E42" i="4"/>
  <c r="J42" i="4"/>
  <c r="E43" i="4"/>
  <c r="J43" i="4"/>
  <c r="E44" i="4"/>
  <c r="J44" i="4"/>
  <c r="E45" i="4"/>
  <c r="J45" i="4"/>
  <c r="E46" i="4"/>
  <c r="J46" i="4"/>
  <c r="E47" i="4"/>
  <c r="J47" i="4"/>
  <c r="E84" i="5"/>
  <c r="H84" i="5"/>
  <c r="J84" i="5"/>
  <c r="E85" i="5"/>
  <c r="H85" i="5"/>
  <c r="J85" i="5"/>
  <c r="E86" i="5"/>
  <c r="H86" i="5"/>
  <c r="J86" i="5"/>
  <c r="E87" i="5"/>
  <c r="H87" i="5"/>
  <c r="J87" i="5"/>
  <c r="E88" i="5"/>
  <c r="H88" i="5"/>
  <c r="J88" i="5"/>
  <c r="E89" i="5"/>
  <c r="H89" i="5"/>
  <c r="J89" i="5"/>
  <c r="E90" i="5"/>
  <c r="H90" i="5"/>
  <c r="AF90" i="5" s="1"/>
  <c r="J90" i="5"/>
  <c r="E91" i="5"/>
  <c r="H91" i="5"/>
  <c r="J91" i="5"/>
  <c r="E92" i="5"/>
  <c r="H92" i="5"/>
  <c r="J92" i="5"/>
  <c r="E93" i="5"/>
  <c r="H93" i="5"/>
  <c r="J93" i="5"/>
  <c r="E94" i="5"/>
  <c r="H94" i="5"/>
  <c r="J94" i="5"/>
  <c r="E95" i="5"/>
  <c r="H95" i="5"/>
  <c r="J95" i="5"/>
  <c r="E96" i="5"/>
  <c r="H96" i="5"/>
  <c r="J96" i="5"/>
  <c r="E97" i="5"/>
  <c r="H97" i="5"/>
  <c r="J97" i="5"/>
  <c r="E98" i="5"/>
  <c r="H98" i="5"/>
  <c r="J98" i="5"/>
  <c r="E99" i="5"/>
  <c r="E167" i="5" s="1"/>
  <c r="E100" i="5"/>
  <c r="E101" i="5"/>
  <c r="E102" i="5"/>
  <c r="E103" i="5"/>
  <c r="E104" i="5"/>
  <c r="E105" i="5"/>
  <c r="E106" i="5"/>
  <c r="E107" i="5"/>
  <c r="E108" i="5"/>
  <c r="E109" i="5"/>
  <c r="E110" i="5"/>
  <c r="E111" i="5"/>
  <c r="E112" i="5"/>
  <c r="E113" i="5"/>
  <c r="E114" i="5"/>
  <c r="E115" i="5"/>
  <c r="E116" i="5"/>
  <c r="E117" i="5"/>
  <c r="E118" i="5"/>
  <c r="E119" i="5"/>
  <c r="E187" i="5" s="1"/>
  <c r="E120" i="5"/>
  <c r="E121" i="5"/>
  <c r="E122" i="5"/>
  <c r="E123" i="5"/>
  <c r="E124" i="5"/>
  <c r="E125" i="5"/>
  <c r="E126" i="5"/>
  <c r="E127" i="5"/>
  <c r="E128" i="5"/>
  <c r="E129" i="5"/>
  <c r="E130" i="5"/>
  <c r="E131" i="5"/>
  <c r="E132" i="5"/>
  <c r="E133" i="5"/>
  <c r="E134" i="5"/>
  <c r="E135" i="5"/>
  <c r="E136" i="5"/>
  <c r="E137" i="5"/>
  <c r="E138" i="5"/>
  <c r="E48" i="6"/>
  <c r="E81" i="6" s="1"/>
  <c r="H48" i="6"/>
  <c r="AF48" i="6" s="1"/>
  <c r="J48" i="6"/>
  <c r="F68" i="19"/>
  <c r="E49" i="6"/>
  <c r="H49" i="6"/>
  <c r="J49" i="6"/>
  <c r="E50" i="6"/>
  <c r="H50" i="6"/>
  <c r="J50" i="6"/>
  <c r="E51" i="6"/>
  <c r="H51" i="6"/>
  <c r="J51" i="6"/>
  <c r="E52" i="6"/>
  <c r="H52" i="6"/>
  <c r="J52" i="6"/>
  <c r="E53" i="6"/>
  <c r="H53" i="6"/>
  <c r="J53" i="6"/>
  <c r="E54" i="6"/>
  <c r="H54" i="6"/>
  <c r="J54" i="6"/>
  <c r="E55" i="6"/>
  <c r="H55" i="6"/>
  <c r="J55" i="6"/>
  <c r="E56" i="6"/>
  <c r="H56" i="6"/>
  <c r="J56" i="6"/>
  <c r="E57" i="6"/>
  <c r="H57" i="6"/>
  <c r="J57" i="6"/>
  <c r="E58" i="6"/>
  <c r="H58" i="6"/>
  <c r="J58" i="6"/>
  <c r="E59" i="6"/>
  <c r="H59" i="6"/>
  <c r="J59" i="6"/>
  <c r="E60" i="6"/>
  <c r="H60" i="6"/>
  <c r="J60" i="6"/>
  <c r="E61" i="6"/>
  <c r="H61" i="6"/>
  <c r="J61" i="6"/>
  <c r="E62" i="6"/>
  <c r="H62" i="6"/>
  <c r="J62" i="6"/>
  <c r="E63" i="6"/>
  <c r="H63" i="6"/>
  <c r="J63" i="6"/>
  <c r="E64" i="6"/>
  <c r="H64" i="6"/>
  <c r="J64" i="6"/>
  <c r="E65" i="6"/>
  <c r="H65" i="6"/>
  <c r="J65" i="6"/>
  <c r="E66" i="6"/>
  <c r="E67" i="6"/>
  <c r="F19" i="8"/>
  <c r="H45" i="7"/>
  <c r="G110" i="2"/>
  <c r="G97" i="2"/>
  <c r="G123" i="2"/>
  <c r="G185" i="19"/>
  <c r="G186" i="19" s="1"/>
  <c r="G187" i="19" s="1"/>
  <c r="G188" i="19" s="1"/>
  <c r="G189" i="19" s="1"/>
  <c r="G190" i="19" s="1"/>
  <c r="G191" i="19" s="1"/>
  <c r="G192" i="19" s="1"/>
  <c r="G193" i="19" s="1"/>
  <c r="G194" i="19" s="1"/>
  <c r="G195" i="19" s="1"/>
  <c r="G196" i="19" s="1"/>
  <c r="G197" i="19" s="1"/>
  <c r="G198" i="19" s="1"/>
  <c r="G199" i="19" s="1"/>
  <c r="G200" i="19" s="1"/>
  <c r="G201" i="19" s="1"/>
  <c r="G202" i="19" s="1"/>
  <c r="G203" i="19" s="1"/>
  <c r="G204" i="19" s="1"/>
  <c r="G205" i="19" s="1"/>
  <c r="G206" i="19" s="1"/>
  <c r="G207" i="19" s="1"/>
  <c r="G208" i="19" s="1"/>
  <c r="G209" i="19" s="1"/>
  <c r="G210" i="19" s="1"/>
  <c r="G211" i="19" s="1"/>
  <c r="G212" i="19" s="1"/>
  <c r="G213" i="19" s="1"/>
  <c r="G214" i="19" s="1"/>
  <c r="G215" i="19" s="1"/>
  <c r="G216" i="19" s="1"/>
  <c r="G217" i="19" s="1"/>
  <c r="G218" i="19" s="1"/>
  <c r="G219" i="19" s="1"/>
  <c r="G220" i="19" s="1"/>
  <c r="G221" i="19" s="1"/>
  <c r="G222" i="19" s="1"/>
  <c r="G223" i="19" s="1"/>
  <c r="G224" i="19" s="1"/>
  <c r="G225" i="19" s="1"/>
  <c r="G226" i="19" s="1"/>
  <c r="G227" i="19" s="1"/>
  <c r="E184" i="19"/>
  <c r="F183" i="19"/>
  <c r="F182" i="19"/>
  <c r="F181" i="19"/>
  <c r="F180" i="19"/>
  <c r="B212" i="19"/>
  <c r="B213" i="19" s="1"/>
  <c r="B214" i="19" s="1"/>
  <c r="B215" i="19" s="1"/>
  <c r="B216" i="19" s="1"/>
  <c r="B217" i="19" s="1"/>
  <c r="B218" i="19" s="1"/>
  <c r="B219" i="19" s="1"/>
  <c r="B220" i="19" s="1"/>
  <c r="B221" i="19" s="1"/>
  <c r="B222" i="19" s="1"/>
  <c r="B223" i="19" s="1"/>
  <c r="B224" i="19" s="1"/>
  <c r="B225" i="19" s="1"/>
  <c r="B226" i="19" s="1"/>
  <c r="B227" i="19" s="1"/>
  <c r="W73" i="19"/>
  <c r="W74" i="19"/>
  <c r="W75" i="19"/>
  <c r="W76" i="19"/>
  <c r="W77" i="19"/>
  <c r="W78" i="19"/>
  <c r="W79" i="19"/>
  <c r="W80" i="19"/>
  <c r="W81" i="19"/>
  <c r="W82" i="19"/>
  <c r="W83" i="19"/>
  <c r="W87" i="19"/>
  <c r="W88" i="19"/>
  <c r="W89" i="19"/>
  <c r="W90" i="19"/>
  <c r="W94" i="19"/>
  <c r="W95" i="19"/>
  <c r="W96" i="19"/>
  <c r="W97" i="19"/>
  <c r="W98" i="19"/>
  <c r="W99" i="19"/>
  <c r="W100" i="19"/>
  <c r="W101" i="19"/>
  <c r="W102" i="19"/>
  <c r="W103" i="19"/>
  <c r="W104" i="19"/>
  <c r="W105" i="19"/>
  <c r="W106" i="19"/>
  <c r="I56" i="7"/>
  <c r="I57" i="7"/>
  <c r="J57" i="7" s="1"/>
  <c r="K57" i="7" s="1"/>
  <c r="L57" i="7" s="1"/>
  <c r="I58" i="7"/>
  <c r="J58" i="7" s="1"/>
  <c r="K58" i="7" s="1"/>
  <c r="L58" i="7" s="1"/>
  <c r="I59" i="7"/>
  <c r="J59" i="7" s="1"/>
  <c r="K59" i="7" s="1"/>
  <c r="L59" i="7" s="1"/>
  <c r="I60" i="7"/>
  <c r="J60" i="7" s="1"/>
  <c r="K60" i="7" s="1"/>
  <c r="L60" i="7" s="1"/>
  <c r="I68" i="7"/>
  <c r="J68" i="7" s="1"/>
  <c r="I69" i="7"/>
  <c r="I70" i="7"/>
  <c r="J70" i="7" s="1"/>
  <c r="K70" i="7" s="1"/>
  <c r="L70" i="7" s="1"/>
  <c r="I72" i="7"/>
  <c r="J72" i="7" s="1"/>
  <c r="K72" i="7" s="1"/>
  <c r="L72" i="7" s="1"/>
  <c r="I73" i="7"/>
  <c r="J73" i="7" s="1"/>
  <c r="K73" i="7" s="1"/>
  <c r="L73" i="7" s="1"/>
  <c r="I74" i="7"/>
  <c r="J74" i="7" s="1"/>
  <c r="K74" i="7" s="1"/>
  <c r="L74" i="7" s="1"/>
  <c r="I75" i="7"/>
  <c r="J75" i="7" s="1"/>
  <c r="K75" i="7" s="1"/>
  <c r="L75" i="7" s="1"/>
  <c r="I106" i="7"/>
  <c r="J106" i="7" s="1"/>
  <c r="K106" i="7" s="1"/>
  <c r="L106" i="7" s="1"/>
  <c r="I107" i="7"/>
  <c r="I108" i="7"/>
  <c r="J108" i="7" s="1"/>
  <c r="K108" i="7" s="1"/>
  <c r="L108" i="7" s="1"/>
  <c r="I109" i="7"/>
  <c r="J109" i="7" s="1"/>
  <c r="K109" i="7" s="1"/>
  <c r="L109" i="7" s="1"/>
  <c r="I110" i="7"/>
  <c r="J110" i="7" s="1"/>
  <c r="K110" i="7" s="1"/>
  <c r="L110" i="7" s="1"/>
  <c r="I111" i="7"/>
  <c r="J111" i="7" s="1"/>
  <c r="K111" i="7" s="1"/>
  <c r="L111" i="7" s="1"/>
  <c r="I112" i="7"/>
  <c r="J112" i="7" s="1"/>
  <c r="K112" i="7" s="1"/>
  <c r="L112" i="7" s="1"/>
  <c r="I113" i="7"/>
  <c r="J113" i="7" s="1"/>
  <c r="K113" i="7" s="1"/>
  <c r="L113" i="7" s="1"/>
  <c r="I114" i="7"/>
  <c r="J114" i="7" s="1"/>
  <c r="K114" i="7" s="1"/>
  <c r="L114" i="7" s="1"/>
  <c r="I122" i="7"/>
  <c r="J122" i="7" s="1"/>
  <c r="K122" i="7" s="1"/>
  <c r="L122" i="7" s="1"/>
  <c r="I123" i="7"/>
  <c r="J123" i="7" s="1"/>
  <c r="K123" i="7" s="1"/>
  <c r="L123" i="7" s="1"/>
  <c r="I124" i="7"/>
  <c r="J124" i="7" s="1"/>
  <c r="K124" i="7" s="1"/>
  <c r="L124" i="7" s="1"/>
  <c r="I125" i="7"/>
  <c r="J125" i="7" s="1"/>
  <c r="K125" i="7" s="1"/>
  <c r="L125" i="7" s="1"/>
  <c r="I126" i="7"/>
  <c r="J126" i="7" s="1"/>
  <c r="K126" i="7" s="1"/>
  <c r="L126" i="7" s="1"/>
  <c r="I127" i="7"/>
  <c r="J127" i="7" s="1"/>
  <c r="K127" i="7" s="1"/>
  <c r="L127" i="7" s="1"/>
  <c r="I128" i="7"/>
  <c r="J128" i="7" s="1"/>
  <c r="K128" i="7" s="1"/>
  <c r="L128" i="7" s="1"/>
  <c r="I129" i="7"/>
  <c r="J129" i="7" s="1"/>
  <c r="K129" i="7" s="1"/>
  <c r="L129" i="7" s="1"/>
  <c r="I130" i="7"/>
  <c r="I131" i="7"/>
  <c r="J131" i="7" s="1"/>
  <c r="K131" i="7" s="1"/>
  <c r="L131" i="7" s="1"/>
  <c r="I132" i="7"/>
  <c r="J132" i="7" s="1"/>
  <c r="K132" i="7" s="1"/>
  <c r="L132" i="7" s="1"/>
  <c r="I133" i="7"/>
  <c r="I134" i="7"/>
  <c r="I135" i="7"/>
  <c r="J135" i="7" s="1"/>
  <c r="K135" i="7" s="1"/>
  <c r="I136" i="7"/>
  <c r="J136" i="7" s="1"/>
  <c r="K136" i="7" s="1"/>
  <c r="L136" i="7" s="1"/>
  <c r="I137" i="7"/>
  <c r="J137" i="7" s="1"/>
  <c r="K137" i="7" s="1"/>
  <c r="L137" i="7" s="1"/>
  <c r="I138" i="7"/>
  <c r="J138" i="7" s="1"/>
  <c r="K138" i="7" s="1"/>
  <c r="L138" i="7" s="1"/>
  <c r="I139" i="7"/>
  <c r="J139" i="7" s="1"/>
  <c r="K139" i="7" s="1"/>
  <c r="L139" i="7" s="1"/>
  <c r="I140" i="7"/>
  <c r="J140" i="7" s="1"/>
  <c r="K140" i="7" s="1"/>
  <c r="L140" i="7" s="1"/>
  <c r="I141" i="7"/>
  <c r="J141" i="7" s="1"/>
  <c r="K141" i="7" s="1"/>
  <c r="L141" i="7" s="1"/>
  <c r="I142" i="7"/>
  <c r="J142" i="7" s="1"/>
  <c r="K142" i="7" s="1"/>
  <c r="L142" i="7" s="1"/>
  <c r="I143" i="7"/>
  <c r="J143" i="7" s="1"/>
  <c r="K143" i="7" s="1"/>
  <c r="L143" i="7" s="1"/>
  <c r="I144" i="7"/>
  <c r="J144" i="7" s="1"/>
  <c r="K144" i="7" s="1"/>
  <c r="L144" i="7" s="1"/>
  <c r="I145" i="7"/>
  <c r="J145" i="7" s="1"/>
  <c r="K145" i="7" s="1"/>
  <c r="L145" i="7" s="1"/>
  <c r="I146" i="7"/>
  <c r="J146" i="7" s="1"/>
  <c r="K146" i="7" s="1"/>
  <c r="L146" i="7" s="1"/>
  <c r="I147" i="7"/>
  <c r="J147" i="7" s="1"/>
  <c r="K147" i="7" s="1"/>
  <c r="L147" i="7" s="1"/>
  <c r="I148" i="7"/>
  <c r="J148" i="7" s="1"/>
  <c r="K148" i="7" s="1"/>
  <c r="L148" i="7" s="1"/>
  <c r="I149" i="7"/>
  <c r="J149" i="7" s="1"/>
  <c r="K149" i="7" s="1"/>
  <c r="L149" i="7" s="1"/>
  <c r="I150" i="7"/>
  <c r="I151" i="7"/>
  <c r="J151" i="7" s="1"/>
  <c r="K151" i="7" s="1"/>
  <c r="L151" i="7" s="1"/>
  <c r="I152" i="7"/>
  <c r="J152" i="7" s="1"/>
  <c r="K152" i="7" s="1"/>
  <c r="L152" i="7" s="1"/>
  <c r="I153" i="7"/>
  <c r="J153" i="7" s="1"/>
  <c r="K153" i="7" s="1"/>
  <c r="L153" i="7" s="1"/>
  <c r="I154" i="7"/>
  <c r="J154" i="7" s="1"/>
  <c r="K154" i="7" s="1"/>
  <c r="L154" i="7" s="1"/>
  <c r="I155" i="7"/>
  <c r="J155" i="7" s="1"/>
  <c r="K155" i="7" s="1"/>
  <c r="L155" i="7" s="1"/>
  <c r="I156" i="7"/>
  <c r="J156" i="7" s="1"/>
  <c r="K156" i="7" s="1"/>
  <c r="L156" i="7" s="1"/>
  <c r="J184" i="19"/>
  <c r="K184" i="19" s="1"/>
  <c r="H39" i="4"/>
  <c r="AF39" i="4" s="1"/>
  <c r="AI32" i="5"/>
  <c r="H77" i="7"/>
  <c r="H67" i="6"/>
  <c r="H66" i="6"/>
  <c r="I120" i="3"/>
  <c r="J120" i="3" s="1"/>
  <c r="K120" i="3" s="1"/>
  <c r="E9" i="4"/>
  <c r="E9" i="5" s="1"/>
  <c r="J99" i="5"/>
  <c r="J100" i="5"/>
  <c r="J101" i="5"/>
  <c r="J102" i="5"/>
  <c r="J103" i="5"/>
  <c r="J104" i="5"/>
  <c r="J105" i="5"/>
  <c r="J106" i="5"/>
  <c r="J107" i="5"/>
  <c r="J108" i="5"/>
  <c r="J109" i="5"/>
  <c r="J110" i="5"/>
  <c r="J111" i="5"/>
  <c r="J112" i="5"/>
  <c r="J113" i="5"/>
  <c r="J114" i="5"/>
  <c r="J115" i="5"/>
  <c r="J116" i="5"/>
  <c r="J117" i="5"/>
  <c r="J118" i="5"/>
  <c r="J119" i="5"/>
  <c r="J120" i="5"/>
  <c r="J121" i="5"/>
  <c r="J122" i="5"/>
  <c r="J123" i="5"/>
  <c r="J124" i="5"/>
  <c r="J125" i="5"/>
  <c r="J126" i="5"/>
  <c r="J127" i="5"/>
  <c r="J128" i="5"/>
  <c r="J129" i="5"/>
  <c r="J130" i="5"/>
  <c r="J131" i="5"/>
  <c r="J132" i="5"/>
  <c r="J133" i="5"/>
  <c r="J134" i="5"/>
  <c r="J135" i="5"/>
  <c r="J136" i="5"/>
  <c r="J137" i="5"/>
  <c r="J138" i="5"/>
  <c r="E31" i="4"/>
  <c r="E77" i="5" s="1"/>
  <c r="G99" i="5"/>
  <c r="G167" i="5" s="1"/>
  <c r="G100" i="5"/>
  <c r="AI100" i="5" s="1"/>
  <c r="G101" i="5"/>
  <c r="G169" i="5" s="1"/>
  <c r="G236" i="5" s="1"/>
  <c r="G102" i="5"/>
  <c r="G170" i="5" s="1"/>
  <c r="AI170" i="5" s="1"/>
  <c r="G103" i="5"/>
  <c r="G171" i="5" s="1"/>
  <c r="G104" i="5"/>
  <c r="G172" i="5" s="1"/>
  <c r="G105" i="5"/>
  <c r="G173" i="5" s="1"/>
  <c r="G106" i="5"/>
  <c r="G174" i="5" s="1"/>
  <c r="AI174" i="5" s="1"/>
  <c r="G107" i="5"/>
  <c r="G175" i="5" s="1"/>
  <c r="G108" i="5"/>
  <c r="G109" i="5"/>
  <c r="G177" i="5" s="1"/>
  <c r="G110" i="5"/>
  <c r="G178" i="5" s="1"/>
  <c r="G111" i="5"/>
  <c r="G179" i="5" s="1"/>
  <c r="G112" i="5"/>
  <c r="G180" i="5" s="1"/>
  <c r="G113" i="5"/>
  <c r="AI113" i="5" s="1"/>
  <c r="G114" i="5"/>
  <c r="G182" i="5" s="1"/>
  <c r="AI182" i="5" s="1"/>
  <c r="G115" i="5"/>
  <c r="G183" i="5" s="1"/>
  <c r="G250" i="5" s="1"/>
  <c r="G317" i="5" s="1"/>
  <c r="G116" i="5"/>
  <c r="AI116" i="5" s="1"/>
  <c r="G117" i="5"/>
  <c r="G185" i="5" s="1"/>
  <c r="G118" i="5"/>
  <c r="G186" i="5" s="1"/>
  <c r="G119" i="5"/>
  <c r="G187" i="5" s="1"/>
  <c r="G120" i="5"/>
  <c r="G188" i="5" s="1"/>
  <c r="G121" i="5"/>
  <c r="G122" i="5"/>
  <c r="G190" i="5" s="1"/>
  <c r="G123" i="5"/>
  <c r="G191" i="5" s="1"/>
  <c r="G124" i="5"/>
  <c r="AI124" i="5" s="1"/>
  <c r="G125" i="5"/>
  <c r="G193" i="5" s="1"/>
  <c r="AI193" i="5" s="1"/>
  <c r="G126" i="5"/>
  <c r="G194" i="5" s="1"/>
  <c r="G127" i="5"/>
  <c r="G195" i="5" s="1"/>
  <c r="G128" i="5"/>
  <c r="G129" i="5"/>
  <c r="G197" i="5" s="1"/>
  <c r="G264" i="5" s="1"/>
  <c r="AI264" i="5" s="1"/>
  <c r="G130" i="5"/>
  <c r="G198" i="5" s="1"/>
  <c r="G131" i="5"/>
  <c r="G199" i="5" s="1"/>
  <c r="G132" i="5"/>
  <c r="G133" i="5"/>
  <c r="G201" i="5" s="1"/>
  <c r="AI201" i="5" s="1"/>
  <c r="G134" i="5"/>
  <c r="G202" i="5" s="1"/>
  <c r="G135" i="5"/>
  <c r="G203" i="5" s="1"/>
  <c r="G270" i="5" s="1"/>
  <c r="AI270" i="5" s="1"/>
  <c r="G136" i="5"/>
  <c r="G204" i="5" s="1"/>
  <c r="G137" i="5"/>
  <c r="G138" i="5"/>
  <c r="G206" i="5" s="1"/>
  <c r="E55" i="4"/>
  <c r="E145" i="5" s="1"/>
  <c r="E78" i="4"/>
  <c r="E212" i="5" s="1"/>
  <c r="D31" i="19"/>
  <c r="D32" i="19"/>
  <c r="D33" i="19"/>
  <c r="D34" i="19"/>
  <c r="D35" i="19"/>
  <c r="D36" i="19"/>
  <c r="D39" i="19"/>
  <c r="D40" i="19"/>
  <c r="D41" i="19"/>
  <c r="D42" i="19"/>
  <c r="L14" i="9"/>
  <c r="N14" i="9" s="1"/>
  <c r="J66" i="6"/>
  <c r="J67" i="6"/>
  <c r="F84" i="5"/>
  <c r="AG84" i="5" s="1"/>
  <c r="AH84" i="5" s="1"/>
  <c r="F85" i="5"/>
  <c r="F153" i="5" s="1"/>
  <c r="AG153" i="5" s="1"/>
  <c r="AH153" i="5" s="1"/>
  <c r="F86" i="5"/>
  <c r="AG86" i="5" s="1"/>
  <c r="AH86" i="5" s="1"/>
  <c r="F87" i="5"/>
  <c r="AG87" i="5" s="1"/>
  <c r="AH87" i="5" s="1"/>
  <c r="F88" i="5"/>
  <c r="AG88" i="5" s="1"/>
  <c r="AH88" i="5" s="1"/>
  <c r="F89" i="5"/>
  <c r="F90" i="5"/>
  <c r="AG90" i="5" s="1"/>
  <c r="AH90" i="5" s="1"/>
  <c r="F91" i="5"/>
  <c r="F159" i="5" s="1"/>
  <c r="F92" i="5"/>
  <c r="AG92" i="5" s="1"/>
  <c r="AH92" i="5" s="1"/>
  <c r="F93" i="5"/>
  <c r="AG93" i="5" s="1"/>
  <c r="AH93" i="5" s="1"/>
  <c r="F94" i="5"/>
  <c r="F95" i="5"/>
  <c r="F163" i="5" s="1"/>
  <c r="AG163" i="5" s="1"/>
  <c r="AH163" i="5" s="1"/>
  <c r="F96" i="5"/>
  <c r="F164" i="5" s="1"/>
  <c r="AG164" i="5" s="1"/>
  <c r="AH164" i="5" s="1"/>
  <c r="F97" i="5"/>
  <c r="F98" i="5"/>
  <c r="AG98" i="5" s="1"/>
  <c r="AH98" i="5" s="1"/>
  <c r="F99" i="5"/>
  <c r="AG99" i="5" s="1"/>
  <c r="AH99" i="5" s="1"/>
  <c r="F100" i="5"/>
  <c r="F168" i="5" s="1"/>
  <c r="AG168" i="5" s="1"/>
  <c r="AH168" i="5" s="1"/>
  <c r="F101" i="5"/>
  <c r="AG101" i="5" s="1"/>
  <c r="AH101" i="5" s="1"/>
  <c r="F102" i="5"/>
  <c r="AG102" i="5" s="1"/>
  <c r="AH102" i="5" s="1"/>
  <c r="F103" i="5"/>
  <c r="AG103" i="5" s="1"/>
  <c r="AH103" i="5" s="1"/>
  <c r="F104" i="5"/>
  <c r="F172" i="5" s="1"/>
  <c r="AG172" i="5" s="1"/>
  <c r="AH172" i="5" s="1"/>
  <c r="F105" i="5"/>
  <c r="AG105" i="5" s="1"/>
  <c r="AH105" i="5" s="1"/>
  <c r="F106" i="5"/>
  <c r="F107" i="5"/>
  <c r="F175" i="5" s="1"/>
  <c r="AG175" i="5" s="1"/>
  <c r="AH175" i="5" s="1"/>
  <c r="F108" i="5"/>
  <c r="AG108" i="5" s="1"/>
  <c r="AH108" i="5" s="1"/>
  <c r="F109" i="5"/>
  <c r="F110" i="5"/>
  <c r="AG110" i="5" s="1"/>
  <c r="AH110" i="5" s="1"/>
  <c r="F111" i="5"/>
  <c r="AG111" i="5" s="1"/>
  <c r="AH111" i="5" s="1"/>
  <c r="F112" i="5"/>
  <c r="AG112" i="5" s="1"/>
  <c r="AH112" i="5" s="1"/>
  <c r="F113" i="5"/>
  <c r="F114" i="5"/>
  <c r="AG114" i="5" s="1"/>
  <c r="AH114" i="5" s="1"/>
  <c r="F115" i="5"/>
  <c r="AG115" i="5" s="1"/>
  <c r="AH115" i="5" s="1"/>
  <c r="F116" i="5"/>
  <c r="F184" i="5" s="1"/>
  <c r="AG184" i="5" s="1"/>
  <c r="AH184" i="5" s="1"/>
  <c r="F117" i="5"/>
  <c r="F118" i="5"/>
  <c r="F186" i="5" s="1"/>
  <c r="F119" i="5"/>
  <c r="AG119" i="5" s="1"/>
  <c r="AH119" i="5" s="1"/>
  <c r="F120" i="5"/>
  <c r="AG120" i="5" s="1"/>
  <c r="AH120" i="5" s="1"/>
  <c r="F121" i="5"/>
  <c r="F189" i="5" s="1"/>
  <c r="AG189" i="5" s="1"/>
  <c r="AH189" i="5" s="1"/>
  <c r="F122" i="5"/>
  <c r="AG122" i="5" s="1"/>
  <c r="AH122" i="5" s="1"/>
  <c r="F123" i="5"/>
  <c r="F191" i="5" s="1"/>
  <c r="AG191" i="5" s="1"/>
  <c r="AH191" i="5" s="1"/>
  <c r="F124" i="5"/>
  <c r="F125" i="5"/>
  <c r="F193" i="5" s="1"/>
  <c r="AG193" i="5" s="1"/>
  <c r="AH193" i="5" s="1"/>
  <c r="F126" i="5"/>
  <c r="AG126" i="5" s="1"/>
  <c r="AH126" i="5" s="1"/>
  <c r="F127" i="5"/>
  <c r="AG127" i="5" s="1"/>
  <c r="AH127" i="5" s="1"/>
  <c r="F128" i="5"/>
  <c r="AG128" i="5" s="1"/>
  <c r="AH128" i="5" s="1"/>
  <c r="F129" i="5"/>
  <c r="AG129" i="5" s="1"/>
  <c r="AH129" i="5" s="1"/>
  <c r="F130" i="5"/>
  <c r="AG130" i="5" s="1"/>
  <c r="AH130" i="5" s="1"/>
  <c r="F131" i="5"/>
  <c r="F199" i="5" s="1"/>
  <c r="AG199" i="5" s="1"/>
  <c r="AH199" i="5" s="1"/>
  <c r="F132" i="5"/>
  <c r="F200" i="5" s="1"/>
  <c r="AG200" i="5" s="1"/>
  <c r="AH200" i="5" s="1"/>
  <c r="F133" i="5"/>
  <c r="F134" i="5"/>
  <c r="AG134" i="5" s="1"/>
  <c r="AH134" i="5" s="1"/>
  <c r="F135" i="5"/>
  <c r="AG135" i="5" s="1"/>
  <c r="AH135" i="5" s="1"/>
  <c r="F136" i="5"/>
  <c r="AG136" i="5" s="1"/>
  <c r="AH136" i="5" s="1"/>
  <c r="F137" i="5"/>
  <c r="AG137" i="5" s="1"/>
  <c r="AH137" i="5" s="1"/>
  <c r="F138" i="5"/>
  <c r="AG138" i="5" s="1"/>
  <c r="AH138" i="5" s="1"/>
  <c r="F48" i="6"/>
  <c r="AG48" i="6" s="1"/>
  <c r="AH48" i="6" s="1"/>
  <c r="F49" i="6"/>
  <c r="AG49" i="6" s="1"/>
  <c r="AH49" i="6" s="1"/>
  <c r="F50" i="6"/>
  <c r="AG50" i="6" s="1"/>
  <c r="AH50" i="6" s="1"/>
  <c r="F51" i="6"/>
  <c r="AG51" i="6" s="1"/>
  <c r="AH51" i="6" s="1"/>
  <c r="F52" i="6"/>
  <c r="AG52" i="6" s="1"/>
  <c r="AH52" i="6" s="1"/>
  <c r="F53" i="6"/>
  <c r="F86" i="6" s="1"/>
  <c r="F118" i="6" s="1"/>
  <c r="AG118" i="6" s="1"/>
  <c r="AH118" i="6" s="1"/>
  <c r="F54" i="6"/>
  <c r="F87" i="6" s="1"/>
  <c r="AG87" i="6" s="1"/>
  <c r="AH87" i="6" s="1"/>
  <c r="F55" i="6"/>
  <c r="AG55" i="6" s="1"/>
  <c r="AH55" i="6" s="1"/>
  <c r="F56" i="6"/>
  <c r="F89" i="6" s="1"/>
  <c r="F121" i="6" s="1"/>
  <c r="F57" i="6"/>
  <c r="F58" i="6"/>
  <c r="F59" i="6"/>
  <c r="AG59" i="6" s="1"/>
  <c r="AH59" i="6" s="1"/>
  <c r="F60" i="6"/>
  <c r="AG60" i="6" s="1"/>
  <c r="AH60" i="6" s="1"/>
  <c r="F61" i="6"/>
  <c r="AG61" i="6" s="1"/>
  <c r="AH61" i="6" s="1"/>
  <c r="F62" i="6"/>
  <c r="F63" i="6"/>
  <c r="F96" i="6" s="1"/>
  <c r="F64" i="6"/>
  <c r="AG64" i="6" s="1"/>
  <c r="AH64" i="6" s="1"/>
  <c r="F65" i="6"/>
  <c r="F98" i="6" s="1"/>
  <c r="F66" i="6"/>
  <c r="F99" i="6" s="1"/>
  <c r="F67" i="6"/>
  <c r="AG67" i="6" s="1"/>
  <c r="AH67" i="6" s="1"/>
  <c r="AG39" i="4"/>
  <c r="AH39" i="4" s="1"/>
  <c r="AG40" i="4"/>
  <c r="AH40" i="4" s="1"/>
  <c r="AG43" i="4"/>
  <c r="AH43" i="4" s="1"/>
  <c r="AG45" i="4"/>
  <c r="AH45" i="4" s="1"/>
  <c r="H38" i="4"/>
  <c r="H138" i="5"/>
  <c r="H137" i="5"/>
  <c r="AF137" i="5" s="1"/>
  <c r="H136" i="5"/>
  <c r="H135" i="5"/>
  <c r="H134" i="5"/>
  <c r="H133" i="5"/>
  <c r="H132" i="5"/>
  <c r="AF132" i="5" s="1"/>
  <c r="H131" i="5"/>
  <c r="H130" i="5"/>
  <c r="AF130" i="5" s="1"/>
  <c r="H129" i="5"/>
  <c r="H128" i="5"/>
  <c r="AF128" i="5" s="1"/>
  <c r="H127" i="5"/>
  <c r="AF127" i="5" s="1"/>
  <c r="H126" i="5"/>
  <c r="H125" i="5"/>
  <c r="H124" i="5"/>
  <c r="AF124" i="5" s="1"/>
  <c r="H123" i="5"/>
  <c r="AF123" i="5" s="1"/>
  <c r="H122" i="5"/>
  <c r="H121" i="5"/>
  <c r="H120" i="5"/>
  <c r="AF120" i="5" s="1"/>
  <c r="H119" i="5"/>
  <c r="H118" i="5"/>
  <c r="H117" i="5"/>
  <c r="AF117" i="5" s="1"/>
  <c r="H116" i="5"/>
  <c r="AF116" i="5" s="1"/>
  <c r="H115" i="5"/>
  <c r="H114" i="5"/>
  <c r="H113" i="5"/>
  <c r="H112" i="5"/>
  <c r="AF112" i="5" s="1"/>
  <c r="H111" i="5"/>
  <c r="H110" i="5"/>
  <c r="H109" i="5"/>
  <c r="H108" i="5"/>
  <c r="AF108" i="5" s="1"/>
  <c r="H107" i="5"/>
  <c r="H106" i="5"/>
  <c r="H105" i="5"/>
  <c r="H104" i="5"/>
  <c r="AF104" i="5" s="1"/>
  <c r="H103" i="5"/>
  <c r="H102" i="5"/>
  <c r="H101" i="5"/>
  <c r="AF101" i="5" s="1"/>
  <c r="H100" i="5"/>
  <c r="H99" i="5"/>
  <c r="AH16" i="5"/>
  <c r="H47" i="4"/>
  <c r="H46" i="4"/>
  <c r="H45" i="4"/>
  <c r="H44" i="4"/>
  <c r="AF44" i="4" s="1"/>
  <c r="H43" i="4"/>
  <c r="AF43" i="4" s="1"/>
  <c r="H42" i="4"/>
  <c r="AF42" i="4" s="1"/>
  <c r="H41" i="4"/>
  <c r="AF41" i="4" s="1"/>
  <c r="H40" i="4"/>
  <c r="AF40" i="4" s="1"/>
  <c r="W93" i="19"/>
  <c r="W92" i="19"/>
  <c r="G94" i="2"/>
  <c r="M14" i="9"/>
  <c r="E56" i="19"/>
  <c r="C5" i="2"/>
  <c r="I98" i="3"/>
  <c r="J98" i="3" s="1"/>
  <c r="K98" i="3" s="1"/>
  <c r="L98" i="3" s="1"/>
  <c r="C5" i="13"/>
  <c r="D48" i="6"/>
  <c r="D81" i="6" s="1"/>
  <c r="D113" i="6" s="1"/>
  <c r="D145" i="6" s="1"/>
  <c r="G48" i="6"/>
  <c r="G81" i="6" s="1"/>
  <c r="G113" i="6" s="1"/>
  <c r="G145" i="6" s="1"/>
  <c r="D49" i="6"/>
  <c r="D82" i="6" s="1"/>
  <c r="D114" i="6" s="1"/>
  <c r="D146" i="6" s="1"/>
  <c r="G49" i="6"/>
  <c r="G82" i="6" s="1"/>
  <c r="G114" i="6" s="1"/>
  <c r="G146" i="6" s="1"/>
  <c r="D50" i="6"/>
  <c r="D83" i="6" s="1"/>
  <c r="D115" i="6" s="1"/>
  <c r="D147" i="6" s="1"/>
  <c r="G50" i="6"/>
  <c r="G83" i="6" s="1"/>
  <c r="G115" i="6" s="1"/>
  <c r="G147" i="6" s="1"/>
  <c r="D51" i="6"/>
  <c r="D84" i="6" s="1"/>
  <c r="D116" i="6" s="1"/>
  <c r="D148" i="6" s="1"/>
  <c r="G51" i="6"/>
  <c r="G84" i="6" s="1"/>
  <c r="G116" i="6" s="1"/>
  <c r="G148" i="6" s="1"/>
  <c r="D52" i="6"/>
  <c r="D85" i="6" s="1"/>
  <c r="D117" i="6" s="1"/>
  <c r="D149" i="6" s="1"/>
  <c r="G52" i="6"/>
  <c r="G85" i="6" s="1"/>
  <c r="G117" i="6" s="1"/>
  <c r="G149" i="6" s="1"/>
  <c r="D53" i="6"/>
  <c r="D86" i="6" s="1"/>
  <c r="D118" i="6" s="1"/>
  <c r="D150" i="6" s="1"/>
  <c r="G53" i="6"/>
  <c r="G86" i="6" s="1"/>
  <c r="G118" i="6" s="1"/>
  <c r="G150" i="6" s="1"/>
  <c r="D54" i="6"/>
  <c r="D87" i="6" s="1"/>
  <c r="D119" i="6" s="1"/>
  <c r="D151" i="6" s="1"/>
  <c r="G54" i="6"/>
  <c r="G87" i="6" s="1"/>
  <c r="G119" i="6" s="1"/>
  <c r="G151" i="6" s="1"/>
  <c r="D55" i="6"/>
  <c r="D88" i="6" s="1"/>
  <c r="D120" i="6" s="1"/>
  <c r="D152" i="6" s="1"/>
  <c r="G55" i="6"/>
  <c r="G88" i="6" s="1"/>
  <c r="G120" i="6" s="1"/>
  <c r="G152" i="6" s="1"/>
  <c r="D56" i="6"/>
  <c r="D89" i="6" s="1"/>
  <c r="D121" i="6" s="1"/>
  <c r="D153" i="6" s="1"/>
  <c r="G56" i="6"/>
  <c r="G89" i="6" s="1"/>
  <c r="G121" i="6" s="1"/>
  <c r="G153" i="6" s="1"/>
  <c r="D57" i="6"/>
  <c r="D90" i="6" s="1"/>
  <c r="D122" i="6" s="1"/>
  <c r="D154" i="6" s="1"/>
  <c r="G57" i="6"/>
  <c r="G90" i="6" s="1"/>
  <c r="G122" i="6" s="1"/>
  <c r="G154" i="6" s="1"/>
  <c r="D58" i="6"/>
  <c r="D91" i="6" s="1"/>
  <c r="D123" i="6" s="1"/>
  <c r="D155" i="6" s="1"/>
  <c r="G58" i="6"/>
  <c r="G91" i="6" s="1"/>
  <c r="G123" i="6" s="1"/>
  <c r="G155" i="6" s="1"/>
  <c r="D59" i="6"/>
  <c r="D92" i="6" s="1"/>
  <c r="D124" i="6" s="1"/>
  <c r="D156" i="6" s="1"/>
  <c r="G59" i="6"/>
  <c r="G92" i="6" s="1"/>
  <c r="G124" i="6" s="1"/>
  <c r="G156" i="6" s="1"/>
  <c r="D60" i="6"/>
  <c r="D93" i="6" s="1"/>
  <c r="D125" i="6" s="1"/>
  <c r="D157" i="6" s="1"/>
  <c r="G60" i="6"/>
  <c r="G93" i="6" s="1"/>
  <c r="G125" i="6" s="1"/>
  <c r="G157" i="6" s="1"/>
  <c r="D61" i="6"/>
  <c r="D94" i="6" s="1"/>
  <c r="D126" i="6" s="1"/>
  <c r="D158" i="6" s="1"/>
  <c r="G61" i="6"/>
  <c r="G94" i="6" s="1"/>
  <c r="G126" i="6" s="1"/>
  <c r="G158" i="6" s="1"/>
  <c r="D62" i="6"/>
  <c r="D95" i="6" s="1"/>
  <c r="D127" i="6" s="1"/>
  <c r="D159" i="6" s="1"/>
  <c r="G62" i="6"/>
  <c r="G95" i="6" s="1"/>
  <c r="G127" i="6" s="1"/>
  <c r="G159" i="6" s="1"/>
  <c r="D63" i="6"/>
  <c r="D96" i="6" s="1"/>
  <c r="D128" i="6" s="1"/>
  <c r="D160" i="6" s="1"/>
  <c r="G63" i="6"/>
  <c r="G96" i="6" s="1"/>
  <c r="G128" i="6" s="1"/>
  <c r="G160" i="6" s="1"/>
  <c r="D64" i="6"/>
  <c r="D97" i="6" s="1"/>
  <c r="D129" i="6" s="1"/>
  <c r="D161" i="6" s="1"/>
  <c r="G64" i="6"/>
  <c r="G97" i="6" s="1"/>
  <c r="G129" i="6" s="1"/>
  <c r="G161" i="6" s="1"/>
  <c r="D65" i="6"/>
  <c r="D98" i="6" s="1"/>
  <c r="D130" i="6" s="1"/>
  <c r="D162" i="6" s="1"/>
  <c r="G65" i="6"/>
  <c r="G98" i="6" s="1"/>
  <c r="G130" i="6" s="1"/>
  <c r="G162" i="6" s="1"/>
  <c r="D66" i="6"/>
  <c r="D99" i="6" s="1"/>
  <c r="D131" i="6" s="1"/>
  <c r="D163" i="6" s="1"/>
  <c r="G66" i="6"/>
  <c r="G99" i="6" s="1"/>
  <c r="G131" i="6" s="1"/>
  <c r="G163" i="6" s="1"/>
  <c r="D67" i="6"/>
  <c r="D100" i="6" s="1"/>
  <c r="D132" i="6" s="1"/>
  <c r="D164" i="6" s="1"/>
  <c r="G67" i="6"/>
  <c r="G100" i="6" s="1"/>
  <c r="G132" i="6" s="1"/>
  <c r="G164" i="6" s="1"/>
  <c r="C5" i="6"/>
  <c r="C5" i="5"/>
  <c r="C5" i="4"/>
  <c r="H14" i="12"/>
  <c r="I14" i="12" s="1"/>
  <c r="C5" i="16"/>
  <c r="C5" i="14"/>
  <c r="C5" i="15"/>
  <c r="H54" i="12"/>
  <c r="I54" i="12"/>
  <c r="J54" i="12" s="1"/>
  <c r="K54" i="12" s="1"/>
  <c r="H53" i="12"/>
  <c r="I53" i="12" s="1"/>
  <c r="J53" i="12" s="1"/>
  <c r="K53" i="12" s="1"/>
  <c r="H52" i="12"/>
  <c r="I52" i="12" s="1"/>
  <c r="J52" i="12" s="1"/>
  <c r="K52" i="12" s="1"/>
  <c r="H51" i="12"/>
  <c r="I51" i="12" s="1"/>
  <c r="J51" i="12" s="1"/>
  <c r="K51" i="12" s="1"/>
  <c r="H50" i="12"/>
  <c r="I50" i="12"/>
  <c r="J50" i="12" s="1"/>
  <c r="K50" i="12" s="1"/>
  <c r="H49" i="12"/>
  <c r="I49" i="12" s="1"/>
  <c r="H48" i="12"/>
  <c r="H45" i="12"/>
  <c r="I45" i="12" s="1"/>
  <c r="J45" i="12" s="1"/>
  <c r="K45" i="12" s="1"/>
  <c r="H44" i="12"/>
  <c r="H41" i="12"/>
  <c r="I41" i="12" s="1"/>
  <c r="H35" i="12"/>
  <c r="I35" i="12" s="1"/>
  <c r="J35" i="12" s="1"/>
  <c r="K35" i="12" s="1"/>
  <c r="H34" i="12"/>
  <c r="I34" i="12" s="1"/>
  <c r="J34" i="12" s="1"/>
  <c r="K34" i="12" s="1"/>
  <c r="H33" i="12"/>
  <c r="I33" i="12" s="1"/>
  <c r="J33" i="12" s="1"/>
  <c r="K33" i="12" s="1"/>
  <c r="C5" i="12"/>
  <c r="C5" i="11"/>
  <c r="C5" i="10"/>
  <c r="C5" i="9"/>
  <c r="C5" i="8"/>
  <c r="C5" i="7"/>
  <c r="C5" i="3"/>
  <c r="H133" i="3"/>
  <c r="D44" i="19"/>
  <c r="I105" i="7"/>
  <c r="J105" i="7"/>
  <c r="K105" i="7"/>
  <c r="L105" i="7"/>
  <c r="H34" i="2"/>
  <c r="I121" i="3"/>
  <c r="I122" i="3"/>
  <c r="J122" i="3" s="1"/>
  <c r="K122" i="3" s="1"/>
  <c r="L122" i="3" s="1"/>
  <c r="I123" i="3"/>
  <c r="J123" i="3" s="1"/>
  <c r="K123" i="3" s="1"/>
  <c r="L123" i="3" s="1"/>
  <c r="I124" i="3"/>
  <c r="J124" i="3" s="1"/>
  <c r="K124" i="3" s="1"/>
  <c r="L124" i="3" s="1"/>
  <c r="I125" i="3"/>
  <c r="J125" i="3" s="1"/>
  <c r="K125" i="3" s="1"/>
  <c r="L125" i="3" s="1"/>
  <c r="I126" i="3"/>
  <c r="J126" i="3" s="1"/>
  <c r="K126" i="3" s="1"/>
  <c r="L126" i="3" s="1"/>
  <c r="I127" i="3"/>
  <c r="J127" i="3" s="1"/>
  <c r="K127" i="3" s="1"/>
  <c r="L127" i="3" s="1"/>
  <c r="I128" i="3"/>
  <c r="J128" i="3" s="1"/>
  <c r="K128" i="3" s="1"/>
  <c r="L128" i="3" s="1"/>
  <c r="I129" i="3"/>
  <c r="J129" i="3" s="1"/>
  <c r="K129" i="3" s="1"/>
  <c r="L129" i="3" s="1"/>
  <c r="I130" i="3"/>
  <c r="J130" i="3" s="1"/>
  <c r="K130" i="3" s="1"/>
  <c r="L130" i="3" s="1"/>
  <c r="I131" i="3"/>
  <c r="J131" i="3" s="1"/>
  <c r="K131" i="3" s="1"/>
  <c r="L131" i="3" s="1"/>
  <c r="I132" i="3"/>
  <c r="J132" i="3" s="1"/>
  <c r="K132" i="3" s="1"/>
  <c r="L132" i="3" s="1"/>
  <c r="L15" i="9"/>
  <c r="N15" i="9" s="1"/>
  <c r="H48" i="10"/>
  <c r="J107" i="7"/>
  <c r="K107" i="7" s="1"/>
  <c r="L107" i="7" s="1"/>
  <c r="J130" i="7"/>
  <c r="K130" i="7" s="1"/>
  <c r="L130" i="7" s="1"/>
  <c r="J133" i="7"/>
  <c r="K133" i="7" s="1"/>
  <c r="L133" i="7" s="1"/>
  <c r="J134" i="7"/>
  <c r="K134" i="7" s="1"/>
  <c r="L134" i="7" s="1"/>
  <c r="J150" i="7"/>
  <c r="K150" i="7" s="1"/>
  <c r="L150" i="7" s="1"/>
  <c r="H36" i="11"/>
  <c r="I48" i="10"/>
  <c r="J48" i="10"/>
  <c r="G48" i="10"/>
  <c r="I92" i="2"/>
  <c r="J92" i="2" s="1"/>
  <c r="K92" i="2" s="1"/>
  <c r="I93" i="2"/>
  <c r="I95" i="2"/>
  <c r="J95" i="2" s="1"/>
  <c r="K95" i="2" s="1"/>
  <c r="I96" i="2"/>
  <c r="I108" i="2"/>
  <c r="I109" i="2"/>
  <c r="J109" i="2" s="1"/>
  <c r="K109" i="2" s="1"/>
  <c r="I105" i="2"/>
  <c r="J105" i="2" s="1"/>
  <c r="K105" i="2" s="1"/>
  <c r="I106" i="2"/>
  <c r="J106" i="2" s="1"/>
  <c r="K106" i="2" s="1"/>
  <c r="I121" i="2"/>
  <c r="J121" i="2" s="1"/>
  <c r="K121" i="2" s="1"/>
  <c r="I122" i="2"/>
  <c r="I118" i="2"/>
  <c r="J118" i="2" s="1"/>
  <c r="K118" i="2" s="1"/>
  <c r="I119" i="2"/>
  <c r="L185" i="19"/>
  <c r="L186" i="19" s="1"/>
  <c r="L187" i="19" s="1"/>
  <c r="J23" i="7"/>
  <c r="K23" i="7" s="1"/>
  <c r="L23" i="7" s="1"/>
  <c r="J45" i="7"/>
  <c r="H94" i="2"/>
  <c r="H97" i="2"/>
  <c r="H110" i="2"/>
  <c r="H107" i="2"/>
  <c r="H55" i="2" s="1"/>
  <c r="H123" i="2"/>
  <c r="H120" i="2"/>
  <c r="H56" i="2" s="1"/>
  <c r="H63" i="2" s="1"/>
  <c r="I65" i="3"/>
  <c r="J65" i="3"/>
  <c r="I76" i="3"/>
  <c r="I77" i="3"/>
  <c r="J77" i="3" s="1"/>
  <c r="I78" i="3"/>
  <c r="J78" i="3" s="1"/>
  <c r="K78" i="3" s="1"/>
  <c r="L78" i="3" s="1"/>
  <c r="I79" i="3"/>
  <c r="J79" i="3" s="1"/>
  <c r="K79" i="3" s="1"/>
  <c r="L79" i="3" s="1"/>
  <c r="I80" i="3"/>
  <c r="J80" i="3" s="1"/>
  <c r="K80" i="3" s="1"/>
  <c r="L80" i="3" s="1"/>
  <c r="I93" i="3"/>
  <c r="I94" i="3"/>
  <c r="I155" i="3" s="1"/>
  <c r="I95" i="3"/>
  <c r="J95" i="3" s="1"/>
  <c r="K95" i="3" s="1"/>
  <c r="L95" i="3" s="1"/>
  <c r="L156" i="3" s="1"/>
  <c r="I96" i="3"/>
  <c r="I100" i="3"/>
  <c r="J100" i="3" s="1"/>
  <c r="K100" i="3" s="1"/>
  <c r="L100" i="3" s="1"/>
  <c r="H35" i="11"/>
  <c r="K45" i="7"/>
  <c r="K65" i="3"/>
  <c r="L45" i="7"/>
  <c r="L65" i="3"/>
  <c r="I45" i="7"/>
  <c r="G107" i="2"/>
  <c r="G55" i="2" s="1"/>
  <c r="G62" i="2" s="1"/>
  <c r="G120" i="2"/>
  <c r="D46" i="19"/>
  <c r="D43" i="19"/>
  <c r="H102" i="3"/>
  <c r="F63" i="11" s="1"/>
  <c r="H105" i="7"/>
  <c r="H116" i="7" s="1"/>
  <c r="F25" i="11" s="1"/>
  <c r="AG17" i="6"/>
  <c r="AH17" i="6" s="1"/>
  <c r="AG18" i="6"/>
  <c r="AH18" i="6" s="1"/>
  <c r="AG19" i="6"/>
  <c r="AH19" i="6" s="1"/>
  <c r="AG20" i="6"/>
  <c r="AH20" i="6" s="1"/>
  <c r="AG21" i="6"/>
  <c r="AH21" i="6" s="1"/>
  <c r="AG22" i="6"/>
  <c r="AH22" i="6" s="1"/>
  <c r="AG23" i="6"/>
  <c r="AH23" i="6" s="1"/>
  <c r="AG24" i="6"/>
  <c r="AH24" i="6" s="1"/>
  <c r="AG25" i="6"/>
  <c r="AH25" i="6" s="1"/>
  <c r="AG26" i="6"/>
  <c r="AH26" i="6" s="1"/>
  <c r="AG27" i="6"/>
  <c r="AH27" i="6" s="1"/>
  <c r="AG28" i="6"/>
  <c r="AH28" i="6" s="1"/>
  <c r="AG29" i="6"/>
  <c r="AH29" i="6" s="1"/>
  <c r="AG30" i="6"/>
  <c r="AH30" i="6" s="1"/>
  <c r="AG31" i="6"/>
  <c r="AH31" i="6" s="1"/>
  <c r="AG32" i="6"/>
  <c r="AH32" i="6" s="1"/>
  <c r="AG33" i="6"/>
  <c r="AH33" i="6" s="1"/>
  <c r="AG34" i="6"/>
  <c r="AH34" i="6" s="1"/>
  <c r="AG35" i="6"/>
  <c r="AH35" i="6" s="1"/>
  <c r="G86" i="2"/>
  <c r="H86" i="2" s="1"/>
  <c r="I86" i="2" s="1"/>
  <c r="J86" i="2" s="1"/>
  <c r="K86" i="2" s="1"/>
  <c r="G99" i="2"/>
  <c r="H99" i="2" s="1"/>
  <c r="I99" i="2" s="1"/>
  <c r="J99" i="2" s="1"/>
  <c r="K99" i="2" s="1"/>
  <c r="G112" i="2"/>
  <c r="H112" i="2" s="1"/>
  <c r="I112" i="2" s="1"/>
  <c r="J112" i="2" s="1"/>
  <c r="K112" i="2" s="1"/>
  <c r="G125" i="2"/>
  <c r="H125" i="2" s="1"/>
  <c r="I125" i="2" s="1"/>
  <c r="J125" i="2" s="1"/>
  <c r="K125" i="2" s="1"/>
  <c r="G47" i="2"/>
  <c r="H17" i="7" s="1"/>
  <c r="G38" i="11"/>
  <c r="H19" i="12"/>
  <c r="H20" i="12"/>
  <c r="G23" i="13" s="1"/>
  <c r="H21" i="12"/>
  <c r="G24" i="13" s="1"/>
  <c r="G55" i="12"/>
  <c r="H16" i="12"/>
  <c r="I16" i="12" s="1"/>
  <c r="J16" i="12" s="1"/>
  <c r="K16" i="12" s="1"/>
  <c r="J38" i="13" s="1"/>
  <c r="G46" i="12"/>
  <c r="I176" i="7"/>
  <c r="J176" i="7"/>
  <c r="K176" i="7"/>
  <c r="L176" i="7"/>
  <c r="H176" i="7"/>
  <c r="F48" i="10"/>
  <c r="K183" i="19"/>
  <c r="K182" i="19"/>
  <c r="K180" i="19"/>
  <c r="G126" i="2"/>
  <c r="G113" i="2"/>
  <c r="G100" i="2"/>
  <c r="K19" i="2"/>
  <c r="K73" i="2" s="1"/>
  <c r="J19" i="2"/>
  <c r="J73" i="2" s="1"/>
  <c r="I19" i="2"/>
  <c r="I73" i="2" s="1"/>
  <c r="H19" i="2"/>
  <c r="H73" i="2" s="1"/>
  <c r="G20" i="2"/>
  <c r="G74" i="2" s="1"/>
  <c r="G19" i="2"/>
  <c r="G73" i="2" s="1"/>
  <c r="H126" i="2"/>
  <c r="H113" i="2"/>
  <c r="H100" i="2"/>
  <c r="F18" i="10"/>
  <c r="E100" i="4"/>
  <c r="G47" i="4"/>
  <c r="G71" i="4" s="1"/>
  <c r="G94" i="4" s="1"/>
  <c r="G116" i="4" s="1"/>
  <c r="D47" i="4"/>
  <c r="D71" i="4" s="1"/>
  <c r="D94" i="4" s="1"/>
  <c r="D116" i="4" s="1"/>
  <c r="G46" i="4"/>
  <c r="G70" i="4" s="1"/>
  <c r="G93" i="4" s="1"/>
  <c r="G115" i="4" s="1"/>
  <c r="D46" i="4"/>
  <c r="D70" i="4" s="1"/>
  <c r="D93" i="4" s="1"/>
  <c r="D115" i="4" s="1"/>
  <c r="G45" i="4"/>
  <c r="G69" i="4" s="1"/>
  <c r="G92" i="4" s="1"/>
  <c r="G114" i="4" s="1"/>
  <c r="D45" i="4"/>
  <c r="D69" i="4" s="1"/>
  <c r="D92" i="4" s="1"/>
  <c r="D114" i="4" s="1"/>
  <c r="G44" i="4"/>
  <c r="G68" i="4" s="1"/>
  <c r="G91" i="4" s="1"/>
  <c r="G113" i="4" s="1"/>
  <c r="D44" i="4"/>
  <c r="D68" i="4" s="1"/>
  <c r="D91" i="4" s="1"/>
  <c r="D113" i="4" s="1"/>
  <c r="G43" i="4"/>
  <c r="G67" i="4" s="1"/>
  <c r="G90" i="4" s="1"/>
  <c r="G112" i="4" s="1"/>
  <c r="D43" i="4"/>
  <c r="D67" i="4" s="1"/>
  <c r="D90" i="4" s="1"/>
  <c r="D112" i="4" s="1"/>
  <c r="G42" i="4"/>
  <c r="G66" i="4" s="1"/>
  <c r="G89" i="4" s="1"/>
  <c r="G111" i="4" s="1"/>
  <c r="D42" i="4"/>
  <c r="D66" i="4" s="1"/>
  <c r="D89" i="4" s="1"/>
  <c r="D111" i="4" s="1"/>
  <c r="G41" i="4"/>
  <c r="G65" i="4" s="1"/>
  <c r="G88" i="4" s="1"/>
  <c r="G110" i="4" s="1"/>
  <c r="D41" i="4"/>
  <c r="D65" i="4" s="1"/>
  <c r="D88" i="4" s="1"/>
  <c r="D110" i="4" s="1"/>
  <c r="G40" i="4"/>
  <c r="G64" i="4" s="1"/>
  <c r="G87" i="4" s="1"/>
  <c r="G109" i="4" s="1"/>
  <c r="D40" i="4"/>
  <c r="D64" i="4" s="1"/>
  <c r="D87" i="4" s="1"/>
  <c r="D109" i="4" s="1"/>
  <c r="G39" i="4"/>
  <c r="G63" i="4" s="1"/>
  <c r="G86" i="4" s="1"/>
  <c r="G108" i="4" s="1"/>
  <c r="D39" i="4"/>
  <c r="D63" i="4" s="1"/>
  <c r="D86" i="4" s="1"/>
  <c r="D108" i="4" s="1"/>
  <c r="G38" i="4"/>
  <c r="G62" i="4" s="1"/>
  <c r="G85" i="4" s="1"/>
  <c r="G107" i="4" s="1"/>
  <c r="D38" i="4"/>
  <c r="D62" i="4" s="1"/>
  <c r="D85" i="4" s="1"/>
  <c r="D107" i="4" s="1"/>
  <c r="J26" i="4"/>
  <c r="F59" i="14" s="1"/>
  <c r="E99" i="4"/>
  <c r="E137" i="6" s="1"/>
  <c r="E77" i="4"/>
  <c r="E54" i="4"/>
  <c r="E73" i="6" s="1"/>
  <c r="E30" i="4"/>
  <c r="E40" i="6" s="1"/>
  <c r="E8" i="4"/>
  <c r="E8" i="5" s="1"/>
  <c r="E8" i="6" s="1"/>
  <c r="D53" i="2"/>
  <c r="D60" i="2" s="1"/>
  <c r="D59" i="2"/>
  <c r="D56" i="2"/>
  <c r="D63" i="2" s="1"/>
  <c r="D55" i="2"/>
  <c r="D62" i="2" s="1"/>
  <c r="D54" i="2"/>
  <c r="D61" i="2" s="1"/>
  <c r="E37" i="19"/>
  <c r="E38" i="19"/>
  <c r="D37" i="19"/>
  <c r="D38" i="19"/>
  <c r="L87" i="9"/>
  <c r="O87" i="9" s="1"/>
  <c r="N87" i="9"/>
  <c r="M87" i="9"/>
  <c r="L16" i="9"/>
  <c r="O16" i="9" s="1"/>
  <c r="L17" i="9"/>
  <c r="O17" i="9" s="1"/>
  <c r="L18" i="9"/>
  <c r="O18" i="9" s="1"/>
  <c r="L19" i="9"/>
  <c r="O19" i="9" s="1"/>
  <c r="L20" i="9"/>
  <c r="O20" i="9" s="1"/>
  <c r="L21" i="9"/>
  <c r="O21" i="9" s="1"/>
  <c r="N21" i="9"/>
  <c r="L22" i="9"/>
  <c r="O22" i="9" s="1"/>
  <c r="N22" i="9"/>
  <c r="L23" i="9"/>
  <c r="O23" i="9" s="1"/>
  <c r="N23" i="9"/>
  <c r="L24" i="9"/>
  <c r="O24" i="9" s="1"/>
  <c r="N24" i="9"/>
  <c r="L25" i="9"/>
  <c r="O25" i="9" s="1"/>
  <c r="N25" i="9"/>
  <c r="L26" i="9"/>
  <c r="O26" i="9" s="1"/>
  <c r="N26" i="9"/>
  <c r="L27" i="9"/>
  <c r="O27" i="9" s="1"/>
  <c r="N27" i="9"/>
  <c r="L28" i="9"/>
  <c r="O28" i="9" s="1"/>
  <c r="N28" i="9"/>
  <c r="L29" i="9"/>
  <c r="O29" i="9" s="1"/>
  <c r="N29" i="9"/>
  <c r="L30" i="9"/>
  <c r="O30" i="9" s="1"/>
  <c r="N30" i="9"/>
  <c r="L31" i="9"/>
  <c r="O31" i="9" s="1"/>
  <c r="N31" i="9"/>
  <c r="L32" i="9"/>
  <c r="O32" i="9" s="1"/>
  <c r="N32" i="9"/>
  <c r="L33" i="9"/>
  <c r="O33" i="9" s="1"/>
  <c r="N33" i="9"/>
  <c r="L34" i="9"/>
  <c r="O34" i="9" s="1"/>
  <c r="N34" i="9"/>
  <c r="L35" i="9"/>
  <c r="O35" i="9" s="1"/>
  <c r="N35" i="9"/>
  <c r="L36" i="9"/>
  <c r="O36" i="9" s="1"/>
  <c r="N36" i="9"/>
  <c r="L37" i="9"/>
  <c r="O37" i="9" s="1"/>
  <c r="N37" i="9"/>
  <c r="L38" i="9"/>
  <c r="O38" i="9" s="1"/>
  <c r="N38" i="9"/>
  <c r="L39" i="9"/>
  <c r="O39" i="9" s="1"/>
  <c r="N39" i="9"/>
  <c r="L40" i="9"/>
  <c r="O40" i="9" s="1"/>
  <c r="N40" i="9"/>
  <c r="L41" i="9"/>
  <c r="O41" i="9" s="1"/>
  <c r="N41" i="9"/>
  <c r="L42" i="9"/>
  <c r="O42" i="9" s="1"/>
  <c r="N42" i="9"/>
  <c r="L43" i="9"/>
  <c r="O43" i="9" s="1"/>
  <c r="N43" i="9"/>
  <c r="L44" i="9"/>
  <c r="O44" i="9" s="1"/>
  <c r="N44" i="9"/>
  <c r="L45" i="9"/>
  <c r="O45" i="9" s="1"/>
  <c r="N45" i="9"/>
  <c r="L46" i="9"/>
  <c r="O46" i="9" s="1"/>
  <c r="N46" i="9"/>
  <c r="L47" i="9"/>
  <c r="O47" i="9" s="1"/>
  <c r="N47" i="9"/>
  <c r="L48" i="9"/>
  <c r="O48" i="9" s="1"/>
  <c r="N48" i="9"/>
  <c r="L49" i="9"/>
  <c r="O49" i="9" s="1"/>
  <c r="N49" i="9"/>
  <c r="L50" i="9"/>
  <c r="O50" i="9" s="1"/>
  <c r="N50" i="9"/>
  <c r="L51" i="9"/>
  <c r="O51" i="9" s="1"/>
  <c r="N51" i="9"/>
  <c r="L52" i="9"/>
  <c r="O52" i="9"/>
  <c r="N52" i="9"/>
  <c r="L53" i="9"/>
  <c r="O53" i="9" s="1"/>
  <c r="N53" i="9"/>
  <c r="L54" i="9"/>
  <c r="O54" i="9" s="1"/>
  <c r="N54" i="9"/>
  <c r="L55" i="9"/>
  <c r="O55" i="9" s="1"/>
  <c r="N55" i="9"/>
  <c r="L56" i="9"/>
  <c r="O56" i="9" s="1"/>
  <c r="N56" i="9"/>
  <c r="L57" i="9"/>
  <c r="O57" i="9" s="1"/>
  <c r="N57" i="9"/>
  <c r="L58" i="9"/>
  <c r="O58" i="9" s="1"/>
  <c r="N58" i="9"/>
  <c r="L59" i="9"/>
  <c r="O59" i="9" s="1"/>
  <c r="N59" i="9"/>
  <c r="L60" i="9"/>
  <c r="O60" i="9" s="1"/>
  <c r="N60" i="9"/>
  <c r="L61" i="9"/>
  <c r="O61" i="9" s="1"/>
  <c r="N61" i="9"/>
  <c r="L62" i="9"/>
  <c r="O62" i="9" s="1"/>
  <c r="N62" i="9"/>
  <c r="L63" i="9"/>
  <c r="O63" i="9" s="1"/>
  <c r="N63" i="9"/>
  <c r="L64" i="9"/>
  <c r="O64" i="9" s="1"/>
  <c r="N64" i="9"/>
  <c r="L65" i="9"/>
  <c r="O65" i="9" s="1"/>
  <c r="N65" i="9"/>
  <c r="L66" i="9"/>
  <c r="O66" i="9" s="1"/>
  <c r="N66" i="9"/>
  <c r="L67" i="9"/>
  <c r="O67" i="9" s="1"/>
  <c r="N67" i="9"/>
  <c r="L68" i="9"/>
  <c r="O68" i="9" s="1"/>
  <c r="N68" i="9"/>
  <c r="L69" i="9"/>
  <c r="O69" i="9" s="1"/>
  <c r="N69" i="9"/>
  <c r="L70" i="9"/>
  <c r="O70" i="9" s="1"/>
  <c r="N70" i="9"/>
  <c r="L71" i="9"/>
  <c r="O71" i="9" s="1"/>
  <c r="N71" i="9"/>
  <c r="L72" i="9"/>
  <c r="O72" i="9" s="1"/>
  <c r="N72" i="9"/>
  <c r="L73" i="9"/>
  <c r="O73" i="9" s="1"/>
  <c r="N73" i="9"/>
  <c r="L74" i="9"/>
  <c r="O74" i="9" s="1"/>
  <c r="N74" i="9"/>
  <c r="L75" i="9"/>
  <c r="O75" i="9" s="1"/>
  <c r="N75" i="9"/>
  <c r="L76" i="9"/>
  <c r="O76" i="9" s="1"/>
  <c r="N76" i="9"/>
  <c r="L77" i="9"/>
  <c r="O77" i="9" s="1"/>
  <c r="N77" i="9"/>
  <c r="L78" i="9"/>
  <c r="O78" i="9" s="1"/>
  <c r="N78" i="9"/>
  <c r="L79" i="9"/>
  <c r="O79" i="9" s="1"/>
  <c r="N79" i="9"/>
  <c r="L80" i="9"/>
  <c r="O80" i="9" s="1"/>
  <c r="N80" i="9"/>
  <c r="L81" i="9"/>
  <c r="O81" i="9" s="1"/>
  <c r="N81" i="9"/>
  <c r="L82" i="9"/>
  <c r="O82" i="9" s="1"/>
  <c r="N82" i="9"/>
  <c r="L83" i="9"/>
  <c r="O83" i="9" s="1"/>
  <c r="N83" i="9"/>
  <c r="L84" i="9"/>
  <c r="O84" i="9"/>
  <c r="N84" i="9"/>
  <c r="L85" i="9"/>
  <c r="O85" i="9" s="1"/>
  <c r="N85" i="9"/>
  <c r="L86" i="9"/>
  <c r="O86" i="9" s="1"/>
  <c r="N86" i="9"/>
  <c r="L88" i="9"/>
  <c r="O88" i="9" s="1"/>
  <c r="N88" i="9"/>
  <c r="L89" i="9"/>
  <c r="O89" i="9" s="1"/>
  <c r="N89" i="9"/>
  <c r="L90" i="9"/>
  <c r="O90" i="9" s="1"/>
  <c r="N90" i="9"/>
  <c r="L91" i="9"/>
  <c r="O91" i="9" s="1"/>
  <c r="N91" i="9"/>
  <c r="L92" i="9"/>
  <c r="O92" i="9" s="1"/>
  <c r="N92" i="9"/>
  <c r="L93" i="9"/>
  <c r="O93" i="9" s="1"/>
  <c r="N93" i="9"/>
  <c r="L94" i="9"/>
  <c r="O94" i="9" s="1"/>
  <c r="N94" i="9"/>
  <c r="L95" i="9"/>
  <c r="O95" i="9" s="1"/>
  <c r="N95" i="9"/>
  <c r="L96" i="9"/>
  <c r="O96" i="9" s="1"/>
  <c r="N96" i="9"/>
  <c r="L97" i="9"/>
  <c r="O97" i="9" s="1"/>
  <c r="N97" i="9"/>
  <c r="L98" i="9"/>
  <c r="O98" i="9" s="1"/>
  <c r="N98" i="9"/>
  <c r="L99" i="9"/>
  <c r="O99" i="9" s="1"/>
  <c r="N99" i="9"/>
  <c r="L100" i="9"/>
  <c r="O100" i="9" s="1"/>
  <c r="N100" i="9"/>
  <c r="L101" i="9"/>
  <c r="O101" i="9" s="1"/>
  <c r="N101" i="9"/>
  <c r="L102" i="9"/>
  <c r="O102" i="9" s="1"/>
  <c r="N102" i="9"/>
  <c r="L103" i="9"/>
  <c r="O103" i="9" s="1"/>
  <c r="N103" i="9"/>
  <c r="L104" i="9"/>
  <c r="O104" i="9" s="1"/>
  <c r="N104" i="9"/>
  <c r="L105" i="9"/>
  <c r="O105" i="9" s="1"/>
  <c r="N105" i="9"/>
  <c r="L106" i="9"/>
  <c r="O106" i="9" s="1"/>
  <c r="N106" i="9"/>
  <c r="L107" i="9"/>
  <c r="O107" i="9" s="1"/>
  <c r="N107" i="9"/>
  <c r="L108" i="9"/>
  <c r="O108" i="9" s="1"/>
  <c r="N108" i="9"/>
  <c r="L109" i="9"/>
  <c r="O109" i="9" s="1"/>
  <c r="N109" i="9"/>
  <c r="L110" i="9"/>
  <c r="O110" i="9" s="1"/>
  <c r="N110" i="9"/>
  <c r="L111" i="9"/>
  <c r="O111" i="9" s="1"/>
  <c r="N111" i="9"/>
  <c r="L112" i="9"/>
  <c r="O112" i="9" s="1"/>
  <c r="N112" i="9"/>
  <c r="L113" i="9"/>
  <c r="O113" i="9" s="1"/>
  <c r="N113" i="9"/>
  <c r="L114" i="9"/>
  <c r="O114" i="9" s="1"/>
  <c r="N114" i="9"/>
  <c r="L115" i="9"/>
  <c r="O115" i="9" s="1"/>
  <c r="N115" i="9"/>
  <c r="L116" i="9"/>
  <c r="O116" i="9" s="1"/>
  <c r="N116" i="9"/>
  <c r="L117" i="9"/>
  <c r="O117" i="9" s="1"/>
  <c r="N117" i="9"/>
  <c r="L118" i="9"/>
  <c r="O118" i="9" s="1"/>
  <c r="N118" i="9"/>
  <c r="L119" i="9"/>
  <c r="O119" i="9" s="1"/>
  <c r="N119" i="9"/>
  <c r="L120" i="9"/>
  <c r="O120" i="9" s="1"/>
  <c r="N120" i="9"/>
  <c r="L121" i="9"/>
  <c r="O121" i="9" s="1"/>
  <c r="N121" i="9"/>
  <c r="L122" i="9"/>
  <c r="O122" i="9" s="1"/>
  <c r="N122" i="9"/>
  <c r="L123" i="9"/>
  <c r="O123" i="9" s="1"/>
  <c r="N123" i="9"/>
  <c r="L124" i="9"/>
  <c r="O124" i="9" s="1"/>
  <c r="N124" i="9"/>
  <c r="L125" i="9"/>
  <c r="O125" i="9" s="1"/>
  <c r="N125" i="9"/>
  <c r="L126" i="9"/>
  <c r="O126" i="9" s="1"/>
  <c r="N126" i="9"/>
  <c r="L199" i="9"/>
  <c r="O199" i="9" s="1"/>
  <c r="N199" i="9"/>
  <c r="L200" i="9"/>
  <c r="O200" i="9" s="1"/>
  <c r="N200" i="9"/>
  <c r="L201" i="9"/>
  <c r="O201" i="9" s="1"/>
  <c r="N201" i="9"/>
  <c r="L202" i="9"/>
  <c r="O202" i="9" s="1"/>
  <c r="N202" i="9"/>
  <c r="L203" i="9"/>
  <c r="O203" i="9" s="1"/>
  <c r="N203" i="9"/>
  <c r="L204" i="9"/>
  <c r="O204" i="9" s="1"/>
  <c r="N204" i="9"/>
  <c r="L205" i="9"/>
  <c r="O205" i="9" s="1"/>
  <c r="N205" i="9"/>
  <c r="L206" i="9"/>
  <c r="O206" i="9" s="1"/>
  <c r="N206" i="9"/>
  <c r="L207" i="9"/>
  <c r="O207" i="9" s="1"/>
  <c r="N207" i="9"/>
  <c r="L208" i="9"/>
  <c r="O208" i="9" s="1"/>
  <c r="N208" i="9"/>
  <c r="L209" i="9"/>
  <c r="O209" i="9" s="1"/>
  <c r="N209" i="9"/>
  <c r="L210" i="9"/>
  <c r="O210" i="9" s="1"/>
  <c r="N210" i="9"/>
  <c r="L211" i="9"/>
  <c r="O211" i="9" s="1"/>
  <c r="N211" i="9"/>
  <c r="L212" i="9"/>
  <c r="O212" i="9" s="1"/>
  <c r="N212" i="9"/>
  <c r="L213" i="9"/>
  <c r="O213" i="9" s="1"/>
  <c r="N213" i="9"/>
  <c r="M86" i="9"/>
  <c r="M92" i="9"/>
  <c r="M85" i="9"/>
  <c r="M84" i="9"/>
  <c r="M83" i="9"/>
  <c r="M82" i="9"/>
  <c r="M81" i="9"/>
  <c r="M213" i="9"/>
  <c r="M212" i="9"/>
  <c r="M211" i="9"/>
  <c r="M210" i="9"/>
  <c r="M209" i="9"/>
  <c r="M208" i="9"/>
  <c r="M207" i="9"/>
  <c r="M206" i="9"/>
  <c r="M205" i="9"/>
  <c r="M204" i="9"/>
  <c r="M203" i="9"/>
  <c r="M202" i="9"/>
  <c r="M201" i="9"/>
  <c r="M200" i="9"/>
  <c r="M199" i="9"/>
  <c r="M126" i="9"/>
  <c r="M125" i="9"/>
  <c r="M124" i="9"/>
  <c r="M123" i="9"/>
  <c r="M122" i="9"/>
  <c r="M121" i="9"/>
  <c r="M120" i="9"/>
  <c r="M119" i="9"/>
  <c r="M118" i="9"/>
  <c r="M117" i="9"/>
  <c r="M116" i="9"/>
  <c r="M115" i="9"/>
  <c r="M114" i="9"/>
  <c r="M113" i="9"/>
  <c r="M112" i="9"/>
  <c r="M111" i="9"/>
  <c r="M110" i="9"/>
  <c r="M109" i="9"/>
  <c r="M108" i="9"/>
  <c r="M107" i="9"/>
  <c r="M106" i="9"/>
  <c r="M105" i="9"/>
  <c r="M104" i="9"/>
  <c r="M103" i="9"/>
  <c r="M102" i="9"/>
  <c r="M101" i="9"/>
  <c r="M100" i="9"/>
  <c r="M99" i="9"/>
  <c r="M98" i="9"/>
  <c r="M97" i="9"/>
  <c r="M96" i="9"/>
  <c r="M95" i="9"/>
  <c r="M66" i="9"/>
  <c r="M94" i="9"/>
  <c r="M93" i="9"/>
  <c r="M91" i="9"/>
  <c r="M90" i="9"/>
  <c r="M89" i="9"/>
  <c r="M88" i="9"/>
  <c r="M80" i="9"/>
  <c r="M79" i="9"/>
  <c r="M78" i="9"/>
  <c r="M77" i="9"/>
  <c r="M76" i="9"/>
  <c r="M75" i="9"/>
  <c r="M74" i="9"/>
  <c r="M73" i="9"/>
  <c r="M72" i="9"/>
  <c r="M71" i="9"/>
  <c r="M70" i="9"/>
  <c r="M69" i="9"/>
  <c r="M68" i="9"/>
  <c r="M67" i="9"/>
  <c r="M65" i="9"/>
  <c r="M64" i="9"/>
  <c r="M63" i="9"/>
  <c r="M62" i="9"/>
  <c r="M61" i="9"/>
  <c r="M60" i="9"/>
  <c r="M59" i="9"/>
  <c r="M58" i="9"/>
  <c r="M57" i="9"/>
  <c r="M56" i="9"/>
  <c r="M55" i="9"/>
  <c r="M54" i="9"/>
  <c r="M53" i="9"/>
  <c r="M52" i="9"/>
  <c r="M51" i="9"/>
  <c r="M50" i="9"/>
  <c r="M49" i="9"/>
  <c r="M48" i="9"/>
  <c r="M47" i="9"/>
  <c r="M46" i="9"/>
  <c r="M45" i="9"/>
  <c r="M44" i="9"/>
  <c r="M43" i="9"/>
  <c r="M42" i="9"/>
  <c r="M41" i="9"/>
  <c r="M40" i="9"/>
  <c r="M39" i="9"/>
  <c r="M38" i="9"/>
  <c r="M37" i="9"/>
  <c r="M36" i="9"/>
  <c r="M35" i="9"/>
  <c r="M34" i="9"/>
  <c r="M33" i="9"/>
  <c r="M32" i="9"/>
  <c r="M31" i="9"/>
  <c r="M30" i="9"/>
  <c r="M29" i="9"/>
  <c r="M28" i="9"/>
  <c r="M27" i="9"/>
  <c r="M26" i="9"/>
  <c r="M25" i="9"/>
  <c r="M24" i="9"/>
  <c r="M23" i="9"/>
  <c r="M22" i="9"/>
  <c r="M21" i="9"/>
  <c r="M20" i="9"/>
  <c r="M19" i="9"/>
  <c r="M18" i="9"/>
  <c r="M17" i="9"/>
  <c r="M16" i="9"/>
  <c r="M15" i="9"/>
  <c r="J36" i="6"/>
  <c r="F61" i="14" s="1"/>
  <c r="N36" i="6"/>
  <c r="D138" i="5"/>
  <c r="D206" i="5" s="1"/>
  <c r="D273" i="5" s="1"/>
  <c r="D340" i="5" s="1"/>
  <c r="D137" i="5"/>
  <c r="D205" i="5" s="1"/>
  <c r="D272" i="5" s="1"/>
  <c r="D339" i="5" s="1"/>
  <c r="D136" i="5"/>
  <c r="D204" i="5" s="1"/>
  <c r="D271" i="5" s="1"/>
  <c r="D338" i="5" s="1"/>
  <c r="D135" i="5"/>
  <c r="D203" i="5" s="1"/>
  <c r="D270" i="5" s="1"/>
  <c r="D337" i="5" s="1"/>
  <c r="D134" i="5"/>
  <c r="D202" i="5" s="1"/>
  <c r="D269" i="5" s="1"/>
  <c r="D336" i="5" s="1"/>
  <c r="D133" i="5"/>
  <c r="D201" i="5" s="1"/>
  <c r="D268" i="5" s="1"/>
  <c r="D335" i="5" s="1"/>
  <c r="D132" i="5"/>
  <c r="D200" i="5" s="1"/>
  <c r="D267" i="5" s="1"/>
  <c r="D334" i="5" s="1"/>
  <c r="D131" i="5"/>
  <c r="D199" i="5" s="1"/>
  <c r="D266" i="5" s="1"/>
  <c r="D333" i="5" s="1"/>
  <c r="D130" i="5"/>
  <c r="D198" i="5" s="1"/>
  <c r="D265" i="5" s="1"/>
  <c r="D332" i="5" s="1"/>
  <c r="D129" i="5"/>
  <c r="D197" i="5" s="1"/>
  <c r="D264" i="5" s="1"/>
  <c r="D331" i="5" s="1"/>
  <c r="D128" i="5"/>
  <c r="D196" i="5" s="1"/>
  <c r="D263" i="5" s="1"/>
  <c r="D330" i="5" s="1"/>
  <c r="D127" i="5"/>
  <c r="D195" i="5" s="1"/>
  <c r="D262" i="5" s="1"/>
  <c r="D329" i="5" s="1"/>
  <c r="D126" i="5"/>
  <c r="D194" i="5" s="1"/>
  <c r="D261" i="5" s="1"/>
  <c r="D328" i="5" s="1"/>
  <c r="D125" i="5"/>
  <c r="D193" i="5" s="1"/>
  <c r="D260" i="5" s="1"/>
  <c r="D327" i="5" s="1"/>
  <c r="D124" i="5"/>
  <c r="D192" i="5" s="1"/>
  <c r="D259" i="5" s="1"/>
  <c r="D326" i="5" s="1"/>
  <c r="D123" i="5"/>
  <c r="D191" i="5" s="1"/>
  <c r="D258" i="5" s="1"/>
  <c r="D325" i="5" s="1"/>
  <c r="D122" i="5"/>
  <c r="D190" i="5" s="1"/>
  <c r="D257" i="5" s="1"/>
  <c r="D324" i="5" s="1"/>
  <c r="D121" i="5"/>
  <c r="D189" i="5" s="1"/>
  <c r="D256" i="5" s="1"/>
  <c r="D323" i="5" s="1"/>
  <c r="D120" i="5"/>
  <c r="D188" i="5" s="1"/>
  <c r="D255" i="5" s="1"/>
  <c r="D322" i="5" s="1"/>
  <c r="D119" i="5"/>
  <c r="D187" i="5" s="1"/>
  <c r="D254" i="5" s="1"/>
  <c r="D321" i="5" s="1"/>
  <c r="D118" i="5"/>
  <c r="D186" i="5" s="1"/>
  <c r="D253" i="5" s="1"/>
  <c r="D320" i="5" s="1"/>
  <c r="D117" i="5"/>
  <c r="D185" i="5" s="1"/>
  <c r="D252" i="5" s="1"/>
  <c r="D319" i="5" s="1"/>
  <c r="D116" i="5"/>
  <c r="D184" i="5" s="1"/>
  <c r="D251" i="5" s="1"/>
  <c r="D318" i="5" s="1"/>
  <c r="D115" i="5"/>
  <c r="D183" i="5" s="1"/>
  <c r="D250" i="5" s="1"/>
  <c r="D317" i="5" s="1"/>
  <c r="D114" i="5"/>
  <c r="D182" i="5" s="1"/>
  <c r="D249" i="5" s="1"/>
  <c r="D316" i="5" s="1"/>
  <c r="D113" i="5"/>
  <c r="D181" i="5" s="1"/>
  <c r="D248" i="5" s="1"/>
  <c r="D315" i="5" s="1"/>
  <c r="D112" i="5"/>
  <c r="D180" i="5" s="1"/>
  <c r="D247" i="5" s="1"/>
  <c r="D314" i="5" s="1"/>
  <c r="D111" i="5"/>
  <c r="D179" i="5" s="1"/>
  <c r="D246" i="5" s="1"/>
  <c r="D313" i="5" s="1"/>
  <c r="D110" i="5"/>
  <c r="D178" i="5" s="1"/>
  <c r="D245" i="5" s="1"/>
  <c r="D312" i="5" s="1"/>
  <c r="D109" i="5"/>
  <c r="D177" i="5" s="1"/>
  <c r="D244" i="5" s="1"/>
  <c r="D311" i="5" s="1"/>
  <c r="D108" i="5"/>
  <c r="D176" i="5" s="1"/>
  <c r="D243" i="5" s="1"/>
  <c r="D310" i="5" s="1"/>
  <c r="D107" i="5"/>
  <c r="D175" i="5" s="1"/>
  <c r="D242" i="5" s="1"/>
  <c r="D309" i="5" s="1"/>
  <c r="D106" i="5"/>
  <c r="D174" i="5" s="1"/>
  <c r="D241" i="5" s="1"/>
  <c r="D308" i="5" s="1"/>
  <c r="D105" i="5"/>
  <c r="D173" i="5" s="1"/>
  <c r="D240" i="5" s="1"/>
  <c r="D307" i="5" s="1"/>
  <c r="D104" i="5"/>
  <c r="D172" i="5" s="1"/>
  <c r="D239" i="5" s="1"/>
  <c r="D306" i="5" s="1"/>
  <c r="D103" i="5"/>
  <c r="D171" i="5" s="1"/>
  <c r="D238" i="5" s="1"/>
  <c r="D305" i="5" s="1"/>
  <c r="D102" i="5"/>
  <c r="D170" i="5" s="1"/>
  <c r="D237" i="5" s="1"/>
  <c r="D304" i="5" s="1"/>
  <c r="D101" i="5"/>
  <c r="D169" i="5" s="1"/>
  <c r="D236" i="5" s="1"/>
  <c r="D303" i="5" s="1"/>
  <c r="D100" i="5"/>
  <c r="D168" i="5" s="1"/>
  <c r="D235" i="5" s="1"/>
  <c r="D302" i="5" s="1"/>
  <c r="D99" i="5"/>
  <c r="D167" i="5" s="1"/>
  <c r="D234" i="5" s="1"/>
  <c r="D301" i="5" s="1"/>
  <c r="D98" i="5"/>
  <c r="D166" i="5" s="1"/>
  <c r="D233" i="5" s="1"/>
  <c r="D300" i="5" s="1"/>
  <c r="D97" i="5"/>
  <c r="D165" i="5" s="1"/>
  <c r="D232" i="5" s="1"/>
  <c r="D299" i="5" s="1"/>
  <c r="D96" i="5"/>
  <c r="D164" i="5" s="1"/>
  <c r="D231" i="5" s="1"/>
  <c r="D298" i="5" s="1"/>
  <c r="D95" i="5"/>
  <c r="D163" i="5" s="1"/>
  <c r="D230" i="5" s="1"/>
  <c r="D297" i="5" s="1"/>
  <c r="D94" i="5"/>
  <c r="D162" i="5" s="1"/>
  <c r="D229" i="5" s="1"/>
  <c r="D296" i="5" s="1"/>
  <c r="D93" i="5"/>
  <c r="D161" i="5" s="1"/>
  <c r="D228" i="5" s="1"/>
  <c r="D295" i="5" s="1"/>
  <c r="D92" i="5"/>
  <c r="D160" i="5" s="1"/>
  <c r="D227" i="5" s="1"/>
  <c r="D294" i="5" s="1"/>
  <c r="D91" i="5"/>
  <c r="D159" i="5" s="1"/>
  <c r="D226" i="5" s="1"/>
  <c r="D293" i="5" s="1"/>
  <c r="D90" i="5"/>
  <c r="D158" i="5" s="1"/>
  <c r="D225" i="5" s="1"/>
  <c r="D292" i="5" s="1"/>
  <c r="D89" i="5"/>
  <c r="D157" i="5" s="1"/>
  <c r="D224" i="5" s="1"/>
  <c r="D291" i="5" s="1"/>
  <c r="D88" i="5"/>
  <c r="D156" i="5" s="1"/>
  <c r="D223" i="5" s="1"/>
  <c r="D290" i="5" s="1"/>
  <c r="D87" i="5"/>
  <c r="D155" i="5" s="1"/>
  <c r="D222" i="5" s="1"/>
  <c r="D289" i="5" s="1"/>
  <c r="D86" i="5"/>
  <c r="D154" i="5" s="1"/>
  <c r="D221" i="5" s="1"/>
  <c r="D288" i="5" s="1"/>
  <c r="D85" i="5"/>
  <c r="D153" i="5" s="1"/>
  <c r="D220" i="5" s="1"/>
  <c r="D287" i="5" s="1"/>
  <c r="D84" i="5"/>
  <c r="D152" i="5" s="1"/>
  <c r="D219" i="5" s="1"/>
  <c r="D286" i="5" s="1"/>
  <c r="AI70" i="5"/>
  <c r="AI69" i="5"/>
  <c r="AI68" i="5"/>
  <c r="AI67" i="5"/>
  <c r="AI66" i="5"/>
  <c r="AI65" i="5"/>
  <c r="AI64" i="5"/>
  <c r="AI63" i="5"/>
  <c r="AI62" i="5"/>
  <c r="AI61" i="5"/>
  <c r="AI60" i="5"/>
  <c r="AI59" i="5"/>
  <c r="AI58" i="5"/>
  <c r="AI57" i="5"/>
  <c r="AI56" i="5"/>
  <c r="AI55" i="5"/>
  <c r="AI54" i="5"/>
  <c r="AI53" i="5"/>
  <c r="AI52" i="5"/>
  <c r="AI51" i="5"/>
  <c r="AI50" i="5"/>
  <c r="AI49" i="5"/>
  <c r="AI48" i="5"/>
  <c r="AI47" i="5"/>
  <c r="AI46" i="5"/>
  <c r="AI45" i="5"/>
  <c r="AI44" i="5"/>
  <c r="AI43" i="5"/>
  <c r="AI42" i="5"/>
  <c r="AI41" i="5"/>
  <c r="AI40" i="5"/>
  <c r="AI39" i="5"/>
  <c r="AI38" i="5"/>
  <c r="AI37" i="5"/>
  <c r="AI36" i="5"/>
  <c r="AI35" i="5"/>
  <c r="AI34" i="5"/>
  <c r="AI33" i="5"/>
  <c r="AI31" i="5"/>
  <c r="J71" i="5"/>
  <c r="F60" i="14" s="1"/>
  <c r="L8" i="3"/>
  <c r="L88" i="3" s="1"/>
  <c r="K8" i="3"/>
  <c r="K88" i="3" s="1"/>
  <c r="J8" i="3"/>
  <c r="J88" i="3" s="1"/>
  <c r="I8" i="3"/>
  <c r="I88" i="3" s="1"/>
  <c r="H8" i="3"/>
  <c r="H88" i="3" s="1"/>
  <c r="H9" i="3"/>
  <c r="I65" i="16"/>
  <c r="H65" i="16"/>
  <c r="G65" i="16"/>
  <c r="F65" i="16"/>
  <c r="F32" i="16"/>
  <c r="I24" i="16"/>
  <c r="H24" i="16"/>
  <c r="G24" i="16"/>
  <c r="F24" i="16"/>
  <c r="F42" i="16"/>
  <c r="F41" i="16"/>
  <c r="F21" i="16"/>
  <c r="F19" i="16"/>
  <c r="F20" i="16"/>
  <c r="F33" i="16"/>
  <c r="G41" i="16"/>
  <c r="J96" i="2"/>
  <c r="K96" i="2" s="1"/>
  <c r="E43" i="19"/>
  <c r="I25" i="3"/>
  <c r="G37" i="13"/>
  <c r="E33" i="19"/>
  <c r="E35" i="19"/>
  <c r="E39" i="19"/>
  <c r="E31" i="19"/>
  <c r="E41" i="19"/>
  <c r="E36" i="19"/>
  <c r="E40" i="19"/>
  <c r="E32" i="19"/>
  <c r="E42" i="19"/>
  <c r="E34" i="19"/>
  <c r="E44" i="19"/>
  <c r="N19" i="9"/>
  <c r="N17" i="9"/>
  <c r="N20" i="9"/>
  <c r="N18" i="9"/>
  <c r="N16" i="9"/>
  <c r="H8" i="7"/>
  <c r="F8" i="10"/>
  <c r="G8" i="10" s="1"/>
  <c r="H8" i="10" s="1"/>
  <c r="I8" i="10" s="1"/>
  <c r="J8" i="10" s="1"/>
  <c r="P9" i="9"/>
  <c r="R8" i="9" s="1"/>
  <c r="F13" i="8"/>
  <c r="G13" i="8" s="1"/>
  <c r="H13" i="8" s="1"/>
  <c r="I13" i="8" s="1"/>
  <c r="J13" i="8" s="1"/>
  <c r="K13" i="8" s="1"/>
  <c r="L13" i="8" s="1"/>
  <c r="M13" i="8" s="1"/>
  <c r="N13" i="8" s="1"/>
  <c r="O13" i="8" s="1"/>
  <c r="F23" i="8" s="1"/>
  <c r="G23" i="8" s="1"/>
  <c r="H23" i="8" s="1"/>
  <c r="I23" i="8" s="1"/>
  <c r="J23" i="8" s="1"/>
  <c r="K23" i="8" s="1"/>
  <c r="L23" i="8" s="1"/>
  <c r="M23" i="8" s="1"/>
  <c r="N23" i="8" s="1"/>
  <c r="O23" i="8" s="1"/>
  <c r="H20" i="2"/>
  <c r="H74" i="2" s="1"/>
  <c r="I9" i="3"/>
  <c r="D163" i="19"/>
  <c r="I163" i="19" s="1"/>
  <c r="G101" i="2"/>
  <c r="G98" i="2" s="1"/>
  <c r="F36" i="10"/>
  <c r="H94" i="7" s="1"/>
  <c r="F34" i="10"/>
  <c r="H92" i="7" s="1"/>
  <c r="F39" i="10"/>
  <c r="H97" i="7" s="1"/>
  <c r="F35" i="10"/>
  <c r="H93" i="7" s="1"/>
  <c r="F25" i="10"/>
  <c r="F28" i="10"/>
  <c r="F23" i="10"/>
  <c r="F24" i="10"/>
  <c r="I36" i="10"/>
  <c r="K94" i="7" s="1"/>
  <c r="I34" i="10"/>
  <c r="K92" i="7" s="1"/>
  <c r="I39" i="10"/>
  <c r="K97" i="7" s="1"/>
  <c r="I35" i="10"/>
  <c r="K93" i="7" s="1"/>
  <c r="G35" i="10"/>
  <c r="I93" i="7" s="1"/>
  <c r="G34" i="10"/>
  <c r="I92" i="7" s="1"/>
  <c r="G39" i="10"/>
  <c r="I97" i="7" s="1"/>
  <c r="G36" i="10"/>
  <c r="I94" i="7" s="1"/>
  <c r="H36" i="10"/>
  <c r="J94" i="7" s="1"/>
  <c r="H34" i="10"/>
  <c r="J92" i="7" s="1"/>
  <c r="H39" i="10"/>
  <c r="J97" i="7" s="1"/>
  <c r="H35" i="10"/>
  <c r="J93" i="7" s="1"/>
  <c r="J35" i="10"/>
  <c r="L93" i="7" s="1"/>
  <c r="J36" i="10"/>
  <c r="L94" i="7" s="1"/>
  <c r="J39" i="10"/>
  <c r="L97" i="7" s="1"/>
  <c r="J34" i="10"/>
  <c r="L92" i="7" s="1"/>
  <c r="G28" i="10"/>
  <c r="G23" i="10"/>
  <c r="G24" i="10"/>
  <c r="G25" i="10"/>
  <c r="H25" i="10"/>
  <c r="H28" i="10"/>
  <c r="H23" i="10"/>
  <c r="H24" i="10"/>
  <c r="I25" i="10"/>
  <c r="I24" i="10"/>
  <c r="I28" i="10"/>
  <c r="I23" i="10"/>
  <c r="J28" i="10"/>
  <c r="J24" i="10"/>
  <c r="J25" i="10"/>
  <c r="J23" i="10"/>
  <c r="G233" i="5"/>
  <c r="G300" i="5" s="1"/>
  <c r="AI300" i="5" s="1"/>
  <c r="AI166" i="5"/>
  <c r="E46" i="19"/>
  <c r="H79" i="2"/>
  <c r="G82" i="2"/>
  <c r="G83" i="2"/>
  <c r="G230" i="5"/>
  <c r="G297" i="5" s="1"/>
  <c r="AI297" i="5" s="1"/>
  <c r="AI163" i="5"/>
  <c r="J41" i="12"/>
  <c r="K41" i="12" s="1"/>
  <c r="J49" i="12"/>
  <c r="K49" i="12" s="1"/>
  <c r="K68" i="7"/>
  <c r="H181" i="7"/>
  <c r="G162" i="5"/>
  <c r="AI162" i="5" s="1"/>
  <c r="AI94" i="5"/>
  <c r="AI91" i="5"/>
  <c r="G159" i="5"/>
  <c r="AI159" i="5" s="1"/>
  <c r="AI154" i="5"/>
  <c r="G221" i="5"/>
  <c r="AI221" i="5" s="1"/>
  <c r="AI87" i="5"/>
  <c r="G155" i="5"/>
  <c r="AI155" i="5" s="1"/>
  <c r="J76" i="3"/>
  <c r="K76" i="3" s="1"/>
  <c r="L76" i="3" s="1"/>
  <c r="G54" i="2"/>
  <c r="G61" i="2" s="1"/>
  <c r="G79" i="2"/>
  <c r="H25" i="3"/>
  <c r="G80" i="2"/>
  <c r="I100" i="2"/>
  <c r="H26" i="3"/>
  <c r="H83" i="2"/>
  <c r="I30" i="2"/>
  <c r="I27" i="2"/>
  <c r="I38" i="13"/>
  <c r="H37" i="10"/>
  <c r="J95" i="7" s="1"/>
  <c r="I84" i="5" l="1"/>
  <c r="O84" i="5" s="1"/>
  <c r="G219" i="5"/>
  <c r="AI152" i="5"/>
  <c r="AJ152" i="5" s="1"/>
  <c r="AK152" i="5" s="1"/>
  <c r="AL152" i="5" s="1"/>
  <c r="H71" i="4"/>
  <c r="AF71" i="4" s="1"/>
  <c r="AF47" i="4"/>
  <c r="H69" i="4"/>
  <c r="AF69" i="4" s="1"/>
  <c r="AF45" i="4"/>
  <c r="H62" i="4"/>
  <c r="AF62" i="4" s="1"/>
  <c r="AF38" i="4"/>
  <c r="H70" i="4"/>
  <c r="AF70" i="4" s="1"/>
  <c r="AF46" i="4"/>
  <c r="R46" i="4"/>
  <c r="I46" i="4"/>
  <c r="Y46" i="4" s="1"/>
  <c r="N46" i="4"/>
  <c r="AD46" i="4" s="1"/>
  <c r="S46" i="4"/>
  <c r="P46" i="4"/>
  <c r="T46" i="4"/>
  <c r="R44" i="4"/>
  <c r="I44" i="4"/>
  <c r="Y44" i="4" s="1"/>
  <c r="N44" i="4"/>
  <c r="AD44" i="4" s="1"/>
  <c r="P44" i="4"/>
  <c r="S44" i="4"/>
  <c r="T44" i="4"/>
  <c r="R42" i="4"/>
  <c r="I42" i="4"/>
  <c r="Y42" i="4" s="1"/>
  <c r="N42" i="4"/>
  <c r="AD42" i="4" s="1"/>
  <c r="P42" i="4"/>
  <c r="S42" i="4"/>
  <c r="T42" i="4"/>
  <c r="R40" i="4"/>
  <c r="I40" i="4"/>
  <c r="Y40" i="4" s="1"/>
  <c r="N40" i="4"/>
  <c r="AD40" i="4" s="1"/>
  <c r="P40" i="4"/>
  <c r="S40" i="4"/>
  <c r="T40" i="4"/>
  <c r="R47" i="4"/>
  <c r="I47" i="4"/>
  <c r="Y47" i="4" s="1"/>
  <c r="N47" i="4"/>
  <c r="AD47" i="4" s="1"/>
  <c r="S47" i="4"/>
  <c r="T47" i="4"/>
  <c r="P47" i="4"/>
  <c r="R45" i="4"/>
  <c r="I45" i="4"/>
  <c r="Y45" i="4" s="1"/>
  <c r="N45" i="4"/>
  <c r="AD45" i="4" s="1"/>
  <c r="S45" i="4"/>
  <c r="P45" i="4"/>
  <c r="T45" i="4"/>
  <c r="R43" i="4"/>
  <c r="I43" i="4"/>
  <c r="Y43" i="4" s="1"/>
  <c r="N43" i="4"/>
  <c r="AD43" i="4" s="1"/>
  <c r="T43" i="4"/>
  <c r="S43" i="4"/>
  <c r="P43" i="4"/>
  <c r="R41" i="4"/>
  <c r="I41" i="4"/>
  <c r="Y41" i="4" s="1"/>
  <c r="N41" i="4"/>
  <c r="AD41" i="4" s="1"/>
  <c r="T41" i="4"/>
  <c r="S41" i="4"/>
  <c r="P41" i="4"/>
  <c r="R39" i="4"/>
  <c r="I39" i="4"/>
  <c r="Y39" i="4" s="1"/>
  <c r="N39" i="4"/>
  <c r="AD39" i="4" s="1"/>
  <c r="T39" i="4"/>
  <c r="P39" i="4"/>
  <c r="S39" i="4"/>
  <c r="G81" i="2"/>
  <c r="G220" i="5"/>
  <c r="G287" i="5" s="1"/>
  <c r="AI287" i="5" s="1"/>
  <c r="AK153" i="5"/>
  <c r="AL153" i="5" s="1"/>
  <c r="AI153" i="5"/>
  <c r="AJ153" i="5" s="1"/>
  <c r="I85" i="5"/>
  <c r="Y85" i="5" s="1"/>
  <c r="O85" i="5"/>
  <c r="AD85" i="5" s="1"/>
  <c r="N85" i="5"/>
  <c r="I86" i="5"/>
  <c r="Y86" i="5" s="1"/>
  <c r="O86" i="5"/>
  <c r="N86" i="5"/>
  <c r="P86" i="5"/>
  <c r="S86" i="5"/>
  <c r="R86" i="5"/>
  <c r="T86" i="5"/>
  <c r="I48" i="6"/>
  <c r="Y48" i="6" s="1"/>
  <c r="N48" i="6"/>
  <c r="AD48" i="6" s="1"/>
  <c r="P48" i="6"/>
  <c r="I38" i="4"/>
  <c r="Y38" i="4" s="1"/>
  <c r="N38" i="4"/>
  <c r="AD38" i="4" s="1"/>
  <c r="N84" i="5"/>
  <c r="J99" i="6"/>
  <c r="J131" i="6" s="1"/>
  <c r="AG63" i="6"/>
  <c r="AH63" i="6" s="1"/>
  <c r="J88" i="6"/>
  <c r="AB16" i="5"/>
  <c r="R16" i="5" s="1"/>
  <c r="F92" i="6"/>
  <c r="F124" i="6" s="1"/>
  <c r="F156" i="6" s="1"/>
  <c r="AG156" i="6" s="1"/>
  <c r="AH156" i="6" s="1"/>
  <c r="F84" i="6"/>
  <c r="F116" i="6" s="1"/>
  <c r="J100" i="6"/>
  <c r="J206" i="5"/>
  <c r="J202" i="5"/>
  <c r="J198" i="5"/>
  <c r="J194" i="5"/>
  <c r="J190" i="5"/>
  <c r="J186" i="5"/>
  <c r="J182" i="5"/>
  <c r="J178" i="5"/>
  <c r="J174" i="5"/>
  <c r="J166" i="5"/>
  <c r="J162" i="5"/>
  <c r="J158" i="5"/>
  <c r="J225" i="5" s="1"/>
  <c r="J154" i="5"/>
  <c r="J205" i="5"/>
  <c r="J201" i="5"/>
  <c r="J197" i="5"/>
  <c r="J193" i="5"/>
  <c r="J189" i="5"/>
  <c r="J185" i="5"/>
  <c r="J181" i="5"/>
  <c r="J177" i="5"/>
  <c r="J173" i="5"/>
  <c r="J169" i="5"/>
  <c r="J163" i="5"/>
  <c r="J159" i="5"/>
  <c r="J155" i="5"/>
  <c r="J204" i="5"/>
  <c r="J200" i="5"/>
  <c r="J196" i="5"/>
  <c r="J263" i="5" s="1"/>
  <c r="J192" i="5"/>
  <c r="J188" i="5"/>
  <c r="J184" i="5"/>
  <c r="J180" i="5"/>
  <c r="J176" i="5"/>
  <c r="J168" i="5"/>
  <c r="J164" i="5"/>
  <c r="J160" i="5"/>
  <c r="J156" i="5"/>
  <c r="J152" i="5"/>
  <c r="J203" i="5"/>
  <c r="J199" i="5"/>
  <c r="J195" i="5"/>
  <c r="J191" i="5"/>
  <c r="J187" i="5"/>
  <c r="J183" i="5"/>
  <c r="J179" i="5"/>
  <c r="J175" i="5"/>
  <c r="J171" i="5"/>
  <c r="J167" i="5"/>
  <c r="J98" i="6"/>
  <c r="J96" i="6"/>
  <c r="J95" i="6"/>
  <c r="J94" i="6"/>
  <c r="J93" i="6"/>
  <c r="J92" i="6"/>
  <c r="J91" i="6"/>
  <c r="J90" i="6"/>
  <c r="J89" i="6"/>
  <c r="J87" i="6"/>
  <c r="J86" i="6"/>
  <c r="J85" i="6"/>
  <c r="J84" i="6"/>
  <c r="J83" i="6"/>
  <c r="J82" i="6"/>
  <c r="J165" i="5"/>
  <c r="J161" i="5"/>
  <c r="J157" i="5"/>
  <c r="J224" i="5" s="1"/>
  <c r="J153" i="5"/>
  <c r="E152" i="5"/>
  <c r="E219" i="5" s="1"/>
  <c r="J81" i="6"/>
  <c r="E113" i="6"/>
  <c r="E100" i="6"/>
  <c r="AG66" i="6"/>
  <c r="AH66" i="6" s="1"/>
  <c r="E95" i="6"/>
  <c r="E94" i="6"/>
  <c r="E91" i="6"/>
  <c r="Y91" i="6" s="1"/>
  <c r="E89" i="6"/>
  <c r="E87" i="6"/>
  <c r="E119" i="6" s="1"/>
  <c r="E86" i="6"/>
  <c r="E82" i="6"/>
  <c r="H99" i="6"/>
  <c r="AG54" i="6"/>
  <c r="AH54" i="6" s="1"/>
  <c r="H81" i="6"/>
  <c r="AF81" i="6" s="1"/>
  <c r="F97" i="6"/>
  <c r="AG97" i="6" s="1"/>
  <c r="AH97" i="6" s="1"/>
  <c r="F94" i="6"/>
  <c r="F82" i="6"/>
  <c r="F114" i="6" s="1"/>
  <c r="AG114" i="6" s="1"/>
  <c r="AH114" i="6" s="1"/>
  <c r="AG56" i="6"/>
  <c r="AH56" i="6" s="1"/>
  <c r="F85" i="6"/>
  <c r="F81" i="6"/>
  <c r="H84" i="6"/>
  <c r="J132" i="6"/>
  <c r="E96" i="6"/>
  <c r="F93" i="6"/>
  <c r="AG93" i="6" s="1"/>
  <c r="AH93" i="6" s="1"/>
  <c r="E166" i="5"/>
  <c r="E162" i="5"/>
  <c r="E158" i="5"/>
  <c r="E154" i="5"/>
  <c r="E201" i="5"/>
  <c r="E193" i="5"/>
  <c r="E161" i="5"/>
  <c r="E203" i="5"/>
  <c r="E199" i="5"/>
  <c r="E191" i="5"/>
  <c r="E183" i="5"/>
  <c r="E179" i="5"/>
  <c r="E175" i="5"/>
  <c r="E171" i="5"/>
  <c r="E159" i="5"/>
  <c r="E205" i="5"/>
  <c r="E197" i="5"/>
  <c r="E189" i="5"/>
  <c r="E185" i="5"/>
  <c r="E181" i="5"/>
  <c r="E173" i="5"/>
  <c r="E169" i="5"/>
  <c r="E165" i="5"/>
  <c r="E157" i="5"/>
  <c r="E206" i="5"/>
  <c r="E202" i="5"/>
  <c r="E198" i="5"/>
  <c r="E194" i="5"/>
  <c r="E190" i="5"/>
  <c r="E186" i="5"/>
  <c r="E182" i="5"/>
  <c r="E178" i="5"/>
  <c r="E174" i="5"/>
  <c r="E164" i="5"/>
  <c r="E160" i="5"/>
  <c r="E156" i="5"/>
  <c r="J68" i="4"/>
  <c r="J62" i="4"/>
  <c r="H65" i="4"/>
  <c r="AF65" i="4" s="1"/>
  <c r="AG46" i="4"/>
  <c r="AH46" i="4" s="1"/>
  <c r="AG42" i="4"/>
  <c r="AH42" i="4" s="1"/>
  <c r="AG62" i="4"/>
  <c r="AG38" i="4"/>
  <c r="H63" i="4"/>
  <c r="AF63" i="4" s="1"/>
  <c r="J71" i="4"/>
  <c r="E68" i="4"/>
  <c r="J64" i="4"/>
  <c r="H64" i="4"/>
  <c r="AF64" i="4" s="1"/>
  <c r="AG47" i="4"/>
  <c r="AH47" i="4" s="1"/>
  <c r="H85" i="4"/>
  <c r="AF85" i="4" s="1"/>
  <c r="H66" i="4"/>
  <c r="AF66" i="4" s="1"/>
  <c r="AG65" i="4"/>
  <c r="AH65" i="4" s="1"/>
  <c r="AG41" i="4"/>
  <c r="AH41" i="4" s="1"/>
  <c r="E71" i="4"/>
  <c r="J69" i="4"/>
  <c r="J67" i="4"/>
  <c r="E63" i="4"/>
  <c r="E62" i="4"/>
  <c r="J66" i="4"/>
  <c r="E65" i="4"/>
  <c r="J63" i="4"/>
  <c r="H93" i="4"/>
  <c r="AF93" i="4" s="1"/>
  <c r="H94" i="4"/>
  <c r="AF94" i="4" s="1"/>
  <c r="H67" i="4"/>
  <c r="AF67" i="4" s="1"/>
  <c r="AG68" i="4"/>
  <c r="AH68" i="4" s="1"/>
  <c r="AG44" i="4"/>
  <c r="AH44" i="4" s="1"/>
  <c r="J70" i="4"/>
  <c r="E69" i="4"/>
  <c r="E67" i="4"/>
  <c r="J65" i="4"/>
  <c r="E64" i="4"/>
  <c r="E87" i="4" s="1"/>
  <c r="E153" i="5"/>
  <c r="AI138" i="5"/>
  <c r="AJ138" i="5" s="1"/>
  <c r="AK138" i="5" s="1"/>
  <c r="AL138" i="5" s="1"/>
  <c r="AM138" i="5" s="1"/>
  <c r="E41" i="6"/>
  <c r="AG63" i="4"/>
  <c r="AH63" i="4" s="1"/>
  <c r="F253" i="5"/>
  <c r="AG253" i="5" s="1"/>
  <c r="AH253" i="5" s="1"/>
  <c r="AG186" i="5"/>
  <c r="AH186" i="5" s="1"/>
  <c r="H157" i="5"/>
  <c r="AF89" i="5"/>
  <c r="H152" i="5"/>
  <c r="AF84" i="5"/>
  <c r="H173" i="5"/>
  <c r="H240" i="5" s="1"/>
  <c r="AF105" i="5"/>
  <c r="H177" i="5"/>
  <c r="H244" i="5" s="1"/>
  <c r="AF109" i="5"/>
  <c r="H181" i="5"/>
  <c r="H248" i="5" s="1"/>
  <c r="AF113" i="5"/>
  <c r="H189" i="5"/>
  <c r="AF121" i="5"/>
  <c r="H193" i="5"/>
  <c r="H260" i="5" s="1"/>
  <c r="AF125" i="5"/>
  <c r="H197" i="5"/>
  <c r="AF129" i="5"/>
  <c r="H201" i="5"/>
  <c r="AF133" i="5"/>
  <c r="H166" i="5"/>
  <c r="H233" i="5" s="1"/>
  <c r="AF98" i="5"/>
  <c r="H162" i="5"/>
  <c r="AF94" i="5"/>
  <c r="H154" i="5"/>
  <c r="AF86" i="5"/>
  <c r="H168" i="5"/>
  <c r="H235" i="5" s="1"/>
  <c r="AF100" i="5"/>
  <c r="H204" i="5"/>
  <c r="H271" i="5" s="1"/>
  <c r="AF136" i="5"/>
  <c r="H165" i="5"/>
  <c r="AF97" i="5"/>
  <c r="H170" i="5"/>
  <c r="AF102" i="5"/>
  <c r="H174" i="5"/>
  <c r="H241" i="5" s="1"/>
  <c r="AF106" i="5"/>
  <c r="H178" i="5"/>
  <c r="AF110" i="5"/>
  <c r="H182" i="5"/>
  <c r="H249" i="5" s="1"/>
  <c r="AF114" i="5"/>
  <c r="H186" i="5"/>
  <c r="H253" i="5" s="1"/>
  <c r="AF118" i="5"/>
  <c r="H190" i="5"/>
  <c r="H257" i="5" s="1"/>
  <c r="AF122" i="5"/>
  <c r="H194" i="5"/>
  <c r="AF126" i="5"/>
  <c r="H202" i="5"/>
  <c r="AF134" i="5"/>
  <c r="H206" i="5"/>
  <c r="AF138" i="5"/>
  <c r="H163" i="5"/>
  <c r="AF95" i="5"/>
  <c r="H159" i="5"/>
  <c r="AF91" i="5"/>
  <c r="H155" i="5"/>
  <c r="AF87" i="5"/>
  <c r="E234" i="5"/>
  <c r="H161" i="5"/>
  <c r="AF93" i="5"/>
  <c r="H153" i="5"/>
  <c r="AF85" i="5"/>
  <c r="H167" i="5"/>
  <c r="H234" i="5" s="1"/>
  <c r="AF99" i="5"/>
  <c r="H171" i="5"/>
  <c r="AF103" i="5"/>
  <c r="H175" i="5"/>
  <c r="H242" i="5" s="1"/>
  <c r="AF107" i="5"/>
  <c r="H179" i="5"/>
  <c r="H246" i="5" s="1"/>
  <c r="AF111" i="5"/>
  <c r="H183" i="5"/>
  <c r="AF115" i="5"/>
  <c r="H187" i="5"/>
  <c r="H254" i="5" s="1"/>
  <c r="AF119" i="5"/>
  <c r="H199" i="5"/>
  <c r="H266" i="5" s="1"/>
  <c r="AF131" i="5"/>
  <c r="H203" i="5"/>
  <c r="H270" i="5" s="1"/>
  <c r="AF135" i="5"/>
  <c r="F226" i="5"/>
  <c r="AG226" i="5" s="1"/>
  <c r="AH226" i="5" s="1"/>
  <c r="AG159" i="5"/>
  <c r="AH159" i="5" s="1"/>
  <c r="H164" i="5"/>
  <c r="AF96" i="5"/>
  <c r="H160" i="5"/>
  <c r="AF92" i="5"/>
  <c r="H156" i="5"/>
  <c r="H223" i="5" s="1"/>
  <c r="AF88" i="5"/>
  <c r="AI126" i="5"/>
  <c r="AJ126" i="5" s="1"/>
  <c r="AK126" i="5" s="1"/>
  <c r="AL126" i="5" s="1"/>
  <c r="AM126" i="5" s="1"/>
  <c r="E170" i="5"/>
  <c r="AI121" i="5"/>
  <c r="AJ121" i="5" s="1"/>
  <c r="AK121" i="5" s="1"/>
  <c r="AL121" i="5" s="1"/>
  <c r="AM121" i="5" s="1"/>
  <c r="E163" i="5"/>
  <c r="F190" i="5"/>
  <c r="AI98" i="5"/>
  <c r="AJ98" i="5" s="1"/>
  <c r="AK98" i="5" s="1"/>
  <c r="AL98" i="5" s="1"/>
  <c r="AM98" i="5" s="1"/>
  <c r="F220" i="5"/>
  <c r="F256" i="5"/>
  <c r="AI179" i="5"/>
  <c r="AJ179" i="5" s="1"/>
  <c r="AK179" i="5" s="1"/>
  <c r="AL179" i="5" s="1"/>
  <c r="AM179" i="5" s="1"/>
  <c r="F204" i="5"/>
  <c r="AG204" i="5" s="1"/>
  <c r="AH204" i="5" s="1"/>
  <c r="AG132" i="5"/>
  <c r="AH132" i="5" s="1"/>
  <c r="AJ87" i="5"/>
  <c r="AK87" i="5" s="1"/>
  <c r="AL87" i="5" s="1"/>
  <c r="AM87" i="5" s="1"/>
  <c r="F180" i="5"/>
  <c r="AG180" i="5" s="1"/>
  <c r="AH180" i="5" s="1"/>
  <c r="F251" i="5"/>
  <c r="AG251" i="5" s="1"/>
  <c r="AH251" i="5" s="1"/>
  <c r="AI118" i="5"/>
  <c r="AJ118" i="5" s="1"/>
  <c r="AK118" i="5" s="1"/>
  <c r="AL118" i="5" s="1"/>
  <c r="AM118" i="5" s="1"/>
  <c r="AJ91" i="5"/>
  <c r="AK91" i="5" s="1"/>
  <c r="AL91" i="5" s="1"/>
  <c r="AM91" i="5" s="1"/>
  <c r="F235" i="5"/>
  <c r="F196" i="5"/>
  <c r="AI102" i="5"/>
  <c r="AJ102" i="5" s="1"/>
  <c r="AK102" i="5" s="1"/>
  <c r="AL102" i="5" s="1"/>
  <c r="AM102" i="5" s="1"/>
  <c r="AI122" i="5"/>
  <c r="AJ122" i="5" s="1"/>
  <c r="AK122" i="5" s="1"/>
  <c r="AL122" i="5" s="1"/>
  <c r="AM122" i="5" s="1"/>
  <c r="AI110" i="5"/>
  <c r="AJ110" i="5" s="1"/>
  <c r="AK110" i="5" s="1"/>
  <c r="AL110" i="5" s="1"/>
  <c r="AM110" i="5" s="1"/>
  <c r="F156" i="5"/>
  <c r="AG156" i="5" s="1"/>
  <c r="AH156" i="5" s="1"/>
  <c r="AG104" i="5"/>
  <c r="AH104" i="5" s="1"/>
  <c r="F188" i="5"/>
  <c r="AI106" i="5"/>
  <c r="AJ106" i="5" s="1"/>
  <c r="AK106" i="5" s="1"/>
  <c r="AL106" i="5" s="1"/>
  <c r="AM106" i="5" s="1"/>
  <c r="AI130" i="5"/>
  <c r="AJ130" i="5" s="1"/>
  <c r="AK130" i="5" s="1"/>
  <c r="AL130" i="5" s="1"/>
  <c r="AM130" i="5" s="1"/>
  <c r="AJ94" i="5"/>
  <c r="AK94" i="5" s="1"/>
  <c r="AL94" i="5" s="1"/>
  <c r="AM94" i="5" s="1"/>
  <c r="AI114" i="5"/>
  <c r="AJ114" i="5" s="1"/>
  <c r="AK114" i="5" s="1"/>
  <c r="AL114" i="5" s="1"/>
  <c r="AM114" i="5" s="1"/>
  <c r="AI134" i="5"/>
  <c r="AJ134" i="5" s="1"/>
  <c r="AK134" i="5" s="1"/>
  <c r="AL134" i="5" s="1"/>
  <c r="AM134" i="5" s="1"/>
  <c r="H195" i="5"/>
  <c r="H191" i="5"/>
  <c r="J170" i="5"/>
  <c r="E155" i="5"/>
  <c r="AG131" i="5"/>
  <c r="AH131" i="5" s="1"/>
  <c r="G260" i="5"/>
  <c r="AI260" i="5" s="1"/>
  <c r="AI203" i="5"/>
  <c r="AJ203" i="5" s="1"/>
  <c r="AK203" i="5" s="1"/>
  <c r="AL203" i="5" s="1"/>
  <c r="AI250" i="5"/>
  <c r="AJ250" i="5" s="1"/>
  <c r="AK250" i="5" s="1"/>
  <c r="AL250" i="5" s="1"/>
  <c r="AI103" i="5"/>
  <c r="AJ103" i="5" s="1"/>
  <c r="AK103" i="5" s="1"/>
  <c r="AL103" i="5" s="1"/>
  <c r="AM103" i="5" s="1"/>
  <c r="AI175" i="5"/>
  <c r="AJ175" i="5" s="1"/>
  <c r="AK175" i="5" s="1"/>
  <c r="AL175" i="5" s="1"/>
  <c r="AI135" i="5"/>
  <c r="AJ135" i="5" s="1"/>
  <c r="AK135" i="5" s="1"/>
  <c r="AL135" i="5" s="1"/>
  <c r="AM135" i="5" s="1"/>
  <c r="AI115" i="5"/>
  <c r="AJ115" i="5" s="1"/>
  <c r="AK115" i="5" s="1"/>
  <c r="AL115" i="5" s="1"/>
  <c r="AM115" i="5" s="1"/>
  <c r="AG116" i="5"/>
  <c r="AH116" i="5" s="1"/>
  <c r="G246" i="5"/>
  <c r="G313" i="5" s="1"/>
  <c r="AI127" i="5"/>
  <c r="AJ127" i="5" s="1"/>
  <c r="AK127" i="5" s="1"/>
  <c r="AL127" i="5" s="1"/>
  <c r="AM127" i="5" s="1"/>
  <c r="AI99" i="5"/>
  <c r="AJ99" i="5" s="1"/>
  <c r="AK99" i="5" s="1"/>
  <c r="AL99" i="5" s="1"/>
  <c r="AM99" i="5" s="1"/>
  <c r="G242" i="5"/>
  <c r="G309" i="5" s="1"/>
  <c r="AI183" i="5"/>
  <c r="AJ183" i="5" s="1"/>
  <c r="AK183" i="5" s="1"/>
  <c r="AL183" i="5" s="1"/>
  <c r="AI131" i="5"/>
  <c r="AJ131" i="5" s="1"/>
  <c r="AK131" i="5" s="1"/>
  <c r="AL131" i="5" s="1"/>
  <c r="AM131" i="5" s="1"/>
  <c r="G262" i="5"/>
  <c r="AI262" i="5" s="1"/>
  <c r="AG96" i="5"/>
  <c r="AH96" i="5" s="1"/>
  <c r="AI123" i="5"/>
  <c r="AJ123" i="5" s="1"/>
  <c r="AK123" i="5" s="1"/>
  <c r="AL123" i="5" s="1"/>
  <c r="AM123" i="5" s="1"/>
  <c r="AI111" i="5"/>
  <c r="AJ111" i="5" s="1"/>
  <c r="AK111" i="5" s="1"/>
  <c r="AL111" i="5" s="1"/>
  <c r="AM111" i="5" s="1"/>
  <c r="AI119" i="5"/>
  <c r="AJ119" i="5" s="1"/>
  <c r="AK119" i="5" s="1"/>
  <c r="AL119" i="5" s="1"/>
  <c r="AM119" i="5" s="1"/>
  <c r="AG100" i="5"/>
  <c r="AH100" i="5" s="1"/>
  <c r="AI107" i="5"/>
  <c r="AJ107" i="5" s="1"/>
  <c r="AK107" i="5" s="1"/>
  <c r="AL107" i="5" s="1"/>
  <c r="AM107" i="5" s="1"/>
  <c r="F176" i="5"/>
  <c r="AG176" i="5" s="1"/>
  <c r="AH176" i="5" s="1"/>
  <c r="F160" i="5"/>
  <c r="AI137" i="5"/>
  <c r="AJ137" i="5" s="1"/>
  <c r="AK137" i="5" s="1"/>
  <c r="AL137" i="5" s="1"/>
  <c r="AM137" i="5" s="1"/>
  <c r="F267" i="5"/>
  <c r="F182" i="5"/>
  <c r="AG182" i="5" s="1"/>
  <c r="AH182" i="5" s="1"/>
  <c r="G181" i="5"/>
  <c r="AI181" i="5" s="1"/>
  <c r="E177" i="5"/>
  <c r="AG118" i="5"/>
  <c r="AH118" i="5" s="1"/>
  <c r="H185" i="5"/>
  <c r="F158" i="5"/>
  <c r="AG158" i="5" s="1"/>
  <c r="AH158" i="5" s="1"/>
  <c r="F202" i="5"/>
  <c r="AG202" i="5" s="1"/>
  <c r="AH202" i="5" s="1"/>
  <c r="F206" i="5"/>
  <c r="AI109" i="5"/>
  <c r="AJ109" i="5" s="1"/>
  <c r="AK109" i="5" s="1"/>
  <c r="AL109" i="5" s="1"/>
  <c r="AM109" i="5" s="1"/>
  <c r="G189" i="5"/>
  <c r="F170" i="5"/>
  <c r="AG170" i="5" s="1"/>
  <c r="AH170" i="5" s="1"/>
  <c r="AI101" i="5"/>
  <c r="AJ101" i="5" s="1"/>
  <c r="AK101" i="5" s="1"/>
  <c r="AL101" i="5" s="1"/>
  <c r="AM101" i="5" s="1"/>
  <c r="F194" i="5"/>
  <c r="AG194" i="5" s="1"/>
  <c r="AH194" i="5" s="1"/>
  <c r="AI133" i="5"/>
  <c r="AJ133" i="5" s="1"/>
  <c r="AK133" i="5" s="1"/>
  <c r="AL133" i="5" s="1"/>
  <c r="AM133" i="5" s="1"/>
  <c r="H205" i="5"/>
  <c r="G205" i="5"/>
  <c r="AI205" i="5" s="1"/>
  <c r="H169" i="5"/>
  <c r="F178" i="5"/>
  <c r="F154" i="5"/>
  <c r="AG154" i="5" s="1"/>
  <c r="AH154" i="5" s="1"/>
  <c r="F198" i="5"/>
  <c r="AG198" i="5" s="1"/>
  <c r="AH198" i="5" s="1"/>
  <c r="AI169" i="5"/>
  <c r="AJ169" i="5" s="1"/>
  <c r="AK169" i="5" s="1"/>
  <c r="AL169" i="5" s="1"/>
  <c r="AI125" i="5"/>
  <c r="AJ125" i="5" s="1"/>
  <c r="AK125" i="5" s="1"/>
  <c r="AL125" i="5" s="1"/>
  <c r="AM125" i="5" s="1"/>
  <c r="J93" i="3"/>
  <c r="H62" i="11" s="1"/>
  <c r="G62" i="11"/>
  <c r="I36" i="11"/>
  <c r="G33" i="16"/>
  <c r="I181" i="7"/>
  <c r="G114" i="2"/>
  <c r="G111" i="2" s="1"/>
  <c r="AI161" i="5"/>
  <c r="AJ161" i="5" s="1"/>
  <c r="AK161" i="5" s="1"/>
  <c r="AL161" i="5" s="1"/>
  <c r="AI194" i="5"/>
  <c r="AJ194" i="5" s="1"/>
  <c r="AK194" i="5" s="1"/>
  <c r="AL194" i="5" s="1"/>
  <c r="AI224" i="5"/>
  <c r="AJ224" i="5" s="1"/>
  <c r="AK224" i="5" s="1"/>
  <c r="AL224" i="5" s="1"/>
  <c r="G241" i="5"/>
  <c r="G308" i="5" s="1"/>
  <c r="G237" i="5"/>
  <c r="AI237" i="5" s="1"/>
  <c r="AI165" i="5"/>
  <c r="AJ165" i="5" s="1"/>
  <c r="AK165" i="5" s="1"/>
  <c r="AL165" i="5" s="1"/>
  <c r="AM165" i="5" s="1"/>
  <c r="AI220" i="5"/>
  <c r="AJ220" i="5" s="1"/>
  <c r="AK220" i="5" s="1"/>
  <c r="AL220" i="5" s="1"/>
  <c r="AI232" i="5"/>
  <c r="AJ232" i="5" s="1"/>
  <c r="AK232" i="5" s="1"/>
  <c r="AL232" i="5" s="1"/>
  <c r="AI228" i="5"/>
  <c r="AJ228" i="5" s="1"/>
  <c r="AK228" i="5" s="1"/>
  <c r="AL228" i="5" s="1"/>
  <c r="AI198" i="5"/>
  <c r="AJ198" i="5" s="1"/>
  <c r="AK198" i="5" s="1"/>
  <c r="AL198" i="5" s="1"/>
  <c r="G249" i="5"/>
  <c r="G261" i="5"/>
  <c r="G328" i="5" s="1"/>
  <c r="AI157" i="5"/>
  <c r="AJ157" i="5" s="1"/>
  <c r="AK157" i="5" s="1"/>
  <c r="AL157" i="5" s="1"/>
  <c r="AM157" i="5" s="1"/>
  <c r="G265" i="5"/>
  <c r="G332" i="5" s="1"/>
  <c r="J29" i="2"/>
  <c r="K29" i="2" s="1"/>
  <c r="G84" i="2"/>
  <c r="I27" i="3"/>
  <c r="J35" i="3"/>
  <c r="K100" i="2"/>
  <c r="G44" i="16"/>
  <c r="H36" i="2"/>
  <c r="I16" i="7" s="1"/>
  <c r="I97" i="2"/>
  <c r="J30" i="2"/>
  <c r="J107" i="2"/>
  <c r="J55" i="2" s="1"/>
  <c r="J62" i="2" s="1"/>
  <c r="I31" i="3"/>
  <c r="J34" i="2"/>
  <c r="G42" i="16"/>
  <c r="W108" i="19"/>
  <c r="R62" i="9"/>
  <c r="R196" i="9"/>
  <c r="P187" i="9"/>
  <c r="P184" i="9"/>
  <c r="P171" i="9"/>
  <c r="P166" i="9"/>
  <c r="R164" i="9"/>
  <c r="P158" i="9"/>
  <c r="P155" i="9"/>
  <c r="P150" i="9"/>
  <c r="P196" i="9"/>
  <c r="P191" i="9"/>
  <c r="R188" i="9"/>
  <c r="P180" i="9"/>
  <c r="P174" i="9"/>
  <c r="P163" i="9"/>
  <c r="R160" i="9"/>
  <c r="R192" i="9"/>
  <c r="P188" i="9"/>
  <c r="P183" i="9"/>
  <c r="P179" i="9"/>
  <c r="R176" i="9"/>
  <c r="P170" i="9"/>
  <c r="R168" i="9"/>
  <c r="P162" i="9"/>
  <c r="P159" i="9"/>
  <c r="P154" i="9"/>
  <c r="R152" i="9"/>
  <c r="P195" i="9"/>
  <c r="R136" i="9"/>
  <c r="P127" i="9"/>
  <c r="P192" i="9"/>
  <c r="P143" i="9"/>
  <c r="R144" i="9"/>
  <c r="P142" i="9"/>
  <c r="P139" i="9"/>
  <c r="P130" i="9"/>
  <c r="R132" i="9"/>
  <c r="P178" i="9"/>
  <c r="P167" i="9"/>
  <c r="P151" i="9"/>
  <c r="P175" i="9"/>
  <c r="P147" i="9"/>
  <c r="P135" i="9"/>
  <c r="R184" i="9"/>
  <c r="P146" i="9"/>
  <c r="R140" i="9"/>
  <c r="P138" i="9"/>
  <c r="P134" i="9"/>
  <c r="P131" i="9"/>
  <c r="P144" i="9"/>
  <c r="P137" i="9"/>
  <c r="P132" i="9"/>
  <c r="P128" i="9"/>
  <c r="P169" i="9"/>
  <c r="P164" i="9"/>
  <c r="P193" i="9"/>
  <c r="P156" i="9"/>
  <c r="R134" i="9"/>
  <c r="R127" i="9"/>
  <c r="R142" i="9"/>
  <c r="R143" i="9"/>
  <c r="R156" i="9"/>
  <c r="R131" i="9"/>
  <c r="R138" i="9"/>
  <c r="R139" i="9"/>
  <c r="R179" i="9"/>
  <c r="R183" i="9"/>
  <c r="R181" i="9"/>
  <c r="R155" i="9"/>
  <c r="R186" i="9"/>
  <c r="R167" i="9"/>
  <c r="R182" i="9"/>
  <c r="R197" i="9"/>
  <c r="R133" i="9"/>
  <c r="R148" i="9"/>
  <c r="R195" i="9"/>
  <c r="P168" i="9"/>
  <c r="P140" i="9"/>
  <c r="P145" i="9"/>
  <c r="P129" i="9"/>
  <c r="P177" i="9"/>
  <c r="P198" i="9"/>
  <c r="P194" i="9"/>
  <c r="P165" i="9"/>
  <c r="P182" i="9"/>
  <c r="R135" i="9"/>
  <c r="R130" i="9"/>
  <c r="R170" i="9"/>
  <c r="R180" i="9"/>
  <c r="R150" i="9"/>
  <c r="P133" i="9"/>
  <c r="P176" i="9"/>
  <c r="P141" i="9"/>
  <c r="P148" i="9"/>
  <c r="P153" i="9"/>
  <c r="P185" i="9"/>
  <c r="P181" i="9"/>
  <c r="P172" i="9"/>
  <c r="P189" i="9"/>
  <c r="R146" i="9"/>
  <c r="R128" i="9"/>
  <c r="R171" i="9"/>
  <c r="R191" i="9"/>
  <c r="R178" i="9"/>
  <c r="R151" i="9"/>
  <c r="P136" i="9"/>
  <c r="R163" i="9"/>
  <c r="R194" i="9"/>
  <c r="R145" i="9"/>
  <c r="R174" i="9"/>
  <c r="R175" i="9"/>
  <c r="R189" i="9"/>
  <c r="R190" i="9"/>
  <c r="R165" i="9"/>
  <c r="R169" i="9"/>
  <c r="P190" i="9"/>
  <c r="R154" i="9"/>
  <c r="R198" i="9"/>
  <c r="R177" i="9"/>
  <c r="P197" i="9"/>
  <c r="P160" i="9"/>
  <c r="P149" i="9"/>
  <c r="P157" i="9"/>
  <c r="R166" i="9"/>
  <c r="R129" i="9"/>
  <c r="R153" i="9"/>
  <c r="R158" i="9"/>
  <c r="R161" i="9"/>
  <c r="P186" i="9"/>
  <c r="P173" i="9"/>
  <c r="R162" i="9"/>
  <c r="R149" i="9"/>
  <c r="R185" i="9"/>
  <c r="R187" i="9"/>
  <c r="R137" i="9"/>
  <c r="R172" i="9"/>
  <c r="R157" i="9"/>
  <c r="R173" i="9"/>
  <c r="P152" i="9"/>
  <c r="P161" i="9"/>
  <c r="R147" i="9"/>
  <c r="R193" i="9"/>
  <c r="R141" i="9"/>
  <c r="R159" i="9"/>
  <c r="P56" i="9"/>
  <c r="P40" i="9"/>
  <c r="R49" i="9"/>
  <c r="P72" i="9"/>
  <c r="R39" i="9"/>
  <c r="T8" i="9"/>
  <c r="T25" i="9" s="1"/>
  <c r="R203" i="9"/>
  <c r="R43" i="9"/>
  <c r="R57" i="9"/>
  <c r="R112" i="9"/>
  <c r="P88" i="9"/>
  <c r="P47" i="9"/>
  <c r="P98" i="9"/>
  <c r="P205" i="9"/>
  <c r="P85" i="9"/>
  <c r="P42" i="9"/>
  <c r="P82" i="9"/>
  <c r="P62" i="9"/>
  <c r="R33" i="9"/>
  <c r="R90" i="9"/>
  <c r="P37" i="9"/>
  <c r="P104" i="9"/>
  <c r="P103" i="9"/>
  <c r="P203" i="9"/>
  <c r="P102" i="9"/>
  <c r="P31" i="9"/>
  <c r="R41" i="9"/>
  <c r="R106" i="9"/>
  <c r="P79" i="9"/>
  <c r="P53" i="9"/>
  <c r="P120" i="9"/>
  <c r="P78" i="9"/>
  <c r="P105" i="9"/>
  <c r="T199" i="9"/>
  <c r="R54" i="9"/>
  <c r="P28" i="9"/>
  <c r="R92" i="9"/>
  <c r="T90" i="9"/>
  <c r="R88" i="9"/>
  <c r="R85" i="9"/>
  <c r="R79" i="9"/>
  <c r="P75" i="9"/>
  <c r="P69" i="9"/>
  <c r="R65" i="9"/>
  <c r="P61" i="9"/>
  <c r="T66" i="9"/>
  <c r="P109" i="9"/>
  <c r="R103" i="9"/>
  <c r="P101" i="9"/>
  <c r="P212" i="9"/>
  <c r="R202" i="9"/>
  <c r="R200" i="9"/>
  <c r="P126" i="9"/>
  <c r="R27" i="9"/>
  <c r="R25" i="9"/>
  <c r="R87" i="9"/>
  <c r="J181" i="7"/>
  <c r="L68" i="7"/>
  <c r="H46" i="12"/>
  <c r="I44" i="12"/>
  <c r="G271" i="5"/>
  <c r="I77" i="7"/>
  <c r="H182" i="7" s="1"/>
  <c r="E98" i="6"/>
  <c r="E97" i="6"/>
  <c r="E92" i="6"/>
  <c r="E90" i="6"/>
  <c r="E204" i="5"/>
  <c r="E200" i="5"/>
  <c r="E196" i="5"/>
  <c r="E192" i="5"/>
  <c r="E188" i="5"/>
  <c r="E184" i="5"/>
  <c r="E180" i="5"/>
  <c r="E176" i="5"/>
  <c r="E172" i="5"/>
  <c r="E168" i="5"/>
  <c r="H158" i="5"/>
  <c r="E70" i="4"/>
  <c r="E66" i="4"/>
  <c r="E83" i="6"/>
  <c r="E99" i="6"/>
  <c r="E84" i="6"/>
  <c r="E88" i="6"/>
  <c r="I156" i="3"/>
  <c r="J156" i="3"/>
  <c r="I102" i="3"/>
  <c r="G63" i="11" s="1"/>
  <c r="H82" i="2"/>
  <c r="H87" i="2" s="1"/>
  <c r="H80" i="2"/>
  <c r="H81" i="2" s="1"/>
  <c r="H54" i="2"/>
  <c r="H61" i="2" s="1"/>
  <c r="G255" i="5"/>
  <c r="G322" i="5" s="1"/>
  <c r="AI188" i="5"/>
  <c r="AJ188" i="5" s="1"/>
  <c r="AK188" i="5" s="1"/>
  <c r="AL188" i="5" s="1"/>
  <c r="G247" i="5"/>
  <c r="AI108" i="5"/>
  <c r="AJ108" i="5" s="1"/>
  <c r="AK108" i="5" s="1"/>
  <c r="AL108" i="5" s="1"/>
  <c r="AM108" i="5" s="1"/>
  <c r="E85" i="6"/>
  <c r="G88" i="2"/>
  <c r="G85" i="2" s="1"/>
  <c r="G168" i="5"/>
  <c r="G235" i="5" s="1"/>
  <c r="R73" i="9"/>
  <c r="P73" i="9"/>
  <c r="P63" i="9"/>
  <c r="R63" i="9"/>
  <c r="J119" i="2"/>
  <c r="I120" i="2"/>
  <c r="I56" i="2" s="1"/>
  <c r="I63" i="2" s="1"/>
  <c r="I110" i="2"/>
  <c r="J108" i="2"/>
  <c r="I113" i="2"/>
  <c r="J165" i="3"/>
  <c r="G58" i="16" s="1"/>
  <c r="I165" i="3"/>
  <c r="F58" i="16" s="1"/>
  <c r="AG64" i="4"/>
  <c r="AH64" i="4" s="1"/>
  <c r="AG62" i="6"/>
  <c r="AH62" i="6" s="1"/>
  <c r="F95" i="6"/>
  <c r="F127" i="6" s="1"/>
  <c r="F159" i="6" s="1"/>
  <c r="AG159" i="6" s="1"/>
  <c r="AH159" i="6" s="1"/>
  <c r="F91" i="6"/>
  <c r="AG91" i="6" s="1"/>
  <c r="AH91" i="6" s="1"/>
  <c r="AG58" i="6"/>
  <c r="AH58" i="6" s="1"/>
  <c r="F201" i="5"/>
  <c r="AG133" i="5"/>
  <c r="AH133" i="5" s="1"/>
  <c r="AG117" i="5"/>
  <c r="AH117" i="5" s="1"/>
  <c r="F185" i="5"/>
  <c r="AG113" i="5"/>
  <c r="AH113" i="5" s="1"/>
  <c r="F181" i="5"/>
  <c r="AG181" i="5" s="1"/>
  <c r="AH181" i="5" s="1"/>
  <c r="F177" i="5"/>
  <c r="AG109" i="5"/>
  <c r="AH109" i="5" s="1"/>
  <c r="AG97" i="5"/>
  <c r="AH97" i="5" s="1"/>
  <c r="F165" i="5"/>
  <c r="AG165" i="5" s="1"/>
  <c r="AH165" i="5" s="1"/>
  <c r="F157" i="5"/>
  <c r="AG89" i="5"/>
  <c r="AH89" i="5" s="1"/>
  <c r="AI132" i="5"/>
  <c r="AJ132" i="5" s="1"/>
  <c r="AK132" i="5" s="1"/>
  <c r="AL132" i="5" s="1"/>
  <c r="AM132" i="5" s="1"/>
  <c r="G200" i="5"/>
  <c r="G267" i="5" s="1"/>
  <c r="G334" i="5" s="1"/>
  <c r="AI128" i="5"/>
  <c r="AJ128" i="5" s="1"/>
  <c r="AK128" i="5" s="1"/>
  <c r="AL128" i="5" s="1"/>
  <c r="AM128" i="5" s="1"/>
  <c r="K97" i="2"/>
  <c r="J100" i="2"/>
  <c r="J97" i="2"/>
  <c r="R123" i="9"/>
  <c r="J69" i="7"/>
  <c r="K69" i="7" s="1"/>
  <c r="K77" i="7" s="1"/>
  <c r="H68" i="4"/>
  <c r="H172" i="5"/>
  <c r="H176" i="5"/>
  <c r="H180" i="5"/>
  <c r="H184" i="5"/>
  <c r="H188" i="5"/>
  <c r="H192" i="5"/>
  <c r="H196" i="5"/>
  <c r="H200" i="5"/>
  <c r="G16" i="8"/>
  <c r="G19" i="8" s="1"/>
  <c r="H16" i="8" s="1"/>
  <c r="H19" i="8" s="1"/>
  <c r="G38" i="12"/>
  <c r="G42" i="12" s="1"/>
  <c r="W110" i="19"/>
  <c r="H55" i="12"/>
  <c r="G25" i="13" s="1"/>
  <c r="W86" i="19"/>
  <c r="I62" i="7"/>
  <c r="H179" i="7" s="1"/>
  <c r="F155" i="5"/>
  <c r="AG155" i="5" s="1"/>
  <c r="AH155" i="5" s="1"/>
  <c r="AJ264" i="5"/>
  <c r="AK264" i="5" s="1"/>
  <c r="AL264" i="5" s="1"/>
  <c r="J139" i="5"/>
  <c r="G60" i="14" s="1"/>
  <c r="AG94" i="6"/>
  <c r="AH94" i="6" s="1"/>
  <c r="F126" i="6"/>
  <c r="AG126" i="6" s="1"/>
  <c r="AH126" i="6" s="1"/>
  <c r="AG96" i="6"/>
  <c r="AH96" i="6" s="1"/>
  <c r="F128" i="6"/>
  <c r="J32" i="3"/>
  <c r="G52" i="14"/>
  <c r="I36" i="2"/>
  <c r="J16" i="7" s="1"/>
  <c r="G53" i="14"/>
  <c r="H37" i="13"/>
  <c r="J14" i="12"/>
  <c r="K14" i="12" s="1"/>
  <c r="J37" i="13" s="1"/>
  <c r="G87" i="2"/>
  <c r="AG85" i="5"/>
  <c r="AH85" i="5" s="1"/>
  <c r="AI197" i="5"/>
  <c r="AJ197" i="5" s="1"/>
  <c r="AK197" i="5" s="1"/>
  <c r="AL197" i="5" s="1"/>
  <c r="AM197" i="5" s="1"/>
  <c r="F161" i="5"/>
  <c r="G268" i="5"/>
  <c r="G335" i="5" s="1"/>
  <c r="AI335" i="5" s="1"/>
  <c r="F260" i="5"/>
  <c r="AG260" i="5" s="1"/>
  <c r="AH260" i="5" s="1"/>
  <c r="I158" i="7"/>
  <c r="G26" i="11" s="1"/>
  <c r="J56" i="7"/>
  <c r="K56" i="7" s="1"/>
  <c r="I26" i="3"/>
  <c r="AG121" i="5"/>
  <c r="AH121" i="5" s="1"/>
  <c r="J48" i="4"/>
  <c r="G59" i="14" s="1"/>
  <c r="J94" i="3"/>
  <c r="K94" i="3" s="1"/>
  <c r="L94" i="3" s="1"/>
  <c r="L155" i="3" s="1"/>
  <c r="AI129" i="5"/>
  <c r="AJ129" i="5" s="1"/>
  <c r="AK129" i="5" s="1"/>
  <c r="AL129" i="5" s="1"/>
  <c r="AM129" i="5" s="1"/>
  <c r="AG26" i="4"/>
  <c r="H114" i="2"/>
  <c r="H111" i="2" s="1"/>
  <c r="F197" i="5"/>
  <c r="AG197" i="5" s="1"/>
  <c r="AH197" i="5" s="1"/>
  <c r="W112" i="19"/>
  <c r="AI117" i="5"/>
  <c r="AJ117" i="5" s="1"/>
  <c r="AK117" i="5" s="1"/>
  <c r="AL117" i="5" s="1"/>
  <c r="AM117" i="5" s="1"/>
  <c r="O14" i="9"/>
  <c r="AG125" i="5"/>
  <c r="AH125" i="5" s="1"/>
  <c r="F205" i="5"/>
  <c r="AG205" i="5" s="1"/>
  <c r="AH205" i="5" s="1"/>
  <c r="AI105" i="5"/>
  <c r="AJ105" i="5" s="1"/>
  <c r="AK105" i="5" s="1"/>
  <c r="AL105" i="5" s="1"/>
  <c r="AM105" i="5" s="1"/>
  <c r="F130" i="6"/>
  <c r="F162" i="6" s="1"/>
  <c r="AG162" i="6" s="1"/>
  <c r="AH162" i="6" s="1"/>
  <c r="AG98" i="6"/>
  <c r="AH98" i="6" s="1"/>
  <c r="H98" i="6"/>
  <c r="H97" i="6"/>
  <c r="H129" i="6" s="1"/>
  <c r="H96" i="6"/>
  <c r="H95" i="6"/>
  <c r="H94" i="6"/>
  <c r="H93" i="6"/>
  <c r="H92" i="6"/>
  <c r="H91" i="6"/>
  <c r="H90" i="6"/>
  <c r="H89" i="6"/>
  <c r="H121" i="6" s="1"/>
  <c r="H88" i="6"/>
  <c r="H87" i="6"/>
  <c r="H86" i="6"/>
  <c r="H85" i="6"/>
  <c r="H83" i="6"/>
  <c r="H82" i="6"/>
  <c r="J68" i="6"/>
  <c r="G61" i="14" s="1"/>
  <c r="AG65" i="6"/>
  <c r="AH65" i="6" s="1"/>
  <c r="F150" i="6"/>
  <c r="AG150" i="6" s="1"/>
  <c r="AH150" i="6" s="1"/>
  <c r="AG86" i="6"/>
  <c r="AH86" i="6" s="1"/>
  <c r="AG53" i="6"/>
  <c r="AH53" i="6" s="1"/>
  <c r="H100" i="6"/>
  <c r="R113" i="9"/>
  <c r="R80" i="9"/>
  <c r="I82" i="3"/>
  <c r="I154" i="3"/>
  <c r="G17" i="11" s="1"/>
  <c r="F25" i="16" s="1"/>
  <c r="H38" i="12"/>
  <c r="H42" i="12" s="1"/>
  <c r="F38" i="16" s="1"/>
  <c r="L135" i="7"/>
  <c r="L158" i="7" s="1"/>
  <c r="K158" i="7"/>
  <c r="I26" i="11" s="1"/>
  <c r="H78" i="14" s="1"/>
  <c r="W85" i="19"/>
  <c r="P14" i="9"/>
  <c r="L116" i="7"/>
  <c r="L187" i="7" s="1"/>
  <c r="J47" i="2"/>
  <c r="K17" i="7" s="1"/>
  <c r="K46" i="2"/>
  <c r="K47" i="2" s="1"/>
  <c r="L17" i="7" s="1"/>
  <c r="I47" i="2"/>
  <c r="J17" i="7" s="1"/>
  <c r="AJ221" i="5"/>
  <c r="AK221" i="5" s="1"/>
  <c r="AL221" i="5" s="1"/>
  <c r="AJ270" i="5"/>
  <c r="AK270" i="5" s="1"/>
  <c r="AL270" i="5" s="1"/>
  <c r="E74" i="6"/>
  <c r="H127" i="2"/>
  <c r="H124" i="2" s="1"/>
  <c r="J185" i="19"/>
  <c r="K185" i="19" s="1"/>
  <c r="E144" i="5"/>
  <c r="E106" i="6"/>
  <c r="H101" i="2"/>
  <c r="H98" i="2" s="1"/>
  <c r="W107" i="19"/>
  <c r="W109" i="19"/>
  <c r="W111" i="19"/>
  <c r="E278" i="5"/>
  <c r="R206" i="9"/>
  <c r="R204" i="9"/>
  <c r="R126" i="9"/>
  <c r="R124" i="9"/>
  <c r="R116" i="9"/>
  <c r="R115" i="9"/>
  <c r="R111" i="9"/>
  <c r="R110" i="9"/>
  <c r="P100" i="9"/>
  <c r="P99" i="9"/>
  <c r="T93" i="9"/>
  <c r="R83" i="9"/>
  <c r="R82" i="9"/>
  <c r="P74" i="9"/>
  <c r="P67" i="9"/>
  <c r="P59" i="9"/>
  <c r="R53" i="9"/>
  <c r="T35" i="9"/>
  <c r="E105" i="6"/>
  <c r="E211" i="5"/>
  <c r="E279" i="5"/>
  <c r="AJ299" i="5" s="1"/>
  <c r="AK299" i="5" s="1"/>
  <c r="AL299" i="5" s="1"/>
  <c r="E138" i="6"/>
  <c r="G22" i="13"/>
  <c r="H22" i="13"/>
  <c r="I19" i="12"/>
  <c r="AH36" i="6"/>
  <c r="AG36" i="6"/>
  <c r="AH71" i="5"/>
  <c r="AG71" i="5"/>
  <c r="G56" i="2"/>
  <c r="G63" i="2" s="1"/>
  <c r="H27" i="3"/>
  <c r="J122" i="2"/>
  <c r="J123" i="2" s="1"/>
  <c r="I123" i="2"/>
  <c r="I126" i="2"/>
  <c r="K107" i="2"/>
  <c r="K55" i="2" s="1"/>
  <c r="K62" i="2" s="1"/>
  <c r="J121" i="3"/>
  <c r="K121" i="3" s="1"/>
  <c r="L121" i="3" s="1"/>
  <c r="I133" i="3"/>
  <c r="I163" i="3" s="1"/>
  <c r="G22" i="11" s="1"/>
  <c r="I116" i="7"/>
  <c r="H187" i="7" s="1"/>
  <c r="G226" i="5"/>
  <c r="G293" i="5" s="1"/>
  <c r="AI293" i="5" s="1"/>
  <c r="H24" i="3"/>
  <c r="I107" i="2"/>
  <c r="J158" i="7"/>
  <c r="R59" i="9"/>
  <c r="R100" i="9"/>
  <c r="G38" i="13"/>
  <c r="H38" i="13"/>
  <c r="O15" i="9"/>
  <c r="AG99" i="6"/>
  <c r="AH99" i="6" s="1"/>
  <c r="F131" i="6"/>
  <c r="J116" i="7"/>
  <c r="H25" i="11" s="1"/>
  <c r="G30" i="16" s="1"/>
  <c r="T204" i="9"/>
  <c r="P110" i="9"/>
  <c r="P80" i="9"/>
  <c r="R58" i="9"/>
  <c r="P57" i="9"/>
  <c r="P114" i="9"/>
  <c r="S8" i="9"/>
  <c r="R50" i="9"/>
  <c r="P108" i="9"/>
  <c r="P30" i="9"/>
  <c r="R207" i="9"/>
  <c r="P39" i="9"/>
  <c r="R76" i="9"/>
  <c r="P44" i="9"/>
  <c r="P94" i="9"/>
  <c r="R93" i="9"/>
  <c r="P199" i="9"/>
  <c r="P118" i="9"/>
  <c r="P46" i="9"/>
  <c r="R74" i="9"/>
  <c r="R30" i="9"/>
  <c r="P93" i="9"/>
  <c r="R107" i="9"/>
  <c r="P20" i="9"/>
  <c r="P83" i="9"/>
  <c r="R64" i="9"/>
  <c r="P76" i="9"/>
  <c r="P206" i="9"/>
  <c r="R209" i="9"/>
  <c r="R56" i="9"/>
  <c r="R205" i="9"/>
  <c r="P52" i="9"/>
  <c r="P201" i="9"/>
  <c r="P33" i="9"/>
  <c r="P34" i="9"/>
  <c r="P66" i="9"/>
  <c r="P107" i="9"/>
  <c r="P92" i="9"/>
  <c r="R40" i="9"/>
  <c r="P49" i="9"/>
  <c r="P91" i="9"/>
  <c r="P97" i="9"/>
  <c r="P123" i="9"/>
  <c r="P202" i="9"/>
  <c r="P213" i="9"/>
  <c r="P22" i="9"/>
  <c r="P113" i="9"/>
  <c r="P207" i="9"/>
  <c r="P204" i="9"/>
  <c r="P124" i="9"/>
  <c r="R68" i="9"/>
  <c r="R22" i="9"/>
  <c r="P17" i="9"/>
  <c r="P41" i="9"/>
  <c r="P15" i="9"/>
  <c r="R38" i="9"/>
  <c r="P90" i="9"/>
  <c r="P45" i="9"/>
  <c r="P122" i="9"/>
  <c r="P54" i="9"/>
  <c r="P209" i="9"/>
  <c r="P36" i="9"/>
  <c r="P125" i="9"/>
  <c r="R24" i="9"/>
  <c r="P43" i="9"/>
  <c r="R84" i="9"/>
  <c r="R70" i="9"/>
  <c r="R105" i="9"/>
  <c r="P208" i="9"/>
  <c r="P87" i="9"/>
  <c r="P200" i="9"/>
  <c r="X8" i="9"/>
  <c r="X54" i="9" s="1"/>
  <c r="P211" i="9"/>
  <c r="P18" i="9"/>
  <c r="P70" i="9"/>
  <c r="P68" i="9"/>
  <c r="R109" i="9"/>
  <c r="P48" i="9"/>
  <c r="P111" i="9"/>
  <c r="P116" i="9"/>
  <c r="P25" i="9"/>
  <c r="P106" i="9"/>
  <c r="R201" i="9"/>
  <c r="P86" i="9"/>
  <c r="R72" i="9"/>
  <c r="R48" i="9"/>
  <c r="P115" i="9"/>
  <c r="R213" i="9"/>
  <c r="R16" i="9"/>
  <c r="P117" i="9"/>
  <c r="P112" i="9"/>
  <c r="P95" i="9"/>
  <c r="P16" i="9"/>
  <c r="P65" i="9"/>
  <c r="R101" i="9"/>
  <c r="P27" i="9"/>
  <c r="U8" i="9"/>
  <c r="U108" i="9" s="1"/>
  <c r="R42" i="9"/>
  <c r="P121" i="9"/>
  <c r="R119" i="9"/>
  <c r="P19" i="9"/>
  <c r="P210" i="9"/>
  <c r="R28" i="9"/>
  <c r="P89" i="9"/>
  <c r="P50" i="9"/>
  <c r="P96" i="9"/>
  <c r="R121" i="9"/>
  <c r="R125" i="9"/>
  <c r="R89" i="9"/>
  <c r="P81" i="9"/>
  <c r="R78" i="9"/>
  <c r="P38" i="9"/>
  <c r="P84" i="9"/>
  <c r="R95" i="9"/>
  <c r="P71" i="9"/>
  <c r="R86" i="9"/>
  <c r="P21" i="9"/>
  <c r="P51" i="9"/>
  <c r="R97" i="9"/>
  <c r="P35" i="9"/>
  <c r="R46" i="9"/>
  <c r="P119" i="9"/>
  <c r="P32" i="9"/>
  <c r="R36" i="9"/>
  <c r="R52" i="9"/>
  <c r="R44" i="9"/>
  <c r="P64" i="9"/>
  <c r="R32" i="9"/>
  <c r="P58" i="9"/>
  <c r="P55" i="9"/>
  <c r="R26" i="9"/>
  <c r="R34" i="9"/>
  <c r="R211" i="9"/>
  <c r="R66" i="9"/>
  <c r="R60" i="9"/>
  <c r="P60" i="9"/>
  <c r="P77" i="9"/>
  <c r="R91" i="9"/>
  <c r="P29" i="9"/>
  <c r="R99" i="9"/>
  <c r="P23" i="9"/>
  <c r="R117" i="9"/>
  <c r="P24" i="9"/>
  <c r="R199" i="9"/>
  <c r="P26" i="9"/>
  <c r="R118" i="9"/>
  <c r="R102" i="9"/>
  <c r="R94" i="9"/>
  <c r="R77" i="9"/>
  <c r="R69" i="9"/>
  <c r="R61" i="9"/>
  <c r="R45" i="9"/>
  <c r="R37" i="9"/>
  <c r="R29" i="9"/>
  <c r="R21" i="9"/>
  <c r="R17" i="9"/>
  <c r="R208" i="9"/>
  <c r="R120" i="9"/>
  <c r="R104" i="9"/>
  <c r="R96" i="9"/>
  <c r="R71" i="9"/>
  <c r="R55" i="9"/>
  <c r="R47" i="9"/>
  <c r="R31" i="9"/>
  <c r="R23" i="9"/>
  <c r="R18" i="9"/>
  <c r="R210" i="9"/>
  <c r="R122" i="9"/>
  <c r="R114" i="9"/>
  <c r="R98" i="9"/>
  <c r="R81" i="9"/>
  <c r="R19" i="9"/>
  <c r="R14" i="9"/>
  <c r="F38" i="10" s="1"/>
  <c r="H96" i="7" s="1"/>
  <c r="R212" i="9"/>
  <c r="R108" i="9"/>
  <c r="R75" i="9"/>
  <c r="R67" i="9"/>
  <c r="R51" i="9"/>
  <c r="R35" i="9"/>
  <c r="R20" i="9"/>
  <c r="G40" i="2"/>
  <c r="H9" i="7"/>
  <c r="H87" i="7"/>
  <c r="I87" i="7" s="1"/>
  <c r="J87" i="7" s="1"/>
  <c r="K87" i="7" s="1"/>
  <c r="L87" i="7" s="1"/>
  <c r="I8" i="7"/>
  <c r="F55" i="10"/>
  <c r="G12" i="10" s="1"/>
  <c r="G55" i="10" s="1"/>
  <c r="H12" i="10" s="1"/>
  <c r="H55" i="10" s="1"/>
  <c r="I12" i="10" s="1"/>
  <c r="I55" i="10" s="1"/>
  <c r="J12" i="10" s="1"/>
  <c r="I35" i="11"/>
  <c r="H38" i="11"/>
  <c r="G32" i="16"/>
  <c r="J96" i="3"/>
  <c r="J93" i="2"/>
  <c r="I94" i="2"/>
  <c r="T13" i="21"/>
  <c r="L19" i="21"/>
  <c r="T19" i="21" s="1"/>
  <c r="E185" i="19"/>
  <c r="F185" i="19" s="1"/>
  <c r="J21" i="3"/>
  <c r="I21" i="3"/>
  <c r="E145" i="6"/>
  <c r="H107" i="4"/>
  <c r="AF107" i="4" s="1"/>
  <c r="Y99" i="6"/>
  <c r="T61" i="9"/>
  <c r="H92" i="4"/>
  <c r="AF92" i="4" s="1"/>
  <c r="T36" i="9"/>
  <c r="T46" i="9"/>
  <c r="F56" i="10"/>
  <c r="G13" i="10" s="1"/>
  <c r="G56" i="10" s="1"/>
  <c r="H13" i="10" s="1"/>
  <c r="F57" i="10"/>
  <c r="G14" i="10" s="1"/>
  <c r="G57" i="10" s="1"/>
  <c r="H14" i="10" s="1"/>
  <c r="H57" i="10" s="1"/>
  <c r="I14" i="10" s="1"/>
  <c r="I57" i="10" s="1"/>
  <c r="J14" i="10" s="1"/>
  <c r="J57" i="10" s="1"/>
  <c r="Y26" i="4"/>
  <c r="L26" i="3"/>
  <c r="F40" i="16"/>
  <c r="AG67" i="4"/>
  <c r="AH67" i="4" s="1"/>
  <c r="AG57" i="6"/>
  <c r="AH57" i="6" s="1"/>
  <c r="F90" i="6"/>
  <c r="AG124" i="5"/>
  <c r="AH124" i="5" s="1"/>
  <c r="F192" i="5"/>
  <c r="AG192" i="5" s="1"/>
  <c r="AH192" i="5" s="1"/>
  <c r="AG106" i="5"/>
  <c r="AH106" i="5" s="1"/>
  <c r="F174" i="5"/>
  <c r="AG174" i="5" s="1"/>
  <c r="AH174" i="5" s="1"/>
  <c r="AG94" i="5"/>
  <c r="AH94" i="5" s="1"/>
  <c r="F162" i="5"/>
  <c r="AG162" i="5" s="1"/>
  <c r="AH162" i="5" s="1"/>
  <c r="G127" i="2"/>
  <c r="G124" i="2" s="1"/>
  <c r="I20" i="12"/>
  <c r="I21" i="12"/>
  <c r="K116" i="7"/>
  <c r="I25" i="11" s="1"/>
  <c r="H30" i="16" s="1"/>
  <c r="I48" i="12"/>
  <c r="F166" i="5"/>
  <c r="AG166" i="5" s="1"/>
  <c r="AH166" i="5" s="1"/>
  <c r="W84" i="19"/>
  <c r="F184" i="19"/>
  <c r="AI95" i="5"/>
  <c r="AJ95" i="5" s="1"/>
  <c r="AK95" i="5" s="1"/>
  <c r="AL95" i="5" s="1"/>
  <c r="AM95" i="5" s="1"/>
  <c r="J34" i="3"/>
  <c r="J31" i="3"/>
  <c r="K156" i="3"/>
  <c r="H21" i="3"/>
  <c r="K34" i="2"/>
  <c r="K30" i="2"/>
  <c r="H84" i="2"/>
  <c r="H42" i="16"/>
  <c r="K26" i="2"/>
  <c r="I42" i="16" s="1"/>
  <c r="I35" i="3"/>
  <c r="F44" i="16"/>
  <c r="I34" i="3"/>
  <c r="F52" i="14"/>
  <c r="I32" i="3"/>
  <c r="F53" i="14"/>
  <c r="K25" i="2"/>
  <c r="H41" i="16"/>
  <c r="J27" i="2"/>
  <c r="G53" i="2"/>
  <c r="G60" i="2" s="1"/>
  <c r="H23" i="3"/>
  <c r="H31" i="3"/>
  <c r="H35" i="3"/>
  <c r="H34" i="3"/>
  <c r="H32" i="3"/>
  <c r="G36" i="2"/>
  <c r="H62" i="2"/>
  <c r="I43" i="3"/>
  <c r="I37" i="10"/>
  <c r="K95" i="7" s="1"/>
  <c r="G231" i="5"/>
  <c r="AI231" i="5" s="1"/>
  <c r="AJ231" i="5" s="1"/>
  <c r="AI164" i="5"/>
  <c r="AJ164" i="5" s="1"/>
  <c r="AK164" i="5" s="1"/>
  <c r="AL164" i="5" s="1"/>
  <c r="G290" i="5"/>
  <c r="AI290" i="5" s="1"/>
  <c r="AI223" i="5"/>
  <c r="AJ223" i="5" s="1"/>
  <c r="AK223" i="5" s="1"/>
  <c r="AL223" i="5" s="1"/>
  <c r="G286" i="5"/>
  <c r="AI286" i="5" s="1"/>
  <c r="AI219" i="5"/>
  <c r="AJ219" i="5" s="1"/>
  <c r="AK219" i="5" s="1"/>
  <c r="AL219" i="5" s="1"/>
  <c r="J264" i="5"/>
  <c r="G337" i="5"/>
  <c r="E254" i="5"/>
  <c r="F179" i="5"/>
  <c r="AG179" i="5" s="1"/>
  <c r="AH179" i="5" s="1"/>
  <c r="G196" i="5"/>
  <c r="F167" i="5"/>
  <c r="AG167" i="5" s="1"/>
  <c r="AH167" i="5" s="1"/>
  <c r="F152" i="5"/>
  <c r="AG152" i="5" s="1"/>
  <c r="AH152" i="5" s="1"/>
  <c r="AI204" i="5"/>
  <c r="AJ204" i="5" s="1"/>
  <c r="AK204" i="5" s="1"/>
  <c r="AL204" i="5" s="1"/>
  <c r="G192" i="5"/>
  <c r="AI92" i="5"/>
  <c r="AJ92" i="5" s="1"/>
  <c r="AK92" i="5" s="1"/>
  <c r="AL92" i="5" s="1"/>
  <c r="AM92" i="5" s="1"/>
  <c r="G229" i="5"/>
  <c r="G296" i="5" s="1"/>
  <c r="AI296" i="5" s="1"/>
  <c r="E195" i="5"/>
  <c r="AI96" i="5"/>
  <c r="AJ96" i="5" s="1"/>
  <c r="AK96" i="5" s="1"/>
  <c r="AL96" i="5" s="1"/>
  <c r="AM96" i="5" s="1"/>
  <c r="AI156" i="5"/>
  <c r="AJ156" i="5" s="1"/>
  <c r="AK156" i="5" s="1"/>
  <c r="AL156" i="5" s="1"/>
  <c r="H198" i="5"/>
  <c r="F230" i="5"/>
  <c r="AI120" i="5"/>
  <c r="AJ120" i="5" s="1"/>
  <c r="AK120" i="5" s="1"/>
  <c r="AL120" i="5" s="1"/>
  <c r="AM120" i="5" s="1"/>
  <c r="F183" i="5"/>
  <c r="F171" i="5"/>
  <c r="AG171" i="5" s="1"/>
  <c r="AH171" i="5" s="1"/>
  <c r="G184" i="5"/>
  <c r="AI136" i="5"/>
  <c r="AJ136" i="5" s="1"/>
  <c r="AK136" i="5" s="1"/>
  <c r="AL136" i="5" s="1"/>
  <c r="AM136" i="5" s="1"/>
  <c r="F187" i="5"/>
  <c r="AG187" i="5" s="1"/>
  <c r="AH187" i="5" s="1"/>
  <c r="AG123" i="5"/>
  <c r="AH123" i="5" s="1"/>
  <c r="G176" i="5"/>
  <c r="AI104" i="5"/>
  <c r="AJ104" i="5" s="1"/>
  <c r="AK104" i="5" s="1"/>
  <c r="AL104" i="5" s="1"/>
  <c r="AM104" i="5" s="1"/>
  <c r="AI88" i="5"/>
  <c r="AJ88" i="5" s="1"/>
  <c r="AK88" i="5" s="1"/>
  <c r="AL88" i="5" s="1"/>
  <c r="AM88" i="5" s="1"/>
  <c r="AI89" i="5"/>
  <c r="AJ89" i="5" s="1"/>
  <c r="AK89" i="5" s="1"/>
  <c r="AL89" i="5" s="1"/>
  <c r="AM89" i="5" s="1"/>
  <c r="J221" i="5"/>
  <c r="G288" i="5"/>
  <c r="AI288" i="5" s="1"/>
  <c r="F266" i="5"/>
  <c r="AG266" i="5" s="1"/>
  <c r="AH266" i="5" s="1"/>
  <c r="X123" i="9"/>
  <c r="X213" i="9"/>
  <c r="X201" i="9"/>
  <c r="X203" i="9"/>
  <c r="X85" i="9"/>
  <c r="X18" i="9"/>
  <c r="AI230" i="5"/>
  <c r="AJ230" i="5" s="1"/>
  <c r="AK230" i="5" s="1"/>
  <c r="AL230" i="5" s="1"/>
  <c r="G331" i="5"/>
  <c r="G303" i="5"/>
  <c r="F83" i="6"/>
  <c r="Y94" i="6"/>
  <c r="X91" i="9"/>
  <c r="X70" i="9"/>
  <c r="X39" i="9"/>
  <c r="X50" i="9"/>
  <c r="X22" i="9"/>
  <c r="X90" i="9"/>
  <c r="AI233" i="5"/>
  <c r="AJ233" i="5" s="1"/>
  <c r="AK233" i="5" s="1"/>
  <c r="AL233" i="5" s="1"/>
  <c r="AI317" i="5"/>
  <c r="AI236" i="5"/>
  <c r="AJ236" i="5" s="1"/>
  <c r="AK236" i="5" s="1"/>
  <c r="AL236" i="5" s="1"/>
  <c r="F195" i="5"/>
  <c r="AG195" i="5" s="1"/>
  <c r="AH195" i="5" s="1"/>
  <c r="F173" i="5"/>
  <c r="AG173" i="5" s="1"/>
  <c r="AH173" i="5" s="1"/>
  <c r="E76" i="5"/>
  <c r="F169" i="5"/>
  <c r="AI85" i="5"/>
  <c r="AJ85" i="5" s="1"/>
  <c r="AK85" i="5" s="1"/>
  <c r="AL85" i="5" s="1"/>
  <c r="AM85" i="5" s="1"/>
  <c r="X49" i="9"/>
  <c r="X75" i="9"/>
  <c r="X45" i="9"/>
  <c r="X202" i="9"/>
  <c r="X53" i="9"/>
  <c r="X120" i="9"/>
  <c r="X43" i="9"/>
  <c r="X83" i="9"/>
  <c r="X209" i="9"/>
  <c r="X77" i="9"/>
  <c r="X212" i="9"/>
  <c r="F119" i="6"/>
  <c r="AI180" i="5"/>
  <c r="AJ180" i="5" s="1"/>
  <c r="AK180" i="5" s="1"/>
  <c r="AL180" i="5" s="1"/>
  <c r="AI112" i="5"/>
  <c r="AJ112" i="5" s="1"/>
  <c r="AK112" i="5" s="1"/>
  <c r="AL112" i="5" s="1"/>
  <c r="AM112" i="5" s="1"/>
  <c r="AJ193" i="5"/>
  <c r="AK193" i="5" s="1"/>
  <c r="AL193" i="5" s="1"/>
  <c r="AJ201" i="5"/>
  <c r="AK201" i="5" s="1"/>
  <c r="AL201" i="5" s="1"/>
  <c r="AJ162" i="5"/>
  <c r="AK162" i="5" s="1"/>
  <c r="AL162" i="5" s="1"/>
  <c r="AM162" i="5" s="1"/>
  <c r="AJ163" i="5"/>
  <c r="AK163" i="5" s="1"/>
  <c r="AL163" i="5" s="1"/>
  <c r="AM163" i="5" s="1"/>
  <c r="AJ166" i="5"/>
  <c r="AK166" i="5" s="1"/>
  <c r="AL166" i="5" s="1"/>
  <c r="AJ174" i="5"/>
  <c r="AK174" i="5" s="1"/>
  <c r="AL174" i="5" s="1"/>
  <c r="AM174" i="5" s="1"/>
  <c r="AJ170" i="5"/>
  <c r="AK170" i="5" s="1"/>
  <c r="AL170" i="5" s="1"/>
  <c r="AJ154" i="5"/>
  <c r="AK154" i="5" s="1"/>
  <c r="AL154" i="5" s="1"/>
  <c r="AM154" i="5" s="1"/>
  <c r="AJ155" i="5"/>
  <c r="AK155" i="5" s="1"/>
  <c r="AL155" i="5" s="1"/>
  <c r="AJ159" i="5"/>
  <c r="AK159" i="5" s="1"/>
  <c r="AL159" i="5" s="1"/>
  <c r="AJ182" i="5"/>
  <c r="AK182" i="5" s="1"/>
  <c r="AL182" i="5" s="1"/>
  <c r="AM182" i="5" s="1"/>
  <c r="H8" i="12"/>
  <c r="G8" i="11"/>
  <c r="I20" i="2"/>
  <c r="I74" i="2" s="1"/>
  <c r="J9" i="3"/>
  <c r="I149" i="3" s="1"/>
  <c r="J149" i="3" s="1"/>
  <c r="K149" i="3" s="1"/>
  <c r="L149" i="3" s="1"/>
  <c r="F16" i="16"/>
  <c r="G16" i="16" s="1"/>
  <c r="H16" i="16" s="1"/>
  <c r="I16" i="16" s="1"/>
  <c r="G26" i="10"/>
  <c r="F242" i="5"/>
  <c r="AG242" i="5" s="1"/>
  <c r="AH242" i="5" s="1"/>
  <c r="G266" i="5"/>
  <c r="AI199" i="5"/>
  <c r="AJ199" i="5" s="1"/>
  <c r="AK199" i="5" s="1"/>
  <c r="AL199" i="5" s="1"/>
  <c r="J259" i="5"/>
  <c r="F231" i="5"/>
  <c r="AG231" i="5" s="1"/>
  <c r="AH231" i="5" s="1"/>
  <c r="G269" i="5"/>
  <c r="AI202" i="5"/>
  <c r="AJ202" i="5" s="1"/>
  <c r="AK202" i="5" s="1"/>
  <c r="AL202" i="5" s="1"/>
  <c r="AG107" i="5"/>
  <c r="AH107" i="5" s="1"/>
  <c r="F60" i="10"/>
  <c r="G17" i="10" s="1"/>
  <c r="G60" i="10" s="1"/>
  <c r="H17" i="10" s="1"/>
  <c r="H60" i="10" s="1"/>
  <c r="I17" i="10" s="1"/>
  <c r="I60" i="10" s="1"/>
  <c r="J17" i="10" s="1"/>
  <c r="J60" i="10" s="1"/>
  <c r="F100" i="6"/>
  <c r="J172" i="5"/>
  <c r="F203" i="5"/>
  <c r="AG203" i="5" s="1"/>
  <c r="AH203" i="5" s="1"/>
  <c r="L188" i="19"/>
  <c r="L189" i="19" s="1"/>
  <c r="L190" i="19" s="1"/>
  <c r="L191" i="19" s="1"/>
  <c r="L192" i="19" s="1"/>
  <c r="L193" i="19" s="1"/>
  <c r="L194" i="19" s="1"/>
  <c r="L195" i="19" s="1"/>
  <c r="L196" i="19" s="1"/>
  <c r="L197" i="19" s="1"/>
  <c r="L198" i="19" s="1"/>
  <c r="L199" i="19" s="1"/>
  <c r="L200" i="19" s="1"/>
  <c r="L201" i="19" s="1"/>
  <c r="L202" i="19" s="1"/>
  <c r="L203" i="19" s="1"/>
  <c r="L204" i="19" s="1"/>
  <c r="L205" i="19" s="1"/>
  <c r="L206" i="19" s="1"/>
  <c r="L207" i="19" s="1"/>
  <c r="L208" i="19" s="1"/>
  <c r="L209" i="19" s="1"/>
  <c r="L210" i="19" s="1"/>
  <c r="L211" i="19" s="1"/>
  <c r="L212" i="19" s="1"/>
  <c r="L213" i="19" s="1"/>
  <c r="L214" i="19" s="1"/>
  <c r="L215" i="19" s="1"/>
  <c r="L216" i="19" s="1"/>
  <c r="L217" i="19" s="1"/>
  <c r="L218" i="19" s="1"/>
  <c r="L219" i="19" s="1"/>
  <c r="L220" i="19" s="1"/>
  <c r="L221" i="19" s="1"/>
  <c r="L222" i="19" s="1"/>
  <c r="L223" i="19" s="1"/>
  <c r="L224" i="19" s="1"/>
  <c r="L225" i="19" s="1"/>
  <c r="L226" i="19" s="1"/>
  <c r="L227" i="19" s="1"/>
  <c r="AJ35" i="5"/>
  <c r="AK35" i="5" s="1"/>
  <c r="AL35" i="5" s="1"/>
  <c r="AM35" i="5" s="1"/>
  <c r="AJ58" i="5"/>
  <c r="AK58" i="5" s="1"/>
  <c r="AL58" i="5" s="1"/>
  <c r="AM58" i="5" s="1"/>
  <c r="AJ63" i="5"/>
  <c r="AK63" i="5" s="1"/>
  <c r="AL63" i="5" s="1"/>
  <c r="AM63" i="5" s="1"/>
  <c r="AJ47" i="5"/>
  <c r="AK47" i="5" s="1"/>
  <c r="AL47" i="5" s="1"/>
  <c r="AM47" i="5" s="1"/>
  <c r="AJ60" i="5"/>
  <c r="AK60" i="5" s="1"/>
  <c r="AL60" i="5" s="1"/>
  <c r="AM60" i="5" s="1"/>
  <c r="AJ26" i="5"/>
  <c r="AK26" i="5" s="1"/>
  <c r="AL26" i="5" s="1"/>
  <c r="AM26" i="5" s="1"/>
  <c r="AJ24" i="5"/>
  <c r="AK24" i="5" s="1"/>
  <c r="AL24" i="5" s="1"/>
  <c r="AM24" i="5" s="1"/>
  <c r="AJ27" i="5"/>
  <c r="AK27" i="5" s="1"/>
  <c r="AL27" i="5" s="1"/>
  <c r="AM27" i="5" s="1"/>
  <c r="AJ29" i="5"/>
  <c r="AK29" i="5" s="1"/>
  <c r="AL29" i="5" s="1"/>
  <c r="AM29" i="5" s="1"/>
  <c r="AJ43" i="5"/>
  <c r="AK43" i="5" s="1"/>
  <c r="AL43" i="5" s="1"/>
  <c r="AM43" i="5" s="1"/>
  <c r="AJ66" i="5"/>
  <c r="AK66" i="5" s="1"/>
  <c r="AL66" i="5" s="1"/>
  <c r="AM66" i="5" s="1"/>
  <c r="AJ32" i="5"/>
  <c r="AK32" i="5" s="1"/>
  <c r="AL32" i="5" s="1"/>
  <c r="AM32" i="5" s="1"/>
  <c r="AJ45" i="5"/>
  <c r="AK45" i="5" s="1"/>
  <c r="AL45" i="5" s="1"/>
  <c r="AM45" i="5" s="1"/>
  <c r="AJ69" i="5"/>
  <c r="AK69" i="5" s="1"/>
  <c r="AL69" i="5" s="1"/>
  <c r="AM69" i="5" s="1"/>
  <c r="AJ40" i="5"/>
  <c r="AK40" i="5" s="1"/>
  <c r="AL40" i="5" s="1"/>
  <c r="AM40" i="5" s="1"/>
  <c r="AJ28" i="5"/>
  <c r="AK28" i="5" s="1"/>
  <c r="AL28" i="5" s="1"/>
  <c r="AM28" i="5" s="1"/>
  <c r="AJ31" i="5"/>
  <c r="AK31" i="5" s="1"/>
  <c r="AL31" i="5" s="1"/>
  <c r="AM31" i="5" s="1"/>
  <c r="AJ59" i="5"/>
  <c r="AK59" i="5" s="1"/>
  <c r="AL59" i="5" s="1"/>
  <c r="AM59" i="5" s="1"/>
  <c r="AJ44" i="5"/>
  <c r="AK44" i="5" s="1"/>
  <c r="AL44" i="5" s="1"/>
  <c r="AM44" i="5" s="1"/>
  <c r="AJ67" i="5"/>
  <c r="AK67" i="5" s="1"/>
  <c r="AL67" i="5" s="1"/>
  <c r="AM67" i="5" s="1"/>
  <c r="AJ33" i="5"/>
  <c r="AK33" i="5" s="1"/>
  <c r="AL33" i="5" s="1"/>
  <c r="AM33" i="5" s="1"/>
  <c r="AJ36" i="5"/>
  <c r="AK36" i="5" s="1"/>
  <c r="AL36" i="5" s="1"/>
  <c r="AM36" i="5" s="1"/>
  <c r="AJ53" i="5"/>
  <c r="AK53" i="5" s="1"/>
  <c r="AL53" i="5" s="1"/>
  <c r="AM53" i="5" s="1"/>
  <c r="AJ64" i="5"/>
  <c r="AK64" i="5" s="1"/>
  <c r="AL64" i="5" s="1"/>
  <c r="AM64" i="5" s="1"/>
  <c r="AJ22" i="5"/>
  <c r="AK22" i="5" s="1"/>
  <c r="AL22" i="5" s="1"/>
  <c r="AM22" i="5" s="1"/>
  <c r="AJ20" i="5"/>
  <c r="AK20" i="5" s="1"/>
  <c r="AL20" i="5" s="1"/>
  <c r="AM20" i="5" s="1"/>
  <c r="AJ23" i="5"/>
  <c r="AK23" i="5" s="1"/>
  <c r="AL23" i="5" s="1"/>
  <c r="AM23" i="5" s="1"/>
  <c r="AJ25" i="5"/>
  <c r="AK25" i="5" s="1"/>
  <c r="AL25" i="5" s="1"/>
  <c r="AM25" i="5" s="1"/>
  <c r="AJ51" i="5"/>
  <c r="AK51" i="5" s="1"/>
  <c r="AL51" i="5" s="1"/>
  <c r="AM51" i="5" s="1"/>
  <c r="AJ50" i="5"/>
  <c r="AK50" i="5" s="1"/>
  <c r="AL50" i="5" s="1"/>
  <c r="AM50" i="5" s="1"/>
  <c r="AJ52" i="5"/>
  <c r="AK52" i="5" s="1"/>
  <c r="AL52" i="5" s="1"/>
  <c r="AM52" i="5" s="1"/>
  <c r="AJ34" i="5"/>
  <c r="AK34" i="5" s="1"/>
  <c r="AL34" i="5" s="1"/>
  <c r="AM34" i="5" s="1"/>
  <c r="AJ62" i="5"/>
  <c r="AK62" i="5" s="1"/>
  <c r="AL62" i="5" s="1"/>
  <c r="AM62" i="5" s="1"/>
  <c r="AJ46" i="5"/>
  <c r="AK46" i="5" s="1"/>
  <c r="AL46" i="5" s="1"/>
  <c r="AM46" i="5" s="1"/>
  <c r="AJ37" i="5"/>
  <c r="AK37" i="5" s="1"/>
  <c r="AL37" i="5" s="1"/>
  <c r="AM37" i="5" s="1"/>
  <c r="AJ30" i="5"/>
  <c r="AK30" i="5" s="1"/>
  <c r="AL30" i="5" s="1"/>
  <c r="AM30" i="5" s="1"/>
  <c r="AJ17" i="5"/>
  <c r="AK17" i="5" s="1"/>
  <c r="AL17" i="5" s="1"/>
  <c r="AM17" i="5" s="1"/>
  <c r="AJ48" i="5"/>
  <c r="AK48" i="5" s="1"/>
  <c r="AL48" i="5" s="1"/>
  <c r="AM48" i="5" s="1"/>
  <c r="AJ57" i="5"/>
  <c r="AK57" i="5" s="1"/>
  <c r="AL57" i="5" s="1"/>
  <c r="AM57" i="5" s="1"/>
  <c r="AJ39" i="5"/>
  <c r="AK39" i="5" s="1"/>
  <c r="AL39" i="5" s="1"/>
  <c r="AM39" i="5" s="1"/>
  <c r="AJ41" i="5"/>
  <c r="AK41" i="5" s="1"/>
  <c r="AL41" i="5" s="1"/>
  <c r="AM41" i="5" s="1"/>
  <c r="AJ65" i="5"/>
  <c r="AK65" i="5" s="1"/>
  <c r="AL65" i="5" s="1"/>
  <c r="AM65" i="5" s="1"/>
  <c r="AJ70" i="5"/>
  <c r="AK70" i="5" s="1"/>
  <c r="AL70" i="5" s="1"/>
  <c r="AM70" i="5" s="1"/>
  <c r="AJ18" i="5"/>
  <c r="AK18" i="5" s="1"/>
  <c r="AL18" i="5" s="1"/>
  <c r="AM18" i="5" s="1"/>
  <c r="AJ16" i="5"/>
  <c r="AK16" i="5" s="1"/>
  <c r="AL16" i="5" s="1"/>
  <c r="AM16" i="5" s="1"/>
  <c r="AJ19" i="5"/>
  <c r="AK19" i="5" s="1"/>
  <c r="AL19" i="5" s="1"/>
  <c r="AM19" i="5" s="1"/>
  <c r="AJ21" i="5"/>
  <c r="AK21" i="5" s="1"/>
  <c r="AL21" i="5" s="1"/>
  <c r="AM21" i="5" s="1"/>
  <c r="E9" i="6"/>
  <c r="AJ61" i="5"/>
  <c r="AK61" i="5" s="1"/>
  <c r="AL61" i="5" s="1"/>
  <c r="AM61" i="5" s="1"/>
  <c r="AJ54" i="5"/>
  <c r="AK54" i="5" s="1"/>
  <c r="AL54" i="5" s="1"/>
  <c r="AM54" i="5" s="1"/>
  <c r="AJ38" i="5"/>
  <c r="AK38" i="5" s="1"/>
  <c r="AL38" i="5" s="1"/>
  <c r="AM38" i="5" s="1"/>
  <c r="AJ55" i="5"/>
  <c r="AK55" i="5" s="1"/>
  <c r="AL55" i="5" s="1"/>
  <c r="AM55" i="5" s="1"/>
  <c r="AJ56" i="5"/>
  <c r="AK56" i="5" s="1"/>
  <c r="AL56" i="5" s="1"/>
  <c r="AM56" i="5" s="1"/>
  <c r="AJ42" i="5"/>
  <c r="AK42" i="5" s="1"/>
  <c r="AL42" i="5" s="1"/>
  <c r="AM42" i="5" s="1"/>
  <c r="AJ68" i="5"/>
  <c r="AK68" i="5" s="1"/>
  <c r="AL68" i="5" s="1"/>
  <c r="AM68" i="5" s="1"/>
  <c r="AJ49" i="5"/>
  <c r="AK49" i="5" s="1"/>
  <c r="AL49" i="5" s="1"/>
  <c r="AM49" i="5" s="1"/>
  <c r="F258" i="5"/>
  <c r="AG258" i="5" s="1"/>
  <c r="AH258" i="5" s="1"/>
  <c r="AI177" i="5"/>
  <c r="AJ177" i="5" s="1"/>
  <c r="AK177" i="5" s="1"/>
  <c r="AL177" i="5" s="1"/>
  <c r="G244" i="5"/>
  <c r="G245" i="5"/>
  <c r="AI178" i="5"/>
  <c r="AJ178" i="5" s="1"/>
  <c r="AK178" i="5" s="1"/>
  <c r="AL178" i="5" s="1"/>
  <c r="E269" i="5"/>
  <c r="AI93" i="5"/>
  <c r="AJ93" i="5" s="1"/>
  <c r="AK93" i="5" s="1"/>
  <c r="AL93" i="5" s="1"/>
  <c r="AM93" i="5" s="1"/>
  <c r="AG89" i="6"/>
  <c r="AH89" i="6" s="1"/>
  <c r="G222" i="5"/>
  <c r="F37" i="10"/>
  <c r="AG121" i="6"/>
  <c r="AH121" i="6" s="1"/>
  <c r="F153" i="6"/>
  <c r="AG153" i="6" s="1"/>
  <c r="AH153" i="6" s="1"/>
  <c r="F239" i="5"/>
  <c r="AG239" i="5" s="1"/>
  <c r="AH239" i="5" s="1"/>
  <c r="AI206" i="5"/>
  <c r="AJ206" i="5" s="1"/>
  <c r="AK206" i="5" s="1"/>
  <c r="AL206" i="5" s="1"/>
  <c r="AM206" i="5" s="1"/>
  <c r="G273" i="5"/>
  <c r="AJ86" i="5"/>
  <c r="AK86" i="5" s="1"/>
  <c r="AL86" i="5" s="1"/>
  <c r="AM86" i="5" s="1"/>
  <c r="AJ113" i="5"/>
  <c r="AK113" i="5" s="1"/>
  <c r="AL113" i="5" s="1"/>
  <c r="AM113" i="5" s="1"/>
  <c r="AJ100" i="5"/>
  <c r="AK100" i="5" s="1"/>
  <c r="AL100" i="5" s="1"/>
  <c r="AM100" i="5" s="1"/>
  <c r="AJ124" i="5"/>
  <c r="AK124" i="5" s="1"/>
  <c r="AL124" i="5" s="1"/>
  <c r="AM124" i="5" s="1"/>
  <c r="AJ116" i="5"/>
  <c r="AK116" i="5" s="1"/>
  <c r="AL116" i="5" s="1"/>
  <c r="AM116" i="5" s="1"/>
  <c r="AJ90" i="5"/>
  <c r="AK90" i="5" s="1"/>
  <c r="AL90" i="5" s="1"/>
  <c r="AM90" i="5" s="1"/>
  <c r="G252" i="5"/>
  <c r="AI185" i="5"/>
  <c r="AJ185" i="5" s="1"/>
  <c r="AK185" i="5" s="1"/>
  <c r="AL185" i="5" s="1"/>
  <c r="AI171" i="5"/>
  <c r="AJ171" i="5" s="1"/>
  <c r="AK171" i="5" s="1"/>
  <c r="AL171" i="5" s="1"/>
  <c r="G238" i="5"/>
  <c r="AI167" i="5"/>
  <c r="AJ167" i="5" s="1"/>
  <c r="AK167" i="5" s="1"/>
  <c r="AL167" i="5" s="1"/>
  <c r="G234" i="5"/>
  <c r="J241" i="5"/>
  <c r="G257" i="5"/>
  <c r="AI190" i="5"/>
  <c r="AJ190" i="5" s="1"/>
  <c r="AK190" i="5" s="1"/>
  <c r="AL190" i="5" s="1"/>
  <c r="AM190" i="5" s="1"/>
  <c r="G253" i="5"/>
  <c r="AI186" i="5"/>
  <c r="AJ186" i="5" s="1"/>
  <c r="AK186" i="5" s="1"/>
  <c r="AL186" i="5" s="1"/>
  <c r="AI172" i="5"/>
  <c r="AJ172" i="5" s="1"/>
  <c r="AK172" i="5" s="1"/>
  <c r="AL172" i="5" s="1"/>
  <c r="G239" i="5"/>
  <c r="J257" i="5"/>
  <c r="AI195" i="5"/>
  <c r="AJ195" i="5" s="1"/>
  <c r="AK195" i="5" s="1"/>
  <c r="AL195" i="5" s="1"/>
  <c r="AM195" i="5" s="1"/>
  <c r="G258" i="5"/>
  <c r="AI191" i="5"/>
  <c r="AJ191" i="5" s="1"/>
  <c r="AK191" i="5" s="1"/>
  <c r="AL191" i="5" s="1"/>
  <c r="G254" i="5"/>
  <c r="AI187" i="5"/>
  <c r="AJ187" i="5" s="1"/>
  <c r="AK187" i="5" s="1"/>
  <c r="AL187" i="5" s="1"/>
  <c r="AI173" i="5"/>
  <c r="AJ173" i="5" s="1"/>
  <c r="AK173" i="5" s="1"/>
  <c r="AL173" i="5" s="1"/>
  <c r="G240" i="5"/>
  <c r="J273" i="5"/>
  <c r="J243" i="5"/>
  <c r="H26" i="10"/>
  <c r="H33" i="2"/>
  <c r="E93" i="6"/>
  <c r="F88" i="6"/>
  <c r="AI97" i="5"/>
  <c r="AJ97" i="5" s="1"/>
  <c r="AK97" i="5" s="1"/>
  <c r="AL97" i="5" s="1"/>
  <c r="AM97" i="5" s="1"/>
  <c r="Y71" i="5"/>
  <c r="AI84" i="5"/>
  <c r="AJ84" i="5" s="1"/>
  <c r="AK84" i="5" s="1"/>
  <c r="AL84" i="5" s="1"/>
  <c r="AM84" i="5" s="1"/>
  <c r="AG116" i="6"/>
  <c r="AH116" i="6" s="1"/>
  <c r="F148" i="6"/>
  <c r="AG148" i="6" s="1"/>
  <c r="AH148" i="6" s="1"/>
  <c r="J124" i="6"/>
  <c r="AG84" i="6"/>
  <c r="AH84" i="6" s="1"/>
  <c r="AI158" i="5"/>
  <c r="AJ158" i="5" s="1"/>
  <c r="AK158" i="5" s="1"/>
  <c r="AL158" i="5" s="1"/>
  <c r="G225" i="5"/>
  <c r="G227" i="5"/>
  <c r="AI160" i="5"/>
  <c r="AJ160" i="5" s="1"/>
  <c r="AK160" i="5" s="1"/>
  <c r="AL160" i="5" s="1"/>
  <c r="AH26" i="4"/>
  <c r="L120" i="3"/>
  <c r="K93" i="3"/>
  <c r="I62" i="11" s="1"/>
  <c r="J154" i="3"/>
  <c r="H17" i="11" s="1"/>
  <c r="G25" i="16" s="1"/>
  <c r="K77" i="3"/>
  <c r="J82" i="3"/>
  <c r="H61" i="11" s="1"/>
  <c r="AG95" i="5"/>
  <c r="AH95" i="5" s="1"/>
  <c r="AG91" i="5"/>
  <c r="J97" i="6"/>
  <c r="I152" i="5" l="1"/>
  <c r="T60" i="9"/>
  <c r="T41" i="9"/>
  <c r="T112" i="9"/>
  <c r="T78" i="9"/>
  <c r="T65" i="9"/>
  <c r="T38" i="9"/>
  <c r="T82" i="9"/>
  <c r="T116" i="9"/>
  <c r="T102" i="9"/>
  <c r="Z8" i="9"/>
  <c r="T14" i="9"/>
  <c r="H38" i="10" s="1"/>
  <c r="G26" i="13"/>
  <c r="H91" i="4"/>
  <c r="AF91" i="4" s="1"/>
  <c r="AF68" i="4"/>
  <c r="AA40" i="4"/>
  <c r="AB40" i="4"/>
  <c r="R71" i="4"/>
  <c r="I71" i="4"/>
  <c r="N71" i="4"/>
  <c r="AD71" i="4" s="1"/>
  <c r="T71" i="4"/>
  <c r="S71" i="4"/>
  <c r="P71" i="4"/>
  <c r="R70" i="4"/>
  <c r="I70" i="4"/>
  <c r="Y70" i="4" s="1"/>
  <c r="N70" i="4"/>
  <c r="AD70" i="4" s="1"/>
  <c r="T70" i="4"/>
  <c r="P70" i="4"/>
  <c r="S70" i="4"/>
  <c r="R66" i="4"/>
  <c r="I66" i="4"/>
  <c r="Y66" i="4" s="1"/>
  <c r="N66" i="4"/>
  <c r="AD66" i="4" s="1"/>
  <c r="T66" i="4"/>
  <c r="S66" i="4"/>
  <c r="P66" i="4"/>
  <c r="R69" i="4"/>
  <c r="I69" i="4"/>
  <c r="Y69" i="4" s="1"/>
  <c r="N69" i="4"/>
  <c r="AD69" i="4" s="1"/>
  <c r="P69" i="4"/>
  <c r="S69" i="4"/>
  <c r="T69" i="4"/>
  <c r="AA39" i="4"/>
  <c r="AB39" i="4"/>
  <c r="AA43" i="4"/>
  <c r="AB43" i="4"/>
  <c r="AA47" i="4"/>
  <c r="AB47" i="4"/>
  <c r="AA42" i="4"/>
  <c r="AB42" i="4"/>
  <c r="AA46" i="4"/>
  <c r="AB46" i="4"/>
  <c r="R63" i="4"/>
  <c r="I63" i="4"/>
  <c r="Y63" i="4" s="1"/>
  <c r="N63" i="4"/>
  <c r="AD63" i="4" s="1"/>
  <c r="T63" i="4"/>
  <c r="S63" i="4"/>
  <c r="P63" i="4"/>
  <c r="AA41" i="4"/>
  <c r="AB41" i="4"/>
  <c r="AA45" i="4"/>
  <c r="AB45" i="4"/>
  <c r="AA44" i="4"/>
  <c r="AB44" i="4"/>
  <c r="R67" i="4"/>
  <c r="I67" i="4"/>
  <c r="Y67" i="4" s="1"/>
  <c r="N67" i="4"/>
  <c r="AD67" i="4" s="1"/>
  <c r="T67" i="4"/>
  <c r="S67" i="4"/>
  <c r="P67" i="4"/>
  <c r="R65" i="4"/>
  <c r="I65" i="4"/>
  <c r="N65" i="4"/>
  <c r="AD65" i="4" s="1"/>
  <c r="P65" i="4"/>
  <c r="S65" i="4"/>
  <c r="T65" i="4"/>
  <c r="R64" i="4"/>
  <c r="I64" i="4"/>
  <c r="Y64" i="4" s="1"/>
  <c r="N64" i="4"/>
  <c r="AD64" i="4" s="1"/>
  <c r="S64" i="4"/>
  <c r="T64" i="4"/>
  <c r="P64" i="4"/>
  <c r="R68" i="4"/>
  <c r="I68" i="4"/>
  <c r="Y68" i="4" s="1"/>
  <c r="N68" i="4"/>
  <c r="AD68" i="4" s="1"/>
  <c r="S68" i="4"/>
  <c r="P68" i="4"/>
  <c r="T68" i="4"/>
  <c r="X63" i="9"/>
  <c r="X24" i="9"/>
  <c r="X206" i="9"/>
  <c r="X72" i="9"/>
  <c r="Z75" i="9"/>
  <c r="X80" i="9"/>
  <c r="X207" i="9"/>
  <c r="Z33" i="9"/>
  <c r="X52" i="9"/>
  <c r="X96" i="9"/>
  <c r="Z36" i="9"/>
  <c r="Z43" i="9"/>
  <c r="Z126" i="9"/>
  <c r="Z82" i="9"/>
  <c r="AA85" i="5"/>
  <c r="AB85" i="5"/>
  <c r="H220" i="5"/>
  <c r="AF153" i="5"/>
  <c r="I154" i="5"/>
  <c r="N154" i="5"/>
  <c r="AB86" i="5"/>
  <c r="AA86" i="5"/>
  <c r="I153" i="5"/>
  <c r="N153" i="5"/>
  <c r="I221" i="5"/>
  <c r="N221" i="5"/>
  <c r="AD86" i="5"/>
  <c r="AA48" i="6"/>
  <c r="AB48" i="6"/>
  <c r="I81" i="6"/>
  <c r="Y81" i="6" s="1"/>
  <c r="N81" i="6"/>
  <c r="AD81" i="6" s="1"/>
  <c r="I62" i="4"/>
  <c r="N62" i="4"/>
  <c r="AA38" i="4"/>
  <c r="AB38" i="4"/>
  <c r="AB94" i="6"/>
  <c r="AA94" i="6"/>
  <c r="AB91" i="6"/>
  <c r="AA91" i="6"/>
  <c r="AB99" i="6"/>
  <c r="AA99" i="6"/>
  <c r="N152" i="5"/>
  <c r="AM153" i="5"/>
  <c r="P85" i="5"/>
  <c r="R85" i="5" s="1"/>
  <c r="AM152" i="5"/>
  <c r="AD84" i="5"/>
  <c r="P84" i="5"/>
  <c r="AF152" i="5"/>
  <c r="Y84" i="5"/>
  <c r="F146" i="6"/>
  <c r="AG146" i="6" s="1"/>
  <c r="AH146" i="6" s="1"/>
  <c r="AG124" i="6"/>
  <c r="AH124" i="6" s="1"/>
  <c r="N68" i="6"/>
  <c r="F125" i="6"/>
  <c r="F157" i="6" s="1"/>
  <c r="AG157" i="6" s="1"/>
  <c r="AH157" i="6" s="1"/>
  <c r="J120" i="6"/>
  <c r="J152" i="6" s="1"/>
  <c r="N48" i="4"/>
  <c r="AG92" i="6"/>
  <c r="AH92" i="6" s="1"/>
  <c r="J117" i="6"/>
  <c r="J149" i="6" s="1"/>
  <c r="J127" i="6"/>
  <c r="J118" i="6"/>
  <c r="AC16" i="5"/>
  <c r="AM188" i="5"/>
  <c r="AM160" i="5"/>
  <c r="AM158" i="5"/>
  <c r="AM167" i="5"/>
  <c r="AM177" i="5"/>
  <c r="AM186" i="5"/>
  <c r="AM193" i="5"/>
  <c r="AM202" i="5"/>
  <c r="AM191" i="5"/>
  <c r="AM180" i="5"/>
  <c r="AM204" i="5"/>
  <c r="J267" i="5"/>
  <c r="J334" i="5" s="1"/>
  <c r="J240" i="5"/>
  <c r="J272" i="5"/>
  <c r="J339" i="5" s="1"/>
  <c r="AM164" i="5"/>
  <c r="AM175" i="5"/>
  <c r="J270" i="5"/>
  <c r="J337" i="5" s="1"/>
  <c r="J236" i="5"/>
  <c r="J303" i="5" s="1"/>
  <c r="N139" i="5"/>
  <c r="AM161" i="5"/>
  <c r="J250" i="5"/>
  <c r="J317" i="5" s="1"/>
  <c r="J266" i="5"/>
  <c r="J258" i="5"/>
  <c r="J242" i="5"/>
  <c r="J271" i="5"/>
  <c r="AM171" i="5"/>
  <c r="AM173" i="5"/>
  <c r="AM155" i="5"/>
  <c r="AM187" i="5"/>
  <c r="AM198" i="5"/>
  <c r="AM203" i="5"/>
  <c r="AM156" i="5"/>
  <c r="AG82" i="6"/>
  <c r="AH82" i="6" s="1"/>
  <c r="AM166" i="5"/>
  <c r="AM185" i="5"/>
  <c r="AG91" i="4"/>
  <c r="AH91" i="4" s="1"/>
  <c r="AM199" i="5"/>
  <c r="AM178" i="5"/>
  <c r="AM159" i="5"/>
  <c r="AM201" i="5"/>
  <c r="AM194" i="5"/>
  <c r="AM169" i="5"/>
  <c r="AM183" i="5"/>
  <c r="J237" i="5"/>
  <c r="Y86" i="6"/>
  <c r="Y100" i="6"/>
  <c r="J113" i="6"/>
  <c r="J219" i="5"/>
  <c r="J235" i="5"/>
  <c r="J255" i="5"/>
  <c r="J222" i="5"/>
  <c r="J256" i="5"/>
  <c r="J233" i="5"/>
  <c r="J245" i="5"/>
  <c r="J261" i="5"/>
  <c r="Y65" i="4"/>
  <c r="J164" i="6"/>
  <c r="Y82" i="6"/>
  <c r="J220" i="5"/>
  <c r="J130" i="6"/>
  <c r="J246" i="5"/>
  <c r="J262" i="5"/>
  <c r="J231" i="5"/>
  <c r="J244" i="5"/>
  <c r="J260" i="5"/>
  <c r="J229" i="5"/>
  <c r="J249" i="5"/>
  <c r="J265" i="5"/>
  <c r="J239" i="5"/>
  <c r="J288" i="5"/>
  <c r="J330" i="5"/>
  <c r="Y71" i="4"/>
  <c r="J232" i="5"/>
  <c r="J121" i="6"/>
  <c r="J122" i="6"/>
  <c r="J123" i="6"/>
  <c r="J125" i="6"/>
  <c r="J126" i="6"/>
  <c r="J128" i="6"/>
  <c r="J234" i="5"/>
  <c r="J227" i="5"/>
  <c r="J247" i="5"/>
  <c r="J230" i="5"/>
  <c r="J248" i="5"/>
  <c r="J253" i="5"/>
  <c r="J269" i="5"/>
  <c r="E86" i="4"/>
  <c r="E121" i="6"/>
  <c r="J228" i="5"/>
  <c r="J114" i="6"/>
  <c r="J115" i="6"/>
  <c r="J116" i="6"/>
  <c r="J119" i="6"/>
  <c r="J238" i="5"/>
  <c r="J254" i="5"/>
  <c r="J163" i="6"/>
  <c r="J223" i="5"/>
  <c r="J251" i="5"/>
  <c r="J226" i="5"/>
  <c r="J252" i="5"/>
  <c r="J268" i="5"/>
  <c r="AG127" i="6"/>
  <c r="AH127" i="6" s="1"/>
  <c r="AG95" i="6"/>
  <c r="AH95" i="6" s="1"/>
  <c r="AG88" i="4"/>
  <c r="AH88" i="4" s="1"/>
  <c r="J86" i="4"/>
  <c r="Y166" i="5"/>
  <c r="E250" i="5"/>
  <c r="E317" i="5" s="1"/>
  <c r="E252" i="5"/>
  <c r="E319" i="5" s="1"/>
  <c r="E264" i="5"/>
  <c r="E232" i="5"/>
  <c r="E299" i="5" s="1"/>
  <c r="E233" i="5"/>
  <c r="E300" i="5" s="1"/>
  <c r="E266" i="5"/>
  <c r="E240" i="5"/>
  <c r="E268" i="5"/>
  <c r="E335" i="5" s="1"/>
  <c r="E242" i="5"/>
  <c r="E309" i="5" s="1"/>
  <c r="Y199" i="5"/>
  <c r="E226" i="5"/>
  <c r="Y226" i="5" s="1"/>
  <c r="E225" i="5"/>
  <c r="E118" i="6"/>
  <c r="E150" i="6" s="1"/>
  <c r="Y150" i="6" s="1"/>
  <c r="E114" i="6"/>
  <c r="E127" i="6"/>
  <c r="H131" i="6"/>
  <c r="Y83" i="6"/>
  <c r="E123" i="6"/>
  <c r="E126" i="6"/>
  <c r="H116" i="6"/>
  <c r="AE68" i="6"/>
  <c r="P68" i="6"/>
  <c r="Y87" i="6"/>
  <c r="Y95" i="6"/>
  <c r="Y89" i="6"/>
  <c r="E130" i="6"/>
  <c r="E132" i="6"/>
  <c r="AD68" i="6"/>
  <c r="H113" i="6"/>
  <c r="AF113" i="6" s="1"/>
  <c r="E257" i="5"/>
  <c r="J87" i="4"/>
  <c r="AG85" i="4"/>
  <c r="AH85" i="4" s="1"/>
  <c r="E258" i="5"/>
  <c r="E236" i="5"/>
  <c r="E303" i="5" s="1"/>
  <c r="E229" i="5"/>
  <c r="F129" i="6"/>
  <c r="F161" i="6" s="1"/>
  <c r="AG161" i="6" s="1"/>
  <c r="AH161" i="6" s="1"/>
  <c r="F158" i="6"/>
  <c r="AG158" i="6" s="1"/>
  <c r="AH158" i="6" s="1"/>
  <c r="AG81" i="6"/>
  <c r="AH81" i="6" s="1"/>
  <c r="F113" i="6"/>
  <c r="Y98" i="6"/>
  <c r="AG85" i="6"/>
  <c r="AH85" i="6" s="1"/>
  <c r="F117" i="6"/>
  <c r="E128" i="6"/>
  <c r="Y96" i="6"/>
  <c r="H115" i="4"/>
  <c r="AF115" i="4" s="1"/>
  <c r="E109" i="4"/>
  <c r="H116" i="4"/>
  <c r="AF116" i="4" s="1"/>
  <c r="H113" i="4"/>
  <c r="AF113" i="4" s="1"/>
  <c r="E253" i="5"/>
  <c r="E261" i="5"/>
  <c r="E231" i="5"/>
  <c r="E298" i="5" s="1"/>
  <c r="E245" i="5"/>
  <c r="E223" i="5"/>
  <c r="E290" i="5" s="1"/>
  <c r="E249" i="5"/>
  <c r="E316" i="5" s="1"/>
  <c r="Y171" i="5"/>
  <c r="E265" i="5"/>
  <c r="E248" i="5"/>
  <c r="E260" i="5"/>
  <c r="E220" i="5"/>
  <c r="E301" i="5"/>
  <c r="E227" i="5"/>
  <c r="E273" i="5"/>
  <c r="E238" i="5"/>
  <c r="E256" i="5"/>
  <c r="E246" i="5"/>
  <c r="E270" i="5"/>
  <c r="E272" i="5"/>
  <c r="E221" i="5"/>
  <c r="E224" i="5"/>
  <c r="E241" i="5"/>
  <c r="E286" i="5"/>
  <c r="E228" i="5"/>
  <c r="AE48" i="4"/>
  <c r="E90" i="4"/>
  <c r="J90" i="4"/>
  <c r="H89" i="4"/>
  <c r="AF89" i="4" s="1"/>
  <c r="H87" i="4"/>
  <c r="AF87" i="4" s="1"/>
  <c r="H86" i="4"/>
  <c r="AF86" i="4" s="1"/>
  <c r="AG89" i="4"/>
  <c r="AH89" i="4" s="1"/>
  <c r="AG66" i="4"/>
  <c r="AH66" i="4" s="1"/>
  <c r="J88" i="4"/>
  <c r="J93" i="4"/>
  <c r="J89" i="4"/>
  <c r="E85" i="4"/>
  <c r="E94" i="4"/>
  <c r="AG94" i="4"/>
  <c r="AH94" i="4" s="1"/>
  <c r="AG71" i="4"/>
  <c r="AH71" i="4" s="1"/>
  <c r="E91" i="4"/>
  <c r="J94" i="4"/>
  <c r="AH38" i="4"/>
  <c r="AH48" i="4" s="1"/>
  <c r="AG48" i="4"/>
  <c r="J85" i="4"/>
  <c r="H90" i="4"/>
  <c r="AF90" i="4" s="1"/>
  <c r="J92" i="4"/>
  <c r="AH62" i="4"/>
  <c r="AG93" i="4"/>
  <c r="AH93" i="4" s="1"/>
  <c r="AG70" i="4"/>
  <c r="AH70" i="4" s="1"/>
  <c r="J72" i="4"/>
  <c r="H59" i="14" s="1"/>
  <c r="AG69" i="4"/>
  <c r="AH69" i="4" s="1"/>
  <c r="E92" i="4"/>
  <c r="E88" i="4"/>
  <c r="H88" i="4"/>
  <c r="AF88" i="4" s="1"/>
  <c r="J91" i="4"/>
  <c r="Y158" i="5"/>
  <c r="Y190" i="5"/>
  <c r="Y156" i="5"/>
  <c r="Y202" i="5"/>
  <c r="Y175" i="5"/>
  <c r="F293" i="5"/>
  <c r="AG293" i="5" s="1"/>
  <c r="AH293" i="5" s="1"/>
  <c r="Y197" i="5"/>
  <c r="Y189" i="5"/>
  <c r="F320" i="5"/>
  <c r="AG320" i="5" s="1"/>
  <c r="AH320" i="5" s="1"/>
  <c r="Y183" i="5"/>
  <c r="H256" i="5"/>
  <c r="H323" i="5" s="1"/>
  <c r="Y164" i="5"/>
  <c r="AG86" i="4"/>
  <c r="AH86" i="4" s="1"/>
  <c r="Y181" i="5"/>
  <c r="Y201" i="5"/>
  <c r="AF249" i="5"/>
  <c r="F297" i="5"/>
  <c r="AG297" i="5" s="1"/>
  <c r="AH297" i="5" s="1"/>
  <c r="AG230" i="5"/>
  <c r="AH230" i="5" s="1"/>
  <c r="AF240" i="5"/>
  <c r="H258" i="5"/>
  <c r="AF191" i="5"/>
  <c r="F323" i="5"/>
  <c r="AG323" i="5" s="1"/>
  <c r="AH323" i="5" s="1"/>
  <c r="AG256" i="5"/>
  <c r="AH256" i="5" s="1"/>
  <c r="H226" i="5"/>
  <c r="AF159" i="5"/>
  <c r="H230" i="5"/>
  <c r="AF163" i="5"/>
  <c r="AF206" i="5"/>
  <c r="AF186" i="5"/>
  <c r="AF178" i="5"/>
  <c r="AF170" i="5"/>
  <c r="H232" i="5"/>
  <c r="AF165" i="5"/>
  <c r="H229" i="5"/>
  <c r="AF162" i="5"/>
  <c r="Y159" i="5"/>
  <c r="AF220" i="5"/>
  <c r="AF254" i="5"/>
  <c r="AF244" i="5"/>
  <c r="Y191" i="5"/>
  <c r="Y178" i="5"/>
  <c r="AF248" i="5"/>
  <c r="F250" i="5"/>
  <c r="AG250" i="5" s="1"/>
  <c r="AH250" i="5" s="1"/>
  <c r="AG183" i="5"/>
  <c r="AH183" i="5" s="1"/>
  <c r="Y187" i="5"/>
  <c r="AF196" i="5"/>
  <c r="H255" i="5"/>
  <c r="H322" i="5" s="1"/>
  <c r="AF188" i="5"/>
  <c r="AF180" i="5"/>
  <c r="F268" i="5"/>
  <c r="AG268" i="5" s="1"/>
  <c r="AH268" i="5" s="1"/>
  <c r="AG201" i="5"/>
  <c r="AH201" i="5" s="1"/>
  <c r="H290" i="5"/>
  <c r="AF223" i="5"/>
  <c r="Y192" i="5"/>
  <c r="F245" i="5"/>
  <c r="AG245" i="5" s="1"/>
  <c r="AH245" i="5" s="1"/>
  <c r="AG178" i="5"/>
  <c r="AH178" i="5" s="1"/>
  <c r="AF205" i="5"/>
  <c r="Y165" i="5"/>
  <c r="AF195" i="5"/>
  <c r="F255" i="5"/>
  <c r="AG188" i="5"/>
  <c r="AH188" i="5" s="1"/>
  <c r="F287" i="5"/>
  <c r="AG287" i="5" s="1"/>
  <c r="AH287" i="5" s="1"/>
  <c r="AG220" i="5"/>
  <c r="AH220" i="5" s="1"/>
  <c r="AF270" i="5"/>
  <c r="Y194" i="5"/>
  <c r="Y157" i="5"/>
  <c r="AF156" i="5"/>
  <c r="H227" i="5"/>
  <c r="AF160" i="5"/>
  <c r="AF199" i="5"/>
  <c r="H250" i="5"/>
  <c r="AF183" i="5"/>
  <c r="AF175" i="5"/>
  <c r="AF167" i="5"/>
  <c r="AF204" i="5"/>
  <c r="H268" i="5"/>
  <c r="AF201" i="5"/>
  <c r="AF193" i="5"/>
  <c r="AF181" i="5"/>
  <c r="AF173" i="5"/>
  <c r="H224" i="5"/>
  <c r="AF157" i="5"/>
  <c r="AF253" i="5"/>
  <c r="F227" i="5"/>
  <c r="AG160" i="5"/>
  <c r="AH160" i="5" s="1"/>
  <c r="E222" i="5"/>
  <c r="F302" i="5"/>
  <c r="AG302" i="5" s="1"/>
  <c r="AH302" i="5" s="1"/>
  <c r="AG235" i="5"/>
  <c r="AH235" i="5" s="1"/>
  <c r="F257" i="5"/>
  <c r="AG257" i="5" s="1"/>
  <c r="AH257" i="5" s="1"/>
  <c r="AG190" i="5"/>
  <c r="AH190" i="5" s="1"/>
  <c r="AF242" i="5"/>
  <c r="AF246" i="5"/>
  <c r="H245" i="5"/>
  <c r="H273" i="5"/>
  <c r="H340" i="5" s="1"/>
  <c r="Y198" i="5"/>
  <c r="AF198" i="5"/>
  <c r="F228" i="5"/>
  <c r="AG161" i="5"/>
  <c r="AH161" i="5" s="1"/>
  <c r="H243" i="5"/>
  <c r="H310" i="5" s="1"/>
  <c r="AF176" i="5"/>
  <c r="F252" i="5"/>
  <c r="AG185" i="5"/>
  <c r="AH185" i="5" s="1"/>
  <c r="AF169" i="5"/>
  <c r="H252" i="5"/>
  <c r="H319" i="5" s="1"/>
  <c r="AF185" i="5"/>
  <c r="Y182" i="5"/>
  <c r="Y162" i="5"/>
  <c r="Y174" i="5"/>
  <c r="H269" i="5"/>
  <c r="Y269" i="5" s="1"/>
  <c r="AF202" i="5"/>
  <c r="AF190" i="5"/>
  <c r="AF182" i="5"/>
  <c r="AF174" i="5"/>
  <c r="H221" i="5"/>
  <c r="AF154" i="5"/>
  <c r="AF266" i="5"/>
  <c r="F236" i="5"/>
  <c r="AG236" i="5" s="1"/>
  <c r="AH236" i="5" s="1"/>
  <c r="AG169" i="5"/>
  <c r="AH169" i="5" s="1"/>
  <c r="AF200" i="5"/>
  <c r="F334" i="5"/>
  <c r="AG334" i="5" s="1"/>
  <c r="AH334" i="5" s="1"/>
  <c r="AG267" i="5"/>
  <c r="AH267" i="5" s="1"/>
  <c r="E230" i="5"/>
  <c r="Y206" i="5"/>
  <c r="H261" i="5"/>
  <c r="AF194" i="5"/>
  <c r="Y155" i="5"/>
  <c r="H300" i="5"/>
  <c r="AF233" i="5"/>
  <c r="AF234" i="5"/>
  <c r="AF257" i="5"/>
  <c r="AF241" i="5"/>
  <c r="Y193" i="5"/>
  <c r="Y179" i="5"/>
  <c r="H237" i="5"/>
  <c r="H304" i="5" s="1"/>
  <c r="AF260" i="5"/>
  <c r="AF271" i="5"/>
  <c r="H259" i="5"/>
  <c r="H326" i="5" s="1"/>
  <c r="AF192" i="5"/>
  <c r="AF184" i="5"/>
  <c r="AF172" i="5"/>
  <c r="F224" i="5"/>
  <c r="AG224" i="5" s="1"/>
  <c r="AH224" i="5" s="1"/>
  <c r="AG157" i="5"/>
  <c r="AH157" i="5" s="1"/>
  <c r="F244" i="5"/>
  <c r="AG244" i="5" s="1"/>
  <c r="AH244" i="5" s="1"/>
  <c r="AG177" i="5"/>
  <c r="AH177" i="5" s="1"/>
  <c r="H225" i="5"/>
  <c r="AF158" i="5"/>
  <c r="E239" i="5"/>
  <c r="E255" i="5"/>
  <c r="H302" i="5"/>
  <c r="AF235" i="5"/>
  <c r="AJ262" i="5"/>
  <c r="AK262" i="5" s="1"/>
  <c r="AL262" i="5" s="1"/>
  <c r="F273" i="5"/>
  <c r="AG273" i="5" s="1"/>
  <c r="AH273" i="5" s="1"/>
  <c r="AG206" i="5"/>
  <c r="AH206" i="5" s="1"/>
  <c r="F263" i="5"/>
  <c r="AG196" i="5"/>
  <c r="AH196" i="5" s="1"/>
  <c r="Y160" i="5"/>
  <c r="H231" i="5"/>
  <c r="AF164" i="5"/>
  <c r="AF203" i="5"/>
  <c r="AF187" i="5"/>
  <c r="AF179" i="5"/>
  <c r="H238" i="5"/>
  <c r="AF171" i="5"/>
  <c r="H228" i="5"/>
  <c r="AF161" i="5"/>
  <c r="H222" i="5"/>
  <c r="AF155" i="5"/>
  <c r="AF168" i="5"/>
  <c r="AF166" i="5"/>
  <c r="H264" i="5"/>
  <c r="AF197" i="5"/>
  <c r="AF189" i="5"/>
  <c r="AF177" i="5"/>
  <c r="H219" i="5"/>
  <c r="Y161" i="5"/>
  <c r="Y186" i="5"/>
  <c r="Y185" i="5"/>
  <c r="Y203" i="5"/>
  <c r="Y173" i="5"/>
  <c r="Y167" i="5"/>
  <c r="Y169" i="5"/>
  <c r="Y163" i="5"/>
  <c r="Y205" i="5"/>
  <c r="H337" i="5"/>
  <c r="Y196" i="5"/>
  <c r="Y170" i="5"/>
  <c r="E237" i="5"/>
  <c r="F247" i="5"/>
  <c r="AG247" i="5" s="1"/>
  <c r="AH247" i="5" s="1"/>
  <c r="Y177" i="5"/>
  <c r="O152" i="5"/>
  <c r="AJ260" i="5"/>
  <c r="AK260" i="5" s="1"/>
  <c r="AL260" i="5" s="1"/>
  <c r="G327" i="5"/>
  <c r="AI327" i="5" s="1"/>
  <c r="AJ327" i="5" s="1"/>
  <c r="AK327" i="5" s="1"/>
  <c r="AL327" i="5" s="1"/>
  <c r="AM170" i="5"/>
  <c r="F265" i="5"/>
  <c r="F223" i="5"/>
  <c r="AG223" i="5" s="1"/>
  <c r="AH223" i="5" s="1"/>
  <c r="Y172" i="5"/>
  <c r="E247" i="5"/>
  <c r="E263" i="5"/>
  <c r="F271" i="5"/>
  <c r="H262" i="5"/>
  <c r="F248" i="5"/>
  <c r="AG248" i="5" s="1"/>
  <c r="AH248" i="5" s="1"/>
  <c r="F237" i="5"/>
  <c r="AG237" i="5" s="1"/>
  <c r="AH237" i="5" s="1"/>
  <c r="F318" i="5"/>
  <c r="AG318" i="5" s="1"/>
  <c r="AH318" i="5" s="1"/>
  <c r="F269" i="5"/>
  <c r="AG269" i="5" s="1"/>
  <c r="AH269" i="5" s="1"/>
  <c r="F232" i="5"/>
  <c r="AG232" i="5" s="1"/>
  <c r="AH232" i="5" s="1"/>
  <c r="AI328" i="5"/>
  <c r="AJ328" i="5" s="1"/>
  <c r="AK328" i="5" s="1"/>
  <c r="AL328" i="5" s="1"/>
  <c r="H272" i="5"/>
  <c r="AI267" i="5"/>
  <c r="AJ267" i="5" s="1"/>
  <c r="AK267" i="5" s="1"/>
  <c r="AL267" i="5" s="1"/>
  <c r="E259" i="5"/>
  <c r="G316" i="5"/>
  <c r="AI316" i="5" s="1"/>
  <c r="AJ316" i="5" s="1"/>
  <c r="AJ205" i="5"/>
  <c r="AK205" i="5" s="1"/>
  <c r="AL205" i="5" s="1"/>
  <c r="AM205" i="5" s="1"/>
  <c r="F221" i="5"/>
  <c r="AG221" i="5" s="1"/>
  <c r="AH221" i="5" s="1"/>
  <c r="G329" i="5"/>
  <c r="AI329" i="5" s="1"/>
  <c r="AJ329" i="5" s="1"/>
  <c r="F261" i="5"/>
  <c r="F225" i="5"/>
  <c r="AG225" i="5" s="1"/>
  <c r="AH225" i="5" s="1"/>
  <c r="J207" i="5"/>
  <c r="H60" i="14" s="1"/>
  <c r="Y200" i="5"/>
  <c r="G304" i="5"/>
  <c r="AI304" i="5" s="1"/>
  <c r="AJ304" i="5" s="1"/>
  <c r="G272" i="5"/>
  <c r="AI272" i="5" s="1"/>
  <c r="AI313" i="5"/>
  <c r="AJ313" i="5" s="1"/>
  <c r="AK313" i="5" s="1"/>
  <c r="AL313" i="5" s="1"/>
  <c r="AI242" i="5"/>
  <c r="AJ242" i="5" s="1"/>
  <c r="AK242" i="5" s="1"/>
  <c r="AL242" i="5" s="1"/>
  <c r="AI309" i="5"/>
  <c r="AJ309" i="5" s="1"/>
  <c r="AK309" i="5" s="1"/>
  <c r="AL309" i="5" s="1"/>
  <c r="AI246" i="5"/>
  <c r="AJ246" i="5" s="1"/>
  <c r="AK246" i="5" s="1"/>
  <c r="AL246" i="5" s="1"/>
  <c r="E244" i="5"/>
  <c r="AI265" i="5"/>
  <c r="AJ265" i="5" s="1"/>
  <c r="AK265" i="5" s="1"/>
  <c r="AL265" i="5" s="1"/>
  <c r="F243" i="5"/>
  <c r="AG243" i="5" s="1"/>
  <c r="AH243" i="5" s="1"/>
  <c r="AJ181" i="5"/>
  <c r="AK181" i="5" s="1"/>
  <c r="AL181" i="5" s="1"/>
  <c r="AM181" i="5" s="1"/>
  <c r="H247" i="5"/>
  <c r="Y168" i="5"/>
  <c r="F249" i="5"/>
  <c r="AG249" i="5" s="1"/>
  <c r="AH249" i="5" s="1"/>
  <c r="G248" i="5"/>
  <c r="AI189" i="5"/>
  <c r="AJ189" i="5" s="1"/>
  <c r="AK189" i="5" s="1"/>
  <c r="AL189" i="5" s="1"/>
  <c r="AM189" i="5" s="1"/>
  <c r="G256" i="5"/>
  <c r="E267" i="5"/>
  <c r="G298" i="5"/>
  <c r="AI298" i="5" s="1"/>
  <c r="AI200" i="5"/>
  <c r="AJ200" i="5" s="1"/>
  <c r="AK200" i="5" s="1"/>
  <c r="AL200" i="5" s="1"/>
  <c r="AM200" i="5" s="1"/>
  <c r="AI261" i="5"/>
  <c r="AJ261" i="5" s="1"/>
  <c r="AK261" i="5" s="1"/>
  <c r="AL261" i="5" s="1"/>
  <c r="F254" i="5"/>
  <c r="AG254" i="5" s="1"/>
  <c r="AH254" i="5" s="1"/>
  <c r="AI255" i="5"/>
  <c r="AJ255" i="5" s="1"/>
  <c r="AK255" i="5" s="1"/>
  <c r="AL255" i="5" s="1"/>
  <c r="H236" i="5"/>
  <c r="I153" i="3"/>
  <c r="G61" i="11"/>
  <c r="J36" i="11"/>
  <c r="H33" i="16"/>
  <c r="X88" i="9"/>
  <c r="X15" i="9"/>
  <c r="X107" i="9"/>
  <c r="X21" i="9"/>
  <c r="X31" i="9"/>
  <c r="X93" i="9"/>
  <c r="X76" i="9"/>
  <c r="X30" i="9"/>
  <c r="Z45" i="9"/>
  <c r="Z50" i="9"/>
  <c r="X89" i="9"/>
  <c r="X109" i="9"/>
  <c r="X200" i="9"/>
  <c r="X28" i="9"/>
  <c r="Z32" i="9"/>
  <c r="Z205" i="9"/>
  <c r="X117" i="9"/>
  <c r="X210" i="9"/>
  <c r="X44" i="9"/>
  <c r="X108" i="9"/>
  <c r="Z121" i="9"/>
  <c r="Z69" i="9"/>
  <c r="T34" i="9"/>
  <c r="T208" i="9"/>
  <c r="T104" i="9"/>
  <c r="T110" i="9"/>
  <c r="T54" i="9"/>
  <c r="X86" i="9"/>
  <c r="X67" i="9"/>
  <c r="X38" i="9"/>
  <c r="X116" i="9"/>
  <c r="X102" i="9"/>
  <c r="X81" i="9"/>
  <c r="X47" i="9"/>
  <c r="X58" i="9"/>
  <c r="Z38" i="9"/>
  <c r="Z21" i="9"/>
  <c r="X55" i="9"/>
  <c r="X79" i="9"/>
  <c r="X62" i="9"/>
  <c r="X100" i="9"/>
  <c r="Z26" i="9"/>
  <c r="Z115" i="9"/>
  <c r="X14" i="9"/>
  <c r="F27" i="10" s="1"/>
  <c r="F59" i="10" s="1"/>
  <c r="G16" i="10" s="1"/>
  <c r="X25" i="9"/>
  <c r="X34" i="9"/>
  <c r="X17" i="9"/>
  <c r="Z113" i="9"/>
  <c r="Z55" i="9"/>
  <c r="AJ286" i="5"/>
  <c r="AK286" i="5" s="1"/>
  <c r="AL286" i="5" s="1"/>
  <c r="T62" i="9"/>
  <c r="T31" i="9"/>
  <c r="T59" i="9"/>
  <c r="T30" i="9"/>
  <c r="T39" i="9"/>
  <c r="T99" i="9"/>
  <c r="T109" i="9"/>
  <c r="T73" i="9"/>
  <c r="T120" i="9"/>
  <c r="L69" i="7"/>
  <c r="J26" i="11"/>
  <c r="I31" i="16" s="1"/>
  <c r="L188" i="7"/>
  <c r="J77" i="7"/>
  <c r="I182" i="7" s="1"/>
  <c r="K165" i="3"/>
  <c r="H58" i="16" s="1"/>
  <c r="J159" i="6"/>
  <c r="AI334" i="5"/>
  <c r="AJ334" i="5" s="1"/>
  <c r="AK334" i="5" s="1"/>
  <c r="AL334" i="5" s="1"/>
  <c r="AI268" i="5"/>
  <c r="AJ268" i="5" s="1"/>
  <c r="AI226" i="5"/>
  <c r="AJ226" i="5" s="1"/>
  <c r="AK226" i="5" s="1"/>
  <c r="AL226" i="5" s="1"/>
  <c r="AI308" i="5"/>
  <c r="AJ308" i="5" s="1"/>
  <c r="AK308" i="5" s="1"/>
  <c r="AL308" i="5" s="1"/>
  <c r="AK231" i="5"/>
  <c r="AL231" i="5" s="1"/>
  <c r="F222" i="5"/>
  <c r="AG222" i="5" s="1"/>
  <c r="AH222" i="5" s="1"/>
  <c r="AI249" i="5"/>
  <c r="AJ249" i="5" s="1"/>
  <c r="AK249" i="5" s="1"/>
  <c r="AL249" i="5" s="1"/>
  <c r="H338" i="5"/>
  <c r="AJ237" i="5"/>
  <c r="AK237" i="5" s="1"/>
  <c r="AL237" i="5" s="1"/>
  <c r="AI241" i="5"/>
  <c r="AJ241" i="5" s="1"/>
  <c r="AK241" i="5" s="1"/>
  <c r="AL241" i="5" s="1"/>
  <c r="AM241" i="5" s="1"/>
  <c r="AI332" i="5"/>
  <c r="AJ332" i="5" s="1"/>
  <c r="AK332" i="5" s="1"/>
  <c r="AL332" i="5" s="1"/>
  <c r="H188" i="7"/>
  <c r="J27" i="3"/>
  <c r="I127" i="2"/>
  <c r="I124" i="2" s="1"/>
  <c r="K26" i="3"/>
  <c r="X36" i="9"/>
  <c r="X78" i="9"/>
  <c r="X211" i="9"/>
  <c r="X19" i="9"/>
  <c r="X40" i="9"/>
  <c r="X32" i="9"/>
  <c r="X73" i="9"/>
  <c r="X46" i="9"/>
  <c r="X118" i="9"/>
  <c r="X97" i="9"/>
  <c r="X51" i="9"/>
  <c r="X61" i="9"/>
  <c r="X69" i="9"/>
  <c r="X204" i="9"/>
  <c r="X125" i="9"/>
  <c r="X56" i="9"/>
  <c r="X199" i="9"/>
  <c r="X37" i="9"/>
  <c r="X121" i="9"/>
  <c r="X48" i="9"/>
  <c r="X104" i="9"/>
  <c r="X41" i="9"/>
  <c r="X119" i="9"/>
  <c r="X27" i="9"/>
  <c r="X68" i="9"/>
  <c r="X82" i="9"/>
  <c r="X124" i="9"/>
  <c r="X26" i="9"/>
  <c r="X87" i="9"/>
  <c r="X60" i="9"/>
  <c r="X106" i="9"/>
  <c r="Z57" i="9"/>
  <c r="Z70" i="9"/>
  <c r="J25" i="11"/>
  <c r="I30" i="16" s="1"/>
  <c r="G15" i="11"/>
  <c r="H71" i="14" s="1"/>
  <c r="J62" i="7"/>
  <c r="I179" i="7" s="1"/>
  <c r="K155" i="3"/>
  <c r="J102" i="3"/>
  <c r="F28" i="16"/>
  <c r="J155" i="3"/>
  <c r="AJ287" i="5"/>
  <c r="AK287" i="5" s="1"/>
  <c r="AL287" i="5" s="1"/>
  <c r="AJ300" i="5"/>
  <c r="AK300" i="5" s="1"/>
  <c r="AL300" i="5" s="1"/>
  <c r="AJ297" i="5"/>
  <c r="AK297" i="5" s="1"/>
  <c r="AL297" i="5" s="1"/>
  <c r="AJ295" i="5"/>
  <c r="AK295" i="5" s="1"/>
  <c r="AL295" i="5" s="1"/>
  <c r="AJ291" i="5"/>
  <c r="AK291" i="5" s="1"/>
  <c r="AL291" i="5" s="1"/>
  <c r="AJ288" i="5"/>
  <c r="AK288" i="5" s="1"/>
  <c r="AL288" i="5" s="1"/>
  <c r="AJ293" i="5"/>
  <c r="AK293" i="5" s="1"/>
  <c r="AL293" i="5" s="1"/>
  <c r="AJ317" i="5"/>
  <c r="AK317" i="5" s="1"/>
  <c r="AL317" i="5" s="1"/>
  <c r="AJ296" i="5"/>
  <c r="AK296" i="5" s="1"/>
  <c r="AL296" i="5" s="1"/>
  <c r="Z92" i="9"/>
  <c r="Z94" i="9"/>
  <c r="Z22" i="9"/>
  <c r="Z80" i="9"/>
  <c r="Z122" i="9"/>
  <c r="Z201" i="9"/>
  <c r="Z104" i="9"/>
  <c r="Z124" i="9"/>
  <c r="Z40" i="9"/>
  <c r="Z211" i="9"/>
  <c r="Z210" i="9"/>
  <c r="Z97" i="9"/>
  <c r="Z76" i="9"/>
  <c r="Z84" i="9"/>
  <c r="Z101" i="9"/>
  <c r="Z34" i="9"/>
  <c r="Z85" i="9"/>
  <c r="Z212" i="9"/>
  <c r="Z19" i="9"/>
  <c r="Z18" i="9"/>
  <c r="Z63" i="9"/>
  <c r="Z90" i="9"/>
  <c r="Z51" i="9"/>
  <c r="T89" i="9"/>
  <c r="T58" i="9"/>
  <c r="T119" i="9"/>
  <c r="T28" i="9"/>
  <c r="Z114" i="9"/>
  <c r="T126" i="9"/>
  <c r="T88" i="9"/>
  <c r="T23" i="9"/>
  <c r="T57" i="9"/>
  <c r="T27" i="9"/>
  <c r="T32" i="9"/>
  <c r="T207" i="9"/>
  <c r="T52" i="9"/>
  <c r="T72" i="9"/>
  <c r="Z123" i="9"/>
  <c r="Z93" i="9"/>
  <c r="T85" i="9"/>
  <c r="T37" i="9"/>
  <c r="T96" i="9"/>
  <c r="T210" i="9"/>
  <c r="T43" i="9"/>
  <c r="T20" i="9"/>
  <c r="T49" i="9"/>
  <c r="T29" i="9"/>
  <c r="T206" i="9"/>
  <c r="T111" i="9"/>
  <c r="T125" i="9"/>
  <c r="T209" i="9"/>
  <c r="T203" i="9"/>
  <c r="T44" i="9"/>
  <c r="T68" i="9"/>
  <c r="T212" i="9"/>
  <c r="T24" i="9"/>
  <c r="T124" i="9"/>
  <c r="T79" i="9"/>
  <c r="Z74" i="9"/>
  <c r="Z116" i="9"/>
  <c r="Z203" i="9"/>
  <c r="Z79" i="9"/>
  <c r="Z27" i="9"/>
  <c r="Z47" i="9"/>
  <c r="Z87" i="9"/>
  <c r="Z200" i="9"/>
  <c r="Z56" i="9"/>
  <c r="Z117" i="9"/>
  <c r="Z44" i="9"/>
  <c r="Z206" i="9"/>
  <c r="Z29" i="9"/>
  <c r="Z20" i="9"/>
  <c r="Z119" i="9"/>
  <c r="Z107" i="9"/>
  <c r="Z54" i="9"/>
  <c r="Z58" i="9"/>
  <c r="Z48" i="9"/>
  <c r="Z99" i="9"/>
  <c r="Z86" i="9"/>
  <c r="Z78" i="9"/>
  <c r="Z14" i="9"/>
  <c r="H27" i="10" s="1"/>
  <c r="H29" i="10" s="1"/>
  <c r="H36" i="13" s="1"/>
  <c r="H40" i="13" s="1"/>
  <c r="Z72" i="9"/>
  <c r="T205" i="9"/>
  <c r="T97" i="9"/>
  <c r="T84" i="9"/>
  <c r="Z17" i="9"/>
  <c r="T94" i="9"/>
  <c r="T71" i="9"/>
  <c r="T202" i="9"/>
  <c r="T33" i="9"/>
  <c r="T83" i="9"/>
  <c r="T107" i="9"/>
  <c r="T121" i="9"/>
  <c r="T64" i="9"/>
  <c r="T56" i="9"/>
  <c r="Z120" i="9"/>
  <c r="Z213" i="9"/>
  <c r="T77" i="9"/>
  <c r="T21" i="9"/>
  <c r="T55" i="9"/>
  <c r="T122" i="9"/>
  <c r="T51" i="9"/>
  <c r="T106" i="9"/>
  <c r="T45" i="9"/>
  <c r="T22" i="9"/>
  <c r="T74" i="9"/>
  <c r="T201" i="9"/>
  <c r="T115" i="9"/>
  <c r="T70" i="9"/>
  <c r="T40" i="9"/>
  <c r="T16" i="9"/>
  <c r="T42" i="9"/>
  <c r="T18" i="9"/>
  <c r="Z73" i="9"/>
  <c r="Z64" i="9"/>
  <c r="Z109" i="9"/>
  <c r="Z91" i="9"/>
  <c r="Z39" i="9"/>
  <c r="Z30" i="9"/>
  <c r="Z37" i="9"/>
  <c r="Z25" i="9"/>
  <c r="Z62" i="9"/>
  <c r="Z89" i="9"/>
  <c r="Z95" i="9"/>
  <c r="Z49" i="9"/>
  <c r="Z60" i="9"/>
  <c r="Z202" i="9"/>
  <c r="Z52" i="9"/>
  <c r="Z125" i="9"/>
  <c r="Z71" i="9"/>
  <c r="Z68" i="9"/>
  <c r="Z61" i="9"/>
  <c r="Z59" i="9"/>
  <c r="Z31" i="9"/>
  <c r="Z102" i="9"/>
  <c r="Z46" i="9"/>
  <c r="Z53" i="9"/>
  <c r="T113" i="9"/>
  <c r="T76" i="9"/>
  <c r="T80" i="9"/>
  <c r="T50" i="9"/>
  <c r="Z83" i="9"/>
  <c r="Z15" i="9"/>
  <c r="T87" i="9"/>
  <c r="T63" i="9"/>
  <c r="T98" i="9"/>
  <c r="T19" i="9"/>
  <c r="T67" i="9"/>
  <c r="T211" i="9"/>
  <c r="T213" i="9"/>
  <c r="T48" i="9"/>
  <c r="T117" i="9"/>
  <c r="T69" i="9"/>
  <c r="T200" i="9"/>
  <c r="T47" i="9"/>
  <c r="T81" i="9"/>
  <c r="T92" i="9"/>
  <c r="T114" i="9"/>
  <c r="T53" i="9"/>
  <c r="T101" i="9"/>
  <c r="T95" i="9"/>
  <c r="T86" i="9"/>
  <c r="T103" i="9"/>
  <c r="T17" i="9"/>
  <c r="T75" i="9"/>
  <c r="T91" i="9"/>
  <c r="T108" i="9"/>
  <c r="T105" i="9"/>
  <c r="T118" i="9"/>
  <c r="T123" i="9"/>
  <c r="T100" i="9"/>
  <c r="U35" i="9"/>
  <c r="U136" i="9"/>
  <c r="U187" i="9"/>
  <c r="U196" i="9"/>
  <c r="U192" i="9"/>
  <c r="U162" i="9"/>
  <c r="U147" i="9"/>
  <c r="U163" i="9"/>
  <c r="U194" i="9"/>
  <c r="U129" i="9"/>
  <c r="U148" i="9"/>
  <c r="U149" i="9"/>
  <c r="U154" i="9"/>
  <c r="U185" i="9"/>
  <c r="U179" i="9"/>
  <c r="U193" i="9"/>
  <c r="U166" i="9"/>
  <c r="U175" i="9"/>
  <c r="U144" i="9"/>
  <c r="U188" i="9"/>
  <c r="U128" i="9"/>
  <c r="U132" i="9"/>
  <c r="U143" i="9"/>
  <c r="U156" i="9"/>
  <c r="U127" i="9"/>
  <c r="U139" i="9"/>
  <c r="U172" i="9"/>
  <c r="U181" i="9"/>
  <c r="U133" i="9"/>
  <c r="U141" i="9"/>
  <c r="U155" i="9"/>
  <c r="U186" i="9"/>
  <c r="U183" i="9"/>
  <c r="U160" i="9"/>
  <c r="U167" i="9"/>
  <c r="U140" i="9"/>
  <c r="U134" i="9"/>
  <c r="U142" i="9"/>
  <c r="U135" i="9"/>
  <c r="U130" i="9"/>
  <c r="U138" i="9"/>
  <c r="U170" i="9"/>
  <c r="U180" i="9"/>
  <c r="U150" i="9"/>
  <c r="U184" i="9"/>
  <c r="U146" i="9"/>
  <c r="U131" i="9"/>
  <c r="U137" i="9"/>
  <c r="U171" i="9"/>
  <c r="U197" i="9"/>
  <c r="U198" i="9"/>
  <c r="U158" i="9"/>
  <c r="U159" i="9"/>
  <c r="U161" i="9"/>
  <c r="U177" i="9"/>
  <c r="U189" i="9"/>
  <c r="U195" i="9"/>
  <c r="U165" i="9"/>
  <c r="U151" i="9"/>
  <c r="U152" i="9"/>
  <c r="U168" i="9"/>
  <c r="U173" i="9"/>
  <c r="U176" i="9"/>
  <c r="U145" i="9"/>
  <c r="U164" i="9"/>
  <c r="U191" i="9"/>
  <c r="U174" i="9"/>
  <c r="U190" i="9"/>
  <c r="U157" i="9"/>
  <c r="U178" i="9"/>
  <c r="U182" i="9"/>
  <c r="U153" i="9"/>
  <c r="U169" i="9"/>
  <c r="X198" i="9"/>
  <c r="X193" i="9"/>
  <c r="X192" i="9"/>
  <c r="X191" i="9"/>
  <c r="X186" i="9"/>
  <c r="X180" i="9"/>
  <c r="X177" i="9"/>
  <c r="X170" i="9"/>
  <c r="X163" i="9"/>
  <c r="X160" i="9"/>
  <c r="X154" i="9"/>
  <c r="X197" i="9"/>
  <c r="X190" i="9"/>
  <c r="X185" i="9"/>
  <c r="X184" i="9"/>
  <c r="X183" i="9"/>
  <c r="X179" i="9"/>
  <c r="X176" i="9"/>
  <c r="X168" i="9"/>
  <c r="X165" i="9"/>
  <c r="X162" i="9"/>
  <c r="X159" i="9"/>
  <c r="X157" i="9"/>
  <c r="X152" i="9"/>
  <c r="X149" i="9"/>
  <c r="X196" i="9"/>
  <c r="X195" i="9"/>
  <c r="X182" i="9"/>
  <c r="X178" i="9"/>
  <c r="X175" i="9"/>
  <c r="X173" i="9"/>
  <c r="X167" i="9"/>
  <c r="X158" i="9"/>
  <c r="X156" i="9"/>
  <c r="X151" i="9"/>
  <c r="X166" i="9"/>
  <c r="X150" i="9"/>
  <c r="X148" i="9"/>
  <c r="X145" i="9"/>
  <c r="X140" i="9"/>
  <c r="X139" i="9"/>
  <c r="X137" i="9"/>
  <c r="X133" i="9"/>
  <c r="X174" i="9"/>
  <c r="X164" i="9"/>
  <c r="X130" i="9"/>
  <c r="X128" i="9"/>
  <c r="X127" i="9"/>
  <c r="X194" i="9"/>
  <c r="X187" i="9"/>
  <c r="X169" i="9"/>
  <c r="X161" i="9"/>
  <c r="X153" i="9"/>
  <c r="X147" i="9"/>
  <c r="X138" i="9"/>
  <c r="X136" i="9"/>
  <c r="X135" i="9"/>
  <c r="X132" i="9"/>
  <c r="X188" i="9"/>
  <c r="X155" i="9"/>
  <c r="X142" i="9"/>
  <c r="X189" i="9"/>
  <c r="X181" i="9"/>
  <c r="X172" i="9"/>
  <c r="X146" i="9"/>
  <c r="X144" i="9"/>
  <c r="X143" i="9"/>
  <c r="X141" i="9"/>
  <c r="X134" i="9"/>
  <c r="X131" i="9"/>
  <c r="X129" i="9"/>
  <c r="X171" i="9"/>
  <c r="T26" i="9"/>
  <c r="T174" i="9"/>
  <c r="T170" i="9"/>
  <c r="T154" i="9"/>
  <c r="T190" i="9"/>
  <c r="T149" i="9"/>
  <c r="T142" i="9"/>
  <c r="T130" i="9"/>
  <c r="T138" i="9"/>
  <c r="T158" i="9"/>
  <c r="T178" i="9"/>
  <c r="T163" i="9"/>
  <c r="T176" i="9"/>
  <c r="T140" i="9"/>
  <c r="T164" i="9"/>
  <c r="T141" i="9"/>
  <c r="T152" i="9"/>
  <c r="T168" i="9"/>
  <c r="T175" i="9"/>
  <c r="T161" i="9"/>
  <c r="T177" i="9"/>
  <c r="T147" i="9"/>
  <c r="T127" i="9"/>
  <c r="T143" i="9"/>
  <c r="T162" i="9"/>
  <c r="T139" i="9"/>
  <c r="T179" i="9"/>
  <c r="T183" i="9"/>
  <c r="T129" i="9"/>
  <c r="T148" i="9"/>
  <c r="T155" i="9"/>
  <c r="T185" i="9"/>
  <c r="T193" i="9"/>
  <c r="T145" i="9"/>
  <c r="T167" i="9"/>
  <c r="T198" i="9"/>
  <c r="T128" i="9"/>
  <c r="T135" i="9"/>
  <c r="T156" i="9"/>
  <c r="T172" i="9"/>
  <c r="T181" i="9"/>
  <c r="T136" i="9"/>
  <c r="T144" i="9"/>
  <c r="T133" i="9"/>
  <c r="T160" i="9"/>
  <c r="T191" i="9"/>
  <c r="T137" i="9"/>
  <c r="T187" i="9"/>
  <c r="T165" i="9"/>
  <c r="T196" i="9"/>
  <c r="T159" i="9"/>
  <c r="T169" i="9"/>
  <c r="T184" i="9"/>
  <c r="T131" i="9"/>
  <c r="T157" i="9"/>
  <c r="T134" i="9"/>
  <c r="T180" i="9"/>
  <c r="T197" i="9"/>
  <c r="T186" i="9"/>
  <c r="T182" i="9"/>
  <c r="T132" i="9"/>
  <c r="T151" i="9"/>
  <c r="T150" i="9"/>
  <c r="T166" i="9"/>
  <c r="T189" i="9"/>
  <c r="T195" i="9"/>
  <c r="T153" i="9"/>
  <c r="T173" i="9"/>
  <c r="T188" i="9"/>
  <c r="T146" i="9"/>
  <c r="T194" i="9"/>
  <c r="T171" i="9"/>
  <c r="T192" i="9"/>
  <c r="S81" i="9"/>
  <c r="S181" i="9"/>
  <c r="S169" i="9"/>
  <c r="S153" i="9"/>
  <c r="S197" i="9"/>
  <c r="S165" i="9"/>
  <c r="S144" i="9"/>
  <c r="S141" i="9"/>
  <c r="S148" i="9"/>
  <c r="S145" i="9"/>
  <c r="S136" i="9"/>
  <c r="S140" i="9"/>
  <c r="S147" i="9"/>
  <c r="S137" i="9"/>
  <c r="S135" i="9"/>
  <c r="S157" i="9"/>
  <c r="S146" i="9"/>
  <c r="S133" i="9"/>
  <c r="S171" i="9"/>
  <c r="S173" i="9"/>
  <c r="S180" i="9"/>
  <c r="S191" i="9"/>
  <c r="S178" i="9"/>
  <c r="S151" i="9"/>
  <c r="S187" i="9"/>
  <c r="S159" i="9"/>
  <c r="S161" i="9"/>
  <c r="S174" i="9"/>
  <c r="S190" i="9"/>
  <c r="S193" i="9"/>
  <c r="S196" i="9"/>
  <c r="S134" i="9"/>
  <c r="S129" i="9"/>
  <c r="S142" i="9"/>
  <c r="S162" i="9"/>
  <c r="S131" i="9"/>
  <c r="S138" i="9"/>
  <c r="S163" i="9"/>
  <c r="S194" i="9"/>
  <c r="S176" i="9"/>
  <c r="S154" i="9"/>
  <c r="S164" i="9"/>
  <c r="S166" i="9"/>
  <c r="S132" i="9"/>
  <c r="S179" i="9"/>
  <c r="S183" i="9"/>
  <c r="S155" i="9"/>
  <c r="S186" i="9"/>
  <c r="S189" i="9"/>
  <c r="S128" i="9"/>
  <c r="S127" i="9"/>
  <c r="S160" i="9"/>
  <c r="S182" i="9"/>
  <c r="S152" i="9"/>
  <c r="S168" i="9"/>
  <c r="S188" i="9"/>
  <c r="S149" i="9"/>
  <c r="S177" i="9"/>
  <c r="S185" i="9"/>
  <c r="S156" i="9"/>
  <c r="S172" i="9"/>
  <c r="S150" i="9"/>
  <c r="S192" i="9"/>
  <c r="S130" i="9"/>
  <c r="S139" i="9"/>
  <c r="S170" i="9"/>
  <c r="S167" i="9"/>
  <c r="S198" i="9"/>
  <c r="S158" i="9"/>
  <c r="S175" i="9"/>
  <c r="S143" i="9"/>
  <c r="S195" i="9"/>
  <c r="S184" i="9"/>
  <c r="Z98" i="9"/>
  <c r="Z196" i="9"/>
  <c r="Z195" i="9"/>
  <c r="Z182" i="9"/>
  <c r="Z178" i="9"/>
  <c r="Z175" i="9"/>
  <c r="Z173" i="9"/>
  <c r="Z167" i="9"/>
  <c r="Z158" i="9"/>
  <c r="Z156" i="9"/>
  <c r="Z151" i="9"/>
  <c r="Z194" i="9"/>
  <c r="Z189" i="9"/>
  <c r="Z188" i="9"/>
  <c r="Z187" i="9"/>
  <c r="Z181" i="9"/>
  <c r="Z174" i="9"/>
  <c r="Z172" i="9"/>
  <c r="Z171" i="9"/>
  <c r="Z169" i="9"/>
  <c r="Z166" i="9"/>
  <c r="Z164" i="9"/>
  <c r="Z161" i="9"/>
  <c r="Z155" i="9"/>
  <c r="Z153" i="9"/>
  <c r="Z150" i="9"/>
  <c r="Z148" i="9"/>
  <c r="Z198" i="9"/>
  <c r="Z193" i="9"/>
  <c r="Z192" i="9"/>
  <c r="Z191" i="9"/>
  <c r="Z186" i="9"/>
  <c r="Z180" i="9"/>
  <c r="Z177" i="9"/>
  <c r="Z170" i="9"/>
  <c r="Z163" i="9"/>
  <c r="Z160" i="9"/>
  <c r="Z154" i="9"/>
  <c r="Z190" i="9"/>
  <c r="Z183" i="9"/>
  <c r="Z157" i="9"/>
  <c r="Z146" i="9"/>
  <c r="Z144" i="9"/>
  <c r="Z143" i="9"/>
  <c r="Z141" i="9"/>
  <c r="Z134" i="9"/>
  <c r="Z131" i="9"/>
  <c r="Z129" i="9"/>
  <c r="Z130" i="9"/>
  <c r="Z128" i="9"/>
  <c r="Z162" i="9"/>
  <c r="Z136" i="9"/>
  <c r="Z135" i="9"/>
  <c r="Z197" i="9"/>
  <c r="Z176" i="9"/>
  <c r="Z165" i="9"/>
  <c r="Z149" i="9"/>
  <c r="Z142" i="9"/>
  <c r="Z127" i="9"/>
  <c r="Z138" i="9"/>
  <c r="Z132" i="9"/>
  <c r="Z185" i="9"/>
  <c r="Z184" i="9"/>
  <c r="Z179" i="9"/>
  <c r="Z168" i="9"/>
  <c r="Z159" i="9"/>
  <c r="Z152" i="9"/>
  <c r="Z145" i="9"/>
  <c r="Z140" i="9"/>
  <c r="Z139" i="9"/>
  <c r="Z137" i="9"/>
  <c r="Z133" i="9"/>
  <c r="Z147" i="9"/>
  <c r="V8" i="9"/>
  <c r="V213" i="9" s="1"/>
  <c r="U80" i="9"/>
  <c r="U17" i="9"/>
  <c r="U22" i="9"/>
  <c r="U42" i="9"/>
  <c r="S207" i="9"/>
  <c r="S86" i="9"/>
  <c r="K187" i="7"/>
  <c r="G32" i="2"/>
  <c r="G31" i="2" s="1"/>
  <c r="G52" i="2" s="1"/>
  <c r="G59" i="2" s="1"/>
  <c r="U66" i="9"/>
  <c r="U101" i="9"/>
  <c r="U85" i="9"/>
  <c r="U79" i="9"/>
  <c r="U65" i="9"/>
  <c r="U25" i="9"/>
  <c r="U100" i="9"/>
  <c r="U211" i="9"/>
  <c r="U95" i="9"/>
  <c r="U58" i="9"/>
  <c r="U206" i="9"/>
  <c r="U69" i="9"/>
  <c r="U18" i="9"/>
  <c r="U51" i="9"/>
  <c r="U105" i="9"/>
  <c r="U62" i="9"/>
  <c r="U82" i="9"/>
  <c r="U37" i="9"/>
  <c r="U112" i="9"/>
  <c r="U75" i="9"/>
  <c r="U43" i="9"/>
  <c r="AJ335" i="5"/>
  <c r="AK335" i="5" s="1"/>
  <c r="AL335" i="5" s="1"/>
  <c r="F75" i="14"/>
  <c r="J96" i="7"/>
  <c r="H40" i="10"/>
  <c r="H50" i="10" s="1"/>
  <c r="H24" i="11" s="1"/>
  <c r="G29" i="16" s="1"/>
  <c r="AM224" i="5"/>
  <c r="F272" i="5"/>
  <c r="AG272" i="5" s="1"/>
  <c r="AH272" i="5" s="1"/>
  <c r="G338" i="5"/>
  <c r="S42" i="9"/>
  <c r="S50" i="9"/>
  <c r="S90" i="9"/>
  <c r="P12" i="9"/>
  <c r="AM221" i="5"/>
  <c r="E116" i="6"/>
  <c r="Y84" i="6"/>
  <c r="E131" i="6"/>
  <c r="E89" i="4"/>
  <c r="E251" i="5"/>
  <c r="Y184" i="5"/>
  <c r="Y188" i="5"/>
  <c r="Y92" i="6"/>
  <c r="E124" i="6"/>
  <c r="H263" i="5"/>
  <c r="H239" i="5"/>
  <c r="AG87" i="4"/>
  <c r="AH87" i="4" s="1"/>
  <c r="G314" i="5"/>
  <c r="AI247" i="5"/>
  <c r="AJ247" i="5" s="1"/>
  <c r="AK247" i="5" s="1"/>
  <c r="AL247" i="5" s="1"/>
  <c r="E93" i="4"/>
  <c r="E129" i="6"/>
  <c r="Y97" i="6"/>
  <c r="K133" i="3"/>
  <c r="E235" i="5"/>
  <c r="AI271" i="5"/>
  <c r="AJ271" i="5" s="1"/>
  <c r="AK271" i="5" s="1"/>
  <c r="AL271" i="5" s="1"/>
  <c r="H316" i="5"/>
  <c r="AK268" i="5"/>
  <c r="AL268" i="5" s="1"/>
  <c r="F62" i="14"/>
  <c r="S36" i="9"/>
  <c r="S15" i="9"/>
  <c r="S34" i="9"/>
  <c r="S102" i="9"/>
  <c r="S33" i="9"/>
  <c r="S35" i="9"/>
  <c r="I37" i="13"/>
  <c r="K188" i="7"/>
  <c r="L77" i="7"/>
  <c r="L182" i="7" s="1"/>
  <c r="I157" i="3"/>
  <c r="G18" i="11" s="1"/>
  <c r="H267" i="5"/>
  <c r="H251" i="5"/>
  <c r="AI322" i="5"/>
  <c r="AJ322" i="5" s="1"/>
  <c r="AK322" i="5" s="1"/>
  <c r="AL322" i="5" s="1"/>
  <c r="Y204" i="5"/>
  <c r="E271" i="5"/>
  <c r="I46" i="12"/>
  <c r="J44" i="12"/>
  <c r="J110" i="2"/>
  <c r="J114" i="2" s="1"/>
  <c r="J111" i="2" s="1"/>
  <c r="K108" i="2"/>
  <c r="J113" i="2"/>
  <c r="AI168" i="5"/>
  <c r="AJ168" i="5" s="1"/>
  <c r="AK168" i="5" s="1"/>
  <c r="AL168" i="5" s="1"/>
  <c r="AM168" i="5" s="1"/>
  <c r="K181" i="7"/>
  <c r="L181" i="7"/>
  <c r="AI229" i="5"/>
  <c r="AJ229" i="5" s="1"/>
  <c r="AK229" i="5" s="1"/>
  <c r="AL229" i="5" s="1"/>
  <c r="AJ290" i="5"/>
  <c r="AK290" i="5" s="1"/>
  <c r="AL290" i="5" s="1"/>
  <c r="S105" i="9"/>
  <c r="S56" i="9"/>
  <c r="S95" i="9"/>
  <c r="S206" i="9"/>
  <c r="S104" i="9"/>
  <c r="AG68" i="6"/>
  <c r="F123" i="6"/>
  <c r="AG123" i="6" s="1"/>
  <c r="AH123" i="6" s="1"/>
  <c r="K119" i="2"/>
  <c r="K120" i="2" s="1"/>
  <c r="J120" i="2"/>
  <c r="J127" i="2" s="1"/>
  <c r="J124" i="2" s="1"/>
  <c r="Y85" i="6"/>
  <c r="E117" i="6"/>
  <c r="E120" i="6"/>
  <c r="Y88" i="6"/>
  <c r="E115" i="6"/>
  <c r="Y176" i="5"/>
  <c r="E243" i="5"/>
  <c r="Y180" i="5"/>
  <c r="Y90" i="6"/>
  <c r="E122" i="6"/>
  <c r="F39" i="16"/>
  <c r="G44" i="13"/>
  <c r="J186" i="19"/>
  <c r="AG130" i="6"/>
  <c r="AH130" i="6" s="1"/>
  <c r="H67" i="14"/>
  <c r="K43" i="3"/>
  <c r="F327" i="5"/>
  <c r="AG327" i="5" s="1"/>
  <c r="AH327" i="5" s="1"/>
  <c r="H307" i="5"/>
  <c r="F160" i="6"/>
  <c r="AG160" i="6" s="1"/>
  <c r="AH160" i="6" s="1"/>
  <c r="AG128" i="6"/>
  <c r="AH128" i="6" s="1"/>
  <c r="R26" i="4"/>
  <c r="J133" i="3"/>
  <c r="J163" i="3" s="1"/>
  <c r="H22" i="11" s="1"/>
  <c r="G28" i="16" s="1"/>
  <c r="H327" i="5"/>
  <c r="AM172" i="5"/>
  <c r="G28" i="13"/>
  <c r="E186" i="19"/>
  <c r="E187" i="19" s="1"/>
  <c r="F187" i="19" s="1"/>
  <c r="U203" i="9"/>
  <c r="U99" i="9"/>
  <c r="U78" i="9"/>
  <c r="U40" i="9"/>
  <c r="S62" i="9"/>
  <c r="S60" i="9"/>
  <c r="S211" i="9"/>
  <c r="S46" i="9"/>
  <c r="Z16" i="9"/>
  <c r="Z207" i="9"/>
  <c r="S118" i="9"/>
  <c r="S77" i="9"/>
  <c r="S55" i="9"/>
  <c r="S18" i="9"/>
  <c r="U41" i="9"/>
  <c r="U92" i="9"/>
  <c r="U67" i="9"/>
  <c r="Z209" i="9"/>
  <c r="H163" i="6"/>
  <c r="K24" i="7"/>
  <c r="F264" i="5"/>
  <c r="AG264" i="5" s="1"/>
  <c r="AH264" i="5" s="1"/>
  <c r="H115" i="6"/>
  <c r="H118" i="6"/>
  <c r="H120" i="6"/>
  <c r="H122" i="6"/>
  <c r="H124" i="6"/>
  <c r="H126" i="6"/>
  <c r="H128" i="6"/>
  <c r="H130" i="6"/>
  <c r="H132" i="6"/>
  <c r="H114" i="6"/>
  <c r="H117" i="6"/>
  <c r="H119" i="6"/>
  <c r="H123" i="6"/>
  <c r="H125" i="6"/>
  <c r="H127" i="6"/>
  <c r="H31" i="16"/>
  <c r="J43" i="3"/>
  <c r="J187" i="7"/>
  <c r="I38" i="12"/>
  <c r="I42" i="12" s="1"/>
  <c r="I16" i="8"/>
  <c r="I19" i="8" s="1"/>
  <c r="G49" i="2"/>
  <c r="H20" i="3" s="1"/>
  <c r="J94" i="2"/>
  <c r="K93" i="2"/>
  <c r="K94" i="2" s="1"/>
  <c r="J182" i="7"/>
  <c r="U70" i="9"/>
  <c r="U113" i="9"/>
  <c r="U103" i="9"/>
  <c r="U117" i="9"/>
  <c r="U84" i="9"/>
  <c r="U76" i="9"/>
  <c r="U121" i="9"/>
  <c r="U60" i="9"/>
  <c r="U213" i="9"/>
  <c r="U54" i="9"/>
  <c r="U64" i="9"/>
  <c r="U93" i="9"/>
  <c r="U48" i="9"/>
  <c r="U30" i="9"/>
  <c r="U107" i="9"/>
  <c r="U32" i="9"/>
  <c r="U109" i="9"/>
  <c r="U205" i="9"/>
  <c r="U56" i="9"/>
  <c r="U52" i="9"/>
  <c r="AA8" i="9"/>
  <c r="U34" i="9"/>
  <c r="U44" i="9"/>
  <c r="U91" i="9"/>
  <c r="U86" i="9"/>
  <c r="U118" i="9"/>
  <c r="U110" i="9"/>
  <c r="U61" i="9"/>
  <c r="U53" i="9"/>
  <c r="U87" i="9"/>
  <c r="U200" i="9"/>
  <c r="U120" i="9"/>
  <c r="U88" i="9"/>
  <c r="U71" i="9"/>
  <c r="U15" i="9"/>
  <c r="U202" i="9"/>
  <c r="U106" i="9"/>
  <c r="U90" i="9"/>
  <c r="U73" i="9"/>
  <c r="U57" i="9"/>
  <c r="U33" i="9"/>
  <c r="U19" i="9"/>
  <c r="U204" i="9"/>
  <c r="U124" i="9"/>
  <c r="U116" i="9"/>
  <c r="U26" i="9"/>
  <c r="U199" i="9"/>
  <c r="U74" i="9"/>
  <c r="U38" i="9"/>
  <c r="U16" i="9"/>
  <c r="U46" i="9"/>
  <c r="U125" i="9"/>
  <c r="U89" i="9"/>
  <c r="U72" i="9"/>
  <c r="U50" i="9"/>
  <c r="U36" i="9"/>
  <c r="U115" i="9"/>
  <c r="U102" i="9"/>
  <c r="U77" i="9"/>
  <c r="U63" i="9"/>
  <c r="U55" i="9"/>
  <c r="U39" i="9"/>
  <c r="U31" i="9"/>
  <c r="U122" i="9"/>
  <c r="U114" i="9"/>
  <c r="U81" i="9"/>
  <c r="U27" i="9"/>
  <c r="U14" i="9"/>
  <c r="I38" i="10" s="1"/>
  <c r="U119" i="9"/>
  <c r="U123" i="9"/>
  <c r="U201" i="9"/>
  <c r="U207" i="9"/>
  <c r="U68" i="9"/>
  <c r="U97" i="9"/>
  <c r="U24" i="9"/>
  <c r="U94" i="9"/>
  <c r="U29" i="9"/>
  <c r="U96" i="9"/>
  <c r="U47" i="9"/>
  <c r="U23" i="9"/>
  <c r="U210" i="9"/>
  <c r="U98" i="9"/>
  <c r="U212" i="9"/>
  <c r="U83" i="9"/>
  <c r="U59" i="9"/>
  <c r="U209" i="9"/>
  <c r="U111" i="9"/>
  <c r="U28" i="9"/>
  <c r="U126" i="9"/>
  <c r="U45" i="9"/>
  <c r="U21" i="9"/>
  <c r="U208" i="9"/>
  <c r="U104" i="9"/>
  <c r="U49" i="9"/>
  <c r="U20" i="9"/>
  <c r="S97" i="9"/>
  <c r="S84" i="9"/>
  <c r="S16" i="9"/>
  <c r="S54" i="9"/>
  <c r="S76" i="9"/>
  <c r="S121" i="9"/>
  <c r="Y8" i="9"/>
  <c r="S52" i="9"/>
  <c r="S66" i="9"/>
  <c r="S70" i="9"/>
  <c r="S48" i="9"/>
  <c r="S82" i="9"/>
  <c r="S111" i="9"/>
  <c r="S58" i="9"/>
  <c r="S113" i="9"/>
  <c r="S30" i="9"/>
  <c r="S32" i="9"/>
  <c r="S72" i="9"/>
  <c r="S119" i="9"/>
  <c r="S91" i="9"/>
  <c r="S22" i="9"/>
  <c r="S125" i="9"/>
  <c r="S93" i="9"/>
  <c r="S40" i="9"/>
  <c r="S201" i="9"/>
  <c r="S126" i="9"/>
  <c r="S85" i="9"/>
  <c r="S17" i="9"/>
  <c r="S208" i="9"/>
  <c r="S112" i="9"/>
  <c r="S88" i="9"/>
  <c r="S79" i="9"/>
  <c r="S63" i="9"/>
  <c r="S47" i="9"/>
  <c r="S39" i="9"/>
  <c r="S31" i="9"/>
  <c r="S202" i="9"/>
  <c r="S98" i="9"/>
  <c r="S73" i="9"/>
  <c r="S65" i="9"/>
  <c r="S57" i="9"/>
  <c r="S49" i="9"/>
  <c r="S41" i="9"/>
  <c r="S25" i="9"/>
  <c r="S14" i="9"/>
  <c r="G38" i="10" s="1"/>
  <c r="I96" i="7" s="1"/>
  <c r="S212" i="9"/>
  <c r="S124" i="9"/>
  <c r="S108" i="9"/>
  <c r="S100" i="9"/>
  <c r="S92" i="9"/>
  <c r="S83" i="9"/>
  <c r="S75" i="9"/>
  <c r="S59" i="9"/>
  <c r="S43" i="9"/>
  <c r="S27" i="9"/>
  <c r="S123" i="9"/>
  <c r="S74" i="9"/>
  <c r="S68" i="9"/>
  <c r="S38" i="9"/>
  <c r="S44" i="9"/>
  <c r="S203" i="9"/>
  <c r="S26" i="9"/>
  <c r="S103" i="9"/>
  <c r="S213" i="9"/>
  <c r="S109" i="9"/>
  <c r="S24" i="9"/>
  <c r="S89" i="9"/>
  <c r="S94" i="9"/>
  <c r="S61" i="9"/>
  <c r="S45" i="9"/>
  <c r="S29" i="9"/>
  <c r="S21" i="9"/>
  <c r="S87" i="9"/>
  <c r="S96" i="9"/>
  <c r="S23" i="9"/>
  <c r="S210" i="9"/>
  <c r="S106" i="9"/>
  <c r="S51" i="9"/>
  <c r="S20" i="9"/>
  <c r="S199" i="9"/>
  <c r="S99" i="9"/>
  <c r="S115" i="9"/>
  <c r="S101" i="9"/>
  <c r="S64" i="9"/>
  <c r="S28" i="9"/>
  <c r="S80" i="9"/>
  <c r="S117" i="9"/>
  <c r="S209" i="9"/>
  <c r="S205" i="9"/>
  <c r="S107" i="9"/>
  <c r="S78" i="9"/>
  <c r="S110" i="9"/>
  <c r="S71" i="9"/>
  <c r="S114" i="9"/>
  <c r="S204" i="9"/>
  <c r="S116" i="9"/>
  <c r="S67" i="9"/>
  <c r="S69" i="9"/>
  <c r="S53" i="9"/>
  <c r="S37" i="9"/>
  <c r="S200" i="9"/>
  <c r="S120" i="9"/>
  <c r="S122" i="9"/>
  <c r="S19" i="9"/>
  <c r="H26" i="11"/>
  <c r="J188" i="7"/>
  <c r="I188" i="7"/>
  <c r="J126" i="2"/>
  <c r="K122" i="2"/>
  <c r="H88" i="2"/>
  <c r="H85" i="2" s="1"/>
  <c r="H32" i="2" s="1"/>
  <c r="H31" i="2" s="1"/>
  <c r="I33" i="3" s="1"/>
  <c r="I36" i="3" s="1"/>
  <c r="I83" i="2"/>
  <c r="I54" i="2"/>
  <c r="I61" i="2" s="1"/>
  <c r="I79" i="2"/>
  <c r="I82" i="2"/>
  <c r="I80" i="2"/>
  <c r="I101" i="2"/>
  <c r="I98" i="2" s="1"/>
  <c r="J25" i="3"/>
  <c r="L56" i="7"/>
  <c r="L62" i="7" s="1"/>
  <c r="L179" i="7" s="1"/>
  <c r="K62" i="7"/>
  <c r="K96" i="3"/>
  <c r="K102" i="3" s="1"/>
  <c r="I63" i="11" s="1"/>
  <c r="J35" i="11"/>
  <c r="I38" i="11"/>
  <c r="H32" i="16"/>
  <c r="F78" i="14"/>
  <c r="F31" i="16"/>
  <c r="H40" i="2"/>
  <c r="J8" i="7"/>
  <c r="G41" i="2"/>
  <c r="I9" i="7"/>
  <c r="X105" i="9"/>
  <c r="X103" i="9"/>
  <c r="X101" i="9"/>
  <c r="X57" i="9"/>
  <c r="X66" i="9"/>
  <c r="X111" i="9"/>
  <c r="X65" i="9"/>
  <c r="X110" i="9"/>
  <c r="X84" i="9"/>
  <c r="X33" i="9"/>
  <c r="X122" i="9"/>
  <c r="X98" i="9"/>
  <c r="X74" i="9"/>
  <c r="X112" i="9"/>
  <c r="X114" i="9"/>
  <c r="X20" i="9"/>
  <c r="X126" i="9"/>
  <c r="X29" i="9"/>
  <c r="X94" i="9"/>
  <c r="X208" i="9"/>
  <c r="X16" i="9"/>
  <c r="X205" i="9"/>
  <c r="X92" i="9"/>
  <c r="X115" i="9"/>
  <c r="X59" i="9"/>
  <c r="X71" i="9"/>
  <c r="X35" i="9"/>
  <c r="X23" i="9"/>
  <c r="X64" i="9"/>
  <c r="X95" i="9"/>
  <c r="X42" i="9"/>
  <c r="X99" i="9"/>
  <c r="X113" i="9"/>
  <c r="Z35" i="9"/>
  <c r="Z65" i="9"/>
  <c r="Z42" i="9"/>
  <c r="Z110" i="9"/>
  <c r="Z88" i="9"/>
  <c r="Z24" i="9"/>
  <c r="Z111" i="9"/>
  <c r="Z208" i="9"/>
  <c r="Z118" i="9"/>
  <c r="Z28" i="9"/>
  <c r="Z112" i="9"/>
  <c r="Z103" i="9"/>
  <c r="Z67" i="9"/>
  <c r="Z204" i="9"/>
  <c r="Z100" i="9"/>
  <c r="Z77" i="9"/>
  <c r="Z96" i="9"/>
  <c r="F163" i="6"/>
  <c r="AG163" i="6" s="1"/>
  <c r="AH163" i="6" s="1"/>
  <c r="AG131" i="6"/>
  <c r="AH131" i="6" s="1"/>
  <c r="R15" i="9"/>
  <c r="R12" i="9" s="1"/>
  <c r="T15" i="9"/>
  <c r="J26" i="3"/>
  <c r="I114" i="2"/>
  <c r="I111" i="2" s="1"/>
  <c r="I55" i="2"/>
  <c r="I62" i="2" s="1"/>
  <c r="G25" i="11"/>
  <c r="F30" i="16" s="1"/>
  <c r="I187" i="7"/>
  <c r="J19" i="12"/>
  <c r="K19" i="12" s="1"/>
  <c r="J22" i="13" s="1"/>
  <c r="I22" i="13"/>
  <c r="V208" i="9"/>
  <c r="F219" i="5"/>
  <c r="H114" i="4"/>
  <c r="AF114" i="4" s="1"/>
  <c r="F233" i="5"/>
  <c r="AG233" i="5" s="1"/>
  <c r="AH233" i="5" s="1"/>
  <c r="J20" i="12"/>
  <c r="I23" i="13" s="1"/>
  <c r="H23" i="13"/>
  <c r="I55" i="12"/>
  <c r="J48" i="12"/>
  <c r="H24" i="13"/>
  <c r="J21" i="12"/>
  <c r="I24" i="13" s="1"/>
  <c r="F229" i="5"/>
  <c r="AG229" i="5" s="1"/>
  <c r="AH229" i="5" s="1"/>
  <c r="F241" i="5"/>
  <c r="AG241" i="5" s="1"/>
  <c r="AH241" i="5" s="1"/>
  <c r="F259" i="5"/>
  <c r="AG259" i="5" s="1"/>
  <c r="AH259" i="5" s="1"/>
  <c r="AG90" i="6"/>
  <c r="AH90" i="6" s="1"/>
  <c r="F122" i="6"/>
  <c r="AG90" i="4"/>
  <c r="AH90" i="4" s="1"/>
  <c r="I24" i="3"/>
  <c r="I23" i="3"/>
  <c r="H53" i="2"/>
  <c r="H60" i="2" s="1"/>
  <c r="H52" i="14"/>
  <c r="I41" i="16"/>
  <c r="K27" i="2"/>
  <c r="K34" i="3"/>
  <c r="K35" i="3"/>
  <c r="K21" i="3"/>
  <c r="J36" i="2"/>
  <c r="H53" i="14"/>
  <c r="H44" i="16"/>
  <c r="K31" i="3"/>
  <c r="K32" i="3"/>
  <c r="H16" i="7"/>
  <c r="F234" i="5"/>
  <c r="G243" i="5"/>
  <c r="AI176" i="5"/>
  <c r="AJ176" i="5" s="1"/>
  <c r="AK176" i="5" s="1"/>
  <c r="AL176" i="5" s="1"/>
  <c r="AM176" i="5" s="1"/>
  <c r="Y195" i="5"/>
  <c r="E262" i="5"/>
  <c r="E321" i="5"/>
  <c r="F238" i="5"/>
  <c r="AG238" i="5" s="1"/>
  <c r="AH238" i="5" s="1"/>
  <c r="AM264" i="5"/>
  <c r="J331" i="5"/>
  <c r="AI184" i="5"/>
  <c r="AJ184" i="5" s="1"/>
  <c r="AK184" i="5" s="1"/>
  <c r="AL184" i="5" s="1"/>
  <c r="AM184" i="5" s="1"/>
  <c r="G251" i="5"/>
  <c r="G259" i="5"/>
  <c r="AI192" i="5"/>
  <c r="AJ192" i="5" s="1"/>
  <c r="AK192" i="5" s="1"/>
  <c r="AL192" i="5" s="1"/>
  <c r="AM192" i="5" s="1"/>
  <c r="F246" i="5"/>
  <c r="AG246" i="5" s="1"/>
  <c r="AH246" i="5" s="1"/>
  <c r="H265" i="5"/>
  <c r="G263" i="5"/>
  <c r="AI196" i="5"/>
  <c r="AJ196" i="5" s="1"/>
  <c r="AK196" i="5" s="1"/>
  <c r="AL196" i="5" s="1"/>
  <c r="AM196" i="5" s="1"/>
  <c r="AI337" i="5"/>
  <c r="AJ337" i="5" s="1"/>
  <c r="AK337" i="5" s="1"/>
  <c r="AL337" i="5" s="1"/>
  <c r="AI303" i="5"/>
  <c r="AJ303" i="5" s="1"/>
  <c r="AK303" i="5" s="1"/>
  <c r="AL303" i="5" s="1"/>
  <c r="AG119" i="6"/>
  <c r="AH119" i="6" s="1"/>
  <c r="F151" i="6"/>
  <c r="AG151" i="6" s="1"/>
  <c r="AH151" i="6" s="1"/>
  <c r="F333" i="5"/>
  <c r="AG333" i="5" s="1"/>
  <c r="AH333" i="5" s="1"/>
  <c r="F262" i="5"/>
  <c r="AG262" i="5" s="1"/>
  <c r="AH262" i="5" s="1"/>
  <c r="AI331" i="5"/>
  <c r="AJ331" i="5" s="1"/>
  <c r="AK331" i="5" s="1"/>
  <c r="AL331" i="5" s="1"/>
  <c r="F26" i="10"/>
  <c r="F240" i="5"/>
  <c r="AG240" i="5" s="1"/>
  <c r="AH240" i="5" s="1"/>
  <c r="F115" i="6"/>
  <c r="AG83" i="6"/>
  <c r="AH83" i="6" s="1"/>
  <c r="I14" i="3"/>
  <c r="H14" i="3" s="1"/>
  <c r="F8" i="14"/>
  <c r="F11" i="14" s="1"/>
  <c r="G8" i="12"/>
  <c r="F8" i="12" s="1"/>
  <c r="J20" i="2"/>
  <c r="J74" i="2" s="1"/>
  <c r="K9" i="3"/>
  <c r="H8" i="11"/>
  <c r="G8" i="13"/>
  <c r="F298" i="5"/>
  <c r="AG298" i="5" s="1"/>
  <c r="AH298" i="5" s="1"/>
  <c r="H308" i="5"/>
  <c r="AI266" i="5"/>
  <c r="AJ266" i="5" s="1"/>
  <c r="AK266" i="5" s="1"/>
  <c r="AL266" i="5" s="1"/>
  <c r="G333" i="5"/>
  <c r="I33" i="2"/>
  <c r="J33" i="2" s="1"/>
  <c r="AI269" i="5"/>
  <c r="AJ269" i="5" s="1"/>
  <c r="AK269" i="5" s="1"/>
  <c r="AL269" i="5" s="1"/>
  <c r="G336" i="5"/>
  <c r="J326" i="5"/>
  <c r="F270" i="5"/>
  <c r="AG270" i="5" s="1"/>
  <c r="AH270" i="5" s="1"/>
  <c r="AG100" i="6"/>
  <c r="AH100" i="6" s="1"/>
  <c r="F132" i="6"/>
  <c r="AI235" i="5"/>
  <c r="AJ235" i="5" s="1"/>
  <c r="AK235" i="5" s="1"/>
  <c r="AL235" i="5" s="1"/>
  <c r="G302" i="5"/>
  <c r="H161" i="6"/>
  <c r="F309" i="5"/>
  <c r="AG309" i="5" s="1"/>
  <c r="AH309" i="5" s="1"/>
  <c r="E336" i="5"/>
  <c r="AI244" i="5"/>
  <c r="AJ244" i="5" s="1"/>
  <c r="AK244" i="5" s="1"/>
  <c r="AL244" i="5" s="1"/>
  <c r="G311" i="5"/>
  <c r="F325" i="5"/>
  <c r="AG325" i="5" s="1"/>
  <c r="AH325" i="5" s="1"/>
  <c r="F40" i="10"/>
  <c r="F50" i="10" s="1"/>
  <c r="F24" i="11" s="1"/>
  <c r="F27" i="11" s="1"/>
  <c r="F29" i="11" s="1"/>
  <c r="F42" i="11" s="1"/>
  <c r="H95" i="7"/>
  <c r="H99" i="7" s="1"/>
  <c r="H309" i="5"/>
  <c r="G289" i="5"/>
  <c r="AI289" i="5" s="1"/>
  <c r="AJ289" i="5" s="1"/>
  <c r="AK289" i="5" s="1"/>
  <c r="AL289" i="5" s="1"/>
  <c r="AI222" i="5"/>
  <c r="AJ222" i="5" s="1"/>
  <c r="AK222" i="5" s="1"/>
  <c r="AL222" i="5" s="1"/>
  <c r="H153" i="6"/>
  <c r="AI245" i="5"/>
  <c r="AJ245" i="5" s="1"/>
  <c r="AK245" i="5" s="1"/>
  <c r="AL245" i="5" s="1"/>
  <c r="G312" i="5"/>
  <c r="H311" i="5"/>
  <c r="H315" i="5"/>
  <c r="H313" i="5"/>
  <c r="AG88" i="6"/>
  <c r="AH88" i="6" s="1"/>
  <c r="F120" i="6"/>
  <c r="H321" i="5"/>
  <c r="J324" i="5"/>
  <c r="Y68" i="6"/>
  <c r="J310" i="5"/>
  <c r="AI254" i="5"/>
  <c r="AJ254" i="5" s="1"/>
  <c r="AK254" i="5" s="1"/>
  <c r="AL254" i="5" s="1"/>
  <c r="G321" i="5"/>
  <c r="H301" i="5"/>
  <c r="G306" i="5"/>
  <c r="AI239" i="5"/>
  <c r="AJ239" i="5" s="1"/>
  <c r="AK239" i="5" s="1"/>
  <c r="AL239" i="5" s="1"/>
  <c r="G324" i="5"/>
  <c r="AI257" i="5"/>
  <c r="AJ257" i="5" s="1"/>
  <c r="AK257" i="5" s="1"/>
  <c r="AL257" i="5" s="1"/>
  <c r="AM257" i="5" s="1"/>
  <c r="J308" i="5"/>
  <c r="AI252" i="5"/>
  <c r="AJ252" i="5" s="1"/>
  <c r="AK252" i="5" s="1"/>
  <c r="AL252" i="5" s="1"/>
  <c r="G319" i="5"/>
  <c r="H324" i="5"/>
  <c r="J340" i="5"/>
  <c r="G307" i="5"/>
  <c r="AI240" i="5"/>
  <c r="AJ240" i="5" s="1"/>
  <c r="AK240" i="5" s="1"/>
  <c r="AL240" i="5" s="1"/>
  <c r="AI258" i="5"/>
  <c r="AJ258" i="5" s="1"/>
  <c r="AK258" i="5" s="1"/>
  <c r="AL258" i="5" s="1"/>
  <c r="G325" i="5"/>
  <c r="H333" i="5"/>
  <c r="AI234" i="5"/>
  <c r="AJ234" i="5" s="1"/>
  <c r="AK234" i="5" s="1"/>
  <c r="AL234" i="5" s="1"/>
  <c r="G301" i="5"/>
  <c r="G340" i="5"/>
  <c r="AI273" i="5"/>
  <c r="AJ273" i="5" s="1"/>
  <c r="AK273" i="5" s="1"/>
  <c r="AL273" i="5" s="1"/>
  <c r="AM273" i="5" s="1"/>
  <c r="F306" i="5"/>
  <c r="AG306" i="5" s="1"/>
  <c r="AH306" i="5" s="1"/>
  <c r="H320" i="5"/>
  <c r="J14" i="3"/>
  <c r="J17" i="3" s="1"/>
  <c r="Y93" i="6"/>
  <c r="E125" i="6"/>
  <c r="J37" i="10"/>
  <c r="AI253" i="5"/>
  <c r="AJ253" i="5" s="1"/>
  <c r="AK253" i="5" s="1"/>
  <c r="AL253" i="5" s="1"/>
  <c r="G320" i="5"/>
  <c r="E151" i="6"/>
  <c r="Y119" i="6"/>
  <c r="J291" i="5"/>
  <c r="AI238" i="5"/>
  <c r="AJ238" i="5" s="1"/>
  <c r="AK238" i="5" s="1"/>
  <c r="AL238" i="5" s="1"/>
  <c r="G305" i="5"/>
  <c r="J156" i="6"/>
  <c r="J150" i="6"/>
  <c r="Y121" i="6"/>
  <c r="G292" i="5"/>
  <c r="AI225" i="5"/>
  <c r="AJ225" i="5" s="1"/>
  <c r="AK225" i="5" s="1"/>
  <c r="AL225" i="5" s="1"/>
  <c r="AM225" i="5" s="1"/>
  <c r="H287" i="5"/>
  <c r="J292" i="5"/>
  <c r="AI227" i="5"/>
  <c r="AJ227" i="5" s="1"/>
  <c r="AK227" i="5" s="1"/>
  <c r="AL227" i="5" s="1"/>
  <c r="G294" i="5"/>
  <c r="J153" i="3"/>
  <c r="L93" i="3"/>
  <c r="J62" i="11" s="1"/>
  <c r="K82" i="3"/>
  <c r="I61" i="11" s="1"/>
  <c r="L77" i="3"/>
  <c r="L82" i="3" s="1"/>
  <c r="J61" i="11" s="1"/>
  <c r="K154" i="3"/>
  <c r="I17" i="11" s="1"/>
  <c r="H25" i="16" s="1"/>
  <c r="Y36" i="6"/>
  <c r="AH68" i="6"/>
  <c r="AH91" i="5"/>
  <c r="AH139" i="5" s="1"/>
  <c r="AG139" i="5"/>
  <c r="J55" i="10"/>
  <c r="H56" i="10"/>
  <c r="S26" i="4"/>
  <c r="T26" i="4"/>
  <c r="H114" i="3" s="1"/>
  <c r="J129" i="6"/>
  <c r="J101" i="6"/>
  <c r="H61" i="14" s="1"/>
  <c r="V114" i="9" l="1"/>
  <c r="V57" i="9"/>
  <c r="V19" i="9"/>
  <c r="I219" i="5"/>
  <c r="Z108" i="9"/>
  <c r="Z199" i="9"/>
  <c r="Z23" i="9"/>
  <c r="Z105" i="9"/>
  <c r="Z106" i="9"/>
  <c r="Z81" i="9"/>
  <c r="Z41" i="9"/>
  <c r="Z66" i="9"/>
  <c r="G32" i="12"/>
  <c r="F17" i="13"/>
  <c r="H162" i="7"/>
  <c r="F19" i="13"/>
  <c r="F68" i="14"/>
  <c r="L133" i="3"/>
  <c r="G75" i="14"/>
  <c r="AC45" i="4"/>
  <c r="AC42" i="4"/>
  <c r="AC43" i="4"/>
  <c r="AC40" i="4"/>
  <c r="AC46" i="4"/>
  <c r="AC47" i="4"/>
  <c r="AC44" i="4"/>
  <c r="AC41" i="4"/>
  <c r="AC39" i="4"/>
  <c r="R94" i="4"/>
  <c r="I94" i="4"/>
  <c r="N94" i="4"/>
  <c r="AD94" i="4" s="1"/>
  <c r="P94" i="4"/>
  <c r="T94" i="4"/>
  <c r="S94" i="4"/>
  <c r="R93" i="4"/>
  <c r="I93" i="4"/>
  <c r="Y93" i="4" s="1"/>
  <c r="N93" i="4"/>
  <c r="AD93" i="4" s="1"/>
  <c r="S93" i="4"/>
  <c r="T93" i="4"/>
  <c r="P93" i="4"/>
  <c r="R87" i="4"/>
  <c r="I87" i="4"/>
  <c r="Y87" i="4" s="1"/>
  <c r="AA87" i="4" s="1"/>
  <c r="N87" i="4"/>
  <c r="AD87" i="4" s="1"/>
  <c r="T87" i="4"/>
  <c r="S87" i="4"/>
  <c r="P87" i="4"/>
  <c r="R86" i="4"/>
  <c r="I86" i="4"/>
  <c r="Y86" i="4" s="1"/>
  <c r="N86" i="4"/>
  <c r="AD86" i="4" s="1"/>
  <c r="P86" i="4"/>
  <c r="S86" i="4"/>
  <c r="T86" i="4"/>
  <c r="R91" i="4"/>
  <c r="I91" i="4"/>
  <c r="Y91" i="4" s="1"/>
  <c r="N91" i="4"/>
  <c r="AD91" i="4" s="1"/>
  <c r="P91" i="4"/>
  <c r="T91" i="4"/>
  <c r="S91" i="4"/>
  <c r="R92" i="4"/>
  <c r="I92" i="4"/>
  <c r="Y92" i="4" s="1"/>
  <c r="N92" i="4"/>
  <c r="AD92" i="4" s="1"/>
  <c r="T92" i="4"/>
  <c r="S92" i="4"/>
  <c r="P92" i="4"/>
  <c r="R89" i="4"/>
  <c r="I89" i="4"/>
  <c r="N89" i="4"/>
  <c r="AD89" i="4" s="1"/>
  <c r="S89" i="4"/>
  <c r="P89" i="4"/>
  <c r="T89" i="4"/>
  <c r="R90" i="4"/>
  <c r="I90" i="4"/>
  <c r="Y90" i="4" s="1"/>
  <c r="N90" i="4"/>
  <c r="AD90" i="4" s="1"/>
  <c r="P90" i="4"/>
  <c r="S90" i="4"/>
  <c r="T90" i="4"/>
  <c r="R88" i="4"/>
  <c r="I88" i="4"/>
  <c r="Y88" i="4" s="1"/>
  <c r="N88" i="4"/>
  <c r="AD88" i="4" s="1"/>
  <c r="T88" i="4"/>
  <c r="S88" i="4"/>
  <c r="P88" i="4"/>
  <c r="AC86" i="5"/>
  <c r="AC48" i="6"/>
  <c r="S48" i="6" s="1"/>
  <c r="F29" i="10"/>
  <c r="F36" i="13" s="1"/>
  <c r="F40" i="13" s="1"/>
  <c r="AC85" i="5"/>
  <c r="I220" i="5"/>
  <c r="N220" i="5"/>
  <c r="I288" i="5"/>
  <c r="N288" i="5"/>
  <c r="P81" i="6"/>
  <c r="I113" i="6"/>
  <c r="Y113" i="6" s="1"/>
  <c r="N113" i="6"/>
  <c r="AD113" i="6" s="1"/>
  <c r="R48" i="6"/>
  <c r="AC38" i="4"/>
  <c r="I85" i="4"/>
  <c r="N85" i="4"/>
  <c r="AC99" i="6"/>
  <c r="AC94" i="6"/>
  <c r="AB90" i="6"/>
  <c r="AA90" i="6"/>
  <c r="AA85" i="6"/>
  <c r="AB85" i="6"/>
  <c r="AB92" i="6"/>
  <c r="AA92" i="6"/>
  <c r="AA96" i="6"/>
  <c r="AB96" i="6"/>
  <c r="AB98" i="6"/>
  <c r="AA98" i="6"/>
  <c r="AB95" i="6"/>
  <c r="AA95" i="6"/>
  <c r="AA93" i="6"/>
  <c r="AB93" i="6"/>
  <c r="AA88" i="6"/>
  <c r="AB88" i="6"/>
  <c r="AB87" i="6"/>
  <c r="AA87" i="6"/>
  <c r="AB82" i="6"/>
  <c r="AA82" i="6"/>
  <c r="AB100" i="6"/>
  <c r="AA100" i="6"/>
  <c r="AC91" i="6"/>
  <c r="AB121" i="6"/>
  <c r="AA121" i="6"/>
  <c r="AA97" i="6"/>
  <c r="AB97" i="6"/>
  <c r="AB86" i="6"/>
  <c r="AA86" i="6"/>
  <c r="AB119" i="6"/>
  <c r="AA119" i="6"/>
  <c r="AB84" i="6"/>
  <c r="AA84" i="6"/>
  <c r="AA89" i="6"/>
  <c r="AB89" i="6"/>
  <c r="AB83" i="6"/>
  <c r="AA83" i="6"/>
  <c r="AB150" i="6"/>
  <c r="AA150" i="6"/>
  <c r="AA81" i="6"/>
  <c r="AB81" i="6"/>
  <c r="R81" i="6" s="1"/>
  <c r="AB160" i="5"/>
  <c r="AA160" i="5"/>
  <c r="AB174" i="5"/>
  <c r="AA174" i="5"/>
  <c r="AA195" i="5"/>
  <c r="AB195" i="5"/>
  <c r="AB204" i="5"/>
  <c r="AA204" i="5"/>
  <c r="AB184" i="5"/>
  <c r="AA184" i="5"/>
  <c r="AB170" i="5"/>
  <c r="AA170" i="5"/>
  <c r="AA163" i="5"/>
  <c r="AB163" i="5"/>
  <c r="AA203" i="5"/>
  <c r="AB203" i="5"/>
  <c r="AA155" i="5"/>
  <c r="AB155" i="5"/>
  <c r="AB182" i="5"/>
  <c r="AA182" i="5"/>
  <c r="AB198" i="5"/>
  <c r="AA198" i="5"/>
  <c r="AB164" i="5"/>
  <c r="AA164" i="5"/>
  <c r="AB189" i="5"/>
  <c r="AA189" i="5"/>
  <c r="AB202" i="5"/>
  <c r="AA202" i="5"/>
  <c r="AB166" i="5"/>
  <c r="AA166" i="5"/>
  <c r="AB176" i="5"/>
  <c r="AA176" i="5"/>
  <c r="AB168" i="5"/>
  <c r="AA168" i="5"/>
  <c r="AB200" i="5"/>
  <c r="AA200" i="5"/>
  <c r="AB177" i="5"/>
  <c r="AA177" i="5"/>
  <c r="AB196" i="5"/>
  <c r="AA196" i="5"/>
  <c r="AB169" i="5"/>
  <c r="AA169" i="5"/>
  <c r="AB185" i="5"/>
  <c r="AA185" i="5"/>
  <c r="AA179" i="5"/>
  <c r="AB179" i="5"/>
  <c r="AB269" i="5"/>
  <c r="AA269" i="5"/>
  <c r="O153" i="5"/>
  <c r="P153" i="5" s="1"/>
  <c r="R153" i="5" s="1"/>
  <c r="Y153" i="5"/>
  <c r="AB157" i="5"/>
  <c r="AA157" i="5"/>
  <c r="AB165" i="5"/>
  <c r="AA165" i="5"/>
  <c r="AB192" i="5"/>
  <c r="AA192" i="5"/>
  <c r="AB201" i="5"/>
  <c r="AA201" i="5"/>
  <c r="AB197" i="5"/>
  <c r="AA197" i="5"/>
  <c r="AB156" i="5"/>
  <c r="AA156" i="5"/>
  <c r="AA171" i="5"/>
  <c r="AB171" i="5"/>
  <c r="AA226" i="5"/>
  <c r="AB226" i="5"/>
  <c r="AA167" i="5"/>
  <c r="AB167" i="5"/>
  <c r="AB194" i="5"/>
  <c r="AA194" i="5"/>
  <c r="AA187" i="5"/>
  <c r="AB187" i="5"/>
  <c r="AB178" i="5"/>
  <c r="AA178" i="5"/>
  <c r="O154" i="5"/>
  <c r="Y154" i="5"/>
  <c r="AB181" i="5"/>
  <c r="AA181" i="5"/>
  <c r="AA183" i="5"/>
  <c r="AB183" i="5"/>
  <c r="AB190" i="5"/>
  <c r="AA190" i="5"/>
  <c r="AA199" i="5"/>
  <c r="AB199" i="5"/>
  <c r="AB172" i="5"/>
  <c r="AA172" i="5"/>
  <c r="AB186" i="5"/>
  <c r="AA186" i="5"/>
  <c r="AB193" i="5"/>
  <c r="AA193" i="5"/>
  <c r="AB180" i="5"/>
  <c r="AA180" i="5"/>
  <c r="AB188" i="5"/>
  <c r="AA188" i="5"/>
  <c r="AB205" i="5"/>
  <c r="AA205" i="5"/>
  <c r="AB173" i="5"/>
  <c r="AA173" i="5"/>
  <c r="AB161" i="5"/>
  <c r="AA161" i="5"/>
  <c r="AB206" i="5"/>
  <c r="AA206" i="5"/>
  <c r="AB162" i="5"/>
  <c r="AA162" i="5"/>
  <c r="AA191" i="5"/>
  <c r="AB191" i="5"/>
  <c r="AA159" i="5"/>
  <c r="AB159" i="5"/>
  <c r="AA175" i="5"/>
  <c r="AB175" i="5"/>
  <c r="AB158" i="5"/>
  <c r="AA158" i="5"/>
  <c r="AA64" i="4"/>
  <c r="AB64" i="4"/>
  <c r="AB87" i="4"/>
  <c r="AA66" i="4"/>
  <c r="AB66" i="4"/>
  <c r="AB67" i="4"/>
  <c r="AA67" i="4"/>
  <c r="AB63" i="4"/>
  <c r="AA63" i="4"/>
  <c r="AB68" i="4"/>
  <c r="AA68" i="4"/>
  <c r="AA70" i="4"/>
  <c r="AB70" i="4"/>
  <c r="AB69" i="4"/>
  <c r="AA69" i="4"/>
  <c r="AB71" i="4"/>
  <c r="AA71" i="4"/>
  <c r="AB65" i="4"/>
  <c r="AA65" i="4"/>
  <c r="Y62" i="4"/>
  <c r="P38" i="4"/>
  <c r="R38" i="4" s="1"/>
  <c r="AD48" i="4"/>
  <c r="N219" i="5"/>
  <c r="AM220" i="5"/>
  <c r="S85" i="5"/>
  <c r="T85" i="5" s="1"/>
  <c r="S16" i="5"/>
  <c r="T16" i="5" s="1"/>
  <c r="Y152" i="5"/>
  <c r="AA152" i="5" s="1"/>
  <c r="AD152" i="5"/>
  <c r="P152" i="5"/>
  <c r="AA84" i="5"/>
  <c r="AB84" i="5"/>
  <c r="R84" i="5" s="1"/>
  <c r="AG110" i="4"/>
  <c r="AH110" i="4" s="1"/>
  <c r="AG125" i="6"/>
  <c r="AH125" i="6" s="1"/>
  <c r="AG113" i="4"/>
  <c r="AH113" i="4" s="1"/>
  <c r="N72" i="4"/>
  <c r="N101" i="6"/>
  <c r="J108" i="4"/>
  <c r="AM240" i="5"/>
  <c r="AM253" i="5"/>
  <c r="AM270" i="5"/>
  <c r="AM268" i="5"/>
  <c r="AM227" i="5"/>
  <c r="J325" i="5"/>
  <c r="AM244" i="5"/>
  <c r="AM261" i="5"/>
  <c r="Y242" i="5"/>
  <c r="AM266" i="5"/>
  <c r="AM250" i="5"/>
  <c r="AM271" i="5"/>
  <c r="AM226" i="5"/>
  <c r="AB71" i="5"/>
  <c r="J307" i="5"/>
  <c r="AM229" i="5"/>
  <c r="AM222" i="5"/>
  <c r="AM267" i="5"/>
  <c r="AM288" i="5"/>
  <c r="J338" i="5"/>
  <c r="AM236" i="5"/>
  <c r="J333" i="5"/>
  <c r="N207" i="5"/>
  <c r="AM258" i="5"/>
  <c r="AM269" i="5"/>
  <c r="E293" i="5"/>
  <c r="Y268" i="5"/>
  <c r="AM219" i="5"/>
  <c r="J309" i="5"/>
  <c r="AM242" i="5"/>
  <c r="AM228" i="5"/>
  <c r="AM237" i="5"/>
  <c r="AM231" i="5"/>
  <c r="AM334" i="5"/>
  <c r="AM234" i="5"/>
  <c r="AM245" i="5"/>
  <c r="AM252" i="5"/>
  <c r="Y118" i="6"/>
  <c r="AM255" i="5"/>
  <c r="AM254" i="5"/>
  <c r="E153" i="6"/>
  <c r="F43" i="14"/>
  <c r="J274" i="5"/>
  <c r="I60" i="14" s="1"/>
  <c r="AM238" i="5"/>
  <c r="AM265" i="5"/>
  <c r="AM262" i="5"/>
  <c r="Y233" i="5"/>
  <c r="AM247" i="5"/>
  <c r="E108" i="4"/>
  <c r="AM235" i="5"/>
  <c r="AM249" i="5"/>
  <c r="AM233" i="5"/>
  <c r="AM239" i="5"/>
  <c r="AM246" i="5"/>
  <c r="AM260" i="5"/>
  <c r="Y48" i="4"/>
  <c r="E162" i="6"/>
  <c r="J293" i="5"/>
  <c r="AM293" i="5" s="1"/>
  <c r="J305" i="5"/>
  <c r="J320" i="5"/>
  <c r="J294" i="5"/>
  <c r="J158" i="6"/>
  <c r="J157" i="6"/>
  <c r="J299" i="5"/>
  <c r="J332" i="5"/>
  <c r="AM332" i="5" s="1"/>
  <c r="J329" i="5"/>
  <c r="J312" i="5"/>
  <c r="J322" i="5"/>
  <c r="J318" i="5"/>
  <c r="J151" i="6"/>
  <c r="J315" i="5"/>
  <c r="J301" i="5"/>
  <c r="J160" i="6"/>
  <c r="J306" i="5"/>
  <c r="J316" i="5"/>
  <c r="J327" i="5"/>
  <c r="J313" i="5"/>
  <c r="J162" i="6"/>
  <c r="J300" i="5"/>
  <c r="AM300" i="5" s="1"/>
  <c r="J302" i="5"/>
  <c r="J304" i="5"/>
  <c r="J109" i="4"/>
  <c r="J335" i="5"/>
  <c r="J290" i="5"/>
  <c r="J148" i="6"/>
  <c r="J147" i="6"/>
  <c r="J146" i="6"/>
  <c r="J297" i="5"/>
  <c r="AM232" i="5"/>
  <c r="J296" i="5"/>
  <c r="J311" i="5"/>
  <c r="J287" i="5"/>
  <c r="J323" i="5"/>
  <c r="J286" i="5"/>
  <c r="J145" i="6"/>
  <c r="AM230" i="5"/>
  <c r="J319" i="5"/>
  <c r="J321" i="5"/>
  <c r="J295" i="5"/>
  <c r="J336" i="5"/>
  <c r="J314" i="5"/>
  <c r="J155" i="6"/>
  <c r="J154" i="6"/>
  <c r="J153" i="6"/>
  <c r="AM223" i="5"/>
  <c r="J298" i="5"/>
  <c r="J328" i="5"/>
  <c r="J289" i="5"/>
  <c r="Y130" i="6"/>
  <c r="H148" i="6"/>
  <c r="Y240" i="5"/>
  <c r="E324" i="5"/>
  <c r="Y324" i="5" s="1"/>
  <c r="E307" i="5"/>
  <c r="Y307" i="5" s="1"/>
  <c r="E331" i="5"/>
  <c r="Y270" i="5"/>
  <c r="Y257" i="5"/>
  <c r="E287" i="5"/>
  <c r="F311" i="5"/>
  <c r="AG311" i="5" s="1"/>
  <c r="AH311" i="5" s="1"/>
  <c r="E294" i="5"/>
  <c r="E292" i="5"/>
  <c r="E333" i="5"/>
  <c r="Y266" i="5"/>
  <c r="E291" i="5"/>
  <c r="E320" i="5"/>
  <c r="Y320" i="5" s="1"/>
  <c r="Y223" i="5"/>
  <c r="AG107" i="4"/>
  <c r="AH107" i="4" s="1"/>
  <c r="F45" i="14"/>
  <c r="S36" i="6"/>
  <c r="AD101" i="6"/>
  <c r="AE101" i="6"/>
  <c r="E155" i="6"/>
  <c r="Y123" i="6"/>
  <c r="E159" i="6"/>
  <c r="Y159" i="6" s="1"/>
  <c r="Y127" i="6"/>
  <c r="E158" i="6"/>
  <c r="Y126" i="6"/>
  <c r="P101" i="6"/>
  <c r="AG129" i="6"/>
  <c r="AH129" i="6" s="1"/>
  <c r="E164" i="6"/>
  <c r="Y132" i="6"/>
  <c r="E146" i="6"/>
  <c r="Y114" i="6"/>
  <c r="H145" i="6"/>
  <c r="AF145" i="6" s="1"/>
  <c r="T36" i="6"/>
  <c r="H116" i="3" s="1"/>
  <c r="E312" i="5"/>
  <c r="E296" i="5"/>
  <c r="Y263" i="5"/>
  <c r="E325" i="5"/>
  <c r="E330" i="5"/>
  <c r="E315" i="5"/>
  <c r="E323" i="5"/>
  <c r="Y323" i="5" s="1"/>
  <c r="AK329" i="5"/>
  <c r="AL329" i="5" s="1"/>
  <c r="Y256" i="5"/>
  <c r="E288" i="5"/>
  <c r="E305" i="5"/>
  <c r="Y238" i="5"/>
  <c r="E328" i="5"/>
  <c r="E339" i="5"/>
  <c r="E332" i="5"/>
  <c r="F155" i="6"/>
  <c r="AG155" i="6" s="1"/>
  <c r="AH155" i="6" s="1"/>
  <c r="F145" i="6"/>
  <c r="AG145" i="6" s="1"/>
  <c r="AH145" i="6" s="1"/>
  <c r="AG113" i="6"/>
  <c r="AH113" i="6" s="1"/>
  <c r="AG117" i="6"/>
  <c r="AH117" i="6" s="1"/>
  <c r="F149" i="6"/>
  <c r="AG149" i="6" s="1"/>
  <c r="AH149" i="6" s="1"/>
  <c r="E160" i="6"/>
  <c r="Y128" i="6"/>
  <c r="H109" i="4"/>
  <c r="AF109" i="4" s="1"/>
  <c r="J114" i="4"/>
  <c r="AE72" i="4"/>
  <c r="H108" i="4"/>
  <c r="AF108" i="4" s="1"/>
  <c r="H111" i="4"/>
  <c r="AF111" i="4" s="1"/>
  <c r="H110" i="4"/>
  <c r="AF110" i="4" s="1"/>
  <c r="J116" i="4"/>
  <c r="J113" i="4"/>
  <c r="AG114" i="4"/>
  <c r="AH114" i="4" s="1"/>
  <c r="AG92" i="4"/>
  <c r="AH92" i="4" s="1"/>
  <c r="AH95" i="4" s="1"/>
  <c r="Y249" i="5"/>
  <c r="E313" i="5"/>
  <c r="Y260" i="5"/>
  <c r="E327" i="5"/>
  <c r="E322" i="5"/>
  <c r="E337" i="5"/>
  <c r="E304" i="5"/>
  <c r="E306" i="5"/>
  <c r="E295" i="5"/>
  <c r="E308" i="5"/>
  <c r="E340" i="5"/>
  <c r="AG115" i="4"/>
  <c r="AH115" i="4" s="1"/>
  <c r="H112" i="4"/>
  <c r="AF112" i="4" s="1"/>
  <c r="Y94" i="4"/>
  <c r="E116" i="4"/>
  <c r="J111" i="4"/>
  <c r="J95" i="4"/>
  <c r="I59" i="14" s="1"/>
  <c r="I59" i="16" s="1"/>
  <c r="AG72" i="4"/>
  <c r="E113" i="4"/>
  <c r="AG116" i="4"/>
  <c r="AH116" i="4" s="1"/>
  <c r="J110" i="4"/>
  <c r="J112" i="4"/>
  <c r="E110" i="4"/>
  <c r="E114" i="4"/>
  <c r="AH72" i="4"/>
  <c r="E107" i="4"/>
  <c r="AG111" i="4"/>
  <c r="AH111" i="4" s="1"/>
  <c r="J107" i="4"/>
  <c r="J115" i="4"/>
  <c r="E112" i="4"/>
  <c r="AF256" i="5"/>
  <c r="Y264" i="5"/>
  <c r="Y236" i="5"/>
  <c r="F335" i="5"/>
  <c r="AG335" i="5" s="1"/>
  <c r="AH335" i="5" s="1"/>
  <c r="Y273" i="5"/>
  <c r="Y253" i="5"/>
  <c r="Y258" i="5"/>
  <c r="Y224" i="5"/>
  <c r="AM317" i="5"/>
  <c r="F292" i="5"/>
  <c r="AG292" i="5" s="1"/>
  <c r="AH292" i="5" s="1"/>
  <c r="H325" i="5"/>
  <c r="AF325" i="5" s="1"/>
  <c r="Y248" i="5"/>
  <c r="AG108" i="4"/>
  <c r="AH108" i="4" s="1"/>
  <c r="F303" i="5"/>
  <c r="AG303" i="5" s="1"/>
  <c r="AH303" i="5" s="1"/>
  <c r="Y254" i="5"/>
  <c r="Y246" i="5"/>
  <c r="F317" i="5"/>
  <c r="AG317" i="5" s="1"/>
  <c r="AH317" i="5" s="1"/>
  <c r="Y237" i="5"/>
  <c r="Y252" i="5"/>
  <c r="F324" i="5"/>
  <c r="AG324" i="5" s="1"/>
  <c r="AH324" i="5" s="1"/>
  <c r="AF333" i="5"/>
  <c r="AF265" i="5"/>
  <c r="AF237" i="5"/>
  <c r="Y255" i="5"/>
  <c r="Y222" i="5"/>
  <c r="F291" i="5"/>
  <c r="AG291" i="5" s="1"/>
  <c r="AH291" i="5" s="1"/>
  <c r="AF320" i="5"/>
  <c r="AF324" i="5"/>
  <c r="AF322" i="5"/>
  <c r="AF311" i="5"/>
  <c r="F301" i="5"/>
  <c r="AG301" i="5" s="1"/>
  <c r="AH301" i="5" s="1"/>
  <c r="AG234" i="5"/>
  <c r="AH234" i="5" s="1"/>
  <c r="AF267" i="5"/>
  <c r="AF236" i="5"/>
  <c r="AF319" i="5"/>
  <c r="F340" i="5"/>
  <c r="AG340" i="5" s="1"/>
  <c r="AH340" i="5" s="1"/>
  <c r="F328" i="5"/>
  <c r="AG328" i="5" s="1"/>
  <c r="AH328" i="5" s="1"/>
  <c r="AG261" i="5"/>
  <c r="AH261" i="5" s="1"/>
  <c r="AF272" i="5"/>
  <c r="H329" i="5"/>
  <c r="AF262" i="5"/>
  <c r="Y290" i="5"/>
  <c r="H289" i="5"/>
  <c r="AF222" i="5"/>
  <c r="H298" i="5"/>
  <c r="AF231" i="5"/>
  <c r="Y231" i="5"/>
  <c r="Y227" i="5"/>
  <c r="E297" i="5"/>
  <c r="AF252" i="5"/>
  <c r="AF323" i="5"/>
  <c r="F294" i="5"/>
  <c r="AG294" i="5" s="1"/>
  <c r="AH294" i="5" s="1"/>
  <c r="AG227" i="5"/>
  <c r="AH227" i="5" s="1"/>
  <c r="H294" i="5"/>
  <c r="AF227" i="5"/>
  <c r="AF290" i="5"/>
  <c r="AH207" i="5"/>
  <c r="H296" i="5"/>
  <c r="AF229" i="5"/>
  <c r="AF304" i="5"/>
  <c r="H305" i="5"/>
  <c r="AF238" i="5"/>
  <c r="F319" i="5"/>
  <c r="AG319" i="5" s="1"/>
  <c r="AH319" i="5" s="1"/>
  <c r="AG252" i="5"/>
  <c r="AH252" i="5" s="1"/>
  <c r="AF245" i="5"/>
  <c r="H299" i="5"/>
  <c r="AF232" i="5"/>
  <c r="AF321" i="5"/>
  <c r="AF315" i="5"/>
  <c r="AF309" i="5"/>
  <c r="AF310" i="5"/>
  <c r="AF340" i="5"/>
  <c r="AF327" i="5"/>
  <c r="AF307" i="5"/>
  <c r="AF316" i="5"/>
  <c r="Y139" i="5"/>
  <c r="AF338" i="5"/>
  <c r="F314" i="5"/>
  <c r="AG314" i="5" s="1"/>
  <c r="AH314" i="5" s="1"/>
  <c r="F338" i="5"/>
  <c r="AG338" i="5" s="1"/>
  <c r="AH338" i="5" s="1"/>
  <c r="AG271" i="5"/>
  <c r="AH271" i="5" s="1"/>
  <c r="Y241" i="5"/>
  <c r="AF264" i="5"/>
  <c r="H331" i="5"/>
  <c r="H288" i="5"/>
  <c r="AF221" i="5"/>
  <c r="AF255" i="5"/>
  <c r="H293" i="5"/>
  <c r="AF226" i="5"/>
  <c r="F286" i="5"/>
  <c r="AG286" i="5" s="1"/>
  <c r="AG219" i="5"/>
  <c r="AF251" i="5"/>
  <c r="AF263" i="5"/>
  <c r="E314" i="5"/>
  <c r="Y228" i="5"/>
  <c r="H292" i="5"/>
  <c r="AF225" i="5"/>
  <c r="Y225" i="5"/>
  <c r="Y229" i="5"/>
  <c r="AF268" i="5"/>
  <c r="H335" i="5"/>
  <c r="H317" i="5"/>
  <c r="AF250" i="5"/>
  <c r="F322" i="5"/>
  <c r="AG322" i="5" s="1"/>
  <c r="AH322" i="5" s="1"/>
  <c r="AG255" i="5"/>
  <c r="AH255" i="5" s="1"/>
  <c r="AG207" i="5"/>
  <c r="Y232" i="5"/>
  <c r="AF287" i="5"/>
  <c r="AF326" i="5"/>
  <c r="AF301" i="5"/>
  <c r="AF313" i="5"/>
  <c r="Y245" i="5"/>
  <c r="Y265" i="5"/>
  <c r="AF308" i="5"/>
  <c r="H312" i="5"/>
  <c r="Y239" i="5"/>
  <c r="AF239" i="5"/>
  <c r="F312" i="5"/>
  <c r="AG312" i="5" s="1"/>
  <c r="AH312" i="5" s="1"/>
  <c r="H314" i="5"/>
  <c r="AF247" i="5"/>
  <c r="Y244" i="5"/>
  <c r="F336" i="5"/>
  <c r="AG336" i="5" s="1"/>
  <c r="AH336" i="5" s="1"/>
  <c r="E326" i="5"/>
  <c r="F332" i="5"/>
  <c r="AG332" i="5" s="1"/>
  <c r="AH332" i="5" s="1"/>
  <c r="AG265" i="5"/>
  <c r="AH265" i="5" s="1"/>
  <c r="AF337" i="5"/>
  <c r="H286" i="5"/>
  <c r="AF219" i="5"/>
  <c r="AF228" i="5"/>
  <c r="H295" i="5"/>
  <c r="F330" i="5"/>
  <c r="AG330" i="5" s="1"/>
  <c r="AH330" i="5" s="1"/>
  <c r="AG263" i="5"/>
  <c r="AH263" i="5" s="1"/>
  <c r="AF302" i="5"/>
  <c r="AF259" i="5"/>
  <c r="AF300" i="5"/>
  <c r="AF261" i="5"/>
  <c r="H328" i="5"/>
  <c r="AF269" i="5"/>
  <c r="H336" i="5"/>
  <c r="AF243" i="5"/>
  <c r="F295" i="5"/>
  <c r="AG295" i="5" s="1"/>
  <c r="AH295" i="5" s="1"/>
  <c r="AG228" i="5"/>
  <c r="AH228" i="5" s="1"/>
  <c r="AF273" i="5"/>
  <c r="Y250" i="5"/>
  <c r="E289" i="5"/>
  <c r="AF224" i="5"/>
  <c r="H291" i="5"/>
  <c r="Y261" i="5"/>
  <c r="H297" i="5"/>
  <c r="AF230" i="5"/>
  <c r="AF258" i="5"/>
  <c r="O139" i="5"/>
  <c r="O219" i="5"/>
  <c r="Y300" i="5"/>
  <c r="Y272" i="5"/>
  <c r="Y235" i="5"/>
  <c r="Y230" i="5"/>
  <c r="Y234" i="5"/>
  <c r="H339" i="5"/>
  <c r="G339" i="5"/>
  <c r="AJ272" i="5"/>
  <c r="AK272" i="5" s="1"/>
  <c r="AL272" i="5" s="1"/>
  <c r="AM272" i="5" s="1"/>
  <c r="F304" i="5"/>
  <c r="AG304" i="5" s="1"/>
  <c r="AH304" i="5" s="1"/>
  <c r="F315" i="5"/>
  <c r="AG315" i="5" s="1"/>
  <c r="AH315" i="5" s="1"/>
  <c r="G315" i="5"/>
  <c r="AI315" i="5" s="1"/>
  <c r="AJ315" i="5" s="1"/>
  <c r="AK315" i="5" s="1"/>
  <c r="AL315" i="5" s="1"/>
  <c r="Y247" i="5"/>
  <c r="F290" i="5"/>
  <c r="AG290" i="5" s="1"/>
  <c r="AH290" i="5" s="1"/>
  <c r="F299" i="5"/>
  <c r="AG299" i="5" s="1"/>
  <c r="AH299" i="5" s="1"/>
  <c r="AI248" i="5"/>
  <c r="AJ248" i="5" s="1"/>
  <c r="AK248" i="5" s="1"/>
  <c r="AL248" i="5" s="1"/>
  <c r="AM248" i="5" s="1"/>
  <c r="AK316" i="5"/>
  <c r="AL316" i="5" s="1"/>
  <c r="AK304" i="5"/>
  <c r="AL304" i="5" s="1"/>
  <c r="Y259" i="5"/>
  <c r="Y267" i="5"/>
  <c r="E311" i="5"/>
  <c r="F288" i="5"/>
  <c r="AG288" i="5" s="1"/>
  <c r="AH288" i="5" s="1"/>
  <c r="AJ298" i="5"/>
  <c r="AK298" i="5" s="1"/>
  <c r="AL298" i="5" s="1"/>
  <c r="F310" i="5"/>
  <c r="AG310" i="5" s="1"/>
  <c r="AH310" i="5" s="1"/>
  <c r="E302" i="5"/>
  <c r="E334" i="5"/>
  <c r="Y319" i="5"/>
  <c r="AI338" i="5"/>
  <c r="AJ338" i="5" s="1"/>
  <c r="AK338" i="5" s="1"/>
  <c r="AL338" i="5" s="1"/>
  <c r="H303" i="5"/>
  <c r="Y303" i="5" s="1"/>
  <c r="G323" i="5"/>
  <c r="AI256" i="5"/>
  <c r="AJ256" i="5" s="1"/>
  <c r="AK256" i="5" s="1"/>
  <c r="AL256" i="5" s="1"/>
  <c r="AM256" i="5" s="1"/>
  <c r="F316" i="5"/>
  <c r="AG316" i="5" s="1"/>
  <c r="AH316" i="5" s="1"/>
  <c r="F321" i="5"/>
  <c r="AG321" i="5" s="1"/>
  <c r="AH321" i="5" s="1"/>
  <c r="AM303" i="5"/>
  <c r="J157" i="3"/>
  <c r="H18" i="11" s="1"/>
  <c r="G26" i="16" s="1"/>
  <c r="H63" i="11"/>
  <c r="I33" i="16"/>
  <c r="V84" i="9"/>
  <c r="V21" i="9"/>
  <c r="V126" i="9"/>
  <c r="V17" i="9"/>
  <c r="I78" i="14"/>
  <c r="F339" i="5"/>
  <c r="AG339" i="5" s="1"/>
  <c r="AH339" i="5" s="1"/>
  <c r="F289" i="5"/>
  <c r="AG289" i="5" s="1"/>
  <c r="AH289" i="5" s="1"/>
  <c r="K182" i="7"/>
  <c r="I71" i="14"/>
  <c r="F71" i="14"/>
  <c r="G71" i="14"/>
  <c r="F23" i="16"/>
  <c r="K163" i="3"/>
  <c r="I22" i="11" s="1"/>
  <c r="H33" i="3"/>
  <c r="H36" i="3" s="1"/>
  <c r="F59" i="16"/>
  <c r="V41" i="9"/>
  <c r="V96" i="9"/>
  <c r="V35" i="9"/>
  <c r="V15" i="9"/>
  <c r="V83" i="9"/>
  <c r="V65" i="9"/>
  <c r="V100" i="9"/>
  <c r="V79" i="9"/>
  <c r="V69" i="9"/>
  <c r="V74" i="9"/>
  <c r="V18" i="9"/>
  <c r="V104" i="9"/>
  <c r="V51" i="9"/>
  <c r="V63" i="9"/>
  <c r="V98" i="9"/>
  <c r="V81" i="9"/>
  <c r="V124" i="9"/>
  <c r="V112" i="9"/>
  <c r="V102" i="9"/>
  <c r="V82" i="9"/>
  <c r="V38" i="9"/>
  <c r="V27" i="9"/>
  <c r="V118" i="9"/>
  <c r="V108" i="9"/>
  <c r="V94" i="9"/>
  <c r="V31" i="9"/>
  <c r="V88" i="9"/>
  <c r="V73" i="9"/>
  <c r="V87" i="9"/>
  <c r="V207" i="9"/>
  <c r="H15" i="11"/>
  <c r="G23" i="16" s="1"/>
  <c r="L163" i="3"/>
  <c r="J22" i="11" s="1"/>
  <c r="V123" i="9"/>
  <c r="V109" i="9"/>
  <c r="V59" i="9"/>
  <c r="V23" i="9"/>
  <c r="V90" i="9"/>
  <c r="V37" i="9"/>
  <c r="V206" i="9"/>
  <c r="V67" i="9"/>
  <c r="V33" i="9"/>
  <c r="V45" i="9"/>
  <c r="V43" i="9"/>
  <c r="V106" i="9"/>
  <c r="V77" i="9"/>
  <c r="V210" i="9"/>
  <c r="V110" i="9"/>
  <c r="V204" i="9"/>
  <c r="V202" i="9"/>
  <c r="V120" i="9"/>
  <c r="V29" i="9"/>
  <c r="V24" i="9"/>
  <c r="V56" i="9"/>
  <c r="V26" i="9"/>
  <c r="V32" i="9"/>
  <c r="V25" i="9"/>
  <c r="V71" i="9"/>
  <c r="V39" i="9"/>
  <c r="V85" i="9"/>
  <c r="V22" i="9"/>
  <c r="V92" i="9"/>
  <c r="V49" i="9"/>
  <c r="V53" i="9"/>
  <c r="V75" i="9"/>
  <c r="V122" i="9"/>
  <c r="V116" i="9"/>
  <c r="V55" i="9"/>
  <c r="V20" i="9"/>
  <c r="V212" i="9"/>
  <c r="V47" i="9"/>
  <c r="V200" i="9"/>
  <c r="V61" i="9"/>
  <c r="V107" i="9"/>
  <c r="V93" i="9"/>
  <c r="V205" i="9"/>
  <c r="V46" i="9"/>
  <c r="V203" i="9"/>
  <c r="V36" i="9"/>
  <c r="V86" i="9"/>
  <c r="V28" i="9"/>
  <c r="V105" i="9"/>
  <c r="V62" i="9"/>
  <c r="V115" i="9"/>
  <c r="V201" i="9"/>
  <c r="AB8" i="9"/>
  <c r="AB100" i="9" s="1"/>
  <c r="V125" i="9"/>
  <c r="V54" i="9"/>
  <c r="V95" i="9"/>
  <c r="V70" i="9"/>
  <c r="V58" i="9"/>
  <c r="V209" i="9"/>
  <c r="V44" i="9"/>
  <c r="V211" i="9"/>
  <c r="V42" i="9"/>
  <c r="V30" i="9"/>
  <c r="V68" i="9"/>
  <c r="V119" i="9"/>
  <c r="V52" i="9"/>
  <c r="V117" i="9"/>
  <c r="V111" i="9"/>
  <c r="V121" i="9"/>
  <c r="V76" i="9"/>
  <c r="V72" i="9"/>
  <c r="V78" i="9"/>
  <c r="V91" i="9"/>
  <c r="V101" i="9"/>
  <c r="V34" i="9"/>
  <c r="V64" i="9"/>
  <c r="T12" i="9"/>
  <c r="V199" i="9"/>
  <c r="V89" i="9"/>
  <c r="V14" i="9"/>
  <c r="J38" i="10" s="1"/>
  <c r="L96" i="7" s="1"/>
  <c r="V16" i="9"/>
  <c r="V103" i="9"/>
  <c r="V50" i="9"/>
  <c r="AB27" i="9"/>
  <c r="AB91" i="9"/>
  <c r="AB44" i="9"/>
  <c r="AB86" i="9"/>
  <c r="AB97" i="9"/>
  <c r="AB117" i="9"/>
  <c r="AB74" i="9"/>
  <c r="AB126" i="9"/>
  <c r="AB62" i="9"/>
  <c r="AB213" i="9"/>
  <c r="AB78" i="9"/>
  <c r="AB114" i="9"/>
  <c r="AB55" i="9"/>
  <c r="AB209" i="9"/>
  <c r="V113" i="9"/>
  <c r="V48" i="9"/>
  <c r="V40" i="9"/>
  <c r="AB193" i="9"/>
  <c r="AB191" i="9"/>
  <c r="AB186" i="9"/>
  <c r="AB170" i="9"/>
  <c r="AB163" i="9"/>
  <c r="AB160" i="9"/>
  <c r="AB190" i="9"/>
  <c r="AB185" i="9"/>
  <c r="AB183" i="9"/>
  <c r="AB176" i="9"/>
  <c r="AB165" i="9"/>
  <c r="AB162" i="9"/>
  <c r="AB152" i="9"/>
  <c r="AB149" i="9"/>
  <c r="AB147" i="9"/>
  <c r="AB182" i="9"/>
  <c r="AB178" i="9"/>
  <c r="AB173" i="9"/>
  <c r="AB158" i="9"/>
  <c r="AB151" i="9"/>
  <c r="AB194" i="9"/>
  <c r="AB161" i="9"/>
  <c r="AB153" i="9"/>
  <c r="AB145" i="9"/>
  <c r="AB137" i="9"/>
  <c r="AB133" i="9"/>
  <c r="AB129" i="9"/>
  <c r="AB189" i="9"/>
  <c r="AB172" i="9"/>
  <c r="AB138" i="9"/>
  <c r="AB132" i="9"/>
  <c r="AB142" i="9"/>
  <c r="AB130" i="9"/>
  <c r="AB174" i="9"/>
  <c r="AB171" i="9"/>
  <c r="AB155" i="9"/>
  <c r="AB146" i="9"/>
  <c r="AB143" i="9"/>
  <c r="AB141" i="9"/>
  <c r="AB128" i="9"/>
  <c r="AB201" i="9"/>
  <c r="AB80" i="9"/>
  <c r="AB26" i="9"/>
  <c r="AB89" i="9"/>
  <c r="AB71" i="9"/>
  <c r="AB53" i="9"/>
  <c r="AB63" i="9"/>
  <c r="AB125" i="9"/>
  <c r="AB25" i="9"/>
  <c r="AB75" i="9"/>
  <c r="AB110" i="9"/>
  <c r="AB59" i="9"/>
  <c r="AB42" i="9"/>
  <c r="AB108" i="9"/>
  <c r="AB28" i="9"/>
  <c r="AB20" i="9"/>
  <c r="AB120" i="9"/>
  <c r="AB70" i="9"/>
  <c r="AB206" i="9"/>
  <c r="V188" i="9"/>
  <c r="V192" i="9"/>
  <c r="V184" i="9"/>
  <c r="V140" i="9"/>
  <c r="V144" i="9"/>
  <c r="V196" i="9"/>
  <c r="V156" i="9"/>
  <c r="V136" i="9"/>
  <c r="V128" i="9"/>
  <c r="V132" i="9"/>
  <c r="V130" i="9"/>
  <c r="V172" i="9"/>
  <c r="V170" i="9"/>
  <c r="V150" i="9"/>
  <c r="V157" i="9"/>
  <c r="V160" i="9"/>
  <c r="V198" i="9"/>
  <c r="V158" i="9"/>
  <c r="V189" i="9"/>
  <c r="V169" i="9"/>
  <c r="V146" i="9"/>
  <c r="V171" i="9"/>
  <c r="V177" i="9"/>
  <c r="V191" i="9"/>
  <c r="V178" i="9"/>
  <c r="V151" i="9"/>
  <c r="V153" i="9"/>
  <c r="V147" i="9"/>
  <c r="V127" i="9"/>
  <c r="V133" i="9"/>
  <c r="V143" i="9"/>
  <c r="V162" i="9"/>
  <c r="V129" i="9"/>
  <c r="V131" i="9"/>
  <c r="V139" i="9"/>
  <c r="V145" i="9"/>
  <c r="V163" i="9"/>
  <c r="V194" i="9"/>
  <c r="V173" i="9"/>
  <c r="V176" i="9"/>
  <c r="V149" i="9"/>
  <c r="V154" i="9"/>
  <c r="V161" i="9"/>
  <c r="V164" i="9"/>
  <c r="V185" i="9"/>
  <c r="V193" i="9"/>
  <c r="V148" i="9"/>
  <c r="V166" i="9"/>
  <c r="V141" i="9"/>
  <c r="V135" i="9"/>
  <c r="V155" i="9"/>
  <c r="V195" i="9"/>
  <c r="V168" i="9"/>
  <c r="V183" i="9"/>
  <c r="V186" i="9"/>
  <c r="V175" i="9"/>
  <c r="V190" i="9"/>
  <c r="V134" i="9"/>
  <c r="V138" i="9"/>
  <c r="V182" i="9"/>
  <c r="V187" i="9"/>
  <c r="V152" i="9"/>
  <c r="V165" i="9"/>
  <c r="V142" i="9"/>
  <c r="V179" i="9"/>
  <c r="V181" i="9"/>
  <c r="V159" i="9"/>
  <c r="V180" i="9"/>
  <c r="V137" i="9"/>
  <c r="V167" i="9"/>
  <c r="V197" i="9"/>
  <c r="V174" i="9"/>
  <c r="AA194" i="9"/>
  <c r="AA189" i="9"/>
  <c r="AA188" i="9"/>
  <c r="AA187" i="9"/>
  <c r="AA181" i="9"/>
  <c r="AA174" i="9"/>
  <c r="AA172" i="9"/>
  <c r="AA171" i="9"/>
  <c r="AA169" i="9"/>
  <c r="AA166" i="9"/>
  <c r="AA164" i="9"/>
  <c r="AA161" i="9"/>
  <c r="AA155" i="9"/>
  <c r="AA153" i="9"/>
  <c r="AA150" i="9"/>
  <c r="AA198" i="9"/>
  <c r="AA193" i="9"/>
  <c r="AA192" i="9"/>
  <c r="AA191" i="9"/>
  <c r="AA186" i="9"/>
  <c r="AA180" i="9"/>
  <c r="AA177" i="9"/>
  <c r="AA170" i="9"/>
  <c r="AA163" i="9"/>
  <c r="AA160" i="9"/>
  <c r="AA154" i="9"/>
  <c r="AA197" i="9"/>
  <c r="AA190" i="9"/>
  <c r="AA185" i="9"/>
  <c r="AA184" i="9"/>
  <c r="AA183" i="9"/>
  <c r="AA179" i="9"/>
  <c r="AA176" i="9"/>
  <c r="AA168" i="9"/>
  <c r="AA165" i="9"/>
  <c r="AA162" i="9"/>
  <c r="AA159" i="9"/>
  <c r="AA157" i="9"/>
  <c r="AA152" i="9"/>
  <c r="AA149" i="9"/>
  <c r="AA182" i="9"/>
  <c r="AA173" i="9"/>
  <c r="AA142" i="9"/>
  <c r="AA130" i="9"/>
  <c r="AA128" i="9"/>
  <c r="AA127" i="9"/>
  <c r="AA132" i="9"/>
  <c r="AA196" i="9"/>
  <c r="AA175" i="9"/>
  <c r="AA156" i="9"/>
  <c r="AA145" i="9"/>
  <c r="AA140" i="9"/>
  <c r="AA139" i="9"/>
  <c r="AA137" i="9"/>
  <c r="AA133" i="9"/>
  <c r="AA146" i="9"/>
  <c r="AA143" i="9"/>
  <c r="AA134" i="9"/>
  <c r="AA131" i="9"/>
  <c r="AA129" i="9"/>
  <c r="AA178" i="9"/>
  <c r="AA167" i="9"/>
  <c r="AA158" i="9"/>
  <c r="AA151" i="9"/>
  <c r="AA147" i="9"/>
  <c r="AA138" i="9"/>
  <c r="AA136" i="9"/>
  <c r="AA135" i="9"/>
  <c r="AA195" i="9"/>
  <c r="AA148" i="9"/>
  <c r="AA144" i="9"/>
  <c r="AA141" i="9"/>
  <c r="AB39" i="9"/>
  <c r="AB116" i="9"/>
  <c r="AB200" i="9"/>
  <c r="AB109" i="9"/>
  <c r="AB212" i="9"/>
  <c r="AB102" i="9"/>
  <c r="AB211" i="9"/>
  <c r="AB76" i="9"/>
  <c r="AB83" i="9"/>
  <c r="AB16" i="9"/>
  <c r="AB103" i="9"/>
  <c r="AB29" i="9"/>
  <c r="AB18" i="9"/>
  <c r="AB101" i="9"/>
  <c r="AB36" i="9"/>
  <c r="AB203" i="9"/>
  <c r="AB123" i="9"/>
  <c r="AB40" i="9"/>
  <c r="AB33" i="9"/>
  <c r="AB208" i="9"/>
  <c r="AB50" i="9"/>
  <c r="AB113" i="9"/>
  <c r="AB48" i="9"/>
  <c r="AB90" i="9"/>
  <c r="AB111" i="9"/>
  <c r="AB107" i="9"/>
  <c r="AB207" i="9"/>
  <c r="AB210" i="9"/>
  <c r="AB15" i="9"/>
  <c r="AB87" i="9"/>
  <c r="AB19" i="9"/>
  <c r="AB21" i="9"/>
  <c r="Y197" i="9"/>
  <c r="Y190" i="9"/>
  <c r="Y185" i="9"/>
  <c r="Y184" i="9"/>
  <c r="Y183" i="9"/>
  <c r="Y179" i="9"/>
  <c r="Y176" i="9"/>
  <c r="Y168" i="9"/>
  <c r="Y165" i="9"/>
  <c r="Y162" i="9"/>
  <c r="Y159" i="9"/>
  <c r="Y157" i="9"/>
  <c r="Y152" i="9"/>
  <c r="Y149" i="9"/>
  <c r="Y196" i="9"/>
  <c r="Y195" i="9"/>
  <c r="Y182" i="9"/>
  <c r="Y178" i="9"/>
  <c r="Y175" i="9"/>
  <c r="Y173" i="9"/>
  <c r="Y167" i="9"/>
  <c r="Y158" i="9"/>
  <c r="Y156" i="9"/>
  <c r="Y151" i="9"/>
  <c r="Y194" i="9"/>
  <c r="Y189" i="9"/>
  <c r="Y188" i="9"/>
  <c r="Y187" i="9"/>
  <c r="Y181" i="9"/>
  <c r="Y174" i="9"/>
  <c r="Y172" i="9"/>
  <c r="Y171" i="9"/>
  <c r="Y169" i="9"/>
  <c r="Y166" i="9"/>
  <c r="Y164" i="9"/>
  <c r="Y161" i="9"/>
  <c r="Y155" i="9"/>
  <c r="Y153" i="9"/>
  <c r="Y150" i="9"/>
  <c r="Y148" i="9"/>
  <c r="Y198" i="9"/>
  <c r="Y191" i="9"/>
  <c r="Y177" i="9"/>
  <c r="Y147" i="9"/>
  <c r="Y138" i="9"/>
  <c r="Y136" i="9"/>
  <c r="Y135" i="9"/>
  <c r="Y132" i="9"/>
  <c r="Y129" i="9"/>
  <c r="Y128" i="9"/>
  <c r="Y170" i="9"/>
  <c r="Y154" i="9"/>
  <c r="Y139" i="9"/>
  <c r="Y133" i="9"/>
  <c r="Y186" i="9"/>
  <c r="Y146" i="9"/>
  <c r="Y144" i="9"/>
  <c r="Y143" i="9"/>
  <c r="Y141" i="9"/>
  <c r="Y134" i="9"/>
  <c r="Y131" i="9"/>
  <c r="Y130" i="9"/>
  <c r="Y127" i="9"/>
  <c r="Y145" i="9"/>
  <c r="Y140" i="9"/>
  <c r="Y137" i="9"/>
  <c r="Y193" i="9"/>
  <c r="Y192" i="9"/>
  <c r="Y180" i="9"/>
  <c r="Y160" i="9"/>
  <c r="Y142" i="9"/>
  <c r="Y163" i="9"/>
  <c r="V80" i="9"/>
  <c r="V60" i="9"/>
  <c r="V99" i="9"/>
  <c r="V66" i="9"/>
  <c r="V97" i="9"/>
  <c r="X12" i="9"/>
  <c r="E310" i="5"/>
  <c r="Y243" i="5"/>
  <c r="H334" i="5"/>
  <c r="Y117" i="6"/>
  <c r="E149" i="6"/>
  <c r="E156" i="6"/>
  <c r="Y124" i="6"/>
  <c r="E111" i="4"/>
  <c r="Y89" i="4"/>
  <c r="E152" i="6"/>
  <c r="Y120" i="6"/>
  <c r="J99" i="7"/>
  <c r="I17" i="3"/>
  <c r="Y115" i="6"/>
  <c r="E147" i="6"/>
  <c r="K113" i="2"/>
  <c r="K110" i="2"/>
  <c r="K114" i="2" s="1"/>
  <c r="K111" i="2" s="1"/>
  <c r="J46" i="12"/>
  <c r="K44" i="12"/>
  <c r="K46" i="12" s="1"/>
  <c r="H318" i="5"/>
  <c r="Y129" i="6"/>
  <c r="E161" i="6"/>
  <c r="AI314" i="5"/>
  <c r="AJ314" i="5" s="1"/>
  <c r="AK314" i="5" s="1"/>
  <c r="AL314" i="5" s="1"/>
  <c r="H306" i="5"/>
  <c r="E163" i="6"/>
  <c r="Y131" i="6"/>
  <c r="K56" i="2"/>
  <c r="K63" i="2" s="1"/>
  <c r="L27" i="3"/>
  <c r="E338" i="5"/>
  <c r="Y271" i="5"/>
  <c r="F26" i="16"/>
  <c r="G72" i="14"/>
  <c r="F72" i="14"/>
  <c r="H72" i="14"/>
  <c r="I72" i="14"/>
  <c r="AG109" i="4"/>
  <c r="AH109" i="4" s="1"/>
  <c r="Y116" i="6"/>
  <c r="E148" i="6"/>
  <c r="G64" i="16"/>
  <c r="E154" i="6"/>
  <c r="Y122" i="6"/>
  <c r="K27" i="3"/>
  <c r="J56" i="2"/>
  <c r="J63" i="2" s="1"/>
  <c r="G39" i="16"/>
  <c r="H44" i="13"/>
  <c r="E115" i="4"/>
  <c r="H330" i="5"/>
  <c r="Y251" i="5"/>
  <c r="E318" i="5"/>
  <c r="K186" i="19"/>
  <c r="J187" i="19"/>
  <c r="E188" i="19"/>
  <c r="F188" i="19" s="1"/>
  <c r="AM331" i="5"/>
  <c r="F43" i="16"/>
  <c r="H52" i="2"/>
  <c r="H59" i="2" s="1"/>
  <c r="I81" i="2"/>
  <c r="I53" i="2" s="1"/>
  <c r="F331" i="5"/>
  <c r="AG331" i="5" s="1"/>
  <c r="AH331" i="5" s="1"/>
  <c r="I19" i="3"/>
  <c r="L43" i="3"/>
  <c r="F186" i="19"/>
  <c r="L24" i="7"/>
  <c r="H157" i="6"/>
  <c r="H151" i="6"/>
  <c r="H160" i="6"/>
  <c r="H152" i="6"/>
  <c r="H146" i="6"/>
  <c r="H164" i="6"/>
  <c r="H156" i="6"/>
  <c r="H147" i="6"/>
  <c r="H159" i="6"/>
  <c r="H155" i="6"/>
  <c r="H149" i="6"/>
  <c r="H162" i="6"/>
  <c r="H158" i="6"/>
  <c r="H150" i="6"/>
  <c r="H154" i="6"/>
  <c r="J38" i="12"/>
  <c r="J42" i="12" s="1"/>
  <c r="J16" i="8"/>
  <c r="J19" i="8" s="1"/>
  <c r="G38" i="16"/>
  <c r="H28" i="13"/>
  <c r="K96" i="7"/>
  <c r="I40" i="10"/>
  <c r="I50" i="10" s="1"/>
  <c r="I24" i="11" s="1"/>
  <c r="H29" i="16" s="1"/>
  <c r="H49" i="2"/>
  <c r="I20" i="3" s="1"/>
  <c r="I22" i="3"/>
  <c r="I18" i="3"/>
  <c r="J9" i="7"/>
  <c r="H41" i="2"/>
  <c r="I40" i="2"/>
  <c r="K8" i="7"/>
  <c r="J38" i="11"/>
  <c r="I32" i="16"/>
  <c r="L96" i="3"/>
  <c r="L102" i="3" s="1"/>
  <c r="J63" i="11" s="1"/>
  <c r="I87" i="2"/>
  <c r="I84" i="2"/>
  <c r="K126" i="2"/>
  <c r="K123" i="2"/>
  <c r="K127" i="2" s="1"/>
  <c r="K124" i="2" s="1"/>
  <c r="G78" i="14"/>
  <c r="G31" i="16"/>
  <c r="G37" i="10"/>
  <c r="S12" i="9"/>
  <c r="Y98" i="9"/>
  <c r="Y47" i="9"/>
  <c r="Y60" i="9"/>
  <c r="Y59" i="9"/>
  <c r="Y107" i="9"/>
  <c r="Y32" i="9"/>
  <c r="Y30" i="9"/>
  <c r="Y209" i="9"/>
  <c r="Y65" i="9"/>
  <c r="Y89" i="9"/>
  <c r="Y102" i="9"/>
  <c r="Y67" i="9"/>
  <c r="Y206" i="9"/>
  <c r="Y203" i="9"/>
  <c r="Y61" i="9"/>
  <c r="Y118" i="9"/>
  <c r="Y113" i="9"/>
  <c r="Y33" i="9"/>
  <c r="Y39" i="9"/>
  <c r="Y79" i="9"/>
  <c r="Y109" i="9"/>
  <c r="Y52" i="9"/>
  <c r="Y41" i="9"/>
  <c r="Y78" i="9"/>
  <c r="Y92" i="9"/>
  <c r="Y44" i="9"/>
  <c r="Y66" i="9"/>
  <c r="Y88" i="9"/>
  <c r="Y82" i="9"/>
  <c r="Y46" i="9"/>
  <c r="Y73" i="9"/>
  <c r="Y71" i="9"/>
  <c r="Y21" i="9"/>
  <c r="Y121" i="9"/>
  <c r="Y111" i="9"/>
  <c r="Y27" i="9"/>
  <c r="Y38" i="9"/>
  <c r="Y99" i="9"/>
  <c r="Y56" i="9"/>
  <c r="Y114" i="9"/>
  <c r="Y200" i="9"/>
  <c r="Y112" i="9"/>
  <c r="Y199" i="9"/>
  <c r="Y37" i="9"/>
  <c r="Y18" i="9"/>
  <c r="Y100" i="9"/>
  <c r="Y25" i="9"/>
  <c r="Y210" i="9"/>
  <c r="Y68" i="9"/>
  <c r="Y50" i="9"/>
  <c r="Y28" i="9"/>
  <c r="Y95" i="9"/>
  <c r="Y94" i="9"/>
  <c r="Y83" i="9"/>
  <c r="Y48" i="9"/>
  <c r="Y207" i="9"/>
  <c r="Y36" i="9"/>
  <c r="Y53" i="9"/>
  <c r="Y96" i="9"/>
  <c r="Y213" i="9"/>
  <c r="Y74" i="9"/>
  <c r="Y93" i="9"/>
  <c r="Y212" i="9"/>
  <c r="Y123" i="9"/>
  <c r="Y204" i="9"/>
  <c r="Y122" i="9"/>
  <c r="Y19" i="9"/>
  <c r="Y34" i="9"/>
  <c r="Y81" i="9"/>
  <c r="Y22" i="9"/>
  <c r="Y97" i="9"/>
  <c r="Y29" i="9"/>
  <c r="Y208" i="9"/>
  <c r="Y119" i="9"/>
  <c r="Y117" i="9"/>
  <c r="Y64" i="9"/>
  <c r="Y43" i="9"/>
  <c r="Y125" i="9"/>
  <c r="Y31" i="9"/>
  <c r="Y126" i="9"/>
  <c r="Y42" i="9"/>
  <c r="Y108" i="9"/>
  <c r="Y101" i="9"/>
  <c r="Y16" i="9"/>
  <c r="Y14" i="9"/>
  <c r="G27" i="10" s="1"/>
  <c r="Y20" i="9"/>
  <c r="Y26" i="9"/>
  <c r="Y35" i="9"/>
  <c r="Y110" i="9"/>
  <c r="Y77" i="9"/>
  <c r="Y54" i="9"/>
  <c r="Y45" i="9"/>
  <c r="Y90" i="9"/>
  <c r="Y55" i="9"/>
  <c r="Y103" i="9"/>
  <c r="Y63" i="9"/>
  <c r="Y106" i="9"/>
  <c r="Y75" i="9"/>
  <c r="Y201" i="9"/>
  <c r="Y80" i="9"/>
  <c r="Y69" i="9"/>
  <c r="Y51" i="9"/>
  <c r="Y86" i="9"/>
  <c r="Y124" i="9"/>
  <c r="Y15" i="9"/>
  <c r="Y205" i="9"/>
  <c r="Y120" i="9"/>
  <c r="Y84" i="9"/>
  <c r="Y72" i="9"/>
  <c r="Y202" i="9"/>
  <c r="Y104" i="9"/>
  <c r="Y87" i="9"/>
  <c r="Y57" i="9"/>
  <c r="Y58" i="9"/>
  <c r="Y211" i="9"/>
  <c r="Y116" i="9"/>
  <c r="Y91" i="9"/>
  <c r="Y49" i="9"/>
  <c r="Y23" i="9"/>
  <c r="Y17" i="9"/>
  <c r="Y105" i="9"/>
  <c r="Y85" i="9"/>
  <c r="Y70" i="9"/>
  <c r="Y76" i="9"/>
  <c r="Y115" i="9"/>
  <c r="Y40" i="9"/>
  <c r="Y24" i="9"/>
  <c r="Y62" i="9"/>
  <c r="U12" i="9"/>
  <c r="J54" i="2"/>
  <c r="J61" i="2" s="1"/>
  <c r="J82" i="2"/>
  <c r="J79" i="2"/>
  <c r="J80" i="2"/>
  <c r="J83" i="2"/>
  <c r="K25" i="3"/>
  <c r="J101" i="2"/>
  <c r="J98" i="2" s="1"/>
  <c r="Z12" i="9"/>
  <c r="K179" i="7"/>
  <c r="J23" i="3"/>
  <c r="AA125" i="9"/>
  <c r="AA200" i="9"/>
  <c r="AA33" i="9"/>
  <c r="AA72" i="9"/>
  <c r="AA102" i="9"/>
  <c r="AA83" i="9"/>
  <c r="AA64" i="9"/>
  <c r="AA37" i="9"/>
  <c r="AA97" i="9"/>
  <c r="AA34" i="9"/>
  <c r="AA77" i="9"/>
  <c r="AA19" i="9"/>
  <c r="AA108" i="9"/>
  <c r="AA113" i="9"/>
  <c r="AA84" i="9"/>
  <c r="AA204" i="9"/>
  <c r="AA66" i="9"/>
  <c r="AA23" i="9"/>
  <c r="AA32" i="9"/>
  <c r="AA49" i="9"/>
  <c r="AA89" i="9"/>
  <c r="AA63" i="9"/>
  <c r="AA206" i="9"/>
  <c r="AA24" i="9"/>
  <c r="AA110" i="9"/>
  <c r="AA17" i="9"/>
  <c r="AA91" i="9"/>
  <c r="AA21" i="9"/>
  <c r="AA69" i="9"/>
  <c r="AA112" i="9"/>
  <c r="AA109" i="9"/>
  <c r="AA20" i="9"/>
  <c r="AA117" i="9"/>
  <c r="AA210" i="9"/>
  <c r="AA116" i="9"/>
  <c r="AA107" i="9"/>
  <c r="AA115" i="9"/>
  <c r="AA88" i="9"/>
  <c r="AA78" i="9"/>
  <c r="AA76" i="9"/>
  <c r="AA99" i="9"/>
  <c r="AA85" i="9"/>
  <c r="AA40" i="9"/>
  <c r="AA118" i="9"/>
  <c r="AA46" i="9"/>
  <c r="AA205" i="9"/>
  <c r="AA211" i="9"/>
  <c r="AA201" i="9"/>
  <c r="AA26" i="9"/>
  <c r="AA212" i="9"/>
  <c r="AA199" i="9"/>
  <c r="AA104" i="9"/>
  <c r="AA41" i="9"/>
  <c r="AA73" i="9"/>
  <c r="AA86" i="9"/>
  <c r="AA35" i="9"/>
  <c r="AA126" i="9"/>
  <c r="AA28" i="9"/>
  <c r="AA93" i="9"/>
  <c r="AA120" i="9"/>
  <c r="AA61" i="9"/>
  <c r="AA62" i="9"/>
  <c r="AA75" i="9"/>
  <c r="AA202" i="9"/>
  <c r="AA54" i="9"/>
  <c r="AA71" i="9"/>
  <c r="AA52" i="9"/>
  <c r="AA106" i="9"/>
  <c r="AA39" i="9"/>
  <c r="AA15" i="9"/>
  <c r="AA74" i="9"/>
  <c r="AA98" i="9"/>
  <c r="AA51" i="9"/>
  <c r="AA45" i="9"/>
  <c r="AA53" i="9"/>
  <c r="AA122" i="9"/>
  <c r="AA27" i="9"/>
  <c r="AA96" i="9"/>
  <c r="AA111" i="9"/>
  <c r="AA68" i="9"/>
  <c r="AA100" i="9"/>
  <c r="AA22" i="9"/>
  <c r="AA123" i="9"/>
  <c r="AA50" i="9"/>
  <c r="AA119" i="9"/>
  <c r="AA67" i="9"/>
  <c r="AA80" i="9"/>
  <c r="AA47" i="9"/>
  <c r="AA114" i="9"/>
  <c r="AA81" i="9"/>
  <c r="AA203" i="9"/>
  <c r="AA209" i="9"/>
  <c r="AA29" i="9"/>
  <c r="AA55" i="9"/>
  <c r="AA87" i="9"/>
  <c r="AA30" i="9"/>
  <c r="AA101" i="9"/>
  <c r="AA14" i="9"/>
  <c r="I27" i="10" s="1"/>
  <c r="AA31" i="9"/>
  <c r="AA56" i="9"/>
  <c r="AA65" i="9"/>
  <c r="AA95" i="9"/>
  <c r="AA70" i="9"/>
  <c r="AA103" i="9"/>
  <c r="AA18" i="9"/>
  <c r="AA92" i="9"/>
  <c r="AA58" i="9"/>
  <c r="AA213" i="9"/>
  <c r="AA105" i="9"/>
  <c r="AA82" i="9"/>
  <c r="AA124" i="9"/>
  <c r="AA16" i="9"/>
  <c r="AA208" i="9"/>
  <c r="AA60" i="9"/>
  <c r="AA57" i="9"/>
  <c r="AA94" i="9"/>
  <c r="AA38" i="9"/>
  <c r="AA90" i="9"/>
  <c r="AA36" i="9"/>
  <c r="AA44" i="9"/>
  <c r="AA59" i="9"/>
  <c r="AA121" i="9"/>
  <c r="AA42" i="9"/>
  <c r="AA79" i="9"/>
  <c r="AA207" i="9"/>
  <c r="AA43" i="9"/>
  <c r="AA25" i="9"/>
  <c r="AA48" i="9"/>
  <c r="J179" i="7"/>
  <c r="K79" i="2"/>
  <c r="K82" i="2"/>
  <c r="L25" i="3"/>
  <c r="K83" i="2"/>
  <c r="K54" i="2"/>
  <c r="K61" i="2" s="1"/>
  <c r="K80" i="2"/>
  <c r="K101" i="2"/>
  <c r="K98" i="2" s="1"/>
  <c r="R36" i="6"/>
  <c r="K14" i="3"/>
  <c r="K18" i="3" s="1"/>
  <c r="AH101" i="6"/>
  <c r="AG101" i="6"/>
  <c r="F58" i="10"/>
  <c r="F61" i="10" s="1"/>
  <c r="G15" i="12" s="1"/>
  <c r="G17" i="12" s="1"/>
  <c r="E189" i="19"/>
  <c r="AG112" i="4"/>
  <c r="AH112" i="4" s="1"/>
  <c r="F154" i="6"/>
  <c r="AG154" i="6" s="1"/>
  <c r="AH154" i="6" s="1"/>
  <c r="AG122" i="6"/>
  <c r="AH122" i="6" s="1"/>
  <c r="F326" i="5"/>
  <c r="AG326" i="5" s="1"/>
  <c r="AH326" i="5" s="1"/>
  <c r="F296" i="5"/>
  <c r="AG296" i="5" s="1"/>
  <c r="AH296" i="5" s="1"/>
  <c r="G40" i="16"/>
  <c r="H25" i="13"/>
  <c r="H26" i="13" s="1"/>
  <c r="H18" i="3"/>
  <c r="H17" i="3"/>
  <c r="H22" i="3"/>
  <c r="F308" i="5"/>
  <c r="AG308" i="5" s="1"/>
  <c r="AH308" i="5" s="1"/>
  <c r="K21" i="12"/>
  <c r="J24" i="13" s="1"/>
  <c r="K48" i="12"/>
  <c r="K55" i="12" s="1"/>
  <c r="J55" i="12"/>
  <c r="H19" i="3"/>
  <c r="K20" i="12"/>
  <c r="J23" i="13" s="1"/>
  <c r="F300" i="5"/>
  <c r="AG300" i="5" s="1"/>
  <c r="AH300" i="5" s="1"/>
  <c r="L165" i="3"/>
  <c r="I58" i="16" s="1"/>
  <c r="K157" i="3"/>
  <c r="I18" i="11" s="1"/>
  <c r="H26" i="16" s="1"/>
  <c r="K16" i="7"/>
  <c r="L32" i="3"/>
  <c r="I53" i="14"/>
  <c r="I44" i="16"/>
  <c r="L35" i="3"/>
  <c r="L21" i="3"/>
  <c r="L34" i="3"/>
  <c r="L31" i="3"/>
  <c r="K36" i="2"/>
  <c r="I52" i="14"/>
  <c r="H15" i="7"/>
  <c r="H18" i="7" s="1"/>
  <c r="J26" i="10"/>
  <c r="F313" i="5"/>
  <c r="AG313" i="5" s="1"/>
  <c r="AH313" i="5" s="1"/>
  <c r="AI251" i="5"/>
  <c r="AJ251" i="5" s="1"/>
  <c r="AK251" i="5" s="1"/>
  <c r="AL251" i="5" s="1"/>
  <c r="AM251" i="5" s="1"/>
  <c r="G318" i="5"/>
  <c r="AI243" i="5"/>
  <c r="AJ243" i="5" s="1"/>
  <c r="AK243" i="5" s="1"/>
  <c r="AL243" i="5" s="1"/>
  <c r="AM243" i="5" s="1"/>
  <c r="G310" i="5"/>
  <c r="H332" i="5"/>
  <c r="G326" i="5"/>
  <c r="AI259" i="5"/>
  <c r="AJ259" i="5" s="1"/>
  <c r="AK259" i="5" s="1"/>
  <c r="AL259" i="5" s="1"/>
  <c r="AM259" i="5" s="1"/>
  <c r="E329" i="5"/>
  <c r="Y262" i="5"/>
  <c r="AI263" i="5"/>
  <c r="AJ263" i="5" s="1"/>
  <c r="AK263" i="5" s="1"/>
  <c r="AL263" i="5" s="1"/>
  <c r="AM263" i="5" s="1"/>
  <c r="G330" i="5"/>
  <c r="F305" i="5"/>
  <c r="AG305" i="5" s="1"/>
  <c r="AH305" i="5" s="1"/>
  <c r="J22" i="3"/>
  <c r="AG115" i="6"/>
  <c r="AH115" i="6" s="1"/>
  <c r="F147" i="6"/>
  <c r="AG147" i="6" s="1"/>
  <c r="AH147" i="6" s="1"/>
  <c r="F329" i="5"/>
  <c r="AG329" i="5" s="1"/>
  <c r="AH329" i="5" s="1"/>
  <c r="F307" i="5"/>
  <c r="AG307" i="5" s="1"/>
  <c r="AH307" i="5" s="1"/>
  <c r="J18" i="3"/>
  <c r="I4" i="19"/>
  <c r="K20" i="2"/>
  <c r="K74" i="2" s="1"/>
  <c r="L9" i="3"/>
  <c r="F21" i="14"/>
  <c r="F41" i="14" s="1"/>
  <c r="F66" i="14" s="1"/>
  <c r="I8" i="11"/>
  <c r="H8" i="13"/>
  <c r="I8" i="12"/>
  <c r="G8" i="14" s="1"/>
  <c r="G11" i="14" s="1"/>
  <c r="AG132" i="6"/>
  <c r="AH132" i="6" s="1"/>
  <c r="F164" i="6"/>
  <c r="AG164" i="6" s="1"/>
  <c r="AH164" i="6" s="1"/>
  <c r="F337" i="5"/>
  <c r="AG337" i="5" s="1"/>
  <c r="AH337" i="5" s="1"/>
  <c r="AI336" i="5"/>
  <c r="AJ336" i="5" s="1"/>
  <c r="AK336" i="5" s="1"/>
  <c r="AL336" i="5" s="1"/>
  <c r="AI302" i="5"/>
  <c r="AJ302" i="5" s="1"/>
  <c r="AK302" i="5" s="1"/>
  <c r="AL302" i="5" s="1"/>
  <c r="AI333" i="5"/>
  <c r="AJ333" i="5" s="1"/>
  <c r="AK333" i="5" s="1"/>
  <c r="AL333" i="5" s="1"/>
  <c r="Y309" i="5"/>
  <c r="AI312" i="5"/>
  <c r="AJ312" i="5" s="1"/>
  <c r="AK312" i="5" s="1"/>
  <c r="AL312" i="5" s="1"/>
  <c r="AI311" i="5"/>
  <c r="AJ311" i="5" s="1"/>
  <c r="AK311" i="5" s="1"/>
  <c r="AL311" i="5" s="1"/>
  <c r="AM311" i="5" s="1"/>
  <c r="K33" i="2"/>
  <c r="AM337" i="5"/>
  <c r="AI301" i="5"/>
  <c r="AJ301" i="5" s="1"/>
  <c r="AK301" i="5" s="1"/>
  <c r="AL301" i="5" s="1"/>
  <c r="AI324" i="5"/>
  <c r="AJ324" i="5" s="1"/>
  <c r="AK324" i="5" s="1"/>
  <c r="AL324" i="5" s="1"/>
  <c r="AM324" i="5" s="1"/>
  <c r="AM291" i="5"/>
  <c r="E157" i="6"/>
  <c r="Y125" i="6"/>
  <c r="AI325" i="5"/>
  <c r="AJ325" i="5" s="1"/>
  <c r="AK325" i="5" s="1"/>
  <c r="AL325" i="5" s="1"/>
  <c r="AI319" i="5"/>
  <c r="AJ319" i="5" s="1"/>
  <c r="AK319" i="5" s="1"/>
  <c r="AL319" i="5" s="1"/>
  <c r="AI306" i="5"/>
  <c r="AJ306" i="5" s="1"/>
  <c r="AK306" i="5" s="1"/>
  <c r="AL306" i="5" s="1"/>
  <c r="AI321" i="5"/>
  <c r="AJ321" i="5" s="1"/>
  <c r="AK321" i="5" s="1"/>
  <c r="AL321" i="5" s="1"/>
  <c r="F152" i="6"/>
  <c r="AG152" i="6" s="1"/>
  <c r="AH152" i="6" s="1"/>
  <c r="AG120" i="6"/>
  <c r="AH120" i="6" s="1"/>
  <c r="AI305" i="5"/>
  <c r="AJ305" i="5" s="1"/>
  <c r="AK305" i="5" s="1"/>
  <c r="AL305" i="5" s="1"/>
  <c r="Y151" i="6"/>
  <c r="AI320" i="5"/>
  <c r="AJ320" i="5" s="1"/>
  <c r="AK320" i="5" s="1"/>
  <c r="AL320" i="5" s="1"/>
  <c r="L95" i="7"/>
  <c r="AM308" i="5"/>
  <c r="AI340" i="5"/>
  <c r="AJ340" i="5" s="1"/>
  <c r="AK340" i="5" s="1"/>
  <c r="AL340" i="5" s="1"/>
  <c r="AM340" i="5" s="1"/>
  <c r="AI307" i="5"/>
  <c r="AJ307" i="5" s="1"/>
  <c r="AK307" i="5" s="1"/>
  <c r="AL307" i="5" s="1"/>
  <c r="AI294" i="5"/>
  <c r="AJ294" i="5" s="1"/>
  <c r="AK294" i="5" s="1"/>
  <c r="AL294" i="5" s="1"/>
  <c r="AI292" i="5"/>
  <c r="AJ292" i="5" s="1"/>
  <c r="AK292" i="5" s="1"/>
  <c r="AL292" i="5" s="1"/>
  <c r="AM292" i="5" s="1"/>
  <c r="L153" i="3"/>
  <c r="J15" i="11" s="1"/>
  <c r="I23" i="16" s="1"/>
  <c r="L154" i="3"/>
  <c r="J17" i="11" s="1"/>
  <c r="I25" i="16" s="1"/>
  <c r="K153" i="3"/>
  <c r="I15" i="11" s="1"/>
  <c r="H23" i="16" s="1"/>
  <c r="J161" i="6"/>
  <c r="J133" i="6"/>
  <c r="I61" i="14" s="1"/>
  <c r="I61" i="16" s="1"/>
  <c r="Y316" i="5"/>
  <c r="I164" i="3"/>
  <c r="F57" i="16" s="1"/>
  <c r="I13" i="10"/>
  <c r="I286" i="5" l="1"/>
  <c r="O286" i="5" s="1"/>
  <c r="F30" i="13"/>
  <c r="F48" i="13" s="1"/>
  <c r="F51" i="13" s="1"/>
  <c r="F33" i="14"/>
  <c r="H28" i="16"/>
  <c r="H75" i="14"/>
  <c r="I28" i="16"/>
  <c r="I75" i="14"/>
  <c r="R111" i="4"/>
  <c r="I111" i="4"/>
  <c r="N111" i="4"/>
  <c r="AD111" i="4" s="1"/>
  <c r="T111" i="4"/>
  <c r="S111" i="4"/>
  <c r="P111" i="4"/>
  <c r="R112" i="4"/>
  <c r="I112" i="4"/>
  <c r="Y112" i="4" s="1"/>
  <c r="N112" i="4"/>
  <c r="AD112" i="4" s="1"/>
  <c r="T112" i="4"/>
  <c r="S112" i="4"/>
  <c r="P112" i="4"/>
  <c r="R110" i="4"/>
  <c r="I110" i="4"/>
  <c r="Y110" i="4" s="1"/>
  <c r="N110" i="4"/>
  <c r="AD110" i="4" s="1"/>
  <c r="P110" i="4"/>
  <c r="S110" i="4"/>
  <c r="T110" i="4"/>
  <c r="R113" i="4"/>
  <c r="I113" i="4"/>
  <c r="Y113" i="4" s="1"/>
  <c r="N113" i="4"/>
  <c r="AD113" i="4" s="1"/>
  <c r="S113" i="4"/>
  <c r="P113" i="4"/>
  <c r="T113" i="4"/>
  <c r="R109" i="4"/>
  <c r="I109" i="4"/>
  <c r="Y109" i="4" s="1"/>
  <c r="AA109" i="4" s="1"/>
  <c r="N109" i="4"/>
  <c r="AD109" i="4" s="1"/>
  <c r="S109" i="4"/>
  <c r="P109" i="4"/>
  <c r="T109" i="4"/>
  <c r="R108" i="4"/>
  <c r="I108" i="4"/>
  <c r="Y108" i="4" s="1"/>
  <c r="N108" i="4"/>
  <c r="AD108" i="4" s="1"/>
  <c r="T108" i="4"/>
  <c r="S108" i="4"/>
  <c r="P108" i="4"/>
  <c r="R115" i="4"/>
  <c r="I115" i="4"/>
  <c r="Y115" i="4" s="1"/>
  <c r="N115" i="4"/>
  <c r="AD115" i="4" s="1"/>
  <c r="P115" i="4"/>
  <c r="T115" i="4"/>
  <c r="S115" i="4"/>
  <c r="R114" i="4"/>
  <c r="I114" i="4"/>
  <c r="Y114" i="4" s="1"/>
  <c r="N114" i="4"/>
  <c r="AD114" i="4" s="1"/>
  <c r="P114" i="4"/>
  <c r="S114" i="4"/>
  <c r="T114" i="4"/>
  <c r="R116" i="4"/>
  <c r="I116" i="4"/>
  <c r="Y116" i="4" s="1"/>
  <c r="N116" i="4"/>
  <c r="AD116" i="4" s="1"/>
  <c r="T116" i="4"/>
  <c r="S116" i="4"/>
  <c r="P116" i="4"/>
  <c r="T48" i="6"/>
  <c r="T68" i="6" s="1"/>
  <c r="I116" i="3" s="1"/>
  <c r="AB88" i="9"/>
  <c r="AC65" i="4"/>
  <c r="AC69" i="4"/>
  <c r="AC67" i="4"/>
  <c r="AC87" i="4"/>
  <c r="AC159" i="5"/>
  <c r="AC161" i="5"/>
  <c r="AC205" i="5"/>
  <c r="AC180" i="5"/>
  <c r="AC199" i="5"/>
  <c r="AC183" i="5"/>
  <c r="AC226" i="5"/>
  <c r="AC156" i="5"/>
  <c r="AC201" i="5"/>
  <c r="AC165" i="5"/>
  <c r="AC179" i="5"/>
  <c r="AC169" i="5"/>
  <c r="AC189" i="5"/>
  <c r="AC155" i="5"/>
  <c r="AC163" i="5"/>
  <c r="AC177" i="5"/>
  <c r="AC168" i="5"/>
  <c r="AC195" i="5"/>
  <c r="AC160" i="5"/>
  <c r="AC71" i="4"/>
  <c r="AC70" i="4"/>
  <c r="AC63" i="4"/>
  <c r="AC66" i="4"/>
  <c r="AC64" i="4"/>
  <c r="AC175" i="5"/>
  <c r="AC191" i="5"/>
  <c r="AC173" i="5"/>
  <c r="AC188" i="5"/>
  <c r="AC193" i="5"/>
  <c r="AC172" i="5"/>
  <c r="AC181" i="5"/>
  <c r="AD153" i="5"/>
  <c r="AC93" i="6"/>
  <c r="AC90" i="6"/>
  <c r="AC83" i="6"/>
  <c r="AC86" i="6"/>
  <c r="AC121" i="6"/>
  <c r="AC88" i="6"/>
  <c r="AC85" i="6"/>
  <c r="I287" i="5"/>
  <c r="N287" i="5"/>
  <c r="I145" i="6"/>
  <c r="Y145" i="6" s="1"/>
  <c r="N145" i="6"/>
  <c r="AD145" i="6" s="1"/>
  <c r="P113" i="6"/>
  <c r="S38" i="4"/>
  <c r="S48" i="4" s="1"/>
  <c r="I107" i="4"/>
  <c r="N107" i="4"/>
  <c r="AC150" i="6"/>
  <c r="AC89" i="6"/>
  <c r="AC97" i="6"/>
  <c r="AA117" i="6"/>
  <c r="AB117" i="6"/>
  <c r="AB132" i="6"/>
  <c r="AA132" i="6"/>
  <c r="AB126" i="6"/>
  <c r="AA126" i="6"/>
  <c r="AB123" i="6"/>
  <c r="AA123" i="6"/>
  <c r="AB118" i="6"/>
  <c r="AA118" i="6"/>
  <c r="AB131" i="6"/>
  <c r="AA131" i="6"/>
  <c r="AB115" i="6"/>
  <c r="AA115" i="6"/>
  <c r="AA120" i="6"/>
  <c r="AB120" i="6"/>
  <c r="AB124" i="6"/>
  <c r="AA124" i="6"/>
  <c r="AC82" i="6"/>
  <c r="AC95" i="6"/>
  <c r="AC96" i="6"/>
  <c r="AA125" i="6"/>
  <c r="AB125" i="6"/>
  <c r="AB122" i="6"/>
  <c r="AA122" i="6"/>
  <c r="AB116" i="6"/>
  <c r="AA116" i="6"/>
  <c r="AB129" i="6"/>
  <c r="AA129" i="6"/>
  <c r="AB128" i="6"/>
  <c r="AA128" i="6"/>
  <c r="AB114" i="6"/>
  <c r="AA114" i="6"/>
  <c r="AB127" i="6"/>
  <c r="AA127" i="6"/>
  <c r="AC119" i="6"/>
  <c r="AC100" i="6"/>
  <c r="AC98" i="6"/>
  <c r="AB151" i="6"/>
  <c r="AA151" i="6"/>
  <c r="AA159" i="6"/>
  <c r="AB159" i="6"/>
  <c r="AB130" i="6"/>
  <c r="AA130" i="6"/>
  <c r="AC84" i="6"/>
  <c r="AC87" i="6"/>
  <c r="AC92" i="6"/>
  <c r="AA113" i="6"/>
  <c r="AB113" i="6"/>
  <c r="AC81" i="6"/>
  <c r="S81" i="6" s="1"/>
  <c r="T81" i="6" s="1"/>
  <c r="AC157" i="5"/>
  <c r="AC269" i="5"/>
  <c r="AC202" i="5"/>
  <c r="AC182" i="5"/>
  <c r="AC170" i="5"/>
  <c r="AA262" i="5"/>
  <c r="AB262" i="5"/>
  <c r="AB271" i="5"/>
  <c r="AA271" i="5"/>
  <c r="AA234" i="5"/>
  <c r="AB234" i="5"/>
  <c r="AB300" i="5"/>
  <c r="AA300" i="5"/>
  <c r="AB232" i="5"/>
  <c r="AA232" i="5"/>
  <c r="AB229" i="5"/>
  <c r="AA229" i="5"/>
  <c r="AB228" i="5"/>
  <c r="AA228" i="5"/>
  <c r="AA290" i="5"/>
  <c r="AB290" i="5"/>
  <c r="AB252" i="5"/>
  <c r="AA252" i="5"/>
  <c r="AA254" i="5"/>
  <c r="AB254" i="5"/>
  <c r="AA258" i="5"/>
  <c r="AB258" i="5"/>
  <c r="AB236" i="5"/>
  <c r="AA236" i="5"/>
  <c r="AB249" i="5"/>
  <c r="AA249" i="5"/>
  <c r="AB256" i="5"/>
  <c r="AA256" i="5"/>
  <c r="AB223" i="5"/>
  <c r="AA223" i="5"/>
  <c r="AB307" i="5"/>
  <c r="AA307" i="5"/>
  <c r="AB233" i="5"/>
  <c r="AA233" i="5"/>
  <c r="AB268" i="5"/>
  <c r="AA268" i="5"/>
  <c r="AB154" i="5"/>
  <c r="AA154" i="5"/>
  <c r="AC187" i="5"/>
  <c r="AC167" i="5"/>
  <c r="AC171" i="5"/>
  <c r="AC197" i="5"/>
  <c r="AC192" i="5"/>
  <c r="AC185" i="5"/>
  <c r="AC196" i="5"/>
  <c r="AC200" i="5"/>
  <c r="AC176" i="5"/>
  <c r="AC164" i="5"/>
  <c r="AC203" i="5"/>
  <c r="AC204" i="5"/>
  <c r="AB309" i="5"/>
  <c r="AA309" i="5"/>
  <c r="AB251" i="5"/>
  <c r="AA251" i="5"/>
  <c r="AB243" i="5"/>
  <c r="AA243" i="5"/>
  <c r="AB303" i="5"/>
  <c r="AA303" i="5"/>
  <c r="AB247" i="5"/>
  <c r="AA247" i="5"/>
  <c r="AA230" i="5"/>
  <c r="AB230" i="5"/>
  <c r="O220" i="5"/>
  <c r="Y220" i="5"/>
  <c r="AB225" i="5"/>
  <c r="AA225" i="5"/>
  <c r="AB241" i="5"/>
  <c r="AA241" i="5"/>
  <c r="AA222" i="5"/>
  <c r="AB222" i="5"/>
  <c r="AB237" i="5"/>
  <c r="AA237" i="5"/>
  <c r="AB253" i="5"/>
  <c r="AA253" i="5"/>
  <c r="AB264" i="5"/>
  <c r="AA264" i="5"/>
  <c r="AA238" i="5"/>
  <c r="AB238" i="5"/>
  <c r="AA320" i="5"/>
  <c r="AB320" i="5"/>
  <c r="AB257" i="5"/>
  <c r="AA257" i="5"/>
  <c r="AB324" i="5"/>
  <c r="AA324" i="5"/>
  <c r="AC158" i="5"/>
  <c r="AC162" i="5"/>
  <c r="AC186" i="5"/>
  <c r="AD154" i="5"/>
  <c r="P154" i="5"/>
  <c r="R154" i="5" s="1"/>
  <c r="AC174" i="5"/>
  <c r="AB267" i="5"/>
  <c r="AA267" i="5"/>
  <c r="AB235" i="5"/>
  <c r="AA235" i="5"/>
  <c r="AB261" i="5"/>
  <c r="AA261" i="5"/>
  <c r="AA250" i="5"/>
  <c r="AB250" i="5"/>
  <c r="AB244" i="5"/>
  <c r="AA244" i="5"/>
  <c r="AB265" i="5"/>
  <c r="AA265" i="5"/>
  <c r="AB227" i="5"/>
  <c r="AA227" i="5"/>
  <c r="AB255" i="5"/>
  <c r="AA255" i="5"/>
  <c r="AB273" i="5"/>
  <c r="AA273" i="5"/>
  <c r="AB260" i="5"/>
  <c r="AA260" i="5"/>
  <c r="AB323" i="5"/>
  <c r="AA323" i="5"/>
  <c r="AB263" i="5"/>
  <c r="AA263" i="5"/>
  <c r="AA270" i="5"/>
  <c r="AB270" i="5"/>
  <c r="AB240" i="5"/>
  <c r="AA240" i="5"/>
  <c r="AA242" i="5"/>
  <c r="AB242" i="5"/>
  <c r="AA153" i="5"/>
  <c r="AB153" i="5"/>
  <c r="AB316" i="5"/>
  <c r="AA316" i="5"/>
  <c r="AB319" i="5"/>
  <c r="AA319" i="5"/>
  <c r="AB259" i="5"/>
  <c r="AA259" i="5"/>
  <c r="AB272" i="5"/>
  <c r="AA272" i="5"/>
  <c r="AB239" i="5"/>
  <c r="AA239" i="5"/>
  <c r="AB245" i="5"/>
  <c r="AA245" i="5"/>
  <c r="AB231" i="5"/>
  <c r="AA231" i="5"/>
  <c r="O221" i="5"/>
  <c r="Y221" i="5"/>
  <c r="AA246" i="5"/>
  <c r="AB246" i="5"/>
  <c r="AB248" i="5"/>
  <c r="AA248" i="5"/>
  <c r="AB224" i="5"/>
  <c r="AA224" i="5"/>
  <c r="AA266" i="5"/>
  <c r="AB266" i="5"/>
  <c r="AC206" i="5"/>
  <c r="AC190" i="5"/>
  <c r="AC178" i="5"/>
  <c r="AC194" i="5"/>
  <c r="AC166" i="5"/>
  <c r="AC198" i="5"/>
  <c r="AC184" i="5"/>
  <c r="AC68" i="4"/>
  <c r="AB90" i="4"/>
  <c r="AA90" i="4"/>
  <c r="AB89" i="4"/>
  <c r="AA89" i="4"/>
  <c r="AA93" i="4"/>
  <c r="AB93" i="4"/>
  <c r="AB92" i="4"/>
  <c r="AA92" i="4"/>
  <c r="AA91" i="4"/>
  <c r="AB91" i="4"/>
  <c r="AB86" i="4"/>
  <c r="AA86" i="4"/>
  <c r="AB88" i="4"/>
  <c r="AA88" i="4"/>
  <c r="AB94" i="4"/>
  <c r="AA94" i="4"/>
  <c r="AD62" i="4"/>
  <c r="AD72" i="4" s="1"/>
  <c r="P62" i="4"/>
  <c r="Y85" i="4"/>
  <c r="P48" i="4"/>
  <c r="AA62" i="4"/>
  <c r="AB62" i="4"/>
  <c r="N286" i="5"/>
  <c r="S71" i="5"/>
  <c r="AB152" i="5"/>
  <c r="AC152" i="5" s="1"/>
  <c r="S152" i="5" s="1"/>
  <c r="AF286" i="5"/>
  <c r="P219" i="5"/>
  <c r="AD219" i="5"/>
  <c r="AC84" i="5"/>
  <c r="S84" i="5" s="1"/>
  <c r="T84" i="5" s="1"/>
  <c r="Y219" i="5"/>
  <c r="S68" i="6"/>
  <c r="P133" i="6"/>
  <c r="N133" i="6"/>
  <c r="G59" i="16"/>
  <c r="G45" i="14"/>
  <c r="Y153" i="6"/>
  <c r="N95" i="4"/>
  <c r="AM325" i="5"/>
  <c r="AM321" i="5"/>
  <c r="AM316" i="5"/>
  <c r="AM309" i="5"/>
  <c r="AM333" i="5"/>
  <c r="R71" i="5"/>
  <c r="AM302" i="5"/>
  <c r="AM338" i="5"/>
  <c r="AM305" i="5"/>
  <c r="AM307" i="5"/>
  <c r="AM320" i="5"/>
  <c r="AM329" i="5"/>
  <c r="AM306" i="5"/>
  <c r="AM327" i="5"/>
  <c r="AM313" i="5"/>
  <c r="N274" i="5"/>
  <c r="AM287" i="5"/>
  <c r="Y293" i="5"/>
  <c r="AM296" i="5"/>
  <c r="AM322" i="5"/>
  <c r="AM335" i="5"/>
  <c r="AM315" i="5"/>
  <c r="AM312" i="5"/>
  <c r="AM298" i="5"/>
  <c r="AM336" i="5"/>
  <c r="AM304" i="5"/>
  <c r="J341" i="5"/>
  <c r="J60" i="14" s="1"/>
  <c r="J62" i="14" s="1"/>
  <c r="AM319" i="5"/>
  <c r="Y162" i="6"/>
  <c r="AM314" i="5"/>
  <c r="AM294" i="5"/>
  <c r="AM301" i="5"/>
  <c r="Y291" i="5"/>
  <c r="AM290" i="5"/>
  <c r="H43" i="14"/>
  <c r="I43" i="14" s="1"/>
  <c r="AM328" i="5"/>
  <c r="AM286" i="5"/>
  <c r="AM295" i="5"/>
  <c r="AM289" i="5"/>
  <c r="AM297" i="5"/>
  <c r="AM299" i="5"/>
  <c r="AE133" i="6"/>
  <c r="Y333" i="5"/>
  <c r="F61" i="16"/>
  <c r="AD133" i="6"/>
  <c r="Y164" i="6"/>
  <c r="Y161" i="6"/>
  <c r="Y158" i="6"/>
  <c r="Y146" i="6"/>
  <c r="Y155" i="6"/>
  <c r="R68" i="6"/>
  <c r="Y325" i="5"/>
  <c r="Y337" i="5"/>
  <c r="Y305" i="5"/>
  <c r="Y306" i="5"/>
  <c r="Y313" i="5"/>
  <c r="Y160" i="6"/>
  <c r="AG95" i="4"/>
  <c r="AE95" i="4"/>
  <c r="AH117" i="4"/>
  <c r="AG117" i="4"/>
  <c r="Y327" i="5"/>
  <c r="Y304" i="5"/>
  <c r="Y289" i="5"/>
  <c r="Y340" i="5"/>
  <c r="Y72" i="4"/>
  <c r="J117" i="4"/>
  <c r="Y326" i="5"/>
  <c r="Y322" i="5"/>
  <c r="Y331" i="5"/>
  <c r="Y315" i="5"/>
  <c r="Y294" i="5"/>
  <c r="Y321" i="5"/>
  <c r="Y332" i="5"/>
  <c r="Y312" i="5"/>
  <c r="Y339" i="5"/>
  <c r="AF330" i="5"/>
  <c r="AF318" i="5"/>
  <c r="AF296" i="5"/>
  <c r="AF334" i="5"/>
  <c r="Y314" i="5"/>
  <c r="Y308" i="5"/>
  <c r="AF295" i="5"/>
  <c r="AF314" i="5"/>
  <c r="AF312" i="5"/>
  <c r="AF317" i="5"/>
  <c r="Y295" i="5"/>
  <c r="AF331" i="5"/>
  <c r="AF329" i="5"/>
  <c r="AF336" i="5"/>
  <c r="Y299" i="5"/>
  <c r="AF332" i="5"/>
  <c r="T71" i="5"/>
  <c r="H115" i="3" s="1"/>
  <c r="H117" i="3" s="1"/>
  <c r="H135" i="3" s="1"/>
  <c r="F67" i="11" s="1"/>
  <c r="AF328" i="5"/>
  <c r="AF335" i="5"/>
  <c r="Y292" i="5"/>
  <c r="AF294" i="5"/>
  <c r="AF298" i="5"/>
  <c r="Y335" i="5"/>
  <c r="AF306" i="5"/>
  <c r="AF339" i="5"/>
  <c r="AG341" i="5"/>
  <c r="AH286" i="5"/>
  <c r="AH341" i="5" s="1"/>
  <c r="Y336" i="5"/>
  <c r="AF303" i="5"/>
  <c r="Y207" i="5"/>
  <c r="AF297" i="5"/>
  <c r="Y328" i="5"/>
  <c r="AF291" i="5"/>
  <c r="Y317" i="5"/>
  <c r="Y296" i="5"/>
  <c r="AF292" i="5"/>
  <c r="AH219" i="5"/>
  <c r="AH274" i="5" s="1"/>
  <c r="AG274" i="5"/>
  <c r="AF293" i="5"/>
  <c r="AF288" i="5"/>
  <c r="AF299" i="5"/>
  <c r="AF305" i="5"/>
  <c r="Y298" i="5"/>
  <c r="AF289" i="5"/>
  <c r="O207" i="5"/>
  <c r="P139" i="5"/>
  <c r="Y330" i="5"/>
  <c r="Y334" i="5"/>
  <c r="Y297" i="5"/>
  <c r="Y301" i="5"/>
  <c r="Y311" i="5"/>
  <c r="AI339" i="5"/>
  <c r="AJ339" i="5" s="1"/>
  <c r="AK339" i="5" s="1"/>
  <c r="AL339" i="5" s="1"/>
  <c r="AM339" i="5" s="1"/>
  <c r="Y302" i="5"/>
  <c r="AI323" i="5"/>
  <c r="AJ323" i="5" s="1"/>
  <c r="AK323" i="5" s="1"/>
  <c r="AL323" i="5" s="1"/>
  <c r="AM323" i="5" s="1"/>
  <c r="H33" i="7"/>
  <c r="H38" i="7" s="1"/>
  <c r="H47" i="7" s="1"/>
  <c r="H50" i="7" s="1"/>
  <c r="Y101" i="6"/>
  <c r="I88" i="2"/>
  <c r="I85" i="2" s="1"/>
  <c r="I32" i="2" s="1"/>
  <c r="I31" i="2" s="1"/>
  <c r="AB60" i="9"/>
  <c r="AB43" i="9"/>
  <c r="AB24" i="9"/>
  <c r="AB34" i="9"/>
  <c r="AB57" i="9"/>
  <c r="AB134" i="9"/>
  <c r="AB148" i="9"/>
  <c r="AB188" i="9"/>
  <c r="AB136" i="9"/>
  <c r="AB166" i="9"/>
  <c r="AB139" i="9"/>
  <c r="AB187" i="9"/>
  <c r="AB167" i="9"/>
  <c r="AB195" i="9"/>
  <c r="AB159" i="9"/>
  <c r="AB179" i="9"/>
  <c r="AB197" i="9"/>
  <c r="AB180" i="9"/>
  <c r="AB198" i="9"/>
  <c r="AB98" i="9"/>
  <c r="AB79" i="9"/>
  <c r="AB106" i="9"/>
  <c r="AB105" i="9"/>
  <c r="AB65" i="9"/>
  <c r="AB38" i="9"/>
  <c r="AB37" i="9"/>
  <c r="AB99" i="9"/>
  <c r="AB112" i="9"/>
  <c r="AB204" i="9"/>
  <c r="AB205" i="9"/>
  <c r="AB77" i="9"/>
  <c r="AB122" i="9"/>
  <c r="AB32" i="9"/>
  <c r="AB45" i="9"/>
  <c r="AB93" i="9"/>
  <c r="AB150" i="9"/>
  <c r="AB144" i="9"/>
  <c r="AB164" i="9"/>
  <c r="AB127" i="9"/>
  <c r="AB135" i="9"/>
  <c r="AB181" i="9"/>
  <c r="AB131" i="9"/>
  <c r="AB140" i="9"/>
  <c r="AB169" i="9"/>
  <c r="AB156" i="9"/>
  <c r="AB175" i="9"/>
  <c r="AB196" i="9"/>
  <c r="AB157" i="9"/>
  <c r="AB168" i="9"/>
  <c r="AB184" i="9"/>
  <c r="AB154" i="9"/>
  <c r="AB177" i="9"/>
  <c r="AB192" i="9"/>
  <c r="AB73" i="9"/>
  <c r="AB84" i="9"/>
  <c r="AB199" i="9"/>
  <c r="AB51" i="9"/>
  <c r="AB72" i="9"/>
  <c r="AB52" i="9"/>
  <c r="AB54" i="9"/>
  <c r="AB14" i="9"/>
  <c r="J27" i="10" s="1"/>
  <c r="J29" i="10" s="1"/>
  <c r="AB17" i="9"/>
  <c r="AB119" i="9"/>
  <c r="AB23" i="9"/>
  <c r="AB124" i="9"/>
  <c r="AB67" i="9"/>
  <c r="AB49" i="9"/>
  <c r="AB46" i="9"/>
  <c r="AB104" i="9"/>
  <c r="AB61" i="9"/>
  <c r="AB121" i="9"/>
  <c r="AB69" i="9"/>
  <c r="AB92" i="9"/>
  <c r="AB82" i="9"/>
  <c r="AB58" i="9"/>
  <c r="AB56" i="9"/>
  <c r="AB94" i="9"/>
  <c r="AB68" i="9"/>
  <c r="AB66" i="9"/>
  <c r="AB81" i="9"/>
  <c r="AB64" i="9"/>
  <c r="AB22" i="9"/>
  <c r="AB115" i="9"/>
  <c r="AB30" i="9"/>
  <c r="AB41" i="9"/>
  <c r="AB85" i="9"/>
  <c r="AB118" i="9"/>
  <c r="AB95" i="9"/>
  <c r="AB202" i="9"/>
  <c r="AB35" i="9"/>
  <c r="AB31" i="9"/>
  <c r="AB47" i="9"/>
  <c r="AB96" i="9"/>
  <c r="J40" i="10"/>
  <c r="J50" i="10" s="1"/>
  <c r="J24" i="11" s="1"/>
  <c r="I29" i="16" s="1"/>
  <c r="V12" i="9"/>
  <c r="G15" i="10"/>
  <c r="G58" i="10" s="1"/>
  <c r="I29" i="3"/>
  <c r="Y318" i="5"/>
  <c r="Y163" i="6"/>
  <c r="Y152" i="6"/>
  <c r="I39" i="16"/>
  <c r="J44" i="13"/>
  <c r="J162" i="7"/>
  <c r="H19" i="13"/>
  <c r="I44" i="13"/>
  <c r="H39" i="16"/>
  <c r="Y147" i="6"/>
  <c r="Y111" i="4"/>
  <c r="Y149" i="6"/>
  <c r="Y310" i="5"/>
  <c r="Y148" i="6"/>
  <c r="Y154" i="6"/>
  <c r="Y338" i="5"/>
  <c r="Y156" i="6"/>
  <c r="K187" i="19"/>
  <c r="J188" i="19"/>
  <c r="J81" i="2"/>
  <c r="K23" i="3" s="1"/>
  <c r="J24" i="3"/>
  <c r="K16" i="8"/>
  <c r="K19" i="8" s="1"/>
  <c r="L16" i="8" s="1"/>
  <c r="L19" i="8" s="1"/>
  <c r="M16" i="8" s="1"/>
  <c r="M19" i="8" s="1"/>
  <c r="N16" i="8" s="1"/>
  <c r="N19" i="8" s="1"/>
  <c r="O16" i="8" s="1"/>
  <c r="O19" i="8" s="1"/>
  <c r="F26" i="8" s="1"/>
  <c r="F29" i="8" s="1"/>
  <c r="G26" i="8" s="1"/>
  <c r="G29" i="8" s="1"/>
  <c r="H26" i="8" s="1"/>
  <c r="H29" i="8" s="1"/>
  <c r="I26" i="8" s="1"/>
  <c r="I29" i="8" s="1"/>
  <c r="J26" i="8" s="1"/>
  <c r="J29" i="8" s="1"/>
  <c r="K26" i="8" s="1"/>
  <c r="K29" i="8" s="1"/>
  <c r="L26" i="8" s="1"/>
  <c r="L29" i="8" s="1"/>
  <c r="M26" i="8" s="1"/>
  <c r="M29" i="8" s="1"/>
  <c r="N26" i="8" s="1"/>
  <c r="N29" i="8" s="1"/>
  <c r="O26" i="8" s="1"/>
  <c r="O29" i="8" s="1"/>
  <c r="K38" i="12"/>
  <c r="K42" i="12" s="1"/>
  <c r="G36" i="12"/>
  <c r="G57" i="12" s="1"/>
  <c r="G22" i="12" s="1"/>
  <c r="F49" i="13" s="1"/>
  <c r="H38" i="16"/>
  <c r="I28" i="13"/>
  <c r="G59" i="10"/>
  <c r="H16" i="10" s="1"/>
  <c r="H59" i="10" s="1"/>
  <c r="I16" i="10" s="1"/>
  <c r="I59" i="10" s="1"/>
  <c r="J16" i="10" s="1"/>
  <c r="G29" i="10"/>
  <c r="K99" i="7"/>
  <c r="K22" i="3"/>
  <c r="K81" i="2"/>
  <c r="K84" i="2"/>
  <c r="K87" i="2"/>
  <c r="I60" i="2"/>
  <c r="I49" i="2"/>
  <c r="J20" i="3" s="1"/>
  <c r="J84" i="2"/>
  <c r="J87" i="2"/>
  <c r="K9" i="7"/>
  <c r="I41" i="2"/>
  <c r="I26" i="10"/>
  <c r="I29" i="10" s="1"/>
  <c r="AA12" i="9"/>
  <c r="K24" i="3"/>
  <c r="Y12" i="9"/>
  <c r="I95" i="7"/>
  <c r="G40" i="10"/>
  <c r="G50" i="10" s="1"/>
  <c r="G24" i="11" s="1"/>
  <c r="L8" i="7"/>
  <c r="K40" i="2" s="1"/>
  <c r="J40" i="2"/>
  <c r="K17" i="3"/>
  <c r="F189" i="19"/>
  <c r="E190" i="19"/>
  <c r="H29" i="3"/>
  <c r="I25" i="13"/>
  <c r="I26" i="13" s="1"/>
  <c r="H40" i="16"/>
  <c r="I40" i="16"/>
  <c r="J25" i="13"/>
  <c r="J26" i="13" s="1"/>
  <c r="L157" i="3"/>
  <c r="J18" i="11" s="1"/>
  <c r="I26" i="16" s="1"/>
  <c r="L16" i="7"/>
  <c r="L14" i="3"/>
  <c r="L18" i="3" s="1"/>
  <c r="AI318" i="5"/>
  <c r="AJ318" i="5" s="1"/>
  <c r="AK318" i="5" s="1"/>
  <c r="AL318" i="5" s="1"/>
  <c r="AM318" i="5" s="1"/>
  <c r="AI330" i="5"/>
  <c r="AJ330" i="5" s="1"/>
  <c r="AK330" i="5" s="1"/>
  <c r="AL330" i="5" s="1"/>
  <c r="AM330" i="5" s="1"/>
  <c r="Y329" i="5"/>
  <c r="AI326" i="5"/>
  <c r="AJ326" i="5" s="1"/>
  <c r="AK326" i="5" s="1"/>
  <c r="AL326" i="5" s="1"/>
  <c r="AM326" i="5" s="1"/>
  <c r="AI310" i="5"/>
  <c r="AJ310" i="5" s="1"/>
  <c r="AK310" i="5" s="1"/>
  <c r="AL310" i="5" s="1"/>
  <c r="AM310" i="5" s="1"/>
  <c r="G21" i="14"/>
  <c r="G41" i="14" s="1"/>
  <c r="G66" i="14" s="1"/>
  <c r="J8" i="12"/>
  <c r="H8" i="14" s="1"/>
  <c r="H11" i="14" s="1"/>
  <c r="I8" i="13"/>
  <c r="J8" i="11"/>
  <c r="G43" i="14"/>
  <c r="AH165" i="6"/>
  <c r="AG165" i="6"/>
  <c r="AH133" i="6"/>
  <c r="AG133" i="6"/>
  <c r="L99" i="7"/>
  <c r="Y157" i="6"/>
  <c r="J164" i="3"/>
  <c r="G57" i="16" s="1"/>
  <c r="I56" i="10"/>
  <c r="J165" i="6"/>
  <c r="I60" i="16" l="1"/>
  <c r="I77" i="14"/>
  <c r="G77" i="14"/>
  <c r="F77" i="14"/>
  <c r="H77" i="14"/>
  <c r="G11" i="13"/>
  <c r="G23" i="12"/>
  <c r="G25" i="12" s="1"/>
  <c r="AA108" i="4"/>
  <c r="AB108" i="4"/>
  <c r="AB109" i="4"/>
  <c r="AC109" i="4" s="1"/>
  <c r="AC62" i="4"/>
  <c r="S62" i="4" s="1"/>
  <c r="S72" i="4" s="1"/>
  <c r="T38" i="4"/>
  <c r="T48" i="4" s="1"/>
  <c r="I114" i="3" s="1"/>
  <c r="I159" i="3" s="1"/>
  <c r="AC120" i="6"/>
  <c r="AC266" i="5"/>
  <c r="AC248" i="5"/>
  <c r="AC238" i="5"/>
  <c r="AC222" i="5"/>
  <c r="AC230" i="5"/>
  <c r="AC223" i="5"/>
  <c r="AC258" i="5"/>
  <c r="AC252" i="5"/>
  <c r="AC228" i="5"/>
  <c r="AC232" i="5"/>
  <c r="AC234" i="5"/>
  <c r="AC262" i="5"/>
  <c r="AC115" i="6"/>
  <c r="R152" i="5"/>
  <c r="T152" i="5" s="1"/>
  <c r="AC151" i="6"/>
  <c r="AC128" i="6"/>
  <c r="AC116" i="6"/>
  <c r="AC125" i="6"/>
  <c r="R113" i="6"/>
  <c r="P145" i="6"/>
  <c r="R62" i="4"/>
  <c r="R72" i="4" s="1"/>
  <c r="AC129" i="6"/>
  <c r="AC132" i="6"/>
  <c r="AC159" i="6"/>
  <c r="AC117" i="6"/>
  <c r="AB149" i="6"/>
  <c r="AA149" i="6"/>
  <c r="AB147" i="6"/>
  <c r="AA147" i="6"/>
  <c r="AB163" i="6"/>
  <c r="AA163" i="6"/>
  <c r="AB155" i="6"/>
  <c r="AA155" i="6"/>
  <c r="AA164" i="6"/>
  <c r="AB164" i="6"/>
  <c r="AC130" i="6"/>
  <c r="AB154" i="6"/>
  <c r="AA154" i="6"/>
  <c r="AB160" i="6"/>
  <c r="AA160" i="6"/>
  <c r="AB146" i="6"/>
  <c r="AA146" i="6"/>
  <c r="AA162" i="6"/>
  <c r="AB162" i="6"/>
  <c r="AC131" i="6"/>
  <c r="AC123" i="6"/>
  <c r="AB157" i="6"/>
  <c r="AA157" i="6"/>
  <c r="AA148" i="6"/>
  <c r="AB148" i="6"/>
  <c r="AB158" i="6"/>
  <c r="AA158" i="6"/>
  <c r="AC127" i="6"/>
  <c r="AC124" i="6"/>
  <c r="AC118" i="6"/>
  <c r="AB156" i="6"/>
  <c r="AA156" i="6"/>
  <c r="AB152" i="6"/>
  <c r="AA152" i="6"/>
  <c r="AA161" i="6"/>
  <c r="AB161" i="6"/>
  <c r="AA153" i="6"/>
  <c r="AB153" i="6"/>
  <c r="AC114" i="6"/>
  <c r="AC122" i="6"/>
  <c r="AC126" i="6"/>
  <c r="AC113" i="6"/>
  <c r="S113" i="6" s="1"/>
  <c r="T113" i="6" s="1"/>
  <c r="AA145" i="6"/>
  <c r="AB145" i="6"/>
  <c r="AC245" i="5"/>
  <c r="AC265" i="5"/>
  <c r="AC251" i="5"/>
  <c r="AC224" i="5"/>
  <c r="AC246" i="5"/>
  <c r="AC231" i="5"/>
  <c r="AC239" i="5"/>
  <c r="AC259" i="5"/>
  <c r="AC242" i="5"/>
  <c r="AC270" i="5"/>
  <c r="AC323" i="5"/>
  <c r="AC227" i="5"/>
  <c r="AC244" i="5"/>
  <c r="AC267" i="5"/>
  <c r="AC320" i="5"/>
  <c r="AC264" i="5"/>
  <c r="AC247" i="5"/>
  <c r="AC243" i="5"/>
  <c r="AC268" i="5"/>
  <c r="AC307" i="5"/>
  <c r="AC256" i="5"/>
  <c r="AC236" i="5"/>
  <c r="AC254" i="5"/>
  <c r="AC290" i="5"/>
  <c r="AC271" i="5"/>
  <c r="AA338" i="5"/>
  <c r="AB338" i="5"/>
  <c r="AB301" i="5"/>
  <c r="AA301" i="5"/>
  <c r="O287" i="5"/>
  <c r="AD287" i="5" s="1"/>
  <c r="Y287" i="5"/>
  <c r="AB335" i="5"/>
  <c r="AA335" i="5"/>
  <c r="AB292" i="5"/>
  <c r="AA292" i="5"/>
  <c r="AB339" i="5"/>
  <c r="AA339" i="5"/>
  <c r="AA294" i="5"/>
  <c r="AB294" i="5"/>
  <c r="AA322" i="5"/>
  <c r="AB322" i="5"/>
  <c r="AB327" i="5"/>
  <c r="AA327" i="5"/>
  <c r="AB313" i="5"/>
  <c r="AA313" i="5"/>
  <c r="AB325" i="5"/>
  <c r="AA325" i="5"/>
  <c r="AA220" i="5"/>
  <c r="AB220" i="5"/>
  <c r="AB302" i="5"/>
  <c r="AA302" i="5"/>
  <c r="AB297" i="5"/>
  <c r="AA297" i="5"/>
  <c r="AB317" i="5"/>
  <c r="AA317" i="5"/>
  <c r="O288" i="5"/>
  <c r="Y288" i="5"/>
  <c r="AB299" i="5"/>
  <c r="AA299" i="5"/>
  <c r="AB295" i="5"/>
  <c r="AA295" i="5"/>
  <c r="AB312" i="5"/>
  <c r="AA312" i="5"/>
  <c r="AA326" i="5"/>
  <c r="AB326" i="5"/>
  <c r="AB340" i="5"/>
  <c r="AA340" i="5"/>
  <c r="AA306" i="5"/>
  <c r="AB306" i="5"/>
  <c r="AB333" i="5"/>
  <c r="AA333" i="5"/>
  <c r="AC316" i="5"/>
  <c r="AC273" i="5"/>
  <c r="AC261" i="5"/>
  <c r="AC324" i="5"/>
  <c r="AC237" i="5"/>
  <c r="AC241" i="5"/>
  <c r="AD220" i="5"/>
  <c r="P220" i="5"/>
  <c r="R220" i="5" s="1"/>
  <c r="AC309" i="5"/>
  <c r="AC229" i="5"/>
  <c r="AC300" i="5"/>
  <c r="AB318" i="5"/>
  <c r="AA318" i="5"/>
  <c r="AB334" i="5"/>
  <c r="AA334" i="5"/>
  <c r="AB308" i="5"/>
  <c r="AA308" i="5"/>
  <c r="AB332" i="5"/>
  <c r="AA332" i="5"/>
  <c r="AB315" i="5"/>
  <c r="AA315" i="5"/>
  <c r="AA289" i="5"/>
  <c r="AB289" i="5"/>
  <c r="AA305" i="5"/>
  <c r="AB305" i="5"/>
  <c r="AB293" i="5"/>
  <c r="AA293" i="5"/>
  <c r="AB221" i="5"/>
  <c r="AA221" i="5"/>
  <c r="AC272" i="5"/>
  <c r="AC319" i="5"/>
  <c r="AC153" i="5"/>
  <c r="S153" i="5" s="1"/>
  <c r="AC240" i="5"/>
  <c r="AC263" i="5"/>
  <c r="AC260" i="5"/>
  <c r="AC255" i="5"/>
  <c r="AC250" i="5"/>
  <c r="AC235" i="5"/>
  <c r="AC303" i="5"/>
  <c r="AB329" i="5"/>
  <c r="AA329" i="5"/>
  <c r="AA310" i="5"/>
  <c r="AB310" i="5"/>
  <c r="AB311" i="5"/>
  <c r="AA311" i="5"/>
  <c r="AA330" i="5"/>
  <c r="AB330" i="5"/>
  <c r="AA298" i="5"/>
  <c r="AB298" i="5"/>
  <c r="AB296" i="5"/>
  <c r="AA296" i="5"/>
  <c r="AB328" i="5"/>
  <c r="AA328" i="5"/>
  <c r="AA336" i="5"/>
  <c r="AB336" i="5"/>
  <c r="AA314" i="5"/>
  <c r="AB314" i="5"/>
  <c r="AA321" i="5"/>
  <c r="AB321" i="5"/>
  <c r="AB331" i="5"/>
  <c r="AA331" i="5"/>
  <c r="AA304" i="5"/>
  <c r="AB304" i="5"/>
  <c r="AA337" i="5"/>
  <c r="AB337" i="5"/>
  <c r="AB291" i="5"/>
  <c r="AA291" i="5"/>
  <c r="AD221" i="5"/>
  <c r="P221" i="5"/>
  <c r="R221" i="5" s="1"/>
  <c r="AC257" i="5"/>
  <c r="AC253" i="5"/>
  <c r="AC225" i="5"/>
  <c r="AC154" i="5"/>
  <c r="S154" i="5" s="1"/>
  <c r="AC233" i="5"/>
  <c r="AC249" i="5"/>
  <c r="AC89" i="4"/>
  <c r="AB113" i="4"/>
  <c r="AA113" i="4"/>
  <c r="AB114" i="4"/>
  <c r="AA114" i="4"/>
  <c r="AA115" i="4"/>
  <c r="AB115" i="4"/>
  <c r="AC88" i="4"/>
  <c r="AC91" i="4"/>
  <c r="AC93" i="4"/>
  <c r="AB110" i="4"/>
  <c r="AA110" i="4"/>
  <c r="AB112" i="4"/>
  <c r="AA112" i="4"/>
  <c r="AA111" i="4"/>
  <c r="AB111" i="4"/>
  <c r="AB116" i="4"/>
  <c r="AA116" i="4"/>
  <c r="AC94" i="4"/>
  <c r="AC86" i="4"/>
  <c r="AC92" i="4"/>
  <c r="AC90" i="4"/>
  <c r="Y107" i="4"/>
  <c r="AA85" i="4"/>
  <c r="AB85" i="4"/>
  <c r="P72" i="4"/>
  <c r="R48" i="4"/>
  <c r="AD85" i="4"/>
  <c r="AD95" i="4" s="1"/>
  <c r="P85" i="4"/>
  <c r="P287" i="5"/>
  <c r="R287" i="5" s="1"/>
  <c r="Y286" i="5"/>
  <c r="AA286" i="5" s="1"/>
  <c r="AD286" i="5"/>
  <c r="P286" i="5"/>
  <c r="AB219" i="5"/>
  <c r="R219" i="5" s="1"/>
  <c r="AA219" i="5"/>
  <c r="S101" i="6"/>
  <c r="G61" i="16"/>
  <c r="H61" i="16"/>
  <c r="N117" i="4"/>
  <c r="N165" i="6"/>
  <c r="N341" i="5"/>
  <c r="F37" i="14"/>
  <c r="AD165" i="6"/>
  <c r="AE165" i="6"/>
  <c r="R101" i="6"/>
  <c r="AE117" i="4"/>
  <c r="Y95" i="4"/>
  <c r="S139" i="5"/>
  <c r="F36" i="14" s="1"/>
  <c r="F56" i="16" s="1"/>
  <c r="Y274" i="5"/>
  <c r="P207" i="5"/>
  <c r="O274" i="5"/>
  <c r="J59" i="10"/>
  <c r="I28" i="3"/>
  <c r="I53" i="3" s="1"/>
  <c r="H28" i="3"/>
  <c r="H53" i="3" s="1"/>
  <c r="J19" i="3"/>
  <c r="J33" i="3"/>
  <c r="J36" i="3" s="1"/>
  <c r="I52" i="2"/>
  <c r="I59" i="2" s="1"/>
  <c r="G43" i="16"/>
  <c r="I76" i="14"/>
  <c r="Y133" i="6"/>
  <c r="J36" i="13"/>
  <c r="J40" i="13" s="1"/>
  <c r="I64" i="16"/>
  <c r="AB12" i="9"/>
  <c r="G18" i="10"/>
  <c r="J189" i="19"/>
  <c r="K188" i="19"/>
  <c r="J53" i="2"/>
  <c r="J49" i="2" s="1"/>
  <c r="K20" i="3" s="1"/>
  <c r="J88" i="2"/>
  <c r="J85" i="2" s="1"/>
  <c r="J32" i="2" s="1"/>
  <c r="J31" i="2" s="1"/>
  <c r="K19" i="3" s="1"/>
  <c r="K88" i="2"/>
  <c r="K85" i="2" s="1"/>
  <c r="K32" i="2" s="1"/>
  <c r="K31" i="2" s="1"/>
  <c r="L19" i="3" s="1"/>
  <c r="J28" i="13"/>
  <c r="I38" i="16"/>
  <c r="F64" i="16"/>
  <c r="G36" i="13"/>
  <c r="G40" i="13" s="1"/>
  <c r="K162" i="7"/>
  <c r="J186" i="7"/>
  <c r="I19" i="13"/>
  <c r="F76" i="14"/>
  <c r="G76" i="14"/>
  <c r="F29" i="16"/>
  <c r="H76" i="14"/>
  <c r="J41" i="2"/>
  <c r="L9" i="7"/>
  <c r="K41" i="2" s="1"/>
  <c r="K53" i="2"/>
  <c r="L24" i="3"/>
  <c r="L23" i="3"/>
  <c r="I99" i="7"/>
  <c r="H64" i="16"/>
  <c r="I36" i="13"/>
  <c r="I40" i="13" s="1"/>
  <c r="E191" i="19"/>
  <c r="F190" i="19"/>
  <c r="Y165" i="6"/>
  <c r="L22" i="3"/>
  <c r="L17" i="3"/>
  <c r="K164" i="3"/>
  <c r="H57" i="16" s="1"/>
  <c r="L164" i="3"/>
  <c r="I57" i="16" s="1"/>
  <c r="K8" i="12"/>
  <c r="I8" i="14" s="1"/>
  <c r="I11" i="14" s="1"/>
  <c r="J8" i="13"/>
  <c r="H21" i="14"/>
  <c r="H41" i="14" s="1"/>
  <c r="H66" i="14" s="1"/>
  <c r="H59" i="16"/>
  <c r="H15" i="10"/>
  <c r="G61" i="10"/>
  <c r="H15" i="12" s="1"/>
  <c r="L186" i="7"/>
  <c r="L162" i="7"/>
  <c r="K186" i="7"/>
  <c r="J19" i="13"/>
  <c r="I161" i="3"/>
  <c r="F56" i="14" s="1"/>
  <c r="H45" i="14"/>
  <c r="I45" i="14" s="1"/>
  <c r="J13" i="10"/>
  <c r="AC108" i="4" l="1"/>
  <c r="AC304" i="5"/>
  <c r="AC321" i="5"/>
  <c r="AC336" i="5"/>
  <c r="AC330" i="5"/>
  <c r="AC310" i="5"/>
  <c r="H33" i="14"/>
  <c r="G33" i="14"/>
  <c r="AC153" i="6"/>
  <c r="F54" i="14"/>
  <c r="AC111" i="4"/>
  <c r="AC110" i="4"/>
  <c r="AC152" i="6"/>
  <c r="J189" i="7"/>
  <c r="H68" i="11"/>
  <c r="L189" i="7"/>
  <c r="J68" i="11"/>
  <c r="K189" i="7"/>
  <c r="I68" i="11"/>
  <c r="AC161" i="6"/>
  <c r="R85" i="4"/>
  <c r="R95" i="4" s="1"/>
  <c r="AC293" i="5"/>
  <c r="AC332" i="5"/>
  <c r="AC334" i="5"/>
  <c r="AC299" i="5"/>
  <c r="AC327" i="5"/>
  <c r="AC294" i="5"/>
  <c r="AC338" i="5"/>
  <c r="R145" i="6"/>
  <c r="AC158" i="6"/>
  <c r="AC163" i="6"/>
  <c r="AC156" i="6"/>
  <c r="AC155" i="6"/>
  <c r="AC147" i="6"/>
  <c r="AC157" i="6"/>
  <c r="AC162" i="6"/>
  <c r="AC160" i="6"/>
  <c r="AC164" i="6"/>
  <c r="AC148" i="6"/>
  <c r="AC146" i="6"/>
  <c r="AC154" i="6"/>
  <c r="AC149" i="6"/>
  <c r="AC145" i="6"/>
  <c r="S145" i="6" s="1"/>
  <c r="S165" i="6" s="1"/>
  <c r="AC308" i="5"/>
  <c r="AC318" i="5"/>
  <c r="AC221" i="5"/>
  <c r="AC337" i="5"/>
  <c r="AC331" i="5"/>
  <c r="AC314" i="5"/>
  <c r="AC298" i="5"/>
  <c r="AC311" i="5"/>
  <c r="AC306" i="5"/>
  <c r="AC326" i="5"/>
  <c r="AC295" i="5"/>
  <c r="AC220" i="5"/>
  <c r="AC322" i="5"/>
  <c r="AC339" i="5"/>
  <c r="AC335" i="5"/>
  <c r="S221" i="5"/>
  <c r="AA288" i="5"/>
  <c r="AB288" i="5"/>
  <c r="AC328" i="5"/>
  <c r="AC329" i="5"/>
  <c r="T153" i="5"/>
  <c r="AC305" i="5"/>
  <c r="AC315" i="5"/>
  <c r="P288" i="5"/>
  <c r="R288" i="5" s="1"/>
  <c r="AD288" i="5"/>
  <c r="AC297" i="5"/>
  <c r="AC313" i="5"/>
  <c r="AC301" i="5"/>
  <c r="T154" i="5"/>
  <c r="S220" i="5"/>
  <c r="AA287" i="5"/>
  <c r="AB287" i="5"/>
  <c r="AC291" i="5"/>
  <c r="AC296" i="5"/>
  <c r="AC289" i="5"/>
  <c r="AC333" i="5"/>
  <c r="AC340" i="5"/>
  <c r="AC312" i="5"/>
  <c r="AC317" i="5"/>
  <c r="AC302" i="5"/>
  <c r="AC325" i="5"/>
  <c r="AC292" i="5"/>
  <c r="AC115" i="4"/>
  <c r="AC116" i="4"/>
  <c r="AC114" i="4"/>
  <c r="AC85" i="4"/>
  <c r="S85" i="4" s="1"/>
  <c r="S95" i="4" s="1"/>
  <c r="AC112" i="4"/>
  <c r="AC113" i="4"/>
  <c r="T62" i="4"/>
  <c r="T72" i="4" s="1"/>
  <c r="J114" i="3" s="1"/>
  <c r="J159" i="3" s="1"/>
  <c r="P95" i="4"/>
  <c r="AD107" i="4"/>
  <c r="AD117" i="4" s="1"/>
  <c r="P107" i="4"/>
  <c r="AA107" i="4"/>
  <c r="AB107" i="4"/>
  <c r="AC219" i="5"/>
  <c r="S219" i="5" s="1"/>
  <c r="T219" i="5" s="1"/>
  <c r="AB286" i="5"/>
  <c r="AC286" i="5" s="1"/>
  <c r="S286" i="5" s="1"/>
  <c r="S133" i="6"/>
  <c r="P165" i="6"/>
  <c r="G37" i="14"/>
  <c r="T101" i="6"/>
  <c r="J116" i="3" s="1"/>
  <c r="J161" i="3" s="1"/>
  <c r="R133" i="6"/>
  <c r="Y117" i="4"/>
  <c r="Y341" i="5"/>
  <c r="S207" i="5"/>
  <c r="G36" i="14" s="1"/>
  <c r="G56" i="16" s="1"/>
  <c r="O341" i="5"/>
  <c r="AB139" i="5"/>
  <c r="P274" i="5"/>
  <c r="G60" i="16"/>
  <c r="F44" i="14"/>
  <c r="G62" i="14"/>
  <c r="G68" i="14" s="1"/>
  <c r="F60" i="16"/>
  <c r="J29" i="3"/>
  <c r="J28" i="3" s="1"/>
  <c r="J53" i="3" s="1"/>
  <c r="J58" i="3" s="1"/>
  <c r="J67" i="3" s="1"/>
  <c r="J60" i="2"/>
  <c r="K33" i="3"/>
  <c r="K36" i="3" s="1"/>
  <c r="J52" i="2"/>
  <c r="J59" i="2" s="1"/>
  <c r="J190" i="19"/>
  <c r="K189" i="19"/>
  <c r="H43" i="16"/>
  <c r="L33" i="3"/>
  <c r="L36" i="3" s="1"/>
  <c r="I43" i="16"/>
  <c r="K52" i="2"/>
  <c r="K59" i="2" s="1"/>
  <c r="K29" i="3"/>
  <c r="I186" i="7"/>
  <c r="I162" i="7"/>
  <c r="G19" i="13"/>
  <c r="H186" i="7"/>
  <c r="K60" i="2"/>
  <c r="K49" i="2"/>
  <c r="L20" i="3" s="1"/>
  <c r="I33" i="14" s="1"/>
  <c r="F191" i="19"/>
  <c r="E192" i="19"/>
  <c r="I21" i="14"/>
  <c r="I41" i="14" s="1"/>
  <c r="I66" i="14" s="1"/>
  <c r="H18" i="10"/>
  <c r="H58" i="10"/>
  <c r="H17" i="12"/>
  <c r="F35" i="16" s="1"/>
  <c r="J56" i="10"/>
  <c r="F42" i="14" l="1"/>
  <c r="I189" i="7"/>
  <c r="G68" i="11"/>
  <c r="H189" i="7"/>
  <c r="F68" i="11"/>
  <c r="F71" i="11" s="1"/>
  <c r="R107" i="4"/>
  <c r="R117" i="4" s="1"/>
  <c r="R286" i="5"/>
  <c r="T286" i="5" s="1"/>
  <c r="AC288" i="5"/>
  <c r="T145" i="6"/>
  <c r="T165" i="6" s="1"/>
  <c r="L116" i="3" s="1"/>
  <c r="T221" i="5"/>
  <c r="T220" i="5"/>
  <c r="AC287" i="5"/>
  <c r="S287" i="5" s="1"/>
  <c r="T287" i="5" s="1"/>
  <c r="S288" i="5"/>
  <c r="AC107" i="4"/>
  <c r="S107" i="4" s="1"/>
  <c r="S117" i="4" s="1"/>
  <c r="P117" i="4"/>
  <c r="T85" i="4"/>
  <c r="T95" i="4" s="1"/>
  <c r="K114" i="3" s="1"/>
  <c r="H37" i="14"/>
  <c r="R165" i="6"/>
  <c r="T133" i="6"/>
  <c r="K116" i="3" s="1"/>
  <c r="K161" i="3" s="1"/>
  <c r="G56" i="14"/>
  <c r="G54" i="14"/>
  <c r="P341" i="5"/>
  <c r="S274" i="5"/>
  <c r="H36" i="14" s="1"/>
  <c r="H56" i="16" s="1"/>
  <c r="R207" i="5"/>
  <c r="AB207" i="5"/>
  <c r="T139" i="5"/>
  <c r="I115" i="3" s="1"/>
  <c r="R139" i="5"/>
  <c r="G44" i="14"/>
  <c r="H62" i="14"/>
  <c r="H68" i="14" s="1"/>
  <c r="J70" i="3"/>
  <c r="K28" i="3"/>
  <c r="K190" i="19"/>
  <c r="J191" i="19"/>
  <c r="L29" i="3"/>
  <c r="E193" i="19"/>
  <c r="F192" i="19"/>
  <c r="I15" i="10"/>
  <c r="H61" i="10"/>
  <c r="I15" i="12" s="1"/>
  <c r="I37" i="14" l="1"/>
  <c r="T288" i="5"/>
  <c r="T107" i="4"/>
  <c r="T117" i="4" s="1"/>
  <c r="L114" i="3" s="1"/>
  <c r="L159" i="3" s="1"/>
  <c r="T207" i="5"/>
  <c r="J115" i="3" s="1"/>
  <c r="H56" i="14"/>
  <c r="L161" i="3"/>
  <c r="I56" i="14" s="1"/>
  <c r="K159" i="3"/>
  <c r="S341" i="5"/>
  <c r="I36" i="14" s="1"/>
  <c r="I56" i="16" s="1"/>
  <c r="R274" i="5"/>
  <c r="AB274" i="5"/>
  <c r="I160" i="3"/>
  <c r="I117" i="3"/>
  <c r="AB341" i="5"/>
  <c r="G42" i="14"/>
  <c r="H60" i="16"/>
  <c r="I62" i="14"/>
  <c r="I68" i="14" s="1"/>
  <c r="H44" i="14"/>
  <c r="I44" i="14" s="1"/>
  <c r="K53" i="3"/>
  <c r="K58" i="3" s="1"/>
  <c r="K67" i="3" s="1"/>
  <c r="J106" i="3"/>
  <c r="L28" i="3"/>
  <c r="J192" i="19"/>
  <c r="K191" i="19"/>
  <c r="F193" i="19"/>
  <c r="E194" i="19"/>
  <c r="I58" i="10"/>
  <c r="I18" i="10"/>
  <c r="I17" i="12"/>
  <c r="G35" i="16" s="1"/>
  <c r="H42" i="14" l="1"/>
  <c r="I42" i="14" s="1"/>
  <c r="T274" i="5"/>
  <c r="K115" i="3" s="1"/>
  <c r="K117" i="3" s="1"/>
  <c r="I54" i="14"/>
  <c r="H54" i="14"/>
  <c r="R341" i="5"/>
  <c r="T341" i="5"/>
  <c r="L115" i="3" s="1"/>
  <c r="L117" i="3" s="1"/>
  <c r="L135" i="3" s="1"/>
  <c r="J67" i="11" s="1"/>
  <c r="J71" i="11" s="1"/>
  <c r="F55" i="14"/>
  <c r="J160" i="3"/>
  <c r="J117" i="3"/>
  <c r="I162" i="3"/>
  <c r="F49" i="14" s="1"/>
  <c r="I135" i="3"/>
  <c r="K70" i="3"/>
  <c r="K158" i="3"/>
  <c r="I49" i="11" s="1"/>
  <c r="H62" i="16" s="1"/>
  <c r="L53" i="3"/>
  <c r="L58" i="3" s="1"/>
  <c r="L67" i="3" s="1"/>
  <c r="K192" i="19"/>
  <c r="J193" i="19"/>
  <c r="F194" i="19"/>
  <c r="E195" i="19"/>
  <c r="J15" i="10"/>
  <c r="I61" i="10"/>
  <c r="J15" i="12" s="1"/>
  <c r="F35" i="14" l="1"/>
  <c r="J162" i="3"/>
  <c r="G49" i="14" s="1"/>
  <c r="J135" i="3"/>
  <c r="J167" i="3" s="1"/>
  <c r="G55" i="14"/>
  <c r="I167" i="3"/>
  <c r="G67" i="11"/>
  <c r="G71" i="11" s="1"/>
  <c r="G21" i="11"/>
  <c r="F51" i="14"/>
  <c r="L160" i="3"/>
  <c r="F50" i="14"/>
  <c r="K162" i="3"/>
  <c r="H49" i="14" s="1"/>
  <c r="L162" i="3"/>
  <c r="I49" i="14" s="1"/>
  <c r="K135" i="3"/>
  <c r="K160" i="3"/>
  <c r="K151" i="3"/>
  <c r="K106" i="3"/>
  <c r="K166" i="3" s="1"/>
  <c r="L70" i="3"/>
  <c r="L106" i="3" s="1"/>
  <c r="L158" i="3"/>
  <c r="J49" i="11" s="1"/>
  <c r="I62" i="16" s="1"/>
  <c r="K193" i="19"/>
  <c r="J194" i="19"/>
  <c r="F195" i="19"/>
  <c r="E196" i="19"/>
  <c r="J58" i="10"/>
  <c r="J61" i="10" s="1"/>
  <c r="K15" i="12" s="1"/>
  <c r="J18" i="10"/>
  <c r="J17" i="12"/>
  <c r="H35" i="16" s="1"/>
  <c r="G50" i="14" l="1"/>
  <c r="L166" i="3"/>
  <c r="I67" i="11"/>
  <c r="I71" i="11" s="1"/>
  <c r="L167" i="3"/>
  <c r="H55" i="14"/>
  <c r="H50" i="14"/>
  <c r="I50" i="14"/>
  <c r="I51" i="14"/>
  <c r="J21" i="11"/>
  <c r="I35" i="14"/>
  <c r="H67" i="11"/>
  <c r="H71" i="11" s="1"/>
  <c r="J140" i="3"/>
  <c r="K167" i="3"/>
  <c r="I21" i="11"/>
  <c r="H74" i="14" s="1"/>
  <c r="H35" i="14"/>
  <c r="H51" i="14"/>
  <c r="I55" i="14"/>
  <c r="G23" i="11"/>
  <c r="F74" i="14"/>
  <c r="F27" i="16"/>
  <c r="H21" i="11"/>
  <c r="G35" i="14"/>
  <c r="G51" i="14"/>
  <c r="K140" i="3"/>
  <c r="L151" i="3"/>
  <c r="L140" i="3"/>
  <c r="J195" i="19"/>
  <c r="K194" i="19"/>
  <c r="E197" i="19"/>
  <c r="F196" i="19"/>
  <c r="K17" i="12"/>
  <c r="I35" i="16" s="1"/>
  <c r="G27" i="11" l="1"/>
  <c r="F73" i="14" s="1"/>
  <c r="I27" i="16"/>
  <c r="I74" i="14"/>
  <c r="J23" i="11"/>
  <c r="G74" i="14"/>
  <c r="G27" i="16"/>
  <c r="H23" i="11"/>
  <c r="H27" i="16"/>
  <c r="I23" i="11"/>
  <c r="J196" i="19"/>
  <c r="K195" i="19"/>
  <c r="H24" i="7"/>
  <c r="J24" i="7"/>
  <c r="F197" i="19"/>
  <c r="E198" i="19"/>
  <c r="I27" i="11" l="1"/>
  <c r="H73" i="14" s="1"/>
  <c r="J27" i="11"/>
  <c r="I73" i="14" s="1"/>
  <c r="H27" i="11"/>
  <c r="F47" i="14"/>
  <c r="K196" i="19"/>
  <c r="J197" i="19"/>
  <c r="I24" i="7"/>
  <c r="H81" i="7"/>
  <c r="H167" i="7" s="1"/>
  <c r="E199" i="19"/>
  <c r="F198" i="19"/>
  <c r="I58" i="3"/>
  <c r="I67" i="3" s="1"/>
  <c r="J158" i="3" s="1"/>
  <c r="H49" i="11" s="1"/>
  <c r="G62" i="16" s="1"/>
  <c r="G47" i="14" l="1"/>
  <c r="I47" i="14"/>
  <c r="G73" i="14"/>
  <c r="H47" i="14"/>
  <c r="I70" i="3"/>
  <c r="J198" i="19"/>
  <c r="K197" i="19"/>
  <c r="E200" i="19"/>
  <c r="F199" i="19"/>
  <c r="H58" i="3"/>
  <c r="H67" i="3" s="1"/>
  <c r="H70" i="3" s="1"/>
  <c r="J151" i="3" l="1"/>
  <c r="I158" i="3"/>
  <c r="G49" i="11" s="1"/>
  <c r="F62" i="16" s="1"/>
  <c r="J199" i="19"/>
  <c r="K198" i="19"/>
  <c r="E201" i="19"/>
  <c r="F200" i="19"/>
  <c r="I106" i="3"/>
  <c r="I151" i="3"/>
  <c r="J200" i="19" l="1"/>
  <c r="K199" i="19"/>
  <c r="E202" i="19"/>
  <c r="F201" i="19"/>
  <c r="J166" i="3"/>
  <c r="I140" i="3"/>
  <c r="H106" i="3"/>
  <c r="J201" i="19" l="1"/>
  <c r="K200" i="19"/>
  <c r="F202" i="19"/>
  <c r="E203" i="19"/>
  <c r="H140" i="3"/>
  <c r="I166" i="3"/>
  <c r="J15" i="7"/>
  <c r="J18" i="7" s="1"/>
  <c r="J33" i="7" s="1"/>
  <c r="L15" i="7"/>
  <c r="L18" i="7" s="1"/>
  <c r="I15" i="7"/>
  <c r="I18" i="7" s="1"/>
  <c r="I33" i="7" s="1"/>
  <c r="K15" i="7"/>
  <c r="K18" i="7" s="1"/>
  <c r="K33" i="7" s="1"/>
  <c r="L33" i="7" l="1"/>
  <c r="L38" i="7" s="1"/>
  <c r="L47" i="7" s="1"/>
  <c r="L50" i="7" s="1"/>
  <c r="K201" i="19"/>
  <c r="J202" i="19"/>
  <c r="F203" i="19"/>
  <c r="E204" i="19"/>
  <c r="I38" i="7"/>
  <c r="I47" i="7" s="1"/>
  <c r="J38" i="7"/>
  <c r="J47" i="7" s="1"/>
  <c r="J50" i="7" s="1"/>
  <c r="K38" i="7"/>
  <c r="K47" i="7" s="1"/>
  <c r="K50" i="7" s="1"/>
  <c r="L178" i="7" l="1"/>
  <c r="I50" i="7"/>
  <c r="H178" i="7" s="1"/>
  <c r="J203" i="19"/>
  <c r="K202" i="19"/>
  <c r="K178" i="7"/>
  <c r="F204" i="19"/>
  <c r="E205" i="19"/>
  <c r="L81" i="7"/>
  <c r="J14" i="11"/>
  <c r="I50" i="11"/>
  <c r="K195" i="7"/>
  <c r="I195" i="7"/>
  <c r="H195" i="7"/>
  <c r="G50" i="11"/>
  <c r="J50" i="11"/>
  <c r="L195" i="7"/>
  <c r="K81" i="7"/>
  <c r="I14" i="11"/>
  <c r="H50" i="11"/>
  <c r="J195" i="7"/>
  <c r="J178" i="7"/>
  <c r="H60" i="11" s="1"/>
  <c r="H64" i="11" s="1"/>
  <c r="H73" i="11" s="1"/>
  <c r="G14" i="11" l="1"/>
  <c r="F29" i="14" s="1"/>
  <c r="I81" i="7"/>
  <c r="I167" i="7" s="1"/>
  <c r="F28" i="14"/>
  <c r="F27" i="14"/>
  <c r="H29" i="14"/>
  <c r="H28" i="14"/>
  <c r="H27" i="14"/>
  <c r="I29" i="14"/>
  <c r="I28" i="14"/>
  <c r="I27" i="14"/>
  <c r="H183" i="7"/>
  <c r="H191" i="7" s="1"/>
  <c r="F60" i="11"/>
  <c r="F64" i="11" s="1"/>
  <c r="F73" i="11" s="1"/>
  <c r="K183" i="7"/>
  <c r="K191" i="7" s="1"/>
  <c r="I60" i="11"/>
  <c r="I64" i="11" s="1"/>
  <c r="I73" i="11" s="1"/>
  <c r="L183" i="7"/>
  <c r="L191" i="7" s="1"/>
  <c r="J60" i="11"/>
  <c r="J64" i="11" s="1"/>
  <c r="J73" i="11" s="1"/>
  <c r="J204" i="19"/>
  <c r="K203" i="19"/>
  <c r="I178" i="7"/>
  <c r="F205" i="19"/>
  <c r="E206" i="19"/>
  <c r="H14" i="11"/>
  <c r="J183" i="7"/>
  <c r="J191" i="7" s="1"/>
  <c r="J81" i="7"/>
  <c r="F22" i="16"/>
  <c r="H70" i="14"/>
  <c r="G19" i="11"/>
  <c r="I70" i="14"/>
  <c r="F63" i="16"/>
  <c r="G51" i="11"/>
  <c r="I51" i="11"/>
  <c r="H63" i="16"/>
  <c r="I19" i="11"/>
  <c r="H22" i="16"/>
  <c r="I63" i="16"/>
  <c r="J51" i="11"/>
  <c r="L167" i="7"/>
  <c r="H51" i="11"/>
  <c r="G63" i="16"/>
  <c r="K167" i="7"/>
  <c r="J19" i="11"/>
  <c r="I22" i="16"/>
  <c r="F70" i="14" l="1"/>
  <c r="F32" i="14"/>
  <c r="F26" i="14"/>
  <c r="F69" i="14"/>
  <c r="F46" i="14"/>
  <c r="I32" i="14"/>
  <c r="I26" i="14"/>
  <c r="I46" i="14"/>
  <c r="H32" i="14"/>
  <c r="H46" i="14"/>
  <c r="H26" i="14"/>
  <c r="G70" i="14"/>
  <c r="G29" i="14"/>
  <c r="G28" i="14"/>
  <c r="G27" i="14"/>
  <c r="I183" i="7"/>
  <c r="I191" i="7" s="1"/>
  <c r="G60" i="11"/>
  <c r="G64" i="11" s="1"/>
  <c r="G73" i="11" s="1"/>
  <c r="K204" i="19"/>
  <c r="J205" i="19"/>
  <c r="F206" i="19"/>
  <c r="E207" i="19"/>
  <c r="G22" i="16"/>
  <c r="H19" i="11"/>
  <c r="J29" i="11"/>
  <c r="I17" i="14" s="1"/>
  <c r="I29" i="11"/>
  <c r="H17" i="14" s="1"/>
  <c r="I69" i="14"/>
  <c r="G29" i="11"/>
  <c r="F17" i="14" s="1"/>
  <c r="H69" i="14"/>
  <c r="J167" i="7"/>
  <c r="H30" i="14" l="1"/>
  <c r="H25" i="14"/>
  <c r="G69" i="14"/>
  <c r="G32" i="14"/>
  <c r="G46" i="14"/>
  <c r="G26" i="14"/>
  <c r="I30" i="14"/>
  <c r="I25" i="14"/>
  <c r="F22" i="14"/>
  <c r="F30" i="14"/>
  <c r="F25" i="14"/>
  <c r="K205" i="19"/>
  <c r="J206" i="19"/>
  <c r="F207" i="19"/>
  <c r="E208" i="19"/>
  <c r="H24" i="14"/>
  <c r="H66" i="16"/>
  <c r="H23" i="14"/>
  <c r="H22" i="14"/>
  <c r="H29" i="11"/>
  <c r="G17" i="14" s="1"/>
  <c r="F24" i="14"/>
  <c r="F23" i="14"/>
  <c r="F66" i="16"/>
  <c r="J42" i="11"/>
  <c r="G42" i="11"/>
  <c r="H32" i="12" s="1"/>
  <c r="I42" i="11"/>
  <c r="I24" i="14"/>
  <c r="I66" i="16"/>
  <c r="I23" i="14"/>
  <c r="I22" i="14"/>
  <c r="G30" i="14" l="1"/>
  <c r="G25" i="14"/>
  <c r="J207" i="19"/>
  <c r="K206" i="19"/>
  <c r="E209" i="19"/>
  <c r="F208" i="19"/>
  <c r="G24" i="14"/>
  <c r="G66" i="16"/>
  <c r="G23" i="14"/>
  <c r="G22" i="14"/>
  <c r="I34" i="16"/>
  <c r="J17" i="13"/>
  <c r="J30" i="13" s="1"/>
  <c r="J48" i="13" s="1"/>
  <c r="H42" i="11"/>
  <c r="H34" i="16"/>
  <c r="I17" i="13"/>
  <c r="I30" i="13" s="1"/>
  <c r="I48" i="13" s="1"/>
  <c r="G17" i="13"/>
  <c r="G30" i="13" s="1"/>
  <c r="F34" i="16"/>
  <c r="H36" i="12"/>
  <c r="F16" i="14" l="1"/>
  <c r="G48" i="13"/>
  <c r="G51" i="13" s="1"/>
  <c r="H11" i="13" s="1"/>
  <c r="J208" i="19"/>
  <c r="K207" i="19"/>
  <c r="E210" i="19"/>
  <c r="F209" i="19"/>
  <c r="I32" i="12"/>
  <c r="I36" i="12" s="1"/>
  <c r="H57" i="12"/>
  <c r="H22" i="12" s="1"/>
  <c r="F37" i="16"/>
  <c r="H17" i="13"/>
  <c r="H30" i="13" s="1"/>
  <c r="H48" i="13" s="1"/>
  <c r="G34" i="16"/>
  <c r="G16" i="14" l="1"/>
  <c r="H51" i="13"/>
  <c r="I11" i="13" s="1"/>
  <c r="J209" i="19"/>
  <c r="K208" i="19"/>
  <c r="F210" i="19"/>
  <c r="E211" i="19"/>
  <c r="I57" i="12"/>
  <c r="I22" i="12" s="1"/>
  <c r="J32" i="12"/>
  <c r="J36" i="12" s="1"/>
  <c r="G37" i="16"/>
  <c r="H23" i="12"/>
  <c r="F15" i="14" s="1"/>
  <c r="G52" i="13" s="1"/>
  <c r="G49" i="13"/>
  <c r="H16" i="14" l="1"/>
  <c r="I51" i="13"/>
  <c r="J51" i="13" s="1"/>
  <c r="K209" i="19"/>
  <c r="J210" i="19"/>
  <c r="F211" i="19"/>
  <c r="E212" i="19"/>
  <c r="J57" i="12"/>
  <c r="J22" i="12" s="1"/>
  <c r="K32" i="12"/>
  <c r="K36" i="12" s="1"/>
  <c r="H37" i="16"/>
  <c r="I23" i="12"/>
  <c r="G15" i="14" s="1"/>
  <c r="H52" i="13" s="1"/>
  <c r="H49" i="13"/>
  <c r="F36" i="16"/>
  <c r="H25" i="12"/>
  <c r="F12" i="14" l="1"/>
  <c r="F14" i="14"/>
  <c r="F13" i="14"/>
  <c r="I16" i="14"/>
  <c r="J11" i="13"/>
  <c r="J211" i="19"/>
  <c r="K210" i="19"/>
  <c r="E213" i="19"/>
  <c r="F212" i="19"/>
  <c r="I49" i="13"/>
  <c r="J23" i="12"/>
  <c r="H15" i="14" s="1"/>
  <c r="I52" i="13" s="1"/>
  <c r="K57" i="12"/>
  <c r="K22" i="12" s="1"/>
  <c r="I37" i="16"/>
  <c r="G36" i="16"/>
  <c r="I25" i="12"/>
  <c r="G12" i="14" l="1"/>
  <c r="G14" i="14"/>
  <c r="G13" i="14"/>
  <c r="J212" i="19"/>
  <c r="K211" i="19"/>
  <c r="E214" i="19"/>
  <c r="F213" i="19"/>
  <c r="H36" i="16"/>
  <c r="J25" i="12"/>
  <c r="J49" i="13"/>
  <c r="K23" i="12"/>
  <c r="I15" i="14" s="1"/>
  <c r="J52" i="13" s="1"/>
  <c r="H12" i="14" l="1"/>
  <c r="H14" i="14"/>
  <c r="H13" i="14"/>
  <c r="J213" i="19"/>
  <c r="K212" i="19"/>
  <c r="F214" i="19"/>
  <c r="E215" i="19"/>
  <c r="K25" i="12"/>
  <c r="I36" i="16"/>
  <c r="I12" i="14" l="1"/>
  <c r="I14" i="14"/>
  <c r="I13" i="14"/>
  <c r="J214" i="19"/>
  <c r="K213" i="19"/>
  <c r="F215" i="19"/>
  <c r="E216" i="19"/>
  <c r="J215" i="19" l="1"/>
  <c r="K214" i="19"/>
  <c r="E217" i="19"/>
  <c r="F216" i="19"/>
  <c r="J216" i="19" l="1"/>
  <c r="K215" i="19"/>
  <c r="E218" i="19"/>
  <c r="F217" i="19"/>
  <c r="K216" i="19" l="1"/>
  <c r="J217" i="19"/>
  <c r="F218" i="19"/>
  <c r="E219" i="19"/>
  <c r="J218" i="19" l="1"/>
  <c r="K217" i="19"/>
  <c r="F219" i="19"/>
  <c r="E220" i="19"/>
  <c r="K218" i="19" l="1"/>
  <c r="J219" i="19"/>
  <c r="E221" i="19"/>
  <c r="F220" i="19"/>
  <c r="J220" i="19" l="1"/>
  <c r="K219" i="19"/>
  <c r="E222" i="19"/>
  <c r="F221" i="19"/>
  <c r="J221" i="19" l="1"/>
  <c r="K220" i="19"/>
  <c r="F222" i="19"/>
  <c r="E223" i="19"/>
  <c r="J222" i="19" l="1"/>
  <c r="K221" i="19"/>
  <c r="F223" i="19"/>
  <c r="E224" i="19"/>
  <c r="K222" i="19" l="1"/>
  <c r="J223" i="19"/>
  <c r="E225" i="19"/>
  <c r="F224" i="19"/>
  <c r="K223" i="19" l="1"/>
  <c r="J224" i="19"/>
  <c r="F225" i="19"/>
  <c r="E226" i="19"/>
  <c r="K224" i="19" l="1"/>
  <c r="J225" i="19"/>
  <c r="E227" i="19"/>
  <c r="F227" i="19" s="1"/>
  <c r="F226" i="19"/>
  <c r="J226" i="19" l="1"/>
  <c r="K225" i="19"/>
  <c r="J227" i="19" l="1"/>
  <c r="K227" i="19" s="1"/>
  <c r="K226" i="19"/>
</calcChain>
</file>

<file path=xl/comments1.xml><?xml version="1.0" encoding="utf-8"?>
<comments xmlns="http://schemas.openxmlformats.org/spreadsheetml/2006/main">
  <authors>
    <author>ReinierG</author>
  </authors>
  <commentList>
    <comment ref="F46" authorId="0" shapeId="0">
      <text>
        <r>
          <rPr>
            <sz val="8"/>
            <color indexed="81"/>
            <rFont val="Tahoma"/>
            <family val="2"/>
          </rPr>
          <t xml:space="preserve">
Nederlandstalig onderwijs aan anderstaligen (NOAT, ook wel NT2) Vergoeding voor de kosten van Nederlands onderwijs aan anderstalige leerlingen. Leerlingen uit Suriname, Ned. Antillen en Aruba worden buiten beschouwing gelaten.</t>
        </r>
      </text>
    </comment>
    <comment ref="F51" authorId="0" shapeId="0">
      <text>
        <r>
          <rPr>
            <sz val="8"/>
            <color indexed="81"/>
            <rFont val="Tahoma"/>
            <family val="2"/>
          </rPr>
          <t xml:space="preserve">
De berekening voor deze cellen is als volgt opgebouwd:
G = (A + B + C + D)
A= 0,0500 * ll onderbouw (4-7jr)
B= 0,0343 * ll bovenbouw
C= 1,5642 - (aantal ll * 0,0115); C kan niet&lt;0
D= 0,0179 * het schoolgewicht
(zie Besluit bekostiging WPO art. 14).</t>
        </r>
      </text>
    </comment>
    <comment ref="F58" authorId="0" shapeId="0">
      <text>
        <r>
          <rPr>
            <sz val="8"/>
            <color indexed="81"/>
            <rFont val="Tahoma"/>
            <family val="2"/>
          </rPr>
          <t xml:space="preserve">
Het genormeerd bruto grondoppervlak is afhankelijk van het aantal groepen (G). Zie tabel brutovloeroppervlak voor het aantal m2. werkblad 'Tabellen'</t>
        </r>
      </text>
    </comment>
  </commentList>
</comments>
</file>

<file path=xl/comments10.xml><?xml version="1.0" encoding="utf-8"?>
<comments xmlns="http://schemas.openxmlformats.org/spreadsheetml/2006/main">
  <authors>
    <author>goedhartr</author>
  </authors>
  <commentList>
    <comment ref="D39" authorId="0" shapeId="0">
      <text>
        <r>
          <rPr>
            <sz val="8"/>
            <color indexed="81"/>
            <rFont val="Tahoma"/>
            <family val="2"/>
          </rPr>
          <t xml:space="preserve">
</t>
        </r>
        <r>
          <rPr>
            <sz val="10"/>
            <color indexed="81"/>
            <rFont val="Tahoma"/>
            <family val="2"/>
          </rPr>
          <t xml:space="preserve">voor bepaling hoogte voorziening jubliea, zie toolbox PO-Raad
</t>
        </r>
        <r>
          <rPr>
            <sz val="8"/>
            <color indexed="81"/>
            <rFont val="Tahoma"/>
            <family val="2"/>
          </rPr>
          <t xml:space="preserve">
</t>
        </r>
      </text>
    </comment>
    <comment ref="D40" authorId="0" shapeId="0">
      <text>
        <r>
          <rPr>
            <sz val="8"/>
            <color indexed="81"/>
            <rFont val="Tahoma"/>
            <family val="2"/>
          </rPr>
          <t xml:space="preserve">
</t>
        </r>
        <r>
          <rPr>
            <sz val="10"/>
            <color indexed="81"/>
            <rFont val="Tahoma"/>
            <family val="2"/>
          </rPr>
          <t xml:space="preserve">voor bepaling hoogte voorziening duurzame inzetbaarheid (ouderenverlof), zie toolbox financiën
</t>
        </r>
        <r>
          <rPr>
            <sz val="8"/>
            <color indexed="81"/>
            <rFont val="Tahoma"/>
            <family val="2"/>
          </rPr>
          <t xml:space="preserve">
</t>
        </r>
      </text>
    </comment>
  </commentList>
</comments>
</file>

<file path=xl/comments11.xml><?xml version="1.0" encoding="utf-8"?>
<comments xmlns="http://schemas.openxmlformats.org/spreadsheetml/2006/main">
  <authors>
    <author>Goedhart, R.</author>
    <author>Keizer</author>
  </authors>
  <commentList>
    <comment ref="D21" authorId="0" shapeId="0">
      <text>
        <r>
          <rPr>
            <sz val="8"/>
            <color indexed="81"/>
            <rFont val="Tahoma"/>
            <family val="2"/>
          </rPr>
          <t xml:space="preserve">
Hier wordt de datum van vandaag weergegeven. Bij het kopiëren van dit werkblad in het sommatiemodel, zal de datum in het sommatiemodel gefixeerd worden. </t>
        </r>
      </text>
    </comment>
    <comment ref="D47" authorId="1" shapeId="0">
      <text>
        <r>
          <rPr>
            <sz val="9"/>
            <color indexed="81"/>
            <rFont val="Tahoma"/>
            <family val="2"/>
          </rPr>
          <t xml:space="preserve">
Aantal leerlingen op 1 okt. T-1
</t>
        </r>
      </text>
    </comment>
  </commentList>
</comments>
</file>

<file path=xl/comments12.xml><?xml version="1.0" encoding="utf-8"?>
<comments xmlns="http://schemas.openxmlformats.org/spreadsheetml/2006/main">
  <authors>
    <author>Keizer</author>
  </authors>
  <commentList>
    <comment ref="B51" authorId="0" shapeId="0">
      <text>
        <r>
          <rPr>
            <sz val="8"/>
            <color indexed="81"/>
            <rFont val="Tahoma"/>
            <family val="2"/>
          </rPr>
          <t xml:space="preserve">
Dit budget is bedoeld om de functie van schoolleider op een kleine school (aantal leerlingen 1 okt  T-1  &lt; 195 ll) aantrekkelijker te maken. </t>
        </r>
      </text>
    </comment>
  </commentList>
</comments>
</file>

<file path=xl/comments2.xml><?xml version="1.0" encoding="utf-8"?>
<comments xmlns="http://schemas.openxmlformats.org/spreadsheetml/2006/main">
  <authors>
    <author>Goedhart, R.</author>
  </authors>
  <commentList>
    <comment ref="D14" authorId="0" shapeId="0">
      <text>
        <r>
          <rPr>
            <sz val="8"/>
            <color indexed="81"/>
            <rFont val="Tahoma"/>
            <family val="2"/>
          </rPr>
          <t xml:space="preserve">Noteer de GGL zoals vermeld op de beschikking. Anders doet het model een voorstel op basis van het ingevulde OP- bestand
</t>
        </r>
      </text>
    </comment>
    <comment ref="D51" authorId="0" shapeId="0">
      <text>
        <r>
          <rPr>
            <sz val="10"/>
            <color indexed="81"/>
            <rFont val="Tahoma"/>
            <family val="2"/>
          </rPr>
          <t xml:space="preserve">
Hierbij wordt gedoeld op op de overdracht van middelen van school naar bestuur of omgekeerd. Overdrachten naar c.q. van scholen binnen het eigen bestuur, kunnen ook via dit onderdeel verlopen. Hierbij vervult het bestuur een doorsluisfunctie. 
Overdrachten van c.q. naar scholen buiten het eigen bestuur, moeten worden opgenomen als een bate (zie: overige baten) c.q als een last (bijvoorbeeld op te nemen onder lasten personeelsbeleid).</t>
        </r>
        <r>
          <rPr>
            <sz val="8"/>
            <color indexed="81"/>
            <rFont val="Tahoma"/>
            <family val="2"/>
          </rPr>
          <t xml:space="preserve">
</t>
        </r>
      </text>
    </comment>
  </commentList>
</comments>
</file>

<file path=xl/comments3.xml><?xml version="1.0" encoding="utf-8"?>
<comments xmlns="http://schemas.openxmlformats.org/spreadsheetml/2006/main">
  <authors>
    <author>Reinier Goedhart</author>
  </authors>
  <commentList>
    <comment ref="T12" authorId="0" shapeId="0">
      <text>
        <r>
          <rPr>
            <sz val="10"/>
            <color indexed="81"/>
            <rFont val="Tahoma"/>
            <family val="2"/>
          </rPr>
          <t xml:space="preserve">Dit zijn de loonkosten </t>
        </r>
        <r>
          <rPr>
            <b/>
            <sz val="10"/>
            <color indexed="81"/>
            <rFont val="Tahoma"/>
            <family val="2"/>
          </rPr>
          <t>EXCLUSIEF</t>
        </r>
        <r>
          <rPr>
            <sz val="10"/>
            <color indexed="81"/>
            <rFont val="Tahoma"/>
            <family val="2"/>
          </rPr>
          <t xml:space="preserve"> de kosten van de vervanger. Duurzame inzetbaarheid leidt voor de persoon die deze uren opneemt daarom tot lagere loonkosten. De vervanger moet dus apart worden opgenomen in dit overzicht</t>
        </r>
        <r>
          <rPr>
            <sz val="9"/>
            <color indexed="81"/>
            <rFont val="Tahoma"/>
            <family val="2"/>
          </rPr>
          <t xml:space="preserve">
</t>
        </r>
      </text>
    </comment>
  </commentList>
</comments>
</file>

<file path=xl/comments4.xml><?xml version="1.0" encoding="utf-8"?>
<comments xmlns="http://schemas.openxmlformats.org/spreadsheetml/2006/main">
  <authors>
    <author>Reinier Goedhart</author>
  </authors>
  <commentList>
    <comment ref="T12" authorId="0" shapeId="0">
      <text>
        <r>
          <rPr>
            <sz val="10"/>
            <color indexed="81"/>
            <rFont val="Tahoma"/>
            <family val="2"/>
          </rPr>
          <t xml:space="preserve">Dit zijn de loonkosten </t>
        </r>
        <r>
          <rPr>
            <b/>
            <sz val="10"/>
            <color indexed="81"/>
            <rFont val="Tahoma"/>
            <family val="2"/>
          </rPr>
          <t>EXCLUSIEF</t>
        </r>
        <r>
          <rPr>
            <sz val="10"/>
            <color indexed="81"/>
            <rFont val="Tahoma"/>
            <family val="2"/>
          </rPr>
          <t xml:space="preserve"> de kosten van de vervanger. Duurzame inzetbaarheid leidt voor de persoon die deze uren opneemt daarom tot lagere loonkosten. De vervanger moet dus apart worden opgenomen in dit overzicht</t>
        </r>
        <r>
          <rPr>
            <sz val="9"/>
            <color indexed="81"/>
            <rFont val="Tahoma"/>
            <family val="2"/>
          </rPr>
          <t xml:space="preserve">
</t>
        </r>
      </text>
    </comment>
  </commentList>
</comments>
</file>

<file path=xl/comments5.xml><?xml version="1.0" encoding="utf-8"?>
<comments xmlns="http://schemas.openxmlformats.org/spreadsheetml/2006/main">
  <authors>
    <author>Reinier Goedhart</author>
  </authors>
  <commentList>
    <comment ref="T12" authorId="0" shapeId="0">
      <text>
        <r>
          <rPr>
            <sz val="10"/>
            <color indexed="81"/>
            <rFont val="Tahoma"/>
            <family val="2"/>
          </rPr>
          <t xml:space="preserve">Dit zijn de loonkosten </t>
        </r>
        <r>
          <rPr>
            <b/>
            <sz val="10"/>
            <color indexed="81"/>
            <rFont val="Tahoma"/>
            <family val="2"/>
          </rPr>
          <t>EXCLUSIEF</t>
        </r>
        <r>
          <rPr>
            <sz val="10"/>
            <color indexed="81"/>
            <rFont val="Tahoma"/>
            <family val="2"/>
          </rPr>
          <t xml:space="preserve"> de kosten van de vervanger. Duurzame inzetbaarheid leidt voor de persoon die deze uren opneemt daarom tot lagere loonkosten. De vervanger moet dus apart worden opgenomen in dit overzicht</t>
        </r>
        <r>
          <rPr>
            <sz val="9"/>
            <color indexed="81"/>
            <rFont val="Tahoma"/>
            <family val="2"/>
          </rPr>
          <t xml:space="preserve">
</t>
        </r>
      </text>
    </comment>
  </commentList>
</comments>
</file>

<file path=xl/comments6.xml><?xml version="1.0" encoding="utf-8"?>
<comments xmlns="http://schemas.openxmlformats.org/spreadsheetml/2006/main">
  <authors>
    <author>Goedhart, R.</author>
    <author>Bé Keizer</author>
  </authors>
  <commentList>
    <comment ref="D31" authorId="0" shapeId="0">
      <text>
        <r>
          <rPr>
            <sz val="10"/>
            <color indexed="81"/>
            <rFont val="Tahoma"/>
            <family val="2"/>
          </rPr>
          <t xml:space="preserve">
Hierbij wordt gedoeld op op de overdracht van middelen van school naar bestuur of omgekeerd. Overdrachten naar c.q. van scholen binnen het eigen bestuur, kunnen ook via dit onderdeel verlopen. Hierbij vervult het bestuur een doorsluisfunctie. 
Overdrachten van c.q. naar scholen buiten het eigen bestuur, moeten worden opgenomen als een bate (zie: overige baten) c.q als een last (bijvoorbeeld op te nemen onder lasten personeelsbeleid).</t>
        </r>
        <r>
          <rPr>
            <sz val="8"/>
            <color indexed="81"/>
            <rFont val="Tahoma"/>
            <family val="2"/>
          </rPr>
          <t xml:space="preserve">
</t>
        </r>
      </text>
    </comment>
    <comment ref="D90" authorId="0" shapeId="0">
      <text>
        <r>
          <rPr>
            <sz val="8"/>
            <color indexed="81"/>
            <rFont val="Tahoma"/>
            <family val="2"/>
          </rPr>
          <t xml:space="preserve">
wordt berekend in werkblad mip en act
</t>
        </r>
      </text>
    </comment>
    <comment ref="D105" authorId="0" shapeId="0">
      <text>
        <r>
          <rPr>
            <sz val="8"/>
            <color indexed="81"/>
            <rFont val="Tahoma"/>
            <family val="2"/>
          </rPr>
          <t xml:space="preserve">wordt ontleend aan het werkblad mop
</t>
        </r>
      </text>
    </comment>
    <comment ref="L176" authorId="1" shapeId="0">
      <text>
        <r>
          <rPr>
            <sz val="9"/>
            <color indexed="81"/>
            <rFont val="Tahoma"/>
            <family val="2"/>
          </rPr>
          <t xml:space="preserve">
Omdat de gegevens van het laatste kalenderjaar  ontbreken zijn de bedragen van dit schooljaar gelijk gesteld aan het laatst beschikbare kalenderjaar.</t>
        </r>
      </text>
    </comment>
  </commentList>
</comments>
</file>

<file path=xl/comments7.xml><?xml version="1.0" encoding="utf-8"?>
<comments xmlns="http://schemas.openxmlformats.org/spreadsheetml/2006/main">
  <authors>
    <author>Goedhart, R.</author>
  </authors>
  <commentList>
    <comment ref="E8" authorId="0" shapeId="0">
      <text>
        <r>
          <rPr>
            <sz val="8"/>
            <color indexed="81"/>
            <rFont val="Tahoma"/>
            <family val="2"/>
          </rPr>
          <t xml:space="preserve">
hoeft niet te worden ingevuld</t>
        </r>
      </text>
    </comment>
    <comment ref="F8" authorId="0" shapeId="0">
      <text>
        <r>
          <rPr>
            <sz val="8"/>
            <color indexed="81"/>
            <rFont val="Tahoma"/>
            <family val="2"/>
          </rPr>
          <t xml:space="preserve">
hoeft niet te worden ingevuld</t>
        </r>
      </text>
    </comment>
  </commentList>
</comments>
</file>

<file path=xl/comments8.xml><?xml version="1.0" encoding="utf-8"?>
<comments xmlns="http://schemas.openxmlformats.org/spreadsheetml/2006/main">
  <authors>
    <author>Goedhart, R.</author>
  </authors>
  <commentList>
    <comment ref="D41" authorId="0" shapeId="0">
      <text>
        <r>
          <rPr>
            <sz val="8"/>
            <color indexed="81"/>
            <rFont val="Tahoma"/>
            <family val="2"/>
          </rPr>
          <t xml:space="preserve">
Slechts invullen indien u een eerste waardering/ nul-meting/ inventarisatie heeft uitgevoerd in het kader van de startbalans.
Deze afschrijvingsbedragen kan u halen van uw nul-meting/ overzicht eerste waardering.
</t>
        </r>
      </text>
    </comment>
  </commentList>
</comments>
</file>

<file path=xl/comments9.xml><?xml version="1.0" encoding="utf-8"?>
<comments xmlns="http://schemas.openxmlformats.org/spreadsheetml/2006/main">
  <authors>
    <author>Bé Keizer</author>
  </authors>
  <commentList>
    <comment ref="D90" authorId="0" shapeId="0">
      <text>
        <r>
          <rPr>
            <sz val="9"/>
            <color indexed="81"/>
            <rFont val="Tahoma"/>
            <family val="2"/>
          </rPr>
          <t xml:space="preserve">
Aanloopschalen a1 en a2 achterwege gelaten.</t>
        </r>
      </text>
    </comment>
  </commentList>
</comments>
</file>

<file path=xl/sharedStrings.xml><?xml version="1.0" encoding="utf-8"?>
<sst xmlns="http://schemas.openxmlformats.org/spreadsheetml/2006/main" count="1755" uniqueCount="643">
  <si>
    <t>2016/17</t>
  </si>
  <si>
    <t xml:space="preserve">Ook kan opgave gedaan worden van dotatie aan de personeelsvoorziening voor o.a. jubilea, die afzonderlijk is opgenomen. </t>
  </si>
  <si>
    <t>budget naar bestuur (personeel)</t>
  </si>
  <si>
    <t>budget naar bestuur (materieel)</t>
  </si>
  <si>
    <t>Naam school</t>
  </si>
  <si>
    <t>Brinnummer</t>
  </si>
  <si>
    <t>Datum laatste wijziging</t>
  </si>
  <si>
    <t>toeslag management kleine school (y&lt;200 lln)</t>
  </si>
  <si>
    <t xml:space="preserve">aantal leerlingen onderbouw </t>
  </si>
  <si>
    <t xml:space="preserve">aantal leerlingen bovenbouw </t>
  </si>
  <si>
    <t>aantal gewichtsleerlingen</t>
  </si>
  <si>
    <t>aantal leerlingen bas</t>
  </si>
  <si>
    <t>aantal leerlingen sbo</t>
  </si>
  <si>
    <t>nevenvestiging</t>
  </si>
  <si>
    <t>FTE directie</t>
  </si>
  <si>
    <t>Personele bekostiging</t>
  </si>
  <si>
    <t>baten werk in opdracht van derden</t>
  </si>
  <si>
    <t>Minus: Overdrachten bestuur</t>
  </si>
  <si>
    <t xml:space="preserve">Overdracht naar bestuur </t>
  </si>
  <si>
    <t>o.b.v. percentage rijksbijdragen/ personele bekostiging</t>
  </si>
  <si>
    <t>Overdracht van bestuur</t>
  </si>
  <si>
    <t>saldo overdrachten</t>
  </si>
  <si>
    <t>FTE onderwijzend personeel</t>
  </si>
  <si>
    <t>Baten</t>
  </si>
  <si>
    <t xml:space="preserve">Saldo baten en lasten </t>
  </si>
  <si>
    <t xml:space="preserve">of een (vestiging van een) school in een zogenaamd Impulsgebied staat. </t>
  </si>
  <si>
    <t xml:space="preserve">Automatisch wordt op basis van de opgegeven viercijferige postcode bepaald of de vestiging in een impulsgebied ligt. </t>
  </si>
  <si>
    <t xml:space="preserve">Is er sprake van een impulsgebied, dan ontvangt de school een extra bedrag voor elke leerling met een gewicht van 0,3 of 1,2. </t>
  </si>
  <si>
    <t>rijksbijdragen/  totale baten</t>
  </si>
  <si>
    <t>overige overheidsbijdragen/ totale baten</t>
  </si>
  <si>
    <t>overige baten/  totale baten</t>
  </si>
  <si>
    <t>investeringen/  totale baten</t>
  </si>
  <si>
    <t>poraad</t>
  </si>
  <si>
    <t>bekostiging impulsgebieden</t>
  </si>
  <si>
    <t>aanvullende bekostiging schoolleider 1</t>
  </si>
  <si>
    <t>aanvullende bekostiging schoolleider 2</t>
  </si>
  <si>
    <t>NOAT</t>
  </si>
  <si>
    <t>SWV zonder sbo: zorgbudget materieel (2% ll.)</t>
  </si>
  <si>
    <t>Normatieve Rijksbijdrage OCW</t>
  </si>
  <si>
    <t xml:space="preserve">- ga in linkerbovenhoek staan van het lichtgeel gearceerde gebied waarin selectie van deze school geplakt moet worden </t>
  </si>
  <si>
    <t>Sinds het schooljaar 09-10 geldt een aanvullende regeling voor de bekostiging van het onderwijsachterstandenbeleid. Daarvoor is het van belang</t>
  </si>
  <si>
    <t>Deze baten worden berekend conform de laatst bekende gegevens van de regeling budget PB.</t>
  </si>
  <si>
    <t>eenheden</t>
  </si>
  <si>
    <t>aantal /</t>
  </si>
  <si>
    <t>versie</t>
  </si>
  <si>
    <t>Het model is beveiligd met het wachtwoord:</t>
  </si>
  <si>
    <t>Desgewenst kunt u het model dus aanpassen, maar kennis van Excel is dan wel vereist.</t>
  </si>
  <si>
    <t>SOMMATIEGEGEVENS</t>
  </si>
  <si>
    <t>2. Open sommatietiemodel</t>
  </si>
  <si>
    <t>De invoer bij de aangegeven cellen spreekt voor zich. Voor een juiste begroting moeten de witte cellen worden ingevuld.</t>
  </si>
  <si>
    <t xml:space="preserve">In de gele cellen doet het model middels een formule een voorstel (veelal uitgaand van een situatie van krimp noch groei). Deze </t>
  </si>
  <si>
    <t>cellen zijn echter overschrijfbaar / niet beveiligd. De overige cellen zijn beveiligd met een wachtwoord.</t>
  </si>
  <si>
    <t>Hierna de kanttekeningen bij die invoer waar dat nodig is.</t>
  </si>
  <si>
    <t>De invoer van de leerlinggegevens vergt een prognose voor de jaren daarna.</t>
  </si>
  <si>
    <t>- meubilair</t>
  </si>
  <si>
    <t>- ICT</t>
  </si>
  <si>
    <t xml:space="preserve">Een nauwkeurige opgave van het verwachte leerlingenaantal zorgt voor een zo deugdelijk mogelijke begroting van de inkomsten. </t>
  </si>
  <si>
    <t>In verband met de berekening van het budget materiële instandhouding (Londo) wordt ook gevraagd om opgave van het aantal leerlingen NOAT.</t>
  </si>
  <si>
    <t>Schoolgewicht voor toepassing art. 27 lid 3</t>
  </si>
  <si>
    <t xml:space="preserve">Materieel </t>
  </si>
  <si>
    <t>Salaristabel</t>
  </si>
  <si>
    <t>mutatie Liquide middelen (balans)</t>
  </si>
  <si>
    <t>School zonder nevenvestiging</t>
  </si>
  <si>
    <t>In een heel enkel geval heeft een samenwerkingsverband WSNS geen SBO. Alleen in dat geval 'ja' invullen.</t>
  </si>
  <si>
    <t>grootboeknr.</t>
  </si>
  <si>
    <t>ACTIVAOVERZICHT</t>
  </si>
  <si>
    <t>Procedure</t>
  </si>
  <si>
    <t>In dit werkblad worden de afschrijvingen bepaald die ten laste van de (materiële) exploitatie van de school worden gebracht.</t>
  </si>
  <si>
    <t>Stand voorziening onderhoud per 01-01</t>
  </si>
  <si>
    <t>Zichtbaar te maken met Opmaak/Blad/Zichtbaar maken.</t>
  </si>
  <si>
    <t>1. Basisgegevens (geg)</t>
  </si>
  <si>
    <t>Algemeen</t>
  </si>
  <si>
    <t>2. Personeel (pers)</t>
  </si>
  <si>
    <t xml:space="preserve">gebracht. Dit bedrag wordt via het werkblad "som" overgebracht in het sommatiemodel en ten gunste van de exploitatie van </t>
  </si>
  <si>
    <t>het bestuurskantoor gebracht.</t>
  </si>
  <si>
    <t>Het bedrag Convenant schoolleiding PO (Gele Katern 2004, nr. 17) is opgenomen in het budget PB en afzonderlijk weergegeven.</t>
  </si>
  <si>
    <t xml:space="preserve">de informatie van alle scholen bij elkaar opgeteld tezamen met de baten en lasten van het bestuurskantoor. Hierdoor ontstaat op bestuursniveau </t>
  </si>
  <si>
    <t>2.1 Loonkosten directie (dir)</t>
  </si>
  <si>
    <t>2.2 Loonkosten onderwijzend personeel (op)</t>
  </si>
  <si>
    <t>2.3 Loonkosten onderwijsondersteunend personeel (oop)</t>
  </si>
  <si>
    <t>3. Materieel (mat)</t>
  </si>
  <si>
    <t xml:space="preserve">Door een vast percentage per bekostigingselement vast te stellen kunnen gelden van de school bovenschools worden gebracht. </t>
  </si>
  <si>
    <t>kosten, te weten dotatie onderhoud resp. afschrijvingen, zijn opgenomen in de werkbladen "mop" en "mip". Voor de jaarlijkse kosten moet voor de komende</t>
  </si>
  <si>
    <t>3.1 Meerjarenonderhoudsplan (mop)</t>
  </si>
  <si>
    <t>3.2 Meerjaren investeringsplan (mip)</t>
  </si>
  <si>
    <t>3.3 Activa (act)</t>
  </si>
  <si>
    <t xml:space="preserve">positief of negatief is. </t>
  </si>
  <si>
    <t>een meerjarig zicht op de exploitatie en balans.</t>
  </si>
  <si>
    <t>Dotatie vanuit exploitatie (materieel)</t>
  </si>
  <si>
    <t>Onttrekking</t>
  </si>
  <si>
    <t>Gegevens voor bepaling materiële instandhouding (o.b.v. kalenderjaar)</t>
  </si>
  <si>
    <t>voorraden</t>
  </si>
  <si>
    <t>effecten</t>
  </si>
  <si>
    <t>vorderingen</t>
  </si>
  <si>
    <t xml:space="preserve">activiteiten te kunnen financieren. Het corrigeren vindt plaats door per bekostigingselement een percentage vast te stellen dat bovenschools wordt </t>
  </si>
  <si>
    <t>Eindsaldo liquide middelen</t>
  </si>
  <si>
    <t>BASISGEGEVENS</t>
  </si>
  <si>
    <t>Nadere informatie</t>
  </si>
  <si>
    <t>De lasten in het kader van de materiële instandhouding kunnen worden onderverdeeld in jaarlijkse en meerjaarlijkse kosten. De meerjaarlijkse</t>
  </si>
  <si>
    <t>Lasten</t>
  </si>
  <si>
    <t>School ligt in impulsgebied</t>
  </si>
  <si>
    <t>Aantal gewichtenleerlingen</t>
  </si>
  <si>
    <t>Bedrag per gewichtenleerling Impulsgebied</t>
  </si>
  <si>
    <t>PAB budget</t>
  </si>
  <si>
    <t>éénmalig</t>
  </si>
  <si>
    <t xml:space="preserve">Rijksbijdragen OCW </t>
  </si>
  <si>
    <t>wv voor vroegschoolse educatie</t>
  </si>
  <si>
    <t>wv. vroegschoolse educatie (leeftijdsafhankelijk deel)</t>
  </si>
  <si>
    <t>onderbouwformatie (vast deel)</t>
  </si>
  <si>
    <t>bovenbouwformatie (vast deel)</t>
  </si>
  <si>
    <t>onderbouwformatie (leeftijdsafhankelijk deel)</t>
  </si>
  <si>
    <t>bovenbouwformatie (leeftijdsafhankelijk deel)</t>
  </si>
  <si>
    <t>onderw.achterst. (vast deel) (schoolgewicht)</t>
  </si>
  <si>
    <t>onderw.achterst. (leeftijdsafhankelijk deel) (schoolgewicht)</t>
  </si>
  <si>
    <t>wv. vroegschoolse educatie (vast deel)</t>
  </si>
  <si>
    <t xml:space="preserve">Voor dit werkblad geldt hetgeen in het vorige werkblad is vermeld eveneens. </t>
  </si>
  <si>
    <t>De exploitatie levert ook tal van kengetallen die er toe doen zoals relevante bedragen per leerling en verhoudingsgetallen. Die spreken voor zich.</t>
  </si>
  <si>
    <t xml:space="preserve">Hebt u vragen of opmerkingen, adviezen enzovoorts over dit instrument, dan zijn we daar nieuwsgierig naar: </t>
  </si>
  <si>
    <t xml:space="preserve">In dit werkblad worden alle budgetten weergegeven die betrekking hebben op de bekostiging van personeel en personeelsbeleid. </t>
  </si>
  <si>
    <t>Jubilea kosten</t>
  </si>
  <si>
    <t>Dotatie jubilea</t>
  </si>
  <si>
    <t>Impulsgebieden onderwijsachterstandenbeleid</t>
  </si>
  <si>
    <t>basisbedrag=</t>
  </si>
  <si>
    <t>schoolleiding kleine school =</t>
  </si>
  <si>
    <t>A = leerling</t>
  </si>
  <si>
    <t>B = gewichtsleerling</t>
  </si>
  <si>
    <t>C = KST geld/ vast</t>
  </si>
  <si>
    <t>C = KST geld/ leerling</t>
  </si>
  <si>
    <t xml:space="preserve">In dit werkblad dienen de personele gegevens te worden opgegeven die noodzakelijk zijn voor de berekening van de loonkosten. Omdat in de latere </t>
  </si>
  <si>
    <t xml:space="preserve">schooljaren de gegevens van de eerdere schooljaren worden gebruikt voor het maken van berekeningen, is het noodzakelijk ook de personeelsleden </t>
  </si>
  <si>
    <t xml:space="preserve">die in latere jaren worden benoemd alvast in het eerste schooljaar op te nemen. Voor de jaren waarin ze nog niet zijn aangesteld wordt hun </t>
  </si>
  <si>
    <t>zodat alle mogelijke uitgaven van personele aard hier kunnen worden opgegeven.</t>
  </si>
  <si>
    <t xml:space="preserve">De totale loonkosten worden in de laatste kolom weergegeven, ter informatie en voor vergelijking met soortgelijke gegevens van het </t>
  </si>
  <si>
    <t xml:space="preserve">administratiekantoor (AK). In dat kader is het van belang er op te wijzen dat in dit instrument geen exacte loonberekening met alle specifieke </t>
  </si>
  <si>
    <t xml:space="preserve">Bij dit werkblad geldt bovendien dat de gewogen gemiddelde leeftijd (GGL) wordt berekend op grond van de opgave van de geboortedatum van de </t>
  </si>
  <si>
    <t>personeelsleden in combinatie met de opgegeven werktijdfactor.</t>
  </si>
  <si>
    <t xml:space="preserve">De balans is voor zover mogelijk automatisch aangemaakt maar vergt nog aanvullende gegevens. De indeling spoort volledig met de voorschriften </t>
  </si>
  <si>
    <t>investeringen t.l.v. school</t>
  </si>
  <si>
    <t>groot onderhoud t.l.v. school</t>
  </si>
  <si>
    <t>terzake van het departement. Op grond van de balans en de exploitatierekening worden de meest relevante financiële kengetallen vastgesteld.</t>
  </si>
  <si>
    <t>moeten worden.</t>
  </si>
  <si>
    <t xml:space="preserve">Vervangers ten laste van het Vervangingsfonds (blijven ook buiten beschouwing bij de bepaling van de GGL) dienen überhaupt niet opgenomen </t>
  </si>
  <si>
    <t>Personeel/ formatie</t>
  </si>
  <si>
    <t xml:space="preserve">Hier wordt op grond van de leerlingaantallen en de GGL de normatieve rijksbijdrage voor uw personeel/ formatie berekend. </t>
  </si>
  <si>
    <t>bovenschools</t>
  </si>
  <si>
    <t>Eigen vermogen</t>
  </si>
  <si>
    <t>- klik op rechter muisknop</t>
  </si>
  <si>
    <t>dienst</t>
  </si>
  <si>
    <t xml:space="preserve">jaren </t>
  </si>
  <si>
    <t>leeftijd</t>
  </si>
  <si>
    <t>WTF</t>
  </si>
  <si>
    <t>DA</t>
  </si>
  <si>
    <t>DB</t>
  </si>
  <si>
    <t>DC</t>
  </si>
  <si>
    <t>LA</t>
  </si>
  <si>
    <t>LB</t>
  </si>
  <si>
    <t>LC</t>
  </si>
  <si>
    <t>AA</t>
  </si>
  <si>
    <t>AB</t>
  </si>
  <si>
    <t>AC</t>
  </si>
  <si>
    <t>AD</t>
  </si>
  <si>
    <t>DD</t>
  </si>
  <si>
    <t>DE</t>
  </si>
  <si>
    <t>AE</t>
  </si>
  <si>
    <t>LD</t>
  </si>
  <si>
    <t>LE</t>
  </si>
  <si>
    <t>totaal + 3 %</t>
  </si>
  <si>
    <t>4-7 jaar</t>
  </si>
  <si>
    <t>vanaf 8 jaar</t>
  </si>
  <si>
    <t>gewichtsafhankelijke vergoeding</t>
  </si>
  <si>
    <t>Ontwikkeling salarislasten</t>
  </si>
  <si>
    <t>Ontwikkeling lasten personeelsbeleid</t>
  </si>
  <si>
    <t>Groepsafhankelijke PvE's</t>
  </si>
  <si>
    <t>Leerlingafhankelijke PvE's</t>
  </si>
  <si>
    <t>schaal / regel</t>
  </si>
  <si>
    <t>regels</t>
  </si>
  <si>
    <t>DBuit</t>
  </si>
  <si>
    <t>DCuit</t>
  </si>
  <si>
    <t>LIOa</t>
  </si>
  <si>
    <t>LIOb</t>
  </si>
  <si>
    <t>ID1</t>
  </si>
  <si>
    <t>ID3</t>
  </si>
  <si>
    <t>Gewichtenregeling</t>
  </si>
  <si>
    <t>directie</t>
  </si>
  <si>
    <t>genormeerd aantal groepen (G)</t>
  </si>
  <si>
    <t>KENGETALLEN</t>
  </si>
  <si>
    <t>Vlottende activa</t>
  </si>
  <si>
    <t>Vaste activa</t>
  </si>
  <si>
    <t>Langlopende schulden</t>
  </si>
  <si>
    <t>Kortlopende schulden</t>
  </si>
  <si>
    <t>Liquiditeit</t>
  </si>
  <si>
    <t>Crediteuren</t>
  </si>
  <si>
    <t>ID2</t>
  </si>
  <si>
    <t xml:space="preserve">totaal </t>
  </si>
  <si>
    <t>kleine scholentoeslag</t>
  </si>
  <si>
    <t>schooljaar</t>
  </si>
  <si>
    <t>factor OB</t>
  </si>
  <si>
    <t>factor BB</t>
  </si>
  <si>
    <t>factor gewicht</t>
  </si>
  <si>
    <t>groepsformatie onderbouw</t>
  </si>
  <si>
    <t>groepsformatie bovenbouw</t>
  </si>
  <si>
    <t>naam</t>
  </si>
  <si>
    <t>onderwijzend personeel</t>
  </si>
  <si>
    <t>GGL</t>
  </si>
  <si>
    <t>aanschaf</t>
  </si>
  <si>
    <t>bedrag</t>
  </si>
  <si>
    <t>jaar van</t>
  </si>
  <si>
    <t>teldatum leerlingen (t-1) per 1 oktober</t>
  </si>
  <si>
    <t>onderbouw</t>
  </si>
  <si>
    <t>bovenbouw</t>
  </si>
  <si>
    <t>vloer kleine school</t>
  </si>
  <si>
    <t>aftrek kleine school</t>
  </si>
  <si>
    <t>onderwijsachterstand (BOA)</t>
  </si>
  <si>
    <t>groeiformatie A + B</t>
  </si>
  <si>
    <t>toeslag directie</t>
  </si>
  <si>
    <t>aantal ll voor kleine school</t>
  </si>
  <si>
    <t>loonkosten</t>
  </si>
  <si>
    <t>situatie per</t>
  </si>
  <si>
    <t>vast bedrag per school</t>
  </si>
  <si>
    <t>kleine scholen toeslag</t>
  </si>
  <si>
    <t>leerlingafhankelijke vergoeding</t>
  </si>
  <si>
    <t>termijn</t>
  </si>
  <si>
    <t>MEERJARENBALANS</t>
  </si>
  <si>
    <t>(maand)</t>
  </si>
  <si>
    <t>loonkosten OOP</t>
  </si>
  <si>
    <t>loonkosten OP</t>
  </si>
  <si>
    <t>loonkosten directie</t>
  </si>
  <si>
    <t>genormeerd bruto grondoppervlak (A)</t>
  </si>
  <si>
    <t>leeft</t>
  </si>
  <si>
    <t>stand voorziening  per 31/12</t>
  </si>
  <si>
    <t>Voorzieningen</t>
  </si>
  <si>
    <t>schaal</t>
  </si>
  <si>
    <t>loonkosten directie / totale loonkosten</t>
  </si>
  <si>
    <t>loonkosten OP / totale loonkosten</t>
  </si>
  <si>
    <t>omrekening naar kalenderjaar</t>
  </si>
  <si>
    <t xml:space="preserve">loonkosten totaal </t>
  </si>
  <si>
    <t>afschrijving</t>
  </si>
  <si>
    <t>Financiële kengetallen</t>
  </si>
  <si>
    <t>Indices</t>
  </si>
  <si>
    <t>investering</t>
  </si>
  <si>
    <t>Rentabiliteit</t>
  </si>
  <si>
    <t>GRAFIEKEN</t>
  </si>
  <si>
    <t>omslagpunt lln. directietoeslag</t>
  </si>
  <si>
    <t>voet kleine scholen toeslag (vast deel)</t>
  </si>
  <si>
    <t>voet kleine scholen toeslag (leeftijdsafhankelijk deel)</t>
  </si>
  <si>
    <t>aftrek kleine scholen toeslag (vast deel)</t>
  </si>
  <si>
    <t>aftrek kleine scholen toeslag (leeftijdsafhankelijk deel)</t>
  </si>
  <si>
    <t>zeer kleine scholen toeslag (vast deel)</t>
  </si>
  <si>
    <t>zeer kleine scholen toeslag (leeftijdsafhankelijk deel)</t>
  </si>
  <si>
    <t xml:space="preserve">In dit blad worden diverse kengetallen en de ontwikkeling daarvan grafisch weergegeven. </t>
  </si>
  <si>
    <t>Viercijferige postcode hoofdvestiging</t>
  </si>
  <si>
    <t>Viercijferige postcode nevenvestiging</t>
  </si>
  <si>
    <t>Postcode-gebieden:</t>
  </si>
  <si>
    <t>Saldo financiële baten en lasten</t>
  </si>
  <si>
    <t>De grafieken kunnen desgewenst worden gebruikt ter illustratie van het jaarverslag.</t>
  </si>
  <si>
    <t>(G)</t>
  </si>
  <si>
    <t xml:space="preserve">br. grondopp. </t>
  </si>
  <si>
    <t>(A)</t>
  </si>
  <si>
    <t>factor KST</t>
  </si>
  <si>
    <t>correctie KST</t>
  </si>
  <si>
    <t>Weerstandsvermogen</t>
  </si>
  <si>
    <t>kosten</t>
  </si>
  <si>
    <t>trede</t>
  </si>
  <si>
    <t>Hoofdvestiging</t>
  </si>
  <si>
    <t>salaire toeslag schoolleiding</t>
  </si>
  <si>
    <t>teldatum</t>
  </si>
  <si>
    <t xml:space="preserve">Schoolgewicht </t>
  </si>
  <si>
    <t>Financiële baten</t>
  </si>
  <si>
    <t>Financiële lasten</t>
  </si>
  <si>
    <t>percentage onderbouwleerlingen (1 oktober t-1)</t>
  </si>
  <si>
    <t>percentage bovenbouwleerlingen (1 oktober t-1)</t>
  </si>
  <si>
    <t>Gebouwen en terreinen</t>
  </si>
  <si>
    <t>Inventaris en apparatuur</t>
  </si>
  <si>
    <t>Overige materiële vaste activa</t>
  </si>
  <si>
    <t>aanschafprijs</t>
  </si>
  <si>
    <t>afschrijvings-</t>
  </si>
  <si>
    <t>omschrijving</t>
  </si>
  <si>
    <t>activagroep</t>
  </si>
  <si>
    <t>(per eenheid)</t>
  </si>
  <si>
    <t>groep</t>
  </si>
  <si>
    <t xml:space="preserve">lokaal / </t>
  </si>
  <si>
    <t>kalenderjaar</t>
  </si>
  <si>
    <t>Overige baten</t>
  </si>
  <si>
    <t>Personele lasten</t>
  </si>
  <si>
    <t>Afschrijvingen</t>
  </si>
  <si>
    <t>Huisvestingslasten</t>
  </si>
  <si>
    <t>Rijksbijdragen OCW</t>
  </si>
  <si>
    <t>Ministerie van OCW</t>
  </si>
  <si>
    <t>wordt automatisch berekend op grond van het door u ingevulde OP-bestand. (zie loonkosten onderwijzend personeel / werkblad "op")</t>
  </si>
  <si>
    <t>Kredietinstellingen</t>
  </si>
  <si>
    <t>Algemene reserve</t>
  </si>
  <si>
    <t>Bestemmingsreserve 1</t>
  </si>
  <si>
    <t>Bestemmingsreserve 2</t>
  </si>
  <si>
    <t>Bestemmingsreserve 3</t>
  </si>
  <si>
    <t>Activa totaal</t>
  </si>
  <si>
    <t>Activa</t>
  </si>
  <si>
    <t>Passiva</t>
  </si>
  <si>
    <t>Passiva totaal</t>
  </si>
  <si>
    <t>Aantal gewichtenleerlingen (0,3 en 1,2)</t>
  </si>
  <si>
    <t>2014/15</t>
  </si>
  <si>
    <t>Postcode school</t>
  </si>
  <si>
    <t>Overige langlopende schulden</t>
  </si>
  <si>
    <t>Belastingen en premies sociale verzekeringen</t>
  </si>
  <si>
    <t>Schulden terzake pensioenen</t>
  </si>
  <si>
    <t>Overige kortlopende schulden</t>
  </si>
  <si>
    <t>Overlopende passiva</t>
  </si>
  <si>
    <t>Ontwikkeling totale baten</t>
  </si>
  <si>
    <t>Ontwikkeling totale lasten</t>
  </si>
  <si>
    <t>Onwikkelling huisvestingslasten</t>
  </si>
  <si>
    <t>Ontwikkeling afschrijvingen</t>
  </si>
  <si>
    <t>Ontwikkeling Rijksbijdragen</t>
  </si>
  <si>
    <t>Ontwikkeling overige overheidsbijdragen</t>
  </si>
  <si>
    <t>Ontwikkeling overige baten</t>
  </si>
  <si>
    <t>Leermiddelen PO</t>
  </si>
  <si>
    <t>laatste</t>
  </si>
  <si>
    <t>beslisregel</t>
  </si>
  <si>
    <t>Waarde activa per 31-12</t>
  </si>
  <si>
    <t>aanschaf-</t>
  </si>
  <si>
    <t>waarde</t>
  </si>
  <si>
    <t>per jaar</t>
  </si>
  <si>
    <t>totaal</t>
  </si>
  <si>
    <t>Waarde activa per 01-01</t>
  </si>
  <si>
    <t>directiekosten per leerling</t>
  </si>
  <si>
    <t>kosten OP per leerling</t>
  </si>
  <si>
    <t>bij bepalen 'G'</t>
  </si>
  <si>
    <t>geboorte</t>
  </si>
  <si>
    <t>datum</t>
  </si>
  <si>
    <t>gebdat</t>
  </si>
  <si>
    <t>berek I</t>
  </si>
  <si>
    <t>berek II</t>
  </si>
  <si>
    <t>kortlopende schulden</t>
  </si>
  <si>
    <t>totale baten</t>
  </si>
  <si>
    <t>formatie BOA (onderwijsachterstanden)</t>
  </si>
  <si>
    <t>LOONKOSTEN DIRECTIE</t>
  </si>
  <si>
    <t>LOONKOSTEN ONDERWIJZEND PERSONEEL</t>
  </si>
  <si>
    <t>Persoonsgegevens</t>
  </si>
  <si>
    <t>werkgeverslasten</t>
  </si>
  <si>
    <t>Mutatie Liquide middelen</t>
  </si>
  <si>
    <t>Kasstroom uit operationele activiteiten</t>
  </si>
  <si>
    <t>Mutaties werkkapitaal</t>
  </si>
  <si>
    <t>Kasstroom uit investeringsactiviteiten</t>
  </si>
  <si>
    <t>Mutaties voorzieningen</t>
  </si>
  <si>
    <t>Kasstroom uit financieringsactiviteiten</t>
  </si>
  <si>
    <t>diensttijd</t>
  </si>
  <si>
    <t>totaal leerlingafhankelijk</t>
  </si>
  <si>
    <t>groepen</t>
  </si>
  <si>
    <t>toename</t>
  </si>
  <si>
    <t>norm na 6</t>
  </si>
  <si>
    <t>Conform de indeling van de jaarrekening is nog opgave mogelijk voor overige overheidsbijdragen c.q. overige baten voor personeel.</t>
  </si>
  <si>
    <t>Dit bedrag wordt via het werkblad "som" overgebracht naar het sommatiemodel ten gunste van de exploitatie van het bestuurskantoor.</t>
  </si>
  <si>
    <t xml:space="preserve">Bij de lasten worden de loonkosten weergegeven die in afzonderlijke werkbladen (dir, op en oop) worden berekend. </t>
  </si>
  <si>
    <t>Ouderbijdragen</t>
  </si>
  <si>
    <t>Sponsoring</t>
  </si>
  <si>
    <t>ouderbijdragen</t>
  </si>
  <si>
    <t>Salarissen en sociale lasten</t>
  </si>
  <si>
    <t xml:space="preserve">In dit werkblad kan op grond van een (door een extern bureau) opgestelde meerjarenonderhoudsplan de dotaties en onttrekkingen voor </t>
  </si>
  <si>
    <t xml:space="preserve">de komende jaren worden vastgesteld. </t>
  </si>
  <si>
    <t>99ZZ</t>
  </si>
  <si>
    <t xml:space="preserve">Dit werkblad omvat de gegevens die nodig zijn als een bestuur de resultaten van deze school sommeert met andere financiële gegevens. </t>
  </si>
  <si>
    <t>Formatietoekenning</t>
  </si>
  <si>
    <t>extra na 13</t>
  </si>
  <si>
    <t xml:space="preserve">salaris </t>
  </si>
  <si>
    <t>vermindering groei</t>
  </si>
  <si>
    <t>Directie</t>
  </si>
  <si>
    <t>OP (landelijk)</t>
  </si>
  <si>
    <t>OP  leeftijdsgecorrigeerd: voet</t>
  </si>
  <si>
    <t>OP  leeftijdsgecorrigeerd: bedrag * GGL</t>
  </si>
  <si>
    <t>Landelijke GGL =</t>
  </si>
  <si>
    <t>meerh sbo DB10</t>
  </si>
  <si>
    <t>meerh sbo DB11</t>
  </si>
  <si>
    <t>meerh sbo DCuit15</t>
  </si>
  <si>
    <t>meerh sbo DC13</t>
  </si>
  <si>
    <t>Budget voor personeels- en arbeidsmarktbeleid</t>
  </si>
  <si>
    <t>Extra vergoed (swv zonder sbo) in fie LB</t>
  </si>
  <si>
    <t>meerh bas DA11</t>
  </si>
  <si>
    <t xml:space="preserve">Aantal NOAT- leerlingen </t>
  </si>
  <si>
    <t>Aanvullende vergoeding NOAT</t>
  </si>
  <si>
    <t>teldatum leerlingen per 1 oktober</t>
  </si>
  <si>
    <t>Lasten personeelsbeleid</t>
  </si>
  <si>
    <t>Procedure:</t>
  </si>
  <si>
    <t>Nevenvestiging 1</t>
  </si>
  <si>
    <t>Nevenvestiging 2</t>
  </si>
  <si>
    <t>Nevenvestiging 3</t>
  </si>
  <si>
    <t>HOOFD- EN NEVENVESTIGING</t>
  </si>
  <si>
    <t>Investeringen</t>
  </si>
  <si>
    <t>Gewogen Gemiddelde Leeftijd (1 oktober t-1)</t>
  </si>
  <si>
    <t xml:space="preserve">loonkosten/ per FTE </t>
  </si>
  <si>
    <t>slechts invullen indien er sprake is van (een) officieel erkende nevenvestiging(en)</t>
  </si>
  <si>
    <t>extra kleine scholen toeslag hoofdvestiging</t>
  </si>
  <si>
    <t>extra kleine scholen toeslag nevenvestiging 1</t>
  </si>
  <si>
    <t>extra kleine scholen toeslag nevenvestiging 2</t>
  </si>
  <si>
    <t>extra kleine scholen toeslag nevenvestiging 3</t>
  </si>
  <si>
    <t>MEERJARENINVESTERINGSPLAN (MIP)</t>
  </si>
  <si>
    <t>aantal cumi leerlingen (v)so</t>
  </si>
  <si>
    <t>aantal SO-leerlingen</t>
  </si>
  <si>
    <t>aantal VSO-leerlingen</t>
  </si>
  <si>
    <t>liquiditeit (vlottende activa / kortlopende schulden)</t>
  </si>
  <si>
    <t>1. Voer per jaar de bestedingen in bij "Onttrekking" die op grond van een recent meerjarenonderhoudsplan (MOP) worden voorgesteld.</t>
  </si>
  <si>
    <t xml:space="preserve">Exploitatie kengetallen </t>
  </si>
  <si>
    <t>aantal vestigingen (incl. hoofdvestiging)</t>
  </si>
  <si>
    <t>sponsoring</t>
  </si>
  <si>
    <t>drempel gewichtenregeling</t>
  </si>
  <si>
    <t>PERSONEEL</t>
  </si>
  <si>
    <t xml:space="preserve">MATERIEEL </t>
  </si>
  <si>
    <t>Overige lasten</t>
  </si>
  <si>
    <t xml:space="preserve">Totaal lasten materieel </t>
  </si>
  <si>
    <t>Totaal baten materieel</t>
  </si>
  <si>
    <t>totaal baten personeel</t>
  </si>
  <si>
    <t>totaal lasten personeel</t>
  </si>
  <si>
    <t>Saldo personeel</t>
  </si>
  <si>
    <t>Saldo materieel</t>
  </si>
  <si>
    <t>Overige overheidsbijdragen en - subsidies</t>
  </si>
  <si>
    <t xml:space="preserve">Overige baten </t>
  </si>
  <si>
    <t>Overige overheidsbijdragen en -subsidies</t>
  </si>
  <si>
    <t>STAAT VAN BATEN EN LASTEN</t>
  </si>
  <si>
    <t xml:space="preserve">Baten </t>
  </si>
  <si>
    <t xml:space="preserve">Overige lasten </t>
  </si>
  <si>
    <t>Saldo baten en lasten</t>
  </si>
  <si>
    <t>Resultaat</t>
  </si>
  <si>
    <t>College-, cursus-, les- en examengelden</t>
  </si>
  <si>
    <t>Baten werk in opdracht van derden</t>
  </si>
  <si>
    <t>Overgedragen budget personeel</t>
  </si>
  <si>
    <t>Overgedragen budget naar bestuursniveau</t>
  </si>
  <si>
    <t>Budget personeel</t>
  </si>
  <si>
    <t>Budget materieel</t>
  </si>
  <si>
    <t>Ontwikkeling overige lasten (materieel)</t>
  </si>
  <si>
    <t>baten personeel</t>
  </si>
  <si>
    <t>lasten personeel</t>
  </si>
  <si>
    <t xml:space="preserve">totale formatie is tenminste  </t>
  </si>
  <si>
    <t>Financiële baten en lasten</t>
  </si>
  <si>
    <t>Aantal NOAT- leerlingen +3%</t>
  </si>
  <si>
    <t>KASSTROOMOVERZICHT</t>
  </si>
  <si>
    <t>In het werkblad tabellen (tab) geldt daarentegen dat de gele cellen gewijzigd kunnen worden, de witte niet.</t>
  </si>
  <si>
    <t>r.goedhart@poraad.nl</t>
  </si>
  <si>
    <t>Reinier Goedhart, e-mail:</t>
  </si>
  <si>
    <t>www. poraad.nl</t>
  </si>
  <si>
    <t xml:space="preserve">Baten en lasten </t>
  </si>
  <si>
    <t>nn</t>
  </si>
  <si>
    <t>Overige voorzieningen</t>
  </si>
  <si>
    <t xml:space="preserve">Vaste activa </t>
  </si>
  <si>
    <t>2. Verdeel de dotatielasten gelijkmatig over de jaren heen (egalisastie van kosten) op zo'n manier dat deze voorziening nooit negatief zal uitvallen.</t>
  </si>
  <si>
    <t>2015/16</t>
  </si>
  <si>
    <t>- klik op optie "plakken speciaal" en vink "waarden" aan (onder kopje "plakken")</t>
  </si>
  <si>
    <t>waarvan gewichtenleerling:</t>
  </si>
  <si>
    <t>waarde  1/1</t>
  </si>
  <si>
    <t>3.1 Rijksbijdragen OCW</t>
  </si>
  <si>
    <t>3.2 Overige overheidsbijdragen en -subsidies</t>
  </si>
  <si>
    <t>3.5 Overige baten</t>
  </si>
  <si>
    <t>3.3 College-, cursus-, les- en examengelden</t>
  </si>
  <si>
    <t>3.4 Baten werk in opdracht van derden</t>
  </si>
  <si>
    <t>4.1 Personeelslasten</t>
  </si>
  <si>
    <t>4.2 Afschrijvingen</t>
  </si>
  <si>
    <t>4.3 Huisvestingslasten</t>
  </si>
  <si>
    <t>4.4 Overige lasten</t>
  </si>
  <si>
    <t>5.1 Financiële baten</t>
  </si>
  <si>
    <t>5.2 Financiële lasten</t>
  </si>
  <si>
    <t>1.1 Immateriële vaste activa</t>
  </si>
  <si>
    <t>1.2 Materiële vaste activa</t>
  </si>
  <si>
    <t>1.3 Financiële vaste activa</t>
  </si>
  <si>
    <t>1.4  Voorraden</t>
  </si>
  <si>
    <t>1.5 Vorderingen</t>
  </si>
  <si>
    <t>1.6 Effecten (&lt; 1jaar)</t>
  </si>
  <si>
    <t xml:space="preserve">1.7 Liquide middelen </t>
  </si>
  <si>
    <t>2.1 Eigen Vermogen</t>
  </si>
  <si>
    <t>2.2 Voorzieningen</t>
  </si>
  <si>
    <t>2.3 Langlopende schulden</t>
  </si>
  <si>
    <t>2.4 Kortlopende schulden</t>
  </si>
  <si>
    <t>Basisschool</t>
  </si>
  <si>
    <t>jubilea</t>
  </si>
  <si>
    <t xml:space="preserve">In dat geval zijn meer gegevens vereist. </t>
  </si>
  <si>
    <t>Personeelsbeleid</t>
  </si>
  <si>
    <t>De baten worden op kalenderjaar berekend conform de Rijksbijdrage, conform de laatst bekende gegevens van de Londo-regeling.</t>
  </si>
  <si>
    <t xml:space="preserve">Dit werkblad geeft een overzicht van alle baten en lasten per kalenderjaar en geeft daarom aan of het resultaat van deze school  </t>
  </si>
  <si>
    <t xml:space="preserve">In de tabellen zijn de gegevens opgenomen die betrekking hebben op de onderliggende normeringen voor de bekostiging. </t>
  </si>
  <si>
    <t>groeitelling bij leerlinggroei van</t>
  </si>
  <si>
    <t>Leerlingenprognose</t>
  </si>
  <si>
    <t>betreft en het wordt met klem aangeraden op grond van de eigen historische gegevens zo mogelijk een nauwkeuriger percentage vast te stellen.</t>
  </si>
  <si>
    <t xml:space="preserve">Daarnaast zijn tal van onderwerpen in het kader van personeelsbeleid aan de orde en is ruimte gelaten voor invullingen </t>
  </si>
  <si>
    <t>aangesloten zijn (zie modernisering) zullen rekening moeten houden met andere percentages).</t>
  </si>
  <si>
    <t xml:space="preserve">Het  werkblad kasstroomoverzicht houdt de liquiditeit en veranderingen daarin in beeld. </t>
  </si>
  <si>
    <t>2017/18</t>
  </si>
  <si>
    <t>verhoging t.o.v. vorig jaar:</t>
  </si>
  <si>
    <t>Speerpunt 1</t>
  </si>
  <si>
    <t>doel</t>
  </si>
  <si>
    <t>activiteit</t>
  </si>
  <si>
    <t>Speerpunt 2</t>
  </si>
  <si>
    <t>toelichting</t>
  </si>
  <si>
    <t xml:space="preserve">materiële kosten </t>
  </si>
  <si>
    <t>Speerpunt 3</t>
  </si>
  <si>
    <t xml:space="preserve">prestatiebox </t>
  </si>
  <si>
    <t>Prestatiebox</t>
  </si>
  <si>
    <t>bedrag per leerling</t>
  </si>
  <si>
    <t>bedrag per school</t>
  </si>
  <si>
    <t>zeer kleine scholen toeslag</t>
  </si>
  <si>
    <t xml:space="preserve">onder Start/Opmaak/Beveiliging/Blad beveiligen. </t>
  </si>
  <si>
    <t>De gegevens en de prognoses geven alle data die voor de berekening noodzakelijk zijn, excl. de gegevens voor de toekenning van de rugzakken.</t>
  </si>
  <si>
    <t>Zie de informatie die verstrekt is in de werkbladen Loonkosten directie resp. onderwijzend personeel.</t>
  </si>
  <si>
    <t>vier jaren een raming worden gemaakt.</t>
  </si>
  <si>
    <t>5. Staat van baten en lasten (begr)</t>
  </si>
  <si>
    <t>6. Balans</t>
  </si>
  <si>
    <t>7. Kasstroomoverzicht (liq)</t>
  </si>
  <si>
    <t>8. Kengetallen (ken)</t>
  </si>
  <si>
    <t>9. Grafieken (graf)</t>
  </si>
  <si>
    <t>10. Sommatie (som)</t>
  </si>
  <si>
    <t>11. Tabellen (tab)</t>
  </si>
  <si>
    <t>Bijvoorbeeld als het bestuur meer dan één school omvat en dan verplicht is een jaarrekening op bestuursniveau te maken.</t>
  </si>
  <si>
    <t xml:space="preserve">In dit werkblad kunt u een duidelijke relatie maken tussen het beleidsplan van de school (schoolplan) en de begroting. Het is vooral informatief bedoeld </t>
  </si>
  <si>
    <t>bedoeld, maar geeft een duidelijke link tussen de prioriteiten in het beleid, de speerpunten, en de financiele lasten die daar mee samenhangen.</t>
  </si>
  <si>
    <t>Suggesties voor verbeteringen hierbij zijn van harte welkom.</t>
  </si>
  <si>
    <t>totale kosten</t>
  </si>
  <si>
    <t>overige personele kosten</t>
  </si>
  <si>
    <t>formatieve kosten</t>
  </si>
  <si>
    <t>Speerpunt 4</t>
  </si>
  <si>
    <t>2018/19</t>
  </si>
  <si>
    <t>LOONKOSTEN ONDERSTEUNEND EN BEHEERSPERSONEEL</t>
  </si>
  <si>
    <t>Speerpunt 5</t>
  </si>
  <si>
    <t>Saldo liquide middelen 31 dec t-1</t>
  </si>
  <si>
    <t>(Des)investeringen materiële vaste activa</t>
  </si>
  <si>
    <t>(Des)investeringen immateriële vaste activa</t>
  </si>
  <si>
    <t>(Des)investeringen financiële vaste activa</t>
  </si>
  <si>
    <t>Er is ook rekening gehouden met de mogelijkheid dat de school bestaat uit een hoofd- en een (door OCW erkende) nevenvestiging.</t>
  </si>
  <si>
    <t>piet</t>
  </si>
  <si>
    <t>Zie daarvoor het antwoord 'ja' of 'nee' in rij 33 resp. rij 89, 102, 115, 128. Deze postcodes zijn recent ongewijzigd verlengd.</t>
  </si>
  <si>
    <t>De Regeling jaarverslaggeving onderwijs vereist de opgave van 'baten werk in opdracht van derden'.</t>
  </si>
  <si>
    <t>ondersteunend en beheerspersoneel</t>
  </si>
  <si>
    <t>loonkosten OBP / totale loonkosten</t>
  </si>
  <si>
    <t>kosten OBP per leering</t>
  </si>
  <si>
    <t>2019/20</t>
  </si>
  <si>
    <t xml:space="preserve"> </t>
  </si>
  <si>
    <t>vanuit samenwerkingsverband</t>
  </si>
  <si>
    <t>vanuit samenwerkingsverband passend onderwijs</t>
  </si>
  <si>
    <t xml:space="preserve">zie: </t>
  </si>
  <si>
    <t>http://www.poraad.nl/content/werkgeverslasten-po</t>
  </si>
  <si>
    <r>
      <t xml:space="preserve">Afschrijvingen (vanuit </t>
    </r>
    <r>
      <rPr>
        <b/>
        <u/>
        <sz val="10"/>
        <color theme="1" tint="0.34998626667073579"/>
        <rFont val="Calibri"/>
        <family val="2"/>
      </rPr>
      <t>eerste waardering</t>
    </r>
    <r>
      <rPr>
        <b/>
        <sz val="10"/>
        <color theme="1" tint="0.34998626667073579"/>
        <rFont val="Calibri"/>
        <family val="2"/>
      </rPr>
      <t>)</t>
    </r>
  </si>
  <si>
    <t>Vanuit samenwerkingsverband</t>
  </si>
  <si>
    <t>o.b.v. percentage rijksbijdragen/ materiële bekostiging</t>
  </si>
  <si>
    <t>Personeelslasten</t>
  </si>
  <si>
    <t>overgangs-</t>
  </si>
  <si>
    <t>inzetbaarh.</t>
  </si>
  <si>
    <t>% eigen</t>
  </si>
  <si>
    <t>bijdrage</t>
  </si>
  <si>
    <t>eigen bijdr</t>
  </si>
  <si>
    <t>zonder</t>
  </si>
  <si>
    <t xml:space="preserve">met </t>
  </si>
  <si>
    <t>bijz.budget</t>
  </si>
  <si>
    <t>oudere wn</t>
  </si>
  <si>
    <t>start.leerkr</t>
  </si>
  <si>
    <t>regel. bapo</t>
  </si>
  <si>
    <t>werkg. ln</t>
  </si>
  <si>
    <t>bsn</t>
  </si>
  <si>
    <t>Kosten duurzame inzetbaarheid</t>
  </si>
  <si>
    <t>budget</t>
  </si>
  <si>
    <t>duurz.inzet.</t>
  </si>
  <si>
    <t>werkgeverslasten bij opname verlof</t>
  </si>
  <si>
    <t>excl.duurz.inz</t>
  </si>
  <si>
    <t>per uur</t>
  </si>
  <si>
    <t xml:space="preserve">uren </t>
  </si>
  <si>
    <t>loonkn. uur</t>
  </si>
  <si>
    <t>excl. wg.ln</t>
  </si>
  <si>
    <t>incl. wg.ln</t>
  </si>
  <si>
    <t>werkg.ln.</t>
  </si>
  <si>
    <t>Duurzame inzetbaarheid (in uren)</t>
  </si>
  <si>
    <t xml:space="preserve">kn. duurzame </t>
  </si>
  <si>
    <t>Loonkosten (incl. werkgeverslasten)</t>
  </si>
  <si>
    <t>Aantal FTE (incl. uren duurzame inzetbaarheid)</t>
  </si>
  <si>
    <t>De van het ministerie ontvangen (personele) lumpsum kan worden gecorrigeerd met een bedrag dat bovenschools wordt gebracht om bovenschoolse</t>
  </si>
  <si>
    <t xml:space="preserve">werktijdfactor dan 0,0000. </t>
  </si>
  <si>
    <t xml:space="preserve">De kosten voor duurzame inzetbaarheid worden apart berekend. </t>
  </si>
  <si>
    <t>premies en dergelijke is opgenomen, maar uitgegaan wordt van een vast percentage aan werkgeverslasten.</t>
  </si>
  <si>
    <r>
      <t xml:space="preserve">De werkgeverslasten zijn opgenomen in het tabellenwerkblad en zijn geraamd op </t>
    </r>
    <r>
      <rPr>
        <b/>
        <sz val="10"/>
        <rFont val="Calibri"/>
        <family val="2"/>
      </rPr>
      <t>62%</t>
    </r>
    <r>
      <rPr>
        <sz val="10"/>
        <rFont val="Calibri"/>
        <family val="2"/>
      </rPr>
      <t xml:space="preserve">. Daarbij dient opgemerkt te worden dat dit een ruwe raming </t>
    </r>
  </si>
  <si>
    <t xml:space="preserve">(Zie in dit kader ook te tool "werkgeverslasten po" in de toolbox van de PO-Raad. Met name ook schoolbesturen die niet bij het Vervangingsfonds </t>
  </si>
  <si>
    <t>LIO-ers moeten daarom niet in dit werkblad maar in het werkblad voor onderwijs en beheerpersoneel (OBP) worden opgenomen.</t>
  </si>
  <si>
    <t>Dit werkblad geeft een overzicht van hetgeen is ingevuld in het werkblad "mip".</t>
  </si>
  <si>
    <t>4. Beleid (verborgen)</t>
  </si>
  <si>
    <t>nvt</t>
  </si>
  <si>
    <t>2020/21</t>
  </si>
  <si>
    <t>Dotatie groot onderhoud (binnen- en buitenonderhoud)</t>
  </si>
  <si>
    <t>VOORZIENING GROOT ONDERHOUD (binnen- en buitenonderhoud)</t>
  </si>
  <si>
    <t>eigen bijdrage DI (dir, op en oop &gt;8)</t>
  </si>
  <si>
    <t>eigen bijdrage DI (oop&lt;=8))</t>
  </si>
  <si>
    <t>Overige Rijksbijdragen OCW</t>
  </si>
  <si>
    <t>Voorziening duurzame inzetbaarheid (ouderenverlof)</t>
  </si>
  <si>
    <t>dotatie voorziening jubilea</t>
  </si>
  <si>
    <t>Voorziening jubilea</t>
  </si>
  <si>
    <t>Voorziening groot onderhoud</t>
  </si>
  <si>
    <t>aantal plaatsen JJI en/of GJI</t>
  </si>
  <si>
    <t>totale baten/ rijksbijdragen</t>
  </si>
  <si>
    <t>personele lasten/totale baten</t>
  </si>
  <si>
    <t>totale lasten/ rijksbijdragen</t>
  </si>
  <si>
    <t xml:space="preserve">personele lasten/ rijksbijdragen </t>
  </si>
  <si>
    <t xml:space="preserve">materiële lasten/ rijksbijdragen </t>
  </si>
  <si>
    <t>Vanuit samenwerkingsverband Passend Onderwijs/ leerling</t>
  </si>
  <si>
    <t>Solvabiliteit 1</t>
  </si>
  <si>
    <t>Solvabiliteit 2</t>
  </si>
  <si>
    <t>onderwijsachterstandenbeleid / leerling</t>
  </si>
  <si>
    <t>leerling- FTE ratio</t>
  </si>
  <si>
    <t>leerling- directie ratio</t>
  </si>
  <si>
    <t>leerling- OP ratio</t>
  </si>
  <si>
    <t>leerling- OOP ratio</t>
  </si>
  <si>
    <t>baten per leerling (excl. financiële baten)</t>
  </si>
  <si>
    <t>lasten per leerling (excl. financiële lasten)</t>
  </si>
  <si>
    <t>FTE-leerling ratio's</t>
  </si>
  <si>
    <t>kapitalisatiefactor (incl. privaat vermogen)</t>
  </si>
  <si>
    <t xml:space="preserve">Ontwikkeling aantal leerlingen </t>
  </si>
  <si>
    <t>Ontwikkeling aantal FTE</t>
  </si>
  <si>
    <t>totale baten (incl. financiële baten)</t>
  </si>
  <si>
    <t xml:space="preserve">Uren ouderenverlof die gespaard worden via deze berekening ook volledige ten laste van de exploitatie gebracht.  Hier kan een verschil zitten met </t>
  </si>
  <si>
    <t xml:space="preserve">de berekening coform het model "voorzieninge duurzame inzetbaarheid" vanuit de toolbox financiën van de PO-Raad. Dit heeft te maken met </t>
  </si>
  <si>
    <t>het feit dat hier de "opnamekans" en (indien materieel) de tijdswaarde van geld mogelijke een rol kunnen spelen bij de berekening.</t>
  </si>
  <si>
    <t>aantal cumi leerlingen sbo</t>
  </si>
  <si>
    <t>aantal leerlingen so jonger dan 8 jaar</t>
  </si>
  <si>
    <t>aantal leerlingen so  8 jaar en ouder</t>
  </si>
  <si>
    <t>aantal leerlingen vso</t>
  </si>
  <si>
    <t xml:space="preserve">     waarvan aantal SO-leerlingen</t>
  </si>
  <si>
    <t xml:space="preserve">     waarvan aantal VSO-leerlingen</t>
  </si>
  <si>
    <t>FTE onderwijs ondersteunend personeel</t>
  </si>
  <si>
    <t>1. Selecteer en kopieer geel gearceerde gebied in dit werkblad</t>
  </si>
  <si>
    <t>Kosten Duurzame inzetbaarheid</t>
  </si>
  <si>
    <r>
      <t xml:space="preserve">Ook worden diverse ontwikkelingen geïndexeerd met als vertrekpunt het kalenderjaar </t>
    </r>
    <r>
      <rPr>
        <b/>
        <sz val="10"/>
        <rFont val="Calibri"/>
        <family val="2"/>
      </rPr>
      <t>2016</t>
    </r>
    <r>
      <rPr>
        <sz val="10"/>
        <rFont val="Calibri"/>
        <family val="2"/>
      </rPr>
      <t xml:space="preserve">. Die signaleren tendensen die al dan niet bijgebogen </t>
    </r>
  </si>
  <si>
    <r>
      <t xml:space="preserve">De gegevens van dit werkblad kunnen eenvoudig worden getransporteerd naar het </t>
    </r>
    <r>
      <rPr>
        <b/>
        <sz val="10"/>
        <rFont val="Calibri"/>
        <family val="2"/>
      </rPr>
      <t>Sommatiemodel GELD 2016</t>
    </r>
    <r>
      <rPr>
        <sz val="10"/>
        <rFont val="Calibri"/>
        <family val="2"/>
      </rPr>
      <t xml:space="preserve">. In dit model wordt </t>
    </r>
  </si>
  <si>
    <t>Handleiding bij Meerjarenbegroting GELD voor de basisschool 2016</t>
  </si>
  <si>
    <r>
      <t xml:space="preserve">opgenomen zoals die gepubliceerd zijn in september </t>
    </r>
    <r>
      <rPr>
        <b/>
        <sz val="10"/>
        <rFont val="Calibri"/>
        <family val="2"/>
      </rPr>
      <t>2015.</t>
    </r>
  </si>
  <si>
    <r>
      <t xml:space="preserve">In de bekostiging voor de materiële instandhouding voor het jaar </t>
    </r>
    <r>
      <rPr>
        <b/>
        <sz val="10"/>
        <rFont val="Calibri"/>
        <family val="2"/>
      </rPr>
      <t>2015</t>
    </r>
    <r>
      <rPr>
        <sz val="10"/>
        <rFont val="Calibri"/>
        <family val="2"/>
      </rPr>
      <t xml:space="preserve"> e.v. zijn de bedragen van de programma's van eisen van </t>
    </r>
    <r>
      <rPr>
        <b/>
        <sz val="10"/>
        <rFont val="Calibri"/>
        <family val="2"/>
      </rPr>
      <t>2016</t>
    </r>
  </si>
  <si>
    <r>
      <t xml:space="preserve">Voor de materiële instandhouding (Londo) betreft het de bedragen voor </t>
    </r>
    <r>
      <rPr>
        <b/>
        <sz val="10"/>
        <rFont val="Calibri"/>
        <family val="2"/>
      </rPr>
      <t>2016</t>
    </r>
    <r>
      <rPr>
        <sz val="10"/>
        <rFont val="Calibri"/>
        <family val="2"/>
      </rPr>
      <t xml:space="preserve">, zoals gepubliceerd in september </t>
    </r>
    <r>
      <rPr>
        <b/>
        <sz val="10"/>
        <rFont val="Calibri"/>
        <family val="2"/>
      </rPr>
      <t>2015</t>
    </r>
    <r>
      <rPr>
        <sz val="10"/>
        <rFont val="Calibri"/>
        <family val="2"/>
      </rPr>
      <t>.</t>
    </r>
  </si>
  <si>
    <r>
      <t xml:space="preserve">De salaristabel gaat uit van de bedragen per </t>
    </r>
    <r>
      <rPr>
        <b/>
        <sz val="10"/>
        <rFont val="Calibri"/>
        <family val="2"/>
      </rPr>
      <t>1 september 2015</t>
    </r>
    <r>
      <rPr>
        <sz val="10"/>
        <rFont val="Calibri"/>
        <family val="2"/>
      </rPr>
      <t>.</t>
    </r>
  </si>
  <si>
    <r>
      <t>In deze applicatie zijn de bedragen van de vastgestelde GPL's voor</t>
    </r>
    <r>
      <rPr>
        <b/>
        <sz val="10"/>
        <rFont val="Calibri"/>
        <family val="2"/>
      </rPr>
      <t xml:space="preserve"> 2015-2016 </t>
    </r>
    <r>
      <rPr>
        <sz val="10"/>
        <rFont val="Calibri"/>
        <family val="2"/>
      </rPr>
      <t>( van d.d.</t>
    </r>
    <r>
      <rPr>
        <b/>
        <sz val="10"/>
        <rFont val="Calibri"/>
        <family val="2"/>
      </rPr>
      <t xml:space="preserve"> 15 oktober 2015)</t>
    </r>
  </si>
  <si>
    <t xml:space="preserve">U kunt deze GGL vinden op uw bekostigingsbeschikking. De GGL voor de komende jaren </t>
  </si>
  <si>
    <r>
      <t>Voor het eerste jaar (</t>
    </r>
    <r>
      <rPr>
        <b/>
        <sz val="10"/>
        <rFont val="Calibri"/>
        <family val="2"/>
      </rPr>
      <t>2015-2016</t>
    </r>
    <r>
      <rPr>
        <sz val="10"/>
        <rFont val="Calibri"/>
        <family val="2"/>
      </rPr>
      <t xml:space="preserve">) moet u de GGL van de telling van 1 oktober 2014 overschrijven. </t>
    </r>
  </si>
  <si>
    <t>Bij overige subsidies OCW kunt u de betreffende inkomsten opgeven.</t>
  </si>
  <si>
    <t>Hier is ook het budget Prestatiebox apart opgenomen.</t>
  </si>
  <si>
    <t>te worden. Hun kosten worden immers ten laste van het Vervangingsfonds gebracht en blijven daarom buiten de begroting.</t>
  </si>
  <si>
    <t xml:space="preserve">Hiervoor is het vereist dat alle investeringen waarover nog afschrijving plaatsvindt en de toekomstige investeringen (gedurende tenminste </t>
  </si>
  <si>
    <t>de komende vijf jaren, maar bij voorkeur over een langere periode) in kaart worden gebracht.</t>
  </si>
  <si>
    <t>BEGROTING 2016: LINK BEGROTING MET BELEIDSPLAN</t>
  </si>
  <si>
    <t xml:space="preserve">In dit werkblad zijn alleen relevante kengetallen opgenomen. </t>
  </si>
  <si>
    <t>In het eerste deel zijn de financiële kengetallen opgenomen, met daarbij eveneens een kolom waarin de bestuursnorm kan worden vastgelegd.</t>
  </si>
  <si>
    <t>Wijziging t.o.v. versie 21 september:</t>
  </si>
  <si>
    <t xml:space="preserve"> - aanpassing bekostigingsbedragen van 26 okt. 2015. (Binnenkort komt er weer een kleine verhoging  van de bekostigingsbedragen.) </t>
  </si>
  <si>
    <t xml:space="preserve"> - nieuwe salaristabellen  van 1 sept. 2015. (Per 1 jan. 2016 komen er weer nieuwe salaristabellen.)</t>
  </si>
  <si>
    <r>
      <t xml:space="preserve">De bedragen betreffen de bedragen zoals die voor het schooljaar </t>
    </r>
    <r>
      <rPr>
        <b/>
        <sz val="10"/>
        <rFont val="Calibri"/>
        <family val="2"/>
      </rPr>
      <t>2015-2016</t>
    </r>
    <r>
      <rPr>
        <sz val="10"/>
        <rFont val="Calibri"/>
        <family val="2"/>
      </rPr>
      <t xml:space="preserve"> per 26 oktober</t>
    </r>
    <r>
      <rPr>
        <b/>
        <sz val="10"/>
        <rFont val="Calibri"/>
        <family val="2"/>
      </rPr>
      <t xml:space="preserve"> 2015 </t>
    </r>
    <r>
      <rPr>
        <sz val="10"/>
        <rFont val="Calibri"/>
        <family val="2"/>
      </rPr>
      <t>zijn vastgesteld.</t>
    </r>
  </si>
  <si>
    <t>Voor 2016 komen er weer nieuwe bedragen (iets hoger dan de huidige) en er komen nieuwe salaristabellen.</t>
  </si>
  <si>
    <t>Zie daarvoor de info:</t>
  </si>
  <si>
    <t>Toelichting op wijzigingen in de personele bekostiging 2015-2016 en de begroting | PO-Raad</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</si>
</sst>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4" formatCode="_ &quot;€&quot;\ * #,##0.00_ ;_ &quot;€&quot;\ * \-#,##0.00_ ;_ &quot;€&quot;\ * &quot;-&quot;??_ ;_ @_ "/>
    <numFmt numFmtId="164" formatCode="_-&quot;€&quot;\ * #,##0_-;_-&quot;€&quot;\ * #,##0\-;_-&quot;€&quot;\ * &quot;-&quot;_-;_-@_-"/>
    <numFmt numFmtId="165" formatCode="_-&quot;€&quot;\ * #,##0.00_-;_-&quot;€&quot;\ * #,##0.00\-;_-&quot;€&quot;\ * &quot;-&quot;??_-;_-@_-"/>
    <numFmt numFmtId="166" formatCode="_-&quot;€&quot;\ * #,##0_-;_-&quot;€&quot;\ * #,##0\-;_-&quot;€&quot;\ * &quot;-&quot;??_-;_-@_-"/>
    <numFmt numFmtId="167" formatCode="_-&quot;€&quot;\ * #,##0_-;[Red]_-&quot;€&quot;\ * #,##0\-;_-&quot;€&quot;\ * &quot;-&quot;??_-;_-@_-"/>
    <numFmt numFmtId="168" formatCode="&quot;€&quot;\ #,##0_-"/>
    <numFmt numFmtId="169" formatCode="#,##0_ ;\-#,##0\ "/>
    <numFmt numFmtId="170" formatCode="#,##0.00_ ;\-#,##0.00\ "/>
    <numFmt numFmtId="171" formatCode="0.0000"/>
    <numFmt numFmtId="172" formatCode="d\ mmmm\ yyyy"/>
    <numFmt numFmtId="173" formatCode="dd/mm/yy"/>
    <numFmt numFmtId="174" formatCode="0.0%"/>
    <numFmt numFmtId="175" formatCode="#,##0.0_ ;\-#,##0.0\ "/>
    <numFmt numFmtId="176" formatCode="#,##0.0000_ ;\-#,##0.0000\ "/>
    <numFmt numFmtId="177" formatCode="d/mmm/yyyy"/>
    <numFmt numFmtId="178" formatCode="0.000000000"/>
    <numFmt numFmtId="179" formatCode="0.0000%"/>
    <numFmt numFmtId="180" formatCode="[$-413]d/mmm/yy;@"/>
  </numFmts>
  <fonts count="101" x14ac:knownFonts="1">
    <font>
      <sz val="10"/>
      <name val="Arial"/>
    </font>
    <font>
      <sz val="10"/>
      <name val="Arial"/>
      <family val="2"/>
    </font>
    <font>
      <sz val="8"/>
      <color indexed="81"/>
      <name val="Tahoma"/>
      <family val="2"/>
    </font>
    <font>
      <u/>
      <sz val="10"/>
      <color indexed="12"/>
      <name val="Arial"/>
      <family val="2"/>
    </font>
    <font>
      <b/>
      <sz val="10"/>
      <name val="Arial"/>
      <family val="2"/>
    </font>
    <font>
      <b/>
      <sz val="14"/>
      <name val="Arial"/>
      <family val="2"/>
    </font>
    <font>
      <sz val="9"/>
      <color indexed="81"/>
      <name val="Tahoma"/>
      <family val="2"/>
    </font>
    <font>
      <sz val="10"/>
      <color indexed="81"/>
      <name val="Tahoma"/>
      <family val="2"/>
    </font>
    <font>
      <sz val="10"/>
      <name val="Calibri"/>
      <family val="2"/>
    </font>
    <font>
      <b/>
      <sz val="10"/>
      <name val="Calibri"/>
      <family val="2"/>
    </font>
    <font>
      <i/>
      <sz val="10"/>
      <name val="Calibri"/>
      <family val="2"/>
    </font>
    <font>
      <b/>
      <sz val="11"/>
      <name val="Calibri"/>
      <family val="2"/>
    </font>
    <font>
      <b/>
      <sz val="8"/>
      <name val="Calibri"/>
      <family val="2"/>
    </font>
    <font>
      <b/>
      <i/>
      <sz val="10"/>
      <color indexed="10"/>
      <name val="Calibri"/>
      <family val="2"/>
    </font>
    <font>
      <b/>
      <i/>
      <sz val="10"/>
      <name val="Calibri"/>
      <family val="2"/>
    </font>
    <font>
      <b/>
      <sz val="10"/>
      <color indexed="9"/>
      <name val="Calibri"/>
      <family val="2"/>
    </font>
    <font>
      <i/>
      <sz val="14"/>
      <name val="Calibri"/>
      <family val="2"/>
    </font>
    <font>
      <b/>
      <i/>
      <sz val="12"/>
      <name val="Calibri"/>
      <family val="2"/>
    </font>
    <font>
      <sz val="12"/>
      <name val="Calibri"/>
      <family val="2"/>
    </font>
    <font>
      <sz val="11"/>
      <name val="Calibri"/>
      <family val="2"/>
    </font>
    <font>
      <sz val="10"/>
      <color indexed="60"/>
      <name val="Calibri"/>
      <family val="2"/>
    </font>
    <font>
      <sz val="10"/>
      <color indexed="10"/>
      <name val="Calibri"/>
      <family val="2"/>
    </font>
    <font>
      <b/>
      <sz val="14"/>
      <color indexed="10"/>
      <name val="Calibri"/>
      <family val="2"/>
    </font>
    <font>
      <b/>
      <sz val="10"/>
      <color indexed="10"/>
      <name val="Calibri"/>
      <family val="2"/>
    </font>
    <font>
      <i/>
      <sz val="10"/>
      <color indexed="10"/>
      <name val="Calibri"/>
      <family val="2"/>
    </font>
    <font>
      <sz val="10"/>
      <color indexed="47"/>
      <name val="Calibri"/>
      <family val="2"/>
    </font>
    <font>
      <b/>
      <i/>
      <sz val="14"/>
      <color indexed="10"/>
      <name val="Calibri"/>
      <family val="2"/>
    </font>
    <font>
      <sz val="14"/>
      <name val="Calibri"/>
      <family val="2"/>
    </font>
    <font>
      <b/>
      <sz val="12"/>
      <name val="Calibri"/>
      <family val="2"/>
    </font>
    <font>
      <b/>
      <sz val="14"/>
      <name val="Calibri"/>
      <family val="2"/>
    </font>
    <font>
      <sz val="14"/>
      <color indexed="10"/>
      <name val="Calibri"/>
      <family val="2"/>
    </font>
    <font>
      <i/>
      <sz val="11"/>
      <name val="Calibri"/>
      <family val="2"/>
    </font>
    <font>
      <b/>
      <i/>
      <sz val="14"/>
      <name val="Calibri"/>
      <family val="2"/>
    </font>
    <font>
      <i/>
      <sz val="14"/>
      <color indexed="10"/>
      <name val="Calibri"/>
      <family val="2"/>
    </font>
    <font>
      <sz val="10"/>
      <color indexed="10"/>
      <name val="Arial"/>
      <family val="2"/>
    </font>
    <font>
      <sz val="10"/>
      <color indexed="8"/>
      <name val="Calibri"/>
      <family val="2"/>
    </font>
    <font>
      <b/>
      <i/>
      <sz val="10"/>
      <color indexed="47"/>
      <name val="Calibri"/>
      <family val="2"/>
    </font>
    <font>
      <b/>
      <sz val="10"/>
      <color indexed="47"/>
      <name val="Calibri"/>
      <family val="2"/>
    </font>
    <font>
      <sz val="8"/>
      <name val="Arial"/>
      <family val="2"/>
    </font>
    <font>
      <b/>
      <sz val="11"/>
      <color indexed="9"/>
      <name val="Calibri"/>
      <family val="2"/>
    </font>
    <font>
      <sz val="10"/>
      <color indexed="60"/>
      <name val="Calibri"/>
      <family val="2"/>
    </font>
    <font>
      <i/>
      <sz val="10"/>
      <color indexed="60"/>
      <name val="Calibri"/>
      <family val="2"/>
    </font>
    <font>
      <i/>
      <sz val="10"/>
      <color indexed="8"/>
      <name val="Calibri"/>
      <family val="2"/>
    </font>
    <font>
      <b/>
      <i/>
      <sz val="10"/>
      <color indexed="8"/>
      <name val="Calibri"/>
      <family val="2"/>
    </font>
    <font>
      <sz val="10"/>
      <color indexed="8"/>
      <name val="Calibri"/>
      <family val="2"/>
    </font>
    <font>
      <b/>
      <sz val="10"/>
      <color indexed="8"/>
      <name val="Calibri"/>
      <family val="2"/>
    </font>
    <font>
      <sz val="10"/>
      <color rgb="FFC00000"/>
      <name val="Calibri"/>
      <family val="2"/>
    </font>
    <font>
      <b/>
      <sz val="14"/>
      <color rgb="FFC00000"/>
      <name val="Calibri"/>
      <family val="2"/>
    </font>
    <font>
      <i/>
      <sz val="10"/>
      <color rgb="FFC00000"/>
      <name val="Calibri"/>
      <family val="2"/>
    </font>
    <font>
      <b/>
      <i/>
      <sz val="10"/>
      <color rgb="FFC00000"/>
      <name val="Calibri"/>
      <family val="2"/>
    </font>
    <font>
      <b/>
      <sz val="10"/>
      <color rgb="FFC00000"/>
      <name val="Calibri"/>
      <family val="2"/>
    </font>
    <font>
      <b/>
      <sz val="10"/>
      <color theme="0"/>
      <name val="Calibri"/>
      <family val="2"/>
    </font>
    <font>
      <sz val="10"/>
      <color theme="0"/>
      <name val="Calibri"/>
      <family val="2"/>
    </font>
    <font>
      <sz val="10"/>
      <color theme="0" tint="-4.9989318521683403E-2"/>
      <name val="Calibri"/>
      <family val="2"/>
    </font>
    <font>
      <b/>
      <i/>
      <sz val="14"/>
      <color rgb="FFC00000"/>
      <name val="Calibri"/>
      <family val="2"/>
    </font>
    <font>
      <b/>
      <sz val="10"/>
      <color rgb="FF0070C0"/>
      <name val="Calibri"/>
      <family val="2"/>
    </font>
    <font>
      <sz val="10"/>
      <color rgb="FF0070C0"/>
      <name val="Calibri"/>
      <family val="2"/>
    </font>
    <font>
      <i/>
      <sz val="14"/>
      <color rgb="FFC00000"/>
      <name val="Calibri"/>
      <family val="2"/>
    </font>
    <font>
      <sz val="10"/>
      <color rgb="FFFF0000"/>
      <name val="Calibri"/>
      <family val="2"/>
    </font>
    <font>
      <i/>
      <sz val="14"/>
      <color rgb="FFFF0000"/>
      <name val="Calibri"/>
      <family val="2"/>
    </font>
    <font>
      <sz val="12"/>
      <color rgb="FFFF0000"/>
      <name val="Calibri"/>
      <family val="2"/>
    </font>
    <font>
      <sz val="10"/>
      <color theme="1"/>
      <name val="Calibri"/>
      <family val="2"/>
    </font>
    <font>
      <b/>
      <sz val="10"/>
      <color rgb="FFFF0000"/>
      <name val="Calibri"/>
      <family val="2"/>
    </font>
    <font>
      <i/>
      <sz val="14"/>
      <color theme="1"/>
      <name val="Calibri"/>
      <family val="2"/>
    </font>
    <font>
      <sz val="12"/>
      <color theme="1"/>
      <name val="Calibri"/>
      <family val="2"/>
    </font>
    <font>
      <b/>
      <sz val="10"/>
      <color theme="1"/>
      <name val="Calibri"/>
      <family val="2"/>
    </font>
    <font>
      <i/>
      <sz val="10"/>
      <color theme="1"/>
      <name val="Calibri"/>
      <family val="2"/>
    </font>
    <font>
      <i/>
      <sz val="10"/>
      <color theme="1" tint="4.9989318521683403E-2"/>
      <name val="Calibri"/>
      <family val="2"/>
    </font>
    <font>
      <sz val="14"/>
      <color rgb="FFC00000"/>
      <name val="Calibri"/>
      <family val="2"/>
    </font>
    <font>
      <i/>
      <sz val="10"/>
      <color rgb="FFFF0000"/>
      <name val="Calibri"/>
      <family val="2"/>
    </font>
    <font>
      <sz val="10"/>
      <color indexed="8"/>
      <name val="Calibri"/>
      <family val="2"/>
      <scheme val="minor"/>
    </font>
    <font>
      <u/>
      <sz val="10"/>
      <name val="Arial"/>
      <family val="2"/>
    </font>
    <font>
      <b/>
      <sz val="11"/>
      <color rgb="FFC00000"/>
      <name val="Calibri"/>
      <family val="2"/>
    </font>
    <font>
      <b/>
      <sz val="10"/>
      <color theme="1" tint="0.499984740745262"/>
      <name val="Calibri"/>
      <family val="2"/>
    </font>
    <font>
      <i/>
      <sz val="10"/>
      <color theme="1" tint="0.499984740745262"/>
      <name val="Calibri"/>
      <family val="2"/>
    </font>
    <font>
      <sz val="10"/>
      <color theme="1" tint="0.499984740745262"/>
      <name val="Calibri"/>
      <family val="2"/>
    </font>
    <font>
      <sz val="10"/>
      <color theme="1" tint="0.34998626667073579"/>
      <name val="Calibri"/>
      <family val="2"/>
    </font>
    <font>
      <b/>
      <i/>
      <sz val="10"/>
      <color theme="1" tint="0.34998626667073579"/>
      <name val="Calibri"/>
      <family val="2"/>
    </font>
    <font>
      <i/>
      <sz val="10"/>
      <color theme="1" tint="0.34998626667073579"/>
      <name val="Calibri"/>
      <family val="2"/>
    </font>
    <font>
      <b/>
      <sz val="10"/>
      <color theme="1" tint="0.34998626667073579"/>
      <name val="Calibri"/>
      <family val="2"/>
    </font>
    <font>
      <b/>
      <i/>
      <sz val="10"/>
      <color theme="1" tint="0.499984740745262"/>
      <name val="Calibri"/>
      <family val="2"/>
    </font>
    <font>
      <sz val="10"/>
      <color theme="1" tint="0.34998626667073579"/>
      <name val="Arial"/>
      <family val="2"/>
    </font>
    <font>
      <b/>
      <u/>
      <sz val="10"/>
      <color theme="1" tint="0.34998626667073579"/>
      <name val="Calibri"/>
      <family val="2"/>
    </font>
    <font>
      <sz val="14"/>
      <color theme="1" tint="0.34998626667073579"/>
      <name val="Calibri"/>
      <family val="2"/>
    </font>
    <font>
      <b/>
      <i/>
      <sz val="10"/>
      <color theme="1"/>
      <name val="Calibri"/>
      <family val="2"/>
    </font>
    <font>
      <sz val="10"/>
      <color theme="0" tint="-0.499984740745262"/>
      <name val="Calibri"/>
      <family val="2"/>
    </font>
    <font>
      <i/>
      <sz val="14"/>
      <color theme="0" tint="-0.499984740745262"/>
      <name val="Calibri"/>
      <family val="2"/>
    </font>
    <font>
      <sz val="12"/>
      <color theme="0" tint="-0.499984740745262"/>
      <name val="Calibri"/>
      <family val="2"/>
    </font>
    <font>
      <b/>
      <sz val="10"/>
      <color theme="0" tint="-0.499984740745262"/>
      <name val="Calibri"/>
      <family val="2"/>
    </font>
    <font>
      <i/>
      <sz val="10"/>
      <color theme="0" tint="-0.499984740745262"/>
      <name val="Calibri"/>
      <family val="2"/>
    </font>
    <font>
      <b/>
      <i/>
      <sz val="10"/>
      <color theme="0" tint="-0.499984740745262"/>
      <name val="Calibri"/>
      <family val="2"/>
    </font>
    <font>
      <i/>
      <sz val="14"/>
      <color theme="1" tint="0.499984740745262"/>
      <name val="Calibri"/>
      <family val="2"/>
    </font>
    <font>
      <sz val="12"/>
      <color theme="1" tint="0.499984740745262"/>
      <name val="Calibri"/>
      <family val="2"/>
    </font>
    <font>
      <sz val="10"/>
      <color theme="1" tint="0.499984740745262"/>
      <name val="Arial"/>
      <family val="2"/>
    </font>
    <font>
      <b/>
      <i/>
      <sz val="12"/>
      <color theme="1" tint="0.499984740745262"/>
      <name val="Calibri"/>
      <family val="2"/>
    </font>
    <font>
      <b/>
      <sz val="10"/>
      <color theme="1" tint="0.34998626667073579"/>
      <name val="Arial"/>
      <family val="2"/>
    </font>
    <font>
      <i/>
      <sz val="12"/>
      <color theme="0" tint="-0.499984740745262"/>
      <name val="Calibri"/>
      <family val="2"/>
    </font>
    <font>
      <i/>
      <sz val="12"/>
      <color theme="1" tint="0.499984740745262"/>
      <name val="Calibri"/>
      <family val="2"/>
    </font>
    <font>
      <sz val="10"/>
      <name val="Calibri"/>
      <family val="2"/>
      <scheme val="minor"/>
    </font>
    <font>
      <b/>
      <sz val="10"/>
      <color theme="1" tint="0.34998626667073579"/>
      <name val="Calibri"/>
      <family val="2"/>
      <scheme val="minor"/>
    </font>
    <font>
      <b/>
      <sz val="10"/>
      <color indexed="81"/>
      <name val="Tahoma"/>
      <family val="2"/>
    </font>
  </fonts>
  <fills count="11">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rgb="FF0070C0"/>
        <bgColor indexed="64"/>
      </patternFill>
    </fill>
    <fill>
      <patternFill patternType="solid">
        <fgColor rgb="FFFFFF00"/>
        <bgColor indexed="64"/>
      </patternFill>
    </fill>
    <fill>
      <patternFill patternType="solid">
        <fgColor rgb="FFFFFF66"/>
        <bgColor indexed="64"/>
      </patternFill>
    </fill>
    <fill>
      <patternFill patternType="solid">
        <fgColor rgb="FFFFFF99"/>
        <bgColor indexed="64"/>
      </patternFill>
    </fill>
    <fill>
      <patternFill patternType="solid">
        <fgColor theme="3"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tint="-4.9989318521683403E-2"/>
      </right>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style="thin">
        <color theme="0" tint="-4.9989318521683403E-2"/>
      </right>
      <top style="thin">
        <color theme="0" tint="-4.9989318521683403E-2"/>
      </top>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top style="thin">
        <color theme="0" tint="-4.9989318521683403E-2"/>
      </top>
      <bottom/>
      <diagonal/>
    </border>
  </borders>
  <cellStyleXfs count="5">
    <xf numFmtId="0" fontId="0" fillId="0" borderId="0"/>
    <xf numFmtId="165" fontId="1" fillId="0" borderId="0" applyFont="0" applyFill="0" applyBorder="0" applyAlignment="0" applyProtection="0"/>
    <xf numFmtId="0" fontId="3" fillId="0" borderId="0" applyNumberFormat="0" applyFill="0" applyBorder="0" applyAlignment="0" applyProtection="0">
      <alignment vertical="top"/>
      <protection locked="0"/>
    </xf>
    <xf numFmtId="9" fontId="1" fillId="0" borderId="0" applyFont="0" applyFill="0" applyBorder="0" applyAlignment="0" applyProtection="0"/>
    <xf numFmtId="165" fontId="1" fillId="0" borderId="0" applyFont="0" applyFill="0" applyBorder="0" applyAlignment="0" applyProtection="0"/>
  </cellStyleXfs>
  <cellXfs count="1261">
    <xf numFmtId="0" fontId="0" fillId="0" borderId="0" xfId="0"/>
    <xf numFmtId="0" fontId="8" fillId="0" borderId="0" xfId="0" applyFont="1" applyAlignment="1" applyProtection="1">
      <alignment horizontal="left"/>
    </xf>
    <xf numFmtId="0" fontId="8" fillId="0" borderId="0" xfId="0" applyFont="1" applyFill="1" applyBorder="1" applyAlignment="1" applyProtection="1">
      <alignment horizontal="left"/>
    </xf>
    <xf numFmtId="0" fontId="10" fillId="0" borderId="0" xfId="0" applyFont="1" applyFill="1" applyBorder="1" applyAlignment="1" applyProtection="1">
      <alignment horizontal="left" indent="1"/>
    </xf>
    <xf numFmtId="0" fontId="8" fillId="2" borderId="0" xfId="0" applyFont="1" applyFill="1" applyBorder="1" applyAlignment="1" applyProtection="1">
      <alignment horizontal="left"/>
    </xf>
    <xf numFmtId="0" fontId="40" fillId="0" borderId="0" xfId="0" applyFont="1" applyFill="1" applyBorder="1" applyAlignment="1" applyProtection="1">
      <alignment horizontal="left"/>
    </xf>
    <xf numFmtId="0" fontId="41" fillId="0" borderId="0" xfId="0" applyFont="1" applyFill="1" applyBorder="1" applyAlignment="1" applyProtection="1">
      <alignment horizontal="left" indent="1"/>
    </xf>
    <xf numFmtId="0" fontId="40" fillId="0" borderId="0" xfId="0" applyFont="1" applyAlignment="1" applyProtection="1">
      <alignment horizontal="left"/>
    </xf>
    <xf numFmtId="0" fontId="40" fillId="0" borderId="0" xfId="0" applyFont="1" applyFill="1" applyAlignment="1" applyProtection="1">
      <alignment horizontal="left"/>
    </xf>
    <xf numFmtId="0" fontId="41" fillId="0" borderId="0" xfId="0" applyFont="1" applyFill="1" applyAlignment="1" applyProtection="1">
      <alignment horizontal="left" indent="1"/>
    </xf>
    <xf numFmtId="0" fontId="41" fillId="0" borderId="0" xfId="0" applyFont="1" applyAlignment="1" applyProtection="1">
      <alignment horizontal="left" indent="1"/>
    </xf>
    <xf numFmtId="173" fontId="8" fillId="2" borderId="0" xfId="0" applyNumberFormat="1" applyFont="1" applyFill="1" applyBorder="1" applyAlignment="1" applyProtection="1">
      <alignment horizontal="left"/>
    </xf>
    <xf numFmtId="0" fontId="14" fillId="3" borderId="0" xfId="0" applyFont="1" applyFill="1" applyBorder="1" applyProtection="1"/>
    <xf numFmtId="0" fontId="9" fillId="0" borderId="0" xfId="0" applyFont="1" applyFill="1" applyBorder="1" applyAlignment="1" applyProtection="1">
      <alignment horizontal="left"/>
    </xf>
    <xf numFmtId="0" fontId="8" fillId="0" borderId="0" xfId="0" applyFont="1" applyFill="1" applyAlignment="1" applyProtection="1">
      <alignment horizontal="left"/>
    </xf>
    <xf numFmtId="0" fontId="10" fillId="0" borderId="0" xfId="0" applyFont="1" applyFill="1" applyBorder="1" applyAlignment="1" applyProtection="1">
      <alignment horizontal="left"/>
    </xf>
    <xf numFmtId="0" fontId="8" fillId="0" borderId="0" xfId="0" quotePrefix="1" applyFont="1" applyFill="1" applyBorder="1" applyAlignment="1" applyProtection="1">
      <alignment horizontal="left"/>
    </xf>
    <xf numFmtId="0" fontId="44" fillId="0" borderId="0" xfId="0" quotePrefix="1" applyFont="1" applyFill="1" applyBorder="1" applyAlignment="1" applyProtection="1">
      <alignment horizontal="left"/>
    </xf>
    <xf numFmtId="0" fontId="43" fillId="0" borderId="0" xfId="0" applyFont="1" applyFill="1" applyBorder="1" applyAlignment="1" applyProtection="1">
      <alignment horizontal="left" indent="1"/>
    </xf>
    <xf numFmtId="0" fontId="45" fillId="0" borderId="0" xfId="0" applyFont="1" applyFill="1" applyBorder="1" applyAlignment="1" applyProtection="1">
      <alignment horizontal="left"/>
    </xf>
    <xf numFmtId="4" fontId="44" fillId="2" borderId="0" xfId="0" applyNumberFormat="1" applyFont="1" applyFill="1" applyBorder="1" applyAlignment="1" applyProtection="1">
      <alignment horizontal="left"/>
      <protection locked="0"/>
    </xf>
    <xf numFmtId="0" fontId="44" fillId="0" borderId="0" xfId="0" applyFont="1" applyFill="1" applyAlignment="1" applyProtection="1">
      <alignment horizontal="left"/>
    </xf>
    <xf numFmtId="0" fontId="44" fillId="0" borderId="0" xfId="0" applyFont="1" applyAlignment="1" applyProtection="1">
      <alignment horizontal="left"/>
    </xf>
    <xf numFmtId="165" fontId="44" fillId="2" borderId="0" xfId="0" applyNumberFormat="1" applyFont="1" applyFill="1" applyBorder="1" applyAlignment="1" applyProtection="1">
      <alignment horizontal="left"/>
      <protection locked="0"/>
    </xf>
    <xf numFmtId="0" fontId="44" fillId="0" borderId="0" xfId="0" applyFont="1" applyFill="1" applyBorder="1" applyAlignment="1" applyProtection="1">
      <alignment horizontal="left"/>
    </xf>
    <xf numFmtId="165" fontId="44" fillId="0" borderId="0" xfId="0" applyNumberFormat="1" applyFont="1" applyFill="1" applyBorder="1" applyAlignment="1" applyProtection="1">
      <alignment horizontal="left"/>
    </xf>
    <xf numFmtId="0" fontId="42" fillId="0" borderId="0" xfId="0" applyFont="1" applyFill="1" applyBorder="1" applyAlignment="1" applyProtection="1">
      <alignment horizontal="left" indent="1"/>
    </xf>
    <xf numFmtId="0" fontId="44" fillId="0" borderId="0" xfId="0" applyFont="1" applyFill="1" applyBorder="1" applyAlignment="1" applyProtection="1"/>
    <xf numFmtId="10" fontId="44" fillId="2" borderId="0" xfId="3" applyNumberFormat="1" applyFont="1" applyFill="1" applyBorder="1" applyAlignment="1" applyProtection="1">
      <alignment horizontal="left"/>
      <protection locked="0"/>
    </xf>
    <xf numFmtId="0" fontId="42" fillId="0" borderId="0" xfId="0" applyFont="1" applyFill="1" applyAlignment="1" applyProtection="1">
      <alignment horizontal="left" indent="1"/>
    </xf>
    <xf numFmtId="0" fontId="42" fillId="0" borderId="0" xfId="0" applyFont="1" applyFill="1" applyBorder="1" applyAlignment="1" applyProtection="1">
      <alignment horizontal="left"/>
    </xf>
    <xf numFmtId="165" fontId="42" fillId="0" borderId="0" xfId="0" applyNumberFormat="1" applyFont="1" applyFill="1" applyBorder="1" applyAlignment="1" applyProtection="1">
      <alignment horizontal="left"/>
    </xf>
    <xf numFmtId="0" fontId="42" fillId="0" borderId="0" xfId="0" applyFont="1" applyFill="1" applyAlignment="1" applyProtection="1">
      <alignment horizontal="left"/>
    </xf>
    <xf numFmtId="0" fontId="42" fillId="0" borderId="0" xfId="0" applyFont="1" applyAlignment="1" applyProtection="1">
      <alignment horizontal="left"/>
    </xf>
    <xf numFmtId="0" fontId="44" fillId="0" borderId="0" xfId="0" applyNumberFormat="1" applyFont="1" applyFill="1" applyBorder="1" applyAlignment="1" applyProtection="1">
      <alignment horizontal="left"/>
    </xf>
    <xf numFmtId="166" fontId="44" fillId="0" borderId="0" xfId="0" applyNumberFormat="1" applyFont="1" applyFill="1" applyBorder="1" applyAlignment="1" applyProtection="1">
      <alignment horizontal="left"/>
    </xf>
    <xf numFmtId="165" fontId="44" fillId="0" borderId="0" xfId="4" applyFont="1" applyFill="1" applyBorder="1" applyAlignment="1" applyProtection="1">
      <alignment horizontal="left"/>
    </xf>
    <xf numFmtId="9" fontId="44" fillId="0" borderId="0" xfId="0" applyNumberFormat="1" applyFont="1" applyFill="1" applyAlignment="1" applyProtection="1">
      <alignment horizontal="left"/>
    </xf>
    <xf numFmtId="1" fontId="45" fillId="0" borderId="0" xfId="0" applyNumberFormat="1" applyFont="1" applyFill="1" applyBorder="1" applyAlignment="1" applyProtection="1">
      <alignment horizontal="left"/>
    </xf>
    <xf numFmtId="49" fontId="44" fillId="0" borderId="0" xfId="0" applyNumberFormat="1" applyFont="1" applyFill="1" applyBorder="1" applyAlignment="1" applyProtection="1">
      <alignment horizontal="left"/>
    </xf>
    <xf numFmtId="49" fontId="42" fillId="0" borderId="0" xfId="0" applyNumberFormat="1" applyFont="1" applyFill="1" applyBorder="1" applyAlignment="1" applyProtection="1">
      <alignment horizontal="left" indent="1"/>
    </xf>
    <xf numFmtId="3" fontId="44" fillId="0" borderId="0" xfId="0" applyNumberFormat="1" applyFont="1" applyFill="1" applyBorder="1" applyAlignment="1" applyProtection="1">
      <alignment horizontal="left"/>
    </xf>
    <xf numFmtId="0" fontId="45" fillId="0" borderId="0" xfId="0" applyFont="1" applyFill="1" applyAlignment="1" applyProtection="1">
      <alignment horizontal="left"/>
    </xf>
    <xf numFmtId="0" fontId="44" fillId="2" borderId="0" xfId="0" applyFont="1" applyFill="1" applyBorder="1" applyAlignment="1" applyProtection="1">
      <alignment horizontal="left"/>
      <protection locked="0"/>
    </xf>
    <xf numFmtId="165" fontId="8" fillId="2" borderId="0" xfId="0" applyNumberFormat="1" applyFont="1" applyFill="1" applyBorder="1" applyAlignment="1" applyProtection="1">
      <alignment horizontal="left"/>
      <protection locked="0"/>
    </xf>
    <xf numFmtId="0" fontId="8" fillId="0" borderId="0" xfId="0" applyNumberFormat="1" applyFont="1" applyFill="1" applyBorder="1" applyAlignment="1" applyProtection="1">
      <alignment horizontal="left"/>
    </xf>
    <xf numFmtId="165" fontId="8" fillId="0" borderId="0" xfId="0" applyNumberFormat="1" applyFont="1" applyFill="1" applyBorder="1" applyAlignment="1" applyProtection="1">
      <alignment horizontal="left"/>
    </xf>
    <xf numFmtId="0" fontId="10" fillId="0" borderId="0" xfId="0" applyFont="1" applyFill="1" applyAlignment="1" applyProtection="1">
      <alignment horizontal="left" indent="1"/>
    </xf>
    <xf numFmtId="0" fontId="8" fillId="0" borderId="0" xfId="0" applyFont="1" applyFill="1" applyBorder="1" applyAlignment="1" applyProtection="1">
      <alignment horizontal="left" vertical="top" wrapText="1"/>
    </xf>
    <xf numFmtId="0" fontId="10" fillId="0" borderId="0" xfId="0" applyFont="1" applyAlignment="1" applyProtection="1">
      <alignment horizontal="left" indent="1"/>
    </xf>
    <xf numFmtId="0" fontId="8" fillId="0" borderId="0" xfId="3" applyNumberFormat="1" applyFont="1" applyFill="1" applyAlignment="1" applyProtection="1">
      <alignment horizontal="left"/>
    </xf>
    <xf numFmtId="0" fontId="8" fillId="0" borderId="0" xfId="0" applyFont="1" applyFill="1" applyAlignment="1" applyProtection="1">
      <alignment horizontal="right"/>
    </xf>
    <xf numFmtId="10" fontId="8" fillId="2" borderId="0" xfId="0" applyNumberFormat="1" applyFont="1" applyFill="1" applyBorder="1" applyAlignment="1" applyProtection="1">
      <alignment horizontal="right"/>
      <protection locked="0"/>
    </xf>
    <xf numFmtId="0" fontId="9" fillId="0" borderId="0" xfId="0" applyFont="1" applyFill="1" applyAlignment="1" applyProtection="1">
      <alignment horizontal="left"/>
    </xf>
    <xf numFmtId="0" fontId="9" fillId="0"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wrapText="1"/>
    </xf>
    <xf numFmtId="171" fontId="9" fillId="0" borderId="0" xfId="0" applyNumberFormat="1" applyFont="1" applyFill="1" applyBorder="1" applyAlignment="1" applyProtection="1">
      <alignment horizontal="left"/>
    </xf>
    <xf numFmtId="178" fontId="8" fillId="0" borderId="0" xfId="0" applyNumberFormat="1" applyFont="1" applyFill="1" applyAlignment="1" applyProtection="1">
      <alignment horizontal="left"/>
    </xf>
    <xf numFmtId="4" fontId="8" fillId="0" borderId="0" xfId="0" applyNumberFormat="1" applyFont="1" applyFill="1" applyBorder="1" applyAlignment="1" applyProtection="1">
      <alignment horizontal="left"/>
    </xf>
    <xf numFmtId="0" fontId="8" fillId="0" borderId="0" xfId="0" applyFont="1" applyFill="1" applyBorder="1" applyAlignment="1" applyProtection="1">
      <alignment horizontal="left"/>
      <protection locked="0"/>
    </xf>
    <xf numFmtId="3" fontId="8" fillId="0" borderId="0" xfId="0" applyNumberFormat="1" applyFont="1" applyFill="1" applyBorder="1" applyAlignment="1" applyProtection="1">
      <alignment horizontal="left"/>
    </xf>
    <xf numFmtId="164" fontId="8" fillId="0" borderId="0" xfId="0" applyNumberFormat="1" applyFont="1" applyFill="1" applyBorder="1" applyAlignment="1" applyProtection="1">
      <alignment horizontal="left"/>
      <protection locked="0"/>
    </xf>
    <xf numFmtId="0" fontId="8" fillId="4" borderId="0" xfId="0" applyFont="1" applyFill="1" applyProtection="1"/>
    <xf numFmtId="0" fontId="8" fillId="5" borderId="2" xfId="0" applyFont="1" applyFill="1" applyBorder="1" applyProtection="1"/>
    <xf numFmtId="0" fontId="8" fillId="5" borderId="3" xfId="0" applyFont="1" applyFill="1" applyBorder="1" applyProtection="1"/>
    <xf numFmtId="0" fontId="10" fillId="5" borderId="3" xfId="0" applyFont="1" applyFill="1" applyBorder="1" applyAlignment="1" applyProtection="1">
      <alignment horizontal="right"/>
    </xf>
    <xf numFmtId="0" fontId="14" fillId="5" borderId="3" xfId="0" applyFont="1" applyFill="1" applyBorder="1" applyAlignment="1" applyProtection="1">
      <alignment horizontal="center"/>
    </xf>
    <xf numFmtId="0" fontId="8" fillId="5" borderId="4" xfId="0" applyFont="1" applyFill="1" applyBorder="1" applyProtection="1"/>
    <xf numFmtId="0" fontId="8" fillId="4" borderId="0" xfId="0" applyFont="1" applyFill="1" applyBorder="1" applyProtection="1"/>
    <xf numFmtId="0" fontId="8" fillId="5" borderId="5" xfId="0" applyFont="1" applyFill="1" applyBorder="1" applyProtection="1"/>
    <xf numFmtId="0" fontId="8" fillId="5" borderId="0" xfId="0" applyFont="1" applyFill="1" applyBorder="1" applyProtection="1"/>
    <xf numFmtId="0" fontId="10" fillId="5" borderId="0" xfId="0" applyFont="1" applyFill="1" applyBorder="1" applyAlignment="1" applyProtection="1">
      <alignment horizontal="right"/>
    </xf>
    <xf numFmtId="0" fontId="14" fillId="5" borderId="0" xfId="0" applyFont="1" applyFill="1" applyBorder="1" applyAlignment="1" applyProtection="1">
      <alignment horizontal="center"/>
    </xf>
    <xf numFmtId="0" fontId="8" fillId="5" borderId="6" xfId="0" applyFont="1" applyFill="1" applyBorder="1" applyProtection="1"/>
    <xf numFmtId="0" fontId="46" fillId="4" borderId="0" xfId="0" applyFont="1" applyFill="1" applyProtection="1"/>
    <xf numFmtId="0" fontId="47" fillId="5" borderId="5" xfId="0" applyFont="1" applyFill="1" applyBorder="1" applyProtection="1"/>
    <xf numFmtId="0" fontId="47" fillId="5" borderId="0" xfId="0" applyFont="1" applyFill="1" applyBorder="1" applyProtection="1"/>
    <xf numFmtId="0" fontId="46" fillId="5" borderId="0" xfId="0" applyFont="1" applyFill="1" applyBorder="1" applyProtection="1"/>
    <xf numFmtId="0" fontId="46" fillId="5" borderId="6" xfId="0" applyFont="1" applyFill="1" applyBorder="1" applyProtection="1"/>
    <xf numFmtId="0" fontId="21" fillId="4" borderId="0" xfId="0" applyFont="1" applyFill="1" applyProtection="1"/>
    <xf numFmtId="0" fontId="22" fillId="5" borderId="5" xfId="0" applyFont="1" applyFill="1" applyBorder="1" applyProtection="1"/>
    <xf numFmtId="0" fontId="27" fillId="5" borderId="0" xfId="0" applyFont="1" applyFill="1" applyBorder="1" applyProtection="1"/>
    <xf numFmtId="0" fontId="21" fillId="5" borderId="0" xfId="0" applyFont="1" applyFill="1" applyBorder="1" applyProtection="1"/>
    <xf numFmtId="0" fontId="21" fillId="5" borderId="5" xfId="0" applyFont="1" applyFill="1" applyBorder="1" applyProtection="1"/>
    <xf numFmtId="0" fontId="23" fillId="5" borderId="0" xfId="0" applyFont="1" applyFill="1" applyBorder="1" applyProtection="1"/>
    <xf numFmtId="0" fontId="13" fillId="5" borderId="0" xfId="0" applyFont="1" applyFill="1" applyBorder="1" applyAlignment="1" applyProtection="1">
      <alignment horizontal="left"/>
    </xf>
    <xf numFmtId="0" fontId="8" fillId="4" borderId="10" xfId="0" applyFont="1" applyFill="1" applyBorder="1" applyProtection="1"/>
    <xf numFmtId="0" fontId="8" fillId="4" borderId="11" xfId="0" applyFont="1" applyFill="1" applyBorder="1" applyProtection="1"/>
    <xf numFmtId="0" fontId="14" fillId="4" borderId="11" xfId="0" applyFont="1" applyFill="1" applyBorder="1" applyAlignment="1" applyProtection="1">
      <alignment horizontal="center"/>
    </xf>
    <xf numFmtId="0" fontId="14" fillId="4" borderId="12" xfId="0" applyFont="1" applyFill="1" applyBorder="1" applyAlignment="1" applyProtection="1">
      <alignment horizontal="center"/>
    </xf>
    <xf numFmtId="0" fontId="8" fillId="4" borderId="13" xfId="0" applyFont="1" applyFill="1" applyBorder="1" applyProtection="1"/>
    <xf numFmtId="0" fontId="8" fillId="4" borderId="14" xfId="0" applyFont="1" applyFill="1" applyBorder="1" applyAlignment="1" applyProtection="1">
      <alignment horizontal="left"/>
    </xf>
    <xf numFmtId="0" fontId="8" fillId="4" borderId="14" xfId="0" applyFont="1" applyFill="1" applyBorder="1" applyProtection="1"/>
    <xf numFmtId="0" fontId="8" fillId="5" borderId="15" xfId="0" applyFont="1" applyFill="1" applyBorder="1" applyAlignment="1" applyProtection="1">
      <alignment horizontal="left"/>
      <protection locked="0"/>
    </xf>
    <xf numFmtId="0" fontId="8" fillId="4" borderId="14" xfId="0" applyFont="1" applyFill="1" applyBorder="1" applyAlignment="1" applyProtection="1">
      <alignment horizontal="center"/>
      <protection locked="0"/>
    </xf>
    <xf numFmtId="0" fontId="8" fillId="4" borderId="14" xfId="0" applyFont="1" applyFill="1" applyBorder="1" applyAlignment="1" applyProtection="1">
      <alignment horizontal="center"/>
    </xf>
    <xf numFmtId="0" fontId="14" fillId="4" borderId="15" xfId="0" applyFont="1" applyFill="1" applyBorder="1" applyAlignment="1" applyProtection="1">
      <alignment horizontal="center"/>
    </xf>
    <xf numFmtId="0" fontId="8" fillId="5" borderId="14" xfId="0" applyFont="1" applyFill="1" applyBorder="1" applyAlignment="1" applyProtection="1">
      <alignment horizontal="left"/>
      <protection locked="0"/>
    </xf>
    <xf numFmtId="0" fontId="8" fillId="4" borderId="16" xfId="0" applyFont="1" applyFill="1" applyBorder="1" applyProtection="1"/>
    <xf numFmtId="0" fontId="8" fillId="4" borderId="17" xfId="0" applyFont="1" applyFill="1" applyBorder="1" applyProtection="1"/>
    <xf numFmtId="0" fontId="14" fillId="4" borderId="17" xfId="0" applyFont="1" applyFill="1" applyBorder="1" applyAlignment="1" applyProtection="1">
      <alignment horizontal="center"/>
    </xf>
    <xf numFmtId="0" fontId="14" fillId="4" borderId="18" xfId="0" applyFont="1" applyFill="1" applyBorder="1" applyAlignment="1" applyProtection="1">
      <alignment horizontal="center"/>
    </xf>
    <xf numFmtId="0" fontId="46" fillId="5" borderId="5" xfId="0" applyFont="1" applyFill="1" applyBorder="1" applyProtection="1"/>
    <xf numFmtId="0" fontId="46" fillId="5" borderId="0" xfId="0" applyFont="1" applyFill="1" applyProtection="1"/>
    <xf numFmtId="0" fontId="48" fillId="5" borderId="0" xfId="0" applyFont="1" applyFill="1" applyBorder="1" applyAlignment="1" applyProtection="1">
      <alignment horizontal="right"/>
    </xf>
    <xf numFmtId="0" fontId="49" fillId="5" borderId="0" xfId="0" applyFont="1" applyFill="1" applyBorder="1" applyAlignment="1" applyProtection="1">
      <alignment horizontal="center"/>
    </xf>
    <xf numFmtId="0" fontId="46" fillId="4" borderId="0" xfId="0" applyFont="1" applyFill="1" applyBorder="1" applyProtection="1"/>
    <xf numFmtId="0" fontId="21" fillId="4" borderId="13" xfId="0" applyFont="1" applyFill="1" applyBorder="1" applyProtection="1"/>
    <xf numFmtId="0" fontId="50" fillId="4" borderId="14" xfId="0" applyFont="1" applyFill="1" applyBorder="1" applyProtection="1"/>
    <xf numFmtId="0" fontId="21" fillId="4" borderId="14" xfId="0" applyFont="1" applyFill="1" applyBorder="1" applyProtection="1"/>
    <xf numFmtId="0" fontId="13" fillId="4" borderId="14" xfId="0" applyFont="1" applyFill="1" applyBorder="1" applyAlignment="1" applyProtection="1">
      <alignment horizontal="center"/>
    </xf>
    <xf numFmtId="0" fontId="13" fillId="4" borderId="15" xfId="0" applyFont="1" applyFill="1" applyBorder="1" applyAlignment="1" applyProtection="1">
      <alignment horizontal="center"/>
    </xf>
    <xf numFmtId="0" fontId="21" fillId="5" borderId="6" xfId="0" applyFont="1" applyFill="1" applyBorder="1" applyProtection="1"/>
    <xf numFmtId="0" fontId="14" fillId="4" borderId="14" xfId="0" applyFont="1" applyFill="1" applyBorder="1" applyAlignment="1" applyProtection="1">
      <alignment horizontal="center"/>
    </xf>
    <xf numFmtId="0" fontId="8" fillId="5" borderId="14" xfId="0" applyFont="1" applyFill="1" applyBorder="1" applyAlignment="1" applyProtection="1">
      <alignment horizontal="center"/>
      <protection locked="0"/>
    </xf>
    <xf numFmtId="0" fontId="8" fillId="4" borderId="15" xfId="0" applyFont="1" applyFill="1" applyBorder="1" applyAlignment="1" applyProtection="1">
      <alignment horizontal="center"/>
    </xf>
    <xf numFmtId="0" fontId="9" fillId="4" borderId="14" xfId="0" applyFont="1" applyFill="1" applyBorder="1" applyAlignment="1" applyProtection="1">
      <alignment horizontal="left"/>
    </xf>
    <xf numFmtId="0" fontId="9" fillId="4" borderId="15" xfId="0" applyFont="1" applyFill="1" applyBorder="1" applyAlignment="1" applyProtection="1">
      <alignment horizontal="center"/>
    </xf>
    <xf numFmtId="2" fontId="8" fillId="4" borderId="14" xfId="0" applyNumberFormat="1" applyFont="1" applyFill="1" applyBorder="1" applyAlignment="1" applyProtection="1">
      <alignment horizontal="left"/>
    </xf>
    <xf numFmtId="2" fontId="10" fillId="4" borderId="14" xfId="0" applyNumberFormat="1" applyFont="1" applyFill="1" applyBorder="1" applyAlignment="1" applyProtection="1">
      <alignment horizontal="center"/>
    </xf>
    <xf numFmtId="1" fontId="8" fillId="4" borderId="15" xfId="0" applyNumberFormat="1" applyFont="1" applyFill="1" applyBorder="1" applyAlignment="1" applyProtection="1">
      <alignment horizontal="center"/>
    </xf>
    <xf numFmtId="0" fontId="53" fillId="4" borderId="14" xfId="0" applyFont="1" applyFill="1" applyBorder="1" applyAlignment="1" applyProtection="1">
      <alignment horizontal="left"/>
    </xf>
    <xf numFmtId="1" fontId="53" fillId="4" borderId="14" xfId="0" applyNumberFormat="1" applyFont="1" applyFill="1" applyBorder="1" applyAlignment="1" applyProtection="1">
      <alignment horizontal="center"/>
    </xf>
    <xf numFmtId="1" fontId="8" fillId="4" borderId="14" xfId="0" applyNumberFormat="1" applyFont="1" applyFill="1" applyBorder="1" applyAlignment="1" applyProtection="1">
      <alignment horizontal="center"/>
    </xf>
    <xf numFmtId="0" fontId="10" fillId="5" borderId="5" xfId="0" applyFont="1" applyFill="1" applyBorder="1" applyProtection="1"/>
    <xf numFmtId="0" fontId="10" fillId="4" borderId="13" xfId="0" applyFont="1" applyFill="1" applyBorder="1" applyProtection="1"/>
    <xf numFmtId="0" fontId="9" fillId="4" borderId="14" xfId="0" applyFont="1" applyFill="1" applyBorder="1" applyProtection="1"/>
    <xf numFmtId="0" fontId="10" fillId="5" borderId="6" xfId="0" applyFont="1" applyFill="1" applyBorder="1" applyProtection="1"/>
    <xf numFmtId="0" fontId="9" fillId="4" borderId="14" xfId="0" applyFont="1" applyFill="1" applyBorder="1" applyAlignment="1" applyProtection="1">
      <alignment horizontal="center"/>
    </xf>
    <xf numFmtId="0" fontId="8" fillId="5" borderId="14" xfId="0" applyNumberFormat="1" applyFont="1" applyFill="1" applyBorder="1" applyAlignment="1" applyProtection="1">
      <alignment horizontal="center"/>
      <protection locked="0"/>
    </xf>
    <xf numFmtId="0" fontId="8" fillId="4" borderId="18" xfId="0" applyFont="1" applyFill="1" applyBorder="1" applyProtection="1"/>
    <xf numFmtId="0" fontId="46" fillId="5" borderId="0" xfId="0" applyFont="1" applyFill="1" applyBorder="1" applyAlignment="1" applyProtection="1">
      <alignment horizontal="left"/>
    </xf>
    <xf numFmtId="0" fontId="21" fillId="5" borderId="0" xfId="0" applyFont="1" applyFill="1" applyProtection="1"/>
    <xf numFmtId="0" fontId="10" fillId="4" borderId="11" xfId="0" applyFont="1" applyFill="1" applyBorder="1" applyAlignment="1" applyProtection="1">
      <alignment horizontal="right"/>
    </xf>
    <xf numFmtId="0" fontId="8" fillId="4" borderId="11" xfId="0" applyFont="1" applyFill="1" applyBorder="1" applyAlignment="1" applyProtection="1">
      <alignment horizontal="left"/>
    </xf>
    <xf numFmtId="0" fontId="8" fillId="4" borderId="12" xfId="0" applyFont="1" applyFill="1" applyBorder="1" applyAlignment="1" applyProtection="1">
      <alignment horizontal="left"/>
    </xf>
    <xf numFmtId="0" fontId="50" fillId="4" borderId="14" xfId="0" applyFont="1" applyFill="1" applyBorder="1" applyAlignment="1" applyProtection="1">
      <alignment horizontal="left"/>
    </xf>
    <xf numFmtId="0" fontId="8" fillId="4" borderId="15" xfId="0" applyFont="1" applyFill="1" applyBorder="1" applyAlignment="1" applyProtection="1">
      <alignment horizontal="left"/>
    </xf>
    <xf numFmtId="0" fontId="10" fillId="4" borderId="14" xfId="0" applyFont="1" applyFill="1" applyBorder="1" applyAlignment="1" applyProtection="1">
      <alignment horizontal="right"/>
    </xf>
    <xf numFmtId="0" fontId="8" fillId="5" borderId="14" xfId="0" quotePrefix="1" applyNumberFormat="1" applyFont="1" applyFill="1" applyBorder="1" applyAlignment="1" applyProtection="1">
      <alignment horizontal="center"/>
      <protection locked="0"/>
    </xf>
    <xf numFmtId="0" fontId="8" fillId="4" borderId="15" xfId="0" quotePrefix="1" applyNumberFormat="1" applyFont="1" applyFill="1" applyBorder="1" applyAlignment="1" applyProtection="1">
      <alignment horizontal="center"/>
      <protection locked="0"/>
    </xf>
    <xf numFmtId="0" fontId="8" fillId="4" borderId="15" xfId="0" quotePrefix="1" applyNumberFormat="1" applyFont="1" applyFill="1" applyBorder="1" applyAlignment="1" applyProtection="1">
      <alignment horizontal="center"/>
    </xf>
    <xf numFmtId="0" fontId="48" fillId="4" borderId="14" xfId="0" applyFont="1" applyFill="1" applyBorder="1" applyAlignment="1" applyProtection="1">
      <alignment horizontal="left"/>
    </xf>
    <xf numFmtId="0" fontId="8" fillId="4" borderId="15" xfId="0" applyNumberFormat="1" applyFont="1" applyFill="1" applyBorder="1" applyAlignment="1" applyProtection="1">
      <alignment horizontal="center"/>
    </xf>
    <xf numFmtId="0" fontId="8" fillId="4" borderId="17" xfId="0" applyFont="1" applyFill="1" applyBorder="1" applyAlignment="1" applyProtection="1">
      <alignment horizontal="left"/>
    </xf>
    <xf numFmtId="0" fontId="10" fillId="5" borderId="0" xfId="0" applyFont="1" applyFill="1" applyBorder="1" applyProtection="1"/>
    <xf numFmtId="0" fontId="9" fillId="5" borderId="0" xfId="0" quotePrefix="1" applyFont="1" applyFill="1" applyBorder="1" applyAlignment="1" applyProtection="1">
      <alignment horizontal="left"/>
    </xf>
    <xf numFmtId="1" fontId="9" fillId="5" borderId="0" xfId="0" applyNumberFormat="1" applyFont="1" applyFill="1" applyBorder="1" applyAlignment="1" applyProtection="1">
      <alignment horizontal="center"/>
    </xf>
    <xf numFmtId="0" fontId="10" fillId="5" borderId="7" xfId="0" applyFont="1" applyFill="1" applyBorder="1" applyProtection="1"/>
    <xf numFmtId="0" fontId="10" fillId="5" borderId="8" xfId="0" applyFont="1" applyFill="1" applyBorder="1" applyProtection="1"/>
    <xf numFmtId="0" fontId="9" fillId="5" borderId="8" xfId="0" quotePrefix="1" applyFont="1" applyFill="1" applyBorder="1" applyAlignment="1" applyProtection="1">
      <alignment horizontal="left"/>
    </xf>
    <xf numFmtId="1" fontId="9" fillId="5" borderId="8" xfId="0" applyNumberFormat="1" applyFont="1" applyFill="1" applyBorder="1" applyAlignment="1" applyProtection="1">
      <alignment horizontal="center"/>
    </xf>
    <xf numFmtId="0" fontId="39" fillId="5" borderId="8" xfId="0" applyFont="1" applyFill="1" applyBorder="1" applyAlignment="1" applyProtection="1">
      <alignment horizontal="right"/>
    </xf>
    <xf numFmtId="0" fontId="10" fillId="5" borderId="9" xfId="0" applyFont="1" applyFill="1" applyBorder="1" applyProtection="1"/>
    <xf numFmtId="0" fontId="47" fillId="4" borderId="0" xfId="0" applyFont="1" applyFill="1" applyProtection="1"/>
    <xf numFmtId="0" fontId="54" fillId="5" borderId="0" xfId="0" applyFont="1" applyFill="1" applyBorder="1" applyAlignment="1" applyProtection="1">
      <alignment horizontal="right"/>
    </xf>
    <xf numFmtId="0" fontId="54" fillId="5" borderId="0" xfId="0" applyFont="1" applyFill="1" applyBorder="1" applyAlignment="1" applyProtection="1">
      <alignment horizontal="center"/>
    </xf>
    <xf numFmtId="0" fontId="47" fillId="5" borderId="6" xfId="0" applyFont="1" applyFill="1" applyBorder="1" applyProtection="1"/>
    <xf numFmtId="0" fontId="9" fillId="5" borderId="5" xfId="0" applyFont="1" applyFill="1" applyBorder="1" applyProtection="1"/>
    <xf numFmtId="0" fontId="9" fillId="4" borderId="10" xfId="0" applyFont="1" applyFill="1" applyBorder="1" applyProtection="1"/>
    <xf numFmtId="0" fontId="9" fillId="4" borderId="11" xfId="0" applyFont="1" applyFill="1" applyBorder="1" applyProtection="1"/>
    <xf numFmtId="0" fontId="8" fillId="4" borderId="12" xfId="0" applyFont="1" applyFill="1" applyBorder="1" applyProtection="1"/>
    <xf numFmtId="0" fontId="8" fillId="4" borderId="15" xfId="0" applyFont="1" applyFill="1" applyBorder="1" applyProtection="1"/>
    <xf numFmtId="0" fontId="9" fillId="4" borderId="13" xfId="0" applyFont="1" applyFill="1" applyBorder="1" applyProtection="1"/>
    <xf numFmtId="0" fontId="9" fillId="4" borderId="14" xfId="0" quotePrefix="1" applyFont="1" applyFill="1" applyBorder="1" applyAlignment="1" applyProtection="1">
      <alignment horizontal="left"/>
    </xf>
    <xf numFmtId="1" fontId="9" fillId="4" borderId="15" xfId="0" applyNumberFormat="1" applyFont="1" applyFill="1" applyBorder="1" applyAlignment="1" applyProtection="1">
      <alignment horizontal="center"/>
    </xf>
    <xf numFmtId="0" fontId="9" fillId="5" borderId="6" xfId="0" applyFont="1" applyFill="1" applyBorder="1" applyProtection="1"/>
    <xf numFmtId="0" fontId="8" fillId="5" borderId="6" xfId="0" applyFont="1" applyFill="1" applyBorder="1" applyAlignment="1" applyProtection="1">
      <alignment horizontal="center"/>
    </xf>
    <xf numFmtId="0" fontId="9" fillId="5" borderId="6" xfId="0" applyFont="1" applyFill="1" applyBorder="1" applyAlignment="1" applyProtection="1">
      <alignment horizontal="center"/>
    </xf>
    <xf numFmtId="1" fontId="9" fillId="5" borderId="6" xfId="0" applyNumberFormat="1" applyFont="1" applyFill="1" applyBorder="1" applyAlignment="1" applyProtection="1">
      <alignment horizontal="center"/>
    </xf>
    <xf numFmtId="1" fontId="8" fillId="5" borderId="6" xfId="0" applyNumberFormat="1" applyFont="1" applyFill="1" applyBorder="1" applyAlignment="1" applyProtection="1">
      <alignment horizontal="center"/>
    </xf>
    <xf numFmtId="0" fontId="8" fillId="5" borderId="7" xfId="0" applyFont="1" applyFill="1" applyBorder="1" applyProtection="1"/>
    <xf numFmtId="0" fontId="8" fillId="5" borderId="8" xfId="0" applyFont="1" applyFill="1" applyBorder="1" applyProtection="1"/>
    <xf numFmtId="0" fontId="8" fillId="5" borderId="9" xfId="0" applyFont="1" applyFill="1" applyBorder="1" applyProtection="1"/>
    <xf numFmtId="0" fontId="8" fillId="4" borderId="0" xfId="0" applyFont="1" applyFill="1" applyBorder="1" applyAlignment="1" applyProtection="1">
      <alignment horizontal="center"/>
    </xf>
    <xf numFmtId="0" fontId="8" fillId="5" borderId="3" xfId="0" applyFont="1" applyFill="1" applyBorder="1" applyAlignment="1" applyProtection="1">
      <alignment horizontal="center"/>
    </xf>
    <xf numFmtId="0" fontId="8" fillId="5" borderId="0" xfId="0" applyFont="1" applyFill="1" applyBorder="1" applyAlignment="1" applyProtection="1">
      <alignment horizontal="center"/>
    </xf>
    <xf numFmtId="0" fontId="21" fillId="4" borderId="0" xfId="0" applyFont="1" applyFill="1" applyBorder="1" applyProtection="1"/>
    <xf numFmtId="0" fontId="21" fillId="5" borderId="0" xfId="0" applyFont="1" applyFill="1" applyBorder="1" applyAlignment="1" applyProtection="1">
      <alignment horizontal="center"/>
    </xf>
    <xf numFmtId="0" fontId="8" fillId="4" borderId="11" xfId="0" applyFont="1" applyFill="1" applyBorder="1" applyAlignment="1" applyProtection="1">
      <alignment horizontal="center"/>
    </xf>
    <xf numFmtId="0" fontId="9" fillId="4" borderId="11" xfId="0" applyFont="1" applyFill="1" applyBorder="1" applyAlignment="1" applyProtection="1">
      <alignment horizontal="center"/>
    </xf>
    <xf numFmtId="0" fontId="8" fillId="4" borderId="12" xfId="0" applyFont="1" applyFill="1" applyBorder="1" applyAlignment="1" applyProtection="1">
      <alignment horizontal="center"/>
    </xf>
    <xf numFmtId="0" fontId="9" fillId="4" borderId="0" xfId="0" applyFont="1" applyFill="1" applyBorder="1" applyProtection="1"/>
    <xf numFmtId="0" fontId="46" fillId="4" borderId="13" xfId="0" applyFont="1" applyFill="1" applyBorder="1" applyProtection="1"/>
    <xf numFmtId="0" fontId="8" fillId="4" borderId="14" xfId="0" applyFont="1" applyFill="1" applyBorder="1" applyAlignment="1" applyProtection="1"/>
    <xf numFmtId="0" fontId="14" fillId="4" borderId="0" xfId="0" applyFont="1" applyFill="1" applyBorder="1" applyProtection="1"/>
    <xf numFmtId="0" fontId="14" fillId="5" borderId="5" xfId="0" applyFont="1" applyFill="1" applyBorder="1" applyProtection="1"/>
    <xf numFmtId="0" fontId="14" fillId="4" borderId="13" xfId="0" applyFont="1" applyFill="1" applyBorder="1" applyProtection="1"/>
    <xf numFmtId="0" fontId="14" fillId="4" borderId="14" xfId="0" applyFont="1" applyFill="1" applyBorder="1" applyProtection="1"/>
    <xf numFmtId="0" fontId="14" fillId="5" borderId="6" xfId="0" applyFont="1" applyFill="1" applyBorder="1" applyProtection="1"/>
    <xf numFmtId="0" fontId="9" fillId="4" borderId="17" xfId="0" applyFont="1" applyFill="1" applyBorder="1" applyProtection="1"/>
    <xf numFmtId="0" fontId="8" fillId="4" borderId="17" xfId="0" applyFont="1" applyFill="1" applyBorder="1" applyAlignment="1" applyProtection="1">
      <alignment horizontal="center"/>
    </xf>
    <xf numFmtId="0" fontId="8" fillId="4" borderId="18" xfId="0" applyFont="1" applyFill="1" applyBorder="1" applyAlignment="1" applyProtection="1">
      <alignment horizontal="center"/>
    </xf>
    <xf numFmtId="0" fontId="9" fillId="5" borderId="0" xfId="0" applyFont="1" applyFill="1" applyBorder="1" applyProtection="1"/>
    <xf numFmtId="0" fontId="8" fillId="4" borderId="0" xfId="0" applyFont="1" applyFill="1" applyAlignment="1" applyProtection="1">
      <alignment horizontal="center"/>
    </xf>
    <xf numFmtId="0" fontId="46" fillId="5" borderId="0" xfId="0" applyFont="1" applyFill="1" applyBorder="1" applyAlignment="1" applyProtection="1">
      <alignment horizontal="center"/>
    </xf>
    <xf numFmtId="0" fontId="22" fillId="5" borderId="0" xfId="0" applyFont="1" applyFill="1" applyBorder="1" applyProtection="1"/>
    <xf numFmtId="0" fontId="10" fillId="5" borderId="0" xfId="0" applyFont="1" applyFill="1" applyBorder="1" applyAlignment="1" applyProtection="1">
      <alignment horizontal="center"/>
    </xf>
    <xf numFmtId="0" fontId="10" fillId="5" borderId="0" xfId="0" applyFont="1" applyFill="1" applyBorder="1" applyAlignment="1" applyProtection="1"/>
    <xf numFmtId="0" fontId="8" fillId="4" borderId="14" xfId="0" applyNumberFormat="1" applyFont="1" applyFill="1" applyBorder="1" applyProtection="1"/>
    <xf numFmtId="2" fontId="8" fillId="5" borderId="14" xfId="0" applyNumberFormat="1" applyFont="1" applyFill="1" applyBorder="1" applyAlignment="1" applyProtection="1">
      <alignment horizontal="center"/>
      <protection locked="0"/>
    </xf>
    <xf numFmtId="9" fontId="8" fillId="5" borderId="14" xfId="3" applyFont="1" applyFill="1" applyBorder="1" applyAlignment="1" applyProtection="1">
      <alignment horizontal="center"/>
      <protection locked="0"/>
    </xf>
    <xf numFmtId="164" fontId="8" fillId="4" borderId="15" xfId="0" applyNumberFormat="1" applyFont="1" applyFill="1" applyBorder="1" applyAlignment="1" applyProtection="1">
      <alignment horizontal="right"/>
    </xf>
    <xf numFmtId="0" fontId="14" fillId="4" borderId="0" xfId="0" applyFont="1" applyFill="1" applyProtection="1"/>
    <xf numFmtId="0" fontId="10" fillId="4" borderId="14" xfId="0" applyFont="1" applyFill="1" applyBorder="1" applyProtection="1"/>
    <xf numFmtId="164" fontId="14" fillId="4" borderId="15" xfId="0" applyNumberFormat="1" applyFont="1" applyFill="1" applyBorder="1" applyAlignment="1" applyProtection="1">
      <alignment horizontal="right"/>
    </xf>
    <xf numFmtId="0" fontId="35" fillId="4" borderId="14" xfId="0" applyFont="1" applyFill="1" applyBorder="1" applyAlignment="1" applyProtection="1">
      <alignment horizontal="left"/>
    </xf>
    <xf numFmtId="164" fontId="8" fillId="4" borderId="15" xfId="0" applyNumberFormat="1" applyFont="1" applyFill="1" applyBorder="1" applyAlignment="1" applyProtection="1">
      <alignment horizontal="center"/>
    </xf>
    <xf numFmtId="0" fontId="10" fillId="4" borderId="0" xfId="0" applyFont="1" applyFill="1" applyProtection="1"/>
    <xf numFmtId="0" fontId="13" fillId="4" borderId="14" xfId="0" applyFont="1" applyFill="1" applyBorder="1" applyProtection="1"/>
    <xf numFmtId="9" fontId="8" fillId="4" borderId="14" xfId="3" applyFont="1" applyFill="1" applyBorder="1" applyAlignment="1" applyProtection="1">
      <alignment horizontal="center"/>
    </xf>
    <xf numFmtId="0" fontId="14" fillId="4" borderId="13" xfId="0" applyFont="1" applyFill="1" applyBorder="1" applyAlignment="1" applyProtection="1">
      <alignment horizontal="center"/>
    </xf>
    <xf numFmtId="0" fontId="10" fillId="4" borderId="14" xfId="0" applyFont="1" applyFill="1" applyBorder="1" applyAlignment="1" applyProtection="1">
      <alignment horizontal="left"/>
    </xf>
    <xf numFmtId="164" fontId="36" fillId="4" borderId="14" xfId="0" applyNumberFormat="1" applyFont="1" applyFill="1" applyBorder="1" applyAlignment="1" applyProtection="1">
      <alignment horizontal="center"/>
    </xf>
    <xf numFmtId="0" fontId="8" fillId="4" borderId="14" xfId="0" quotePrefix="1" applyFont="1" applyFill="1" applyBorder="1" applyAlignment="1" applyProtection="1">
      <alignment horizontal="left"/>
    </xf>
    <xf numFmtId="0" fontId="9" fillId="4" borderId="15" xfId="0" applyFont="1" applyFill="1" applyBorder="1" applyProtection="1"/>
    <xf numFmtId="166" fontId="14" fillId="4" borderId="14" xfId="0" applyNumberFormat="1" applyFont="1" applyFill="1" applyBorder="1" applyAlignment="1" applyProtection="1">
      <alignment horizontal="center"/>
    </xf>
    <xf numFmtId="164" fontId="8" fillId="5" borderId="14" xfId="0" applyNumberFormat="1" applyFont="1" applyFill="1" applyBorder="1" applyAlignment="1" applyProtection="1">
      <protection locked="0"/>
    </xf>
    <xf numFmtId="0" fontId="8" fillId="5" borderId="14" xfId="0" applyFont="1" applyFill="1" applyBorder="1" applyProtection="1">
      <protection locked="0"/>
    </xf>
    <xf numFmtId="164" fontId="8" fillId="5" borderId="14" xfId="0" applyNumberFormat="1" applyFont="1" applyFill="1" applyBorder="1" applyAlignment="1" applyProtection="1">
      <alignment horizontal="center"/>
      <protection locked="0"/>
    </xf>
    <xf numFmtId="164" fontId="9" fillId="4" borderId="15" xfId="0" applyNumberFormat="1" applyFont="1" applyFill="1" applyBorder="1" applyAlignment="1" applyProtection="1">
      <alignment horizontal="right"/>
    </xf>
    <xf numFmtId="174" fontId="8" fillId="4" borderId="14" xfId="0" applyNumberFormat="1" applyFont="1" applyFill="1" applyBorder="1" applyAlignment="1" applyProtection="1">
      <alignment horizontal="center"/>
    </xf>
    <xf numFmtId="164" fontId="8" fillId="4" borderId="14" xfId="0" applyNumberFormat="1" applyFont="1" applyFill="1" applyBorder="1" applyAlignment="1" applyProtection="1">
      <alignment horizontal="center"/>
    </xf>
    <xf numFmtId="0" fontId="8" fillId="4" borderId="14" xfId="0" quotePrefix="1" applyFont="1" applyFill="1" applyBorder="1" applyProtection="1"/>
    <xf numFmtId="10" fontId="8" fillId="4" borderId="14" xfId="0" applyNumberFormat="1" applyFont="1" applyFill="1" applyBorder="1" applyAlignment="1" applyProtection="1">
      <alignment horizontal="center"/>
    </xf>
    <xf numFmtId="171" fontId="8" fillId="4" borderId="14" xfId="0" applyNumberFormat="1" applyFont="1" applyFill="1" applyBorder="1" applyAlignment="1" applyProtection="1">
      <alignment horizontal="center"/>
    </xf>
    <xf numFmtId="0" fontId="9" fillId="4" borderId="16" xfId="0" applyFont="1" applyFill="1" applyBorder="1" applyProtection="1"/>
    <xf numFmtId="0" fontId="9" fillId="4" borderId="17" xfId="0" applyFont="1" applyFill="1" applyBorder="1" applyAlignment="1" applyProtection="1">
      <alignment horizontal="left"/>
    </xf>
    <xf numFmtId="166" fontId="14" fillId="4" borderId="17" xfId="0" applyNumberFormat="1" applyFont="1" applyFill="1" applyBorder="1" applyAlignment="1" applyProtection="1">
      <alignment horizontal="center"/>
    </xf>
    <xf numFmtId="0" fontId="9" fillId="4" borderId="18" xfId="0" applyFont="1" applyFill="1" applyBorder="1" applyProtection="1"/>
    <xf numFmtId="0" fontId="9" fillId="4" borderId="11" xfId="0" applyFont="1" applyFill="1" applyBorder="1" applyAlignment="1" applyProtection="1">
      <alignment horizontal="left"/>
    </xf>
    <xf numFmtId="166" fontId="15" fillId="4" borderId="11" xfId="0" applyNumberFormat="1" applyFont="1" applyFill="1" applyBorder="1" applyAlignment="1" applyProtection="1">
      <alignment horizontal="center"/>
    </xf>
    <xf numFmtId="0" fontId="9" fillId="4" borderId="12" xfId="0" applyFont="1" applyFill="1" applyBorder="1" applyProtection="1"/>
    <xf numFmtId="164" fontId="9" fillId="4" borderId="18" xfId="0" applyNumberFormat="1" applyFont="1" applyFill="1" applyBorder="1" applyAlignment="1" applyProtection="1">
      <alignment horizontal="right"/>
    </xf>
    <xf numFmtId="0" fontId="8" fillId="5" borderId="0" xfId="0" applyFont="1" applyFill="1" applyBorder="1" applyAlignment="1" applyProtection="1">
      <alignment horizontal="left"/>
    </xf>
    <xf numFmtId="164" fontId="9" fillId="5" borderId="0" xfId="0" applyNumberFormat="1" applyFont="1" applyFill="1" applyBorder="1" applyAlignment="1" applyProtection="1">
      <alignment horizontal="right"/>
    </xf>
    <xf numFmtId="164" fontId="9" fillId="4" borderId="12" xfId="0" applyNumberFormat="1" applyFont="1" applyFill="1" applyBorder="1" applyAlignment="1" applyProtection="1">
      <alignment horizontal="right"/>
    </xf>
    <xf numFmtId="0" fontId="10" fillId="4" borderId="16" xfId="0" applyFont="1" applyFill="1" applyBorder="1" applyProtection="1"/>
    <xf numFmtId="1" fontId="9" fillId="4" borderId="17" xfId="0" applyNumberFormat="1" applyFont="1" applyFill="1" applyBorder="1" applyAlignment="1" applyProtection="1">
      <alignment horizontal="center"/>
    </xf>
    <xf numFmtId="164" fontId="10" fillId="4" borderId="17" xfId="0" applyNumberFormat="1" applyFont="1" applyFill="1" applyBorder="1" applyAlignment="1" applyProtection="1">
      <alignment horizontal="center"/>
    </xf>
    <xf numFmtId="164" fontId="10" fillId="4" borderId="18" xfId="0" applyNumberFormat="1" applyFont="1" applyFill="1" applyBorder="1" applyAlignment="1" applyProtection="1">
      <alignment horizontal="right"/>
    </xf>
    <xf numFmtId="164" fontId="10" fillId="5" borderId="0" xfId="0" applyNumberFormat="1" applyFont="1" applyFill="1" applyBorder="1" applyAlignment="1" applyProtection="1">
      <alignment horizontal="center"/>
    </xf>
    <xf numFmtId="164" fontId="10" fillId="5" borderId="0" xfId="0" applyNumberFormat="1" applyFont="1" applyFill="1" applyBorder="1" applyAlignment="1" applyProtection="1">
      <alignment horizontal="right"/>
    </xf>
    <xf numFmtId="0" fontId="10" fillId="4" borderId="10" xfId="0" applyFont="1" applyFill="1" applyBorder="1" applyProtection="1"/>
    <xf numFmtId="1" fontId="9" fillId="4" borderId="11" xfId="0" applyNumberFormat="1" applyFont="1" applyFill="1" applyBorder="1" applyAlignment="1" applyProtection="1">
      <alignment horizontal="center"/>
    </xf>
    <xf numFmtId="164" fontId="10" fillId="4" borderId="11" xfId="0" applyNumberFormat="1" applyFont="1" applyFill="1" applyBorder="1" applyAlignment="1" applyProtection="1">
      <alignment horizontal="center"/>
    </xf>
    <xf numFmtId="164" fontId="10" fillId="4" borderId="12" xfId="0" applyNumberFormat="1" applyFont="1" applyFill="1" applyBorder="1" applyAlignment="1" applyProtection="1">
      <alignment horizontal="right"/>
    </xf>
    <xf numFmtId="167" fontId="9" fillId="4" borderId="15" xfId="0" applyNumberFormat="1" applyFont="1" applyFill="1" applyBorder="1" applyAlignment="1" applyProtection="1">
      <alignment horizontal="center"/>
    </xf>
    <xf numFmtId="167" fontId="9" fillId="4" borderId="17" xfId="0" applyNumberFormat="1" applyFont="1" applyFill="1" applyBorder="1" applyAlignment="1" applyProtection="1">
      <alignment horizontal="center"/>
    </xf>
    <xf numFmtId="167" fontId="9" fillId="4" borderId="18" xfId="0" applyNumberFormat="1" applyFont="1" applyFill="1" applyBorder="1" applyAlignment="1" applyProtection="1">
      <alignment horizontal="center"/>
    </xf>
    <xf numFmtId="0" fontId="9" fillId="5" borderId="0" xfId="0" quotePrefix="1" applyFont="1" applyFill="1" applyBorder="1" applyAlignment="1" applyProtection="1">
      <alignment horizontal="right"/>
    </xf>
    <xf numFmtId="167" fontId="15" fillId="5" borderId="0" xfId="0" applyNumberFormat="1" applyFont="1" applyFill="1" applyBorder="1" applyAlignment="1" applyProtection="1">
      <alignment horizontal="center"/>
    </xf>
    <xf numFmtId="0" fontId="9" fillId="5" borderId="8" xfId="0" quotePrefix="1" applyFont="1" applyFill="1" applyBorder="1" applyAlignment="1" applyProtection="1">
      <alignment horizontal="right"/>
    </xf>
    <xf numFmtId="167" fontId="15" fillId="5" borderId="8" xfId="0" applyNumberFormat="1" applyFont="1" applyFill="1" applyBorder="1" applyAlignment="1" applyProtection="1">
      <alignment horizontal="center"/>
    </xf>
    <xf numFmtId="0" fontId="10" fillId="5" borderId="2" xfId="0" applyFont="1" applyFill="1" applyBorder="1" applyProtection="1"/>
    <xf numFmtId="0" fontId="10" fillId="5" borderId="3" xfId="0" applyFont="1" applyFill="1" applyBorder="1" applyProtection="1"/>
    <xf numFmtId="0" fontId="9" fillId="5" borderId="3" xfId="0" quotePrefix="1" applyFont="1" applyFill="1" applyBorder="1" applyAlignment="1" applyProtection="1">
      <alignment horizontal="right"/>
    </xf>
    <xf numFmtId="167" fontId="15" fillId="5" borderId="3" xfId="0" applyNumberFormat="1" applyFont="1" applyFill="1" applyBorder="1" applyAlignment="1" applyProtection="1">
      <alignment horizontal="center"/>
    </xf>
    <xf numFmtId="0" fontId="10" fillId="5" borderId="4" xfId="0" applyFont="1" applyFill="1" applyBorder="1" applyProtection="1"/>
    <xf numFmtId="0" fontId="46" fillId="4" borderId="14" xfId="0" applyFont="1" applyFill="1" applyBorder="1" applyProtection="1"/>
    <xf numFmtId="0" fontId="46" fillId="4" borderId="14" xfId="0" applyFont="1" applyFill="1" applyBorder="1" applyAlignment="1" applyProtection="1">
      <alignment horizontal="center"/>
    </xf>
    <xf numFmtId="0" fontId="46" fillId="4" borderId="15" xfId="0" applyFont="1" applyFill="1" applyBorder="1" applyProtection="1"/>
    <xf numFmtId="0" fontId="8" fillId="4" borderId="14" xfId="0" applyNumberFormat="1" applyFont="1" applyFill="1" applyBorder="1" applyAlignment="1" applyProtection="1">
      <alignment horizontal="left"/>
    </xf>
    <xf numFmtId="0" fontId="10" fillId="4" borderId="14" xfId="0" applyNumberFormat="1" applyFont="1" applyFill="1" applyBorder="1" applyAlignment="1" applyProtection="1">
      <alignment horizontal="left" indent="1"/>
    </xf>
    <xf numFmtId="49" fontId="8" fillId="5" borderId="14" xfId="0" applyNumberFormat="1" applyFont="1" applyFill="1" applyBorder="1" applyAlignment="1" applyProtection="1">
      <alignment horizontal="center"/>
      <protection locked="0"/>
    </xf>
    <xf numFmtId="0" fontId="9" fillId="4" borderId="14" xfId="0" applyNumberFormat="1" applyFont="1" applyFill="1" applyBorder="1" applyAlignment="1" applyProtection="1">
      <alignment horizontal="left"/>
    </xf>
    <xf numFmtId="0" fontId="10" fillId="4" borderId="14" xfId="0" applyFont="1" applyFill="1" applyBorder="1" applyAlignment="1" applyProtection="1">
      <alignment horizontal="center"/>
    </xf>
    <xf numFmtId="166" fontId="8" fillId="4" borderId="15" xfId="0" applyNumberFormat="1" applyFont="1" applyFill="1" applyBorder="1" applyProtection="1"/>
    <xf numFmtId="166" fontId="8" fillId="5" borderId="6" xfId="0" applyNumberFormat="1" applyFont="1" applyFill="1" applyBorder="1" applyProtection="1"/>
    <xf numFmtId="166" fontId="8" fillId="5" borderId="14" xfId="0" applyNumberFormat="1" applyFont="1" applyFill="1" applyBorder="1" applyAlignment="1" applyProtection="1">
      <alignment horizontal="center"/>
      <protection locked="0"/>
    </xf>
    <xf numFmtId="164" fontId="8" fillId="5" borderId="14" xfId="4" applyNumberFormat="1" applyFont="1" applyFill="1" applyBorder="1" applyAlignment="1" applyProtection="1">
      <alignment horizontal="center"/>
      <protection locked="0"/>
    </xf>
    <xf numFmtId="0" fontId="9" fillId="5" borderId="17" xfId="0" applyFont="1" applyFill="1" applyBorder="1" applyAlignment="1" applyProtection="1">
      <alignment horizontal="left"/>
    </xf>
    <xf numFmtId="166" fontId="9" fillId="5" borderId="17" xfId="0" applyNumberFormat="1" applyFont="1" applyFill="1" applyBorder="1" applyAlignment="1" applyProtection="1">
      <alignment horizontal="center"/>
    </xf>
    <xf numFmtId="171" fontId="14" fillId="4" borderId="0" xfId="0" applyNumberFormat="1" applyFont="1" applyFill="1" applyBorder="1" applyAlignment="1" applyProtection="1">
      <alignment horizontal="center"/>
    </xf>
    <xf numFmtId="0" fontId="14" fillId="4" borderId="0" xfId="0" applyFont="1" applyFill="1" applyBorder="1" applyAlignment="1" applyProtection="1">
      <alignment horizontal="center"/>
    </xf>
    <xf numFmtId="164" fontId="8" fillId="4" borderId="0" xfId="0" applyNumberFormat="1" applyFont="1" applyFill="1" applyBorder="1" applyAlignment="1" applyProtection="1"/>
    <xf numFmtId="0" fontId="10" fillId="4" borderId="0" xfId="0" applyFont="1" applyFill="1" applyBorder="1" applyProtection="1"/>
    <xf numFmtId="0" fontId="56" fillId="4" borderId="0" xfId="0" applyFont="1" applyFill="1" applyBorder="1" applyAlignment="1" applyProtection="1">
      <alignment horizontal="left"/>
    </xf>
    <xf numFmtId="0" fontId="20" fillId="4" borderId="0" xfId="0" applyFont="1" applyFill="1" applyProtection="1"/>
    <xf numFmtId="0" fontId="20" fillId="4" borderId="0" xfId="0" applyFont="1" applyFill="1" applyAlignment="1" applyProtection="1">
      <alignment horizontal="center"/>
    </xf>
    <xf numFmtId="0" fontId="8" fillId="4" borderId="0" xfId="0" applyFont="1" applyFill="1" applyBorder="1" applyAlignment="1" applyProtection="1"/>
    <xf numFmtId="0" fontId="8" fillId="4" borderId="0" xfId="0" applyFont="1" applyFill="1" applyBorder="1" applyAlignment="1" applyProtection="1">
      <alignment horizontal="left"/>
    </xf>
    <xf numFmtId="173" fontId="8" fillId="4" borderId="0" xfId="0" applyNumberFormat="1" applyFont="1" applyFill="1" applyBorder="1" applyAlignment="1" applyProtection="1">
      <alignment horizontal="center"/>
    </xf>
    <xf numFmtId="0" fontId="8" fillId="4" borderId="0" xfId="0" applyNumberFormat="1" applyFont="1" applyFill="1" applyBorder="1" applyAlignment="1" applyProtection="1">
      <alignment horizontal="center"/>
    </xf>
    <xf numFmtId="171" fontId="8" fillId="4" borderId="0" xfId="0" applyNumberFormat="1" applyFont="1" applyFill="1" applyBorder="1" applyAlignment="1" applyProtection="1">
      <alignment horizontal="center"/>
    </xf>
    <xf numFmtId="171" fontId="8" fillId="4" borderId="0" xfId="0" applyNumberFormat="1" applyFont="1" applyFill="1" applyBorder="1" applyProtection="1"/>
    <xf numFmtId="166" fontId="8" fillId="4" borderId="0" xfId="0" applyNumberFormat="1" applyFont="1" applyFill="1" applyBorder="1" applyProtection="1"/>
    <xf numFmtId="164" fontId="8" fillId="4" borderId="0" xfId="0" applyNumberFormat="1" applyFont="1" applyFill="1" applyBorder="1" applyProtection="1"/>
    <xf numFmtId="168" fontId="8" fillId="4" borderId="0" xfId="0" applyNumberFormat="1" applyFont="1" applyFill="1" applyBorder="1" applyProtection="1"/>
    <xf numFmtId="0" fontId="8" fillId="5" borderId="3" xfId="0" applyFont="1" applyFill="1" applyBorder="1" applyAlignment="1" applyProtection="1"/>
    <xf numFmtId="0" fontId="8" fillId="5" borderId="3" xfId="0" applyFont="1" applyFill="1" applyBorder="1" applyAlignment="1" applyProtection="1">
      <alignment horizontal="left"/>
    </xf>
    <xf numFmtId="173" fontId="8" fillId="5" borderId="3" xfId="0" applyNumberFormat="1" applyFont="1" applyFill="1" applyBorder="1" applyAlignment="1" applyProtection="1">
      <alignment horizontal="center"/>
    </xf>
    <xf numFmtId="0" fontId="8" fillId="5" borderId="3" xfId="0" applyNumberFormat="1" applyFont="1" applyFill="1" applyBorder="1" applyAlignment="1" applyProtection="1">
      <alignment horizontal="center"/>
    </xf>
    <xf numFmtId="171" fontId="8" fillId="5" borderId="3" xfId="0" applyNumberFormat="1" applyFont="1" applyFill="1" applyBorder="1" applyAlignment="1" applyProtection="1">
      <alignment horizontal="center"/>
    </xf>
    <xf numFmtId="166" fontId="8" fillId="5" borderId="3" xfId="0" applyNumberFormat="1" applyFont="1" applyFill="1" applyBorder="1" applyProtection="1"/>
    <xf numFmtId="164" fontId="8" fillId="5" borderId="3" xfId="0" applyNumberFormat="1" applyFont="1" applyFill="1" applyBorder="1" applyProtection="1"/>
    <xf numFmtId="0" fontId="8" fillId="5" borderId="0" xfId="0" applyFont="1" applyFill="1" applyBorder="1" applyAlignment="1" applyProtection="1"/>
    <xf numFmtId="173" fontId="8" fillId="5" borderId="0" xfId="0" applyNumberFormat="1" applyFont="1" applyFill="1" applyBorder="1" applyAlignment="1" applyProtection="1">
      <alignment horizontal="center"/>
    </xf>
    <xf numFmtId="0" fontId="8" fillId="5" borderId="0" xfId="0" applyNumberFormat="1" applyFont="1" applyFill="1" applyBorder="1" applyAlignment="1" applyProtection="1">
      <alignment horizontal="center"/>
    </xf>
    <xf numFmtId="171" fontId="8" fillId="5" borderId="0" xfId="0" applyNumberFormat="1" applyFont="1" applyFill="1" applyBorder="1" applyAlignment="1" applyProtection="1">
      <alignment horizontal="center"/>
    </xf>
    <xf numFmtId="166" fontId="8" fillId="5" borderId="0" xfId="0" applyNumberFormat="1" applyFont="1" applyFill="1" applyBorder="1" applyProtection="1"/>
    <xf numFmtId="164" fontId="8" fillId="5" borderId="0" xfId="0" applyNumberFormat="1" applyFont="1" applyFill="1" applyBorder="1" applyProtection="1"/>
    <xf numFmtId="0" fontId="57" fillId="4" borderId="0" xfId="0" applyFont="1" applyFill="1" applyBorder="1" applyProtection="1"/>
    <xf numFmtId="0" fontId="54" fillId="5" borderId="5" xfId="0" applyFont="1" applyFill="1" applyBorder="1" applyAlignment="1" applyProtection="1">
      <alignment horizontal="left"/>
    </xf>
    <xf numFmtId="0" fontId="57" fillId="5" borderId="0" xfId="0" applyFont="1" applyFill="1" applyBorder="1" applyAlignment="1" applyProtection="1"/>
    <xf numFmtId="0" fontId="57" fillId="5" borderId="0" xfId="0" applyFont="1" applyFill="1" applyBorder="1" applyAlignment="1" applyProtection="1">
      <alignment horizontal="left"/>
    </xf>
    <xf numFmtId="0" fontId="57" fillId="5" borderId="0" xfId="0" applyFont="1" applyFill="1" applyBorder="1" applyAlignment="1" applyProtection="1">
      <alignment horizontal="center"/>
    </xf>
    <xf numFmtId="173" fontId="57" fillId="5" borderId="0" xfId="0" applyNumberFormat="1" applyFont="1" applyFill="1" applyBorder="1" applyAlignment="1" applyProtection="1">
      <alignment horizontal="center"/>
    </xf>
    <xf numFmtId="0" fontId="57" fillId="5" borderId="0" xfId="0" applyNumberFormat="1" applyFont="1" applyFill="1" applyBorder="1" applyAlignment="1" applyProtection="1">
      <alignment horizontal="center"/>
    </xf>
    <xf numFmtId="171" fontId="57" fillId="5" borderId="0" xfId="0" applyNumberFormat="1" applyFont="1" applyFill="1" applyBorder="1" applyAlignment="1" applyProtection="1">
      <alignment horizontal="center"/>
    </xf>
    <xf numFmtId="0" fontId="57" fillId="5" borderId="0" xfId="0" applyFont="1" applyFill="1" applyBorder="1" applyProtection="1"/>
    <xf numFmtId="0" fontId="57" fillId="5" borderId="6" xfId="0" applyFont="1" applyFill="1" applyBorder="1" applyProtection="1"/>
    <xf numFmtId="0" fontId="57" fillId="4" borderId="0" xfId="0" applyNumberFormat="1" applyFont="1" applyFill="1" applyBorder="1" applyProtection="1"/>
    <xf numFmtId="171" fontId="57" fillId="4" borderId="0" xfId="0" applyNumberFormat="1" applyFont="1" applyFill="1" applyBorder="1" applyAlignment="1" applyProtection="1">
      <alignment horizontal="center"/>
    </xf>
    <xf numFmtId="0" fontId="57" fillId="4" borderId="0" xfId="0" applyNumberFormat="1" applyFont="1" applyFill="1" applyBorder="1" applyAlignment="1" applyProtection="1">
      <alignment horizontal="center"/>
    </xf>
    <xf numFmtId="171" fontId="57" fillId="4" borderId="0" xfId="0" applyNumberFormat="1" applyFont="1" applyFill="1" applyBorder="1" applyProtection="1"/>
    <xf numFmtId="1" fontId="57" fillId="4" borderId="0" xfId="0" applyNumberFormat="1" applyFont="1" applyFill="1" applyBorder="1" applyProtection="1"/>
    <xf numFmtId="0" fontId="16" fillId="4" borderId="0" xfId="0" applyFont="1" applyFill="1" applyBorder="1" applyProtection="1"/>
    <xf numFmtId="0" fontId="32" fillId="5" borderId="5" xfId="0" applyFont="1" applyFill="1" applyBorder="1" applyAlignment="1" applyProtection="1">
      <alignment horizontal="left"/>
    </xf>
    <xf numFmtId="0" fontId="27" fillId="5" borderId="0" xfId="0" applyFont="1" applyFill="1" applyBorder="1" applyAlignment="1" applyProtection="1">
      <alignment horizontal="left"/>
    </xf>
    <xf numFmtId="0" fontId="16" fillId="5" borderId="0" xfId="0" applyFont="1" applyFill="1" applyBorder="1" applyAlignment="1" applyProtection="1"/>
    <xf numFmtId="0" fontId="16" fillId="5" borderId="0" xfId="0" applyFont="1" applyFill="1" applyBorder="1" applyAlignment="1" applyProtection="1">
      <alignment horizontal="left"/>
    </xf>
    <xf numFmtId="0" fontId="16" fillId="5" borderId="0" xfId="0" applyFont="1" applyFill="1" applyBorder="1" applyAlignment="1" applyProtection="1">
      <alignment horizontal="center"/>
    </xf>
    <xf numFmtId="173" fontId="16" fillId="5" borderId="0" xfId="0" applyNumberFormat="1" applyFont="1" applyFill="1" applyBorder="1" applyAlignment="1" applyProtection="1">
      <alignment horizontal="center"/>
    </xf>
    <xf numFmtId="0" fontId="16" fillId="5" borderId="0" xfId="0" applyNumberFormat="1" applyFont="1" applyFill="1" applyBorder="1" applyAlignment="1" applyProtection="1">
      <alignment horizontal="center"/>
    </xf>
    <xf numFmtId="171" fontId="16" fillId="5" borderId="0" xfId="0" applyNumberFormat="1" applyFont="1" applyFill="1" applyBorder="1" applyAlignment="1" applyProtection="1">
      <alignment horizontal="center"/>
    </xf>
    <xf numFmtId="0" fontId="16" fillId="5" borderId="0" xfId="0" applyFont="1" applyFill="1" applyBorder="1" applyProtection="1"/>
    <xf numFmtId="0" fontId="16" fillId="5" borderId="6" xfId="0" applyFont="1" applyFill="1" applyBorder="1" applyProtection="1"/>
    <xf numFmtId="0" fontId="16" fillId="4" borderId="0" xfId="0" applyNumberFormat="1" applyFont="1" applyFill="1" applyBorder="1" applyProtection="1"/>
    <xf numFmtId="171" fontId="16" fillId="4" borderId="0" xfId="0" applyNumberFormat="1" applyFont="1" applyFill="1" applyBorder="1" applyAlignment="1" applyProtection="1">
      <alignment horizontal="center"/>
    </xf>
    <xf numFmtId="0" fontId="16" fillId="4" borderId="0" xfId="0" applyNumberFormat="1" applyFont="1" applyFill="1" applyBorder="1" applyAlignment="1" applyProtection="1">
      <alignment horizontal="center"/>
    </xf>
    <xf numFmtId="171" fontId="16" fillId="4" borderId="0" xfId="0" applyNumberFormat="1" applyFont="1" applyFill="1" applyBorder="1" applyProtection="1"/>
    <xf numFmtId="1" fontId="16" fillId="4" borderId="0" xfId="0" applyNumberFormat="1" applyFont="1" applyFill="1" applyBorder="1" applyProtection="1"/>
    <xf numFmtId="0" fontId="8" fillId="4" borderId="0" xfId="0" applyNumberFormat="1" applyFont="1" applyFill="1" applyBorder="1" applyProtection="1"/>
    <xf numFmtId="1" fontId="8" fillId="4" borderId="0" xfId="0" applyNumberFormat="1" applyFont="1" applyFill="1" applyBorder="1" applyProtection="1"/>
    <xf numFmtId="0" fontId="18" fillId="4" borderId="0" xfId="0" applyFont="1" applyFill="1" applyBorder="1" applyProtection="1"/>
    <xf numFmtId="0" fontId="18" fillId="5" borderId="5" xfId="0" applyFont="1" applyFill="1" applyBorder="1" applyProtection="1"/>
    <xf numFmtId="0" fontId="18" fillId="5" borderId="0" xfId="0" applyFont="1" applyFill="1" applyBorder="1" applyProtection="1"/>
    <xf numFmtId="0" fontId="19" fillId="5" borderId="0" xfId="0" applyFont="1" applyFill="1" applyBorder="1" applyAlignment="1" applyProtection="1"/>
    <xf numFmtId="172" fontId="11" fillId="5" borderId="0" xfId="0" applyNumberFormat="1" applyFont="1" applyFill="1" applyBorder="1" applyAlignment="1" applyProtection="1">
      <alignment horizontal="left"/>
    </xf>
    <xf numFmtId="0" fontId="17" fillId="5" borderId="0" xfId="0" applyFont="1" applyFill="1" applyBorder="1" applyAlignment="1" applyProtection="1">
      <alignment horizontal="center"/>
    </xf>
    <xf numFmtId="173" fontId="17" fillId="5" borderId="0" xfId="0" applyNumberFormat="1" applyFont="1" applyFill="1" applyBorder="1" applyAlignment="1" applyProtection="1">
      <alignment horizontal="center"/>
    </xf>
    <xf numFmtId="0" fontId="18" fillId="5" borderId="0" xfId="0" applyNumberFormat="1" applyFont="1" applyFill="1" applyBorder="1" applyAlignment="1" applyProtection="1">
      <alignment horizontal="center"/>
    </xf>
    <xf numFmtId="171" fontId="18" fillId="5" borderId="0" xfId="0" applyNumberFormat="1" applyFont="1" applyFill="1" applyBorder="1" applyAlignment="1" applyProtection="1">
      <alignment horizontal="center"/>
    </xf>
    <xf numFmtId="0" fontId="18" fillId="5" borderId="6" xfId="0" applyFont="1" applyFill="1" applyBorder="1" applyProtection="1"/>
    <xf numFmtId="0" fontId="18" fillId="4" borderId="0" xfId="0" applyNumberFormat="1" applyFont="1" applyFill="1" applyBorder="1" applyProtection="1"/>
    <xf numFmtId="171" fontId="18" fillId="4" borderId="0" xfId="0" applyNumberFormat="1" applyFont="1" applyFill="1" applyBorder="1" applyAlignment="1" applyProtection="1">
      <alignment horizontal="center"/>
    </xf>
    <xf numFmtId="0" fontId="18" fillId="4" borderId="0" xfId="0" applyNumberFormat="1" applyFont="1" applyFill="1" applyBorder="1" applyAlignment="1" applyProtection="1">
      <alignment horizontal="center"/>
    </xf>
    <xf numFmtId="171" fontId="18" fillId="4" borderId="0" xfId="0" applyNumberFormat="1" applyFont="1" applyFill="1" applyBorder="1" applyProtection="1"/>
    <xf numFmtId="1" fontId="18" fillId="4" borderId="0" xfId="0" applyNumberFormat="1" applyFont="1" applyFill="1" applyBorder="1" applyProtection="1"/>
    <xf numFmtId="172" fontId="9" fillId="5" borderId="0" xfId="0" applyNumberFormat="1" applyFont="1" applyFill="1" applyBorder="1" applyAlignment="1" applyProtection="1">
      <alignment horizontal="left"/>
    </xf>
    <xf numFmtId="0" fontId="14" fillId="5" borderId="0" xfId="0" applyFont="1" applyFill="1" applyBorder="1" applyAlignment="1" applyProtection="1">
      <alignment horizontal="left"/>
    </xf>
    <xf numFmtId="173" fontId="14" fillId="5" borderId="0" xfId="0" applyNumberFormat="1" applyFont="1" applyFill="1" applyBorder="1" applyAlignment="1" applyProtection="1">
      <alignment horizontal="center"/>
    </xf>
    <xf numFmtId="0" fontId="11" fillId="5" borderId="0" xfId="0" applyFont="1" applyFill="1" applyBorder="1" applyAlignment="1" applyProtection="1">
      <alignment horizontal="left"/>
    </xf>
    <xf numFmtId="0" fontId="8" fillId="4" borderId="11" xfId="0" applyFont="1" applyFill="1" applyBorder="1" applyAlignment="1" applyProtection="1"/>
    <xf numFmtId="0" fontId="14" fillId="4" borderId="11" xfId="0" applyFont="1" applyFill="1" applyBorder="1" applyAlignment="1" applyProtection="1">
      <alignment horizontal="left"/>
    </xf>
    <xf numFmtId="173" fontId="8" fillId="4" borderId="11" xfId="0" applyNumberFormat="1" applyFont="1" applyFill="1" applyBorder="1" applyAlignment="1" applyProtection="1">
      <alignment horizontal="center"/>
    </xf>
    <xf numFmtId="0" fontId="8" fillId="4" borderId="11" xfId="0" applyNumberFormat="1" applyFont="1" applyFill="1" applyBorder="1" applyAlignment="1" applyProtection="1">
      <alignment horizontal="center"/>
    </xf>
    <xf numFmtId="171" fontId="8" fillId="4" borderId="11" xfId="0" applyNumberFormat="1" applyFont="1" applyFill="1" applyBorder="1" applyAlignment="1" applyProtection="1">
      <alignment horizontal="center"/>
    </xf>
    <xf numFmtId="166" fontId="8" fillId="4" borderId="11" xfId="0" applyNumberFormat="1" applyFont="1" applyFill="1" applyBorder="1" applyProtection="1"/>
    <xf numFmtId="164" fontId="8" fillId="4" borderId="11" xfId="0" applyNumberFormat="1" applyFont="1" applyFill="1" applyBorder="1" applyProtection="1"/>
    <xf numFmtId="0" fontId="46" fillId="4" borderId="0" xfId="0" applyFont="1" applyFill="1" applyBorder="1" applyAlignment="1" applyProtection="1">
      <alignment horizontal="center"/>
    </xf>
    <xf numFmtId="0" fontId="46" fillId="5" borderId="5" xfId="0" applyFont="1" applyFill="1" applyBorder="1" applyAlignment="1" applyProtection="1">
      <alignment horizontal="center"/>
    </xf>
    <xf numFmtId="0" fontId="46" fillId="4" borderId="13" xfId="0" applyFont="1" applyFill="1" applyBorder="1" applyAlignment="1" applyProtection="1">
      <alignment horizontal="center"/>
    </xf>
    <xf numFmtId="166" fontId="46" fillId="5" borderId="6" xfId="0" applyNumberFormat="1" applyFont="1" applyFill="1" applyBorder="1" applyAlignment="1" applyProtection="1">
      <alignment horizontal="center"/>
    </xf>
    <xf numFmtId="166" fontId="46" fillId="4" borderId="0" xfId="0" applyNumberFormat="1" applyFont="1" applyFill="1" applyBorder="1" applyAlignment="1" applyProtection="1">
      <alignment horizontal="center"/>
    </xf>
    <xf numFmtId="0" fontId="48" fillId="4" borderId="14" xfId="0" applyNumberFormat="1" applyFont="1" applyFill="1" applyBorder="1" applyAlignment="1" applyProtection="1">
      <alignment horizontal="center"/>
    </xf>
    <xf numFmtId="0" fontId="48" fillId="4" borderId="0" xfId="0" applyFont="1" applyFill="1" applyBorder="1" applyAlignment="1" applyProtection="1">
      <alignment horizontal="center"/>
    </xf>
    <xf numFmtId="166" fontId="48" fillId="5" borderId="6" xfId="0" applyNumberFormat="1" applyFont="1" applyFill="1" applyBorder="1" applyAlignment="1" applyProtection="1">
      <alignment horizontal="center"/>
    </xf>
    <xf numFmtId="166" fontId="48" fillId="4" borderId="0" xfId="0" applyNumberFormat="1" applyFont="1" applyFill="1" applyBorder="1" applyAlignment="1" applyProtection="1">
      <alignment horizontal="center"/>
    </xf>
    <xf numFmtId="1" fontId="10" fillId="4" borderId="14" xfId="0" applyNumberFormat="1" applyFont="1" applyFill="1" applyBorder="1" applyAlignment="1" applyProtection="1">
      <alignment horizontal="center"/>
    </xf>
    <xf numFmtId="173" fontId="8" fillId="4" borderId="14" xfId="0" applyNumberFormat="1" applyFont="1" applyFill="1" applyBorder="1" applyAlignment="1" applyProtection="1">
      <alignment horizontal="center"/>
    </xf>
    <xf numFmtId="0" fontId="10" fillId="4" borderId="14" xfId="0" applyNumberFormat="1" applyFont="1" applyFill="1" applyBorder="1" applyAlignment="1" applyProtection="1">
      <alignment horizontal="center"/>
    </xf>
    <xf numFmtId="171" fontId="10" fillId="4" borderId="14" xfId="0" applyNumberFormat="1" applyFont="1" applyFill="1" applyBorder="1" applyAlignment="1" applyProtection="1">
      <alignment horizontal="center"/>
    </xf>
    <xf numFmtId="166" fontId="8" fillId="4" borderId="14" xfId="0" applyNumberFormat="1" applyFont="1" applyFill="1" applyBorder="1" applyAlignment="1" applyProtection="1">
      <alignment horizontal="center"/>
    </xf>
    <xf numFmtId="166" fontId="8" fillId="4" borderId="0" xfId="4" applyNumberFormat="1" applyFont="1" applyFill="1" applyBorder="1" applyProtection="1"/>
    <xf numFmtId="0" fontId="8" fillId="5" borderId="14" xfId="0" applyFont="1" applyFill="1" applyBorder="1" applyAlignment="1" applyProtection="1">
      <protection locked="0"/>
    </xf>
    <xf numFmtId="173" fontId="8" fillId="5" borderId="14" xfId="0" applyNumberFormat="1" applyFont="1" applyFill="1" applyBorder="1" applyAlignment="1" applyProtection="1">
      <alignment horizontal="center"/>
      <protection locked="0"/>
    </xf>
    <xf numFmtId="171" fontId="8" fillId="5" borderId="14" xfId="4" applyNumberFormat="1" applyFont="1" applyFill="1" applyBorder="1" applyAlignment="1" applyProtection="1">
      <alignment horizontal="center"/>
      <protection locked="0"/>
    </xf>
    <xf numFmtId="171" fontId="8" fillId="5" borderId="14" xfId="0" applyNumberFormat="1" applyFont="1" applyFill="1" applyBorder="1" applyAlignment="1" applyProtection="1">
      <alignment horizontal="center"/>
      <protection locked="0"/>
    </xf>
    <xf numFmtId="0" fontId="8" fillId="4" borderId="14" xfId="0" applyNumberFormat="1" applyFont="1" applyFill="1" applyBorder="1" applyAlignment="1" applyProtection="1">
      <alignment horizontal="center"/>
    </xf>
    <xf numFmtId="166" fontId="8" fillId="5" borderId="6" xfId="4" applyNumberFormat="1" applyFont="1" applyFill="1" applyBorder="1" applyProtection="1"/>
    <xf numFmtId="171" fontId="8" fillId="4" borderId="0" xfId="4" applyNumberFormat="1" applyFont="1" applyFill="1" applyBorder="1" applyAlignment="1" applyProtection="1">
      <alignment horizontal="center"/>
    </xf>
    <xf numFmtId="0" fontId="8" fillId="4" borderId="15" xfId="0" applyNumberFormat="1" applyFont="1" applyFill="1" applyBorder="1" applyProtection="1"/>
    <xf numFmtId="0" fontId="9" fillId="4" borderId="0" xfId="0" applyNumberFormat="1" applyFont="1" applyFill="1" applyBorder="1" applyProtection="1"/>
    <xf numFmtId="0" fontId="9" fillId="4" borderId="14" xfId="0" applyFont="1" applyFill="1" applyBorder="1" applyAlignment="1" applyProtection="1"/>
    <xf numFmtId="171" fontId="9" fillId="4" borderId="14" xfId="0" applyNumberFormat="1" applyFont="1" applyFill="1" applyBorder="1" applyAlignment="1" applyProtection="1">
      <alignment horizontal="center"/>
    </xf>
    <xf numFmtId="173" fontId="9" fillId="4" borderId="14" xfId="0" applyNumberFormat="1" applyFont="1" applyFill="1" applyBorder="1" applyAlignment="1" applyProtection="1">
      <alignment horizontal="center"/>
    </xf>
    <xf numFmtId="166" fontId="9" fillId="4" borderId="17" xfId="0" applyNumberFormat="1" applyFont="1" applyFill="1" applyBorder="1" applyProtection="1"/>
    <xf numFmtId="0" fontId="23" fillId="5" borderId="6" xfId="0" applyNumberFormat="1" applyFont="1" applyFill="1" applyBorder="1" applyProtection="1"/>
    <xf numFmtId="0" fontId="8" fillId="4" borderId="17" xfId="0" applyFont="1" applyFill="1" applyBorder="1" applyAlignment="1" applyProtection="1"/>
    <xf numFmtId="173" fontId="8" fillId="4" borderId="17" xfId="0" applyNumberFormat="1" applyFont="1" applyFill="1" applyBorder="1" applyAlignment="1" applyProtection="1">
      <alignment horizontal="center"/>
    </xf>
    <xf numFmtId="0" fontId="8" fillId="4" borderId="17" xfId="0" applyNumberFormat="1" applyFont="1" applyFill="1" applyBorder="1" applyAlignment="1" applyProtection="1">
      <alignment horizontal="center"/>
    </xf>
    <xf numFmtId="171" fontId="8" fillId="4" borderId="17" xfId="0" applyNumberFormat="1" applyFont="1" applyFill="1" applyBorder="1" applyAlignment="1" applyProtection="1">
      <alignment horizontal="center"/>
    </xf>
    <xf numFmtId="0" fontId="8" fillId="4" borderId="17" xfId="0" applyNumberFormat="1" applyFont="1" applyFill="1" applyBorder="1" applyProtection="1"/>
    <xf numFmtId="0" fontId="8" fillId="4" borderId="18" xfId="0" applyNumberFormat="1" applyFont="1" applyFill="1" applyBorder="1" applyProtection="1"/>
    <xf numFmtId="166" fontId="9" fillId="5" borderId="0" xfId="0" applyNumberFormat="1" applyFont="1" applyFill="1" applyBorder="1" applyProtection="1"/>
    <xf numFmtId="0" fontId="8" fillId="5" borderId="0" xfId="0" applyNumberFormat="1" applyFont="1" applyFill="1" applyBorder="1" applyProtection="1"/>
    <xf numFmtId="0" fontId="9" fillId="5" borderId="0" xfId="0" applyFont="1" applyFill="1" applyBorder="1" applyAlignment="1" applyProtection="1">
      <alignment horizontal="left"/>
    </xf>
    <xf numFmtId="0" fontId="9" fillId="5" borderId="6" xfId="0" applyNumberFormat="1" applyFont="1" applyFill="1" applyBorder="1" applyProtection="1"/>
    <xf numFmtId="0" fontId="20" fillId="4" borderId="0" xfId="0" applyFont="1" applyFill="1" applyBorder="1" applyProtection="1"/>
    <xf numFmtId="0" fontId="20" fillId="5" borderId="5" xfId="0" applyFont="1" applyFill="1" applyBorder="1" applyProtection="1"/>
    <xf numFmtId="0" fontId="20" fillId="5" borderId="6" xfId="0" applyFont="1" applyFill="1" applyBorder="1" applyProtection="1"/>
    <xf numFmtId="0" fontId="9" fillId="4" borderId="0" xfId="0" quotePrefix="1" applyFont="1" applyFill="1" applyBorder="1" applyAlignment="1" applyProtection="1">
      <alignment horizontal="right"/>
    </xf>
    <xf numFmtId="0" fontId="8" fillId="5" borderId="8" xfId="0" applyFont="1" applyFill="1" applyBorder="1" applyAlignment="1" applyProtection="1"/>
    <xf numFmtId="0" fontId="8" fillId="5" borderId="8" xfId="0" applyFont="1" applyFill="1" applyBorder="1" applyAlignment="1" applyProtection="1">
      <alignment horizontal="left"/>
    </xf>
    <xf numFmtId="0" fontId="8" fillId="5" borderId="8" xfId="0" applyFont="1" applyFill="1" applyBorder="1" applyAlignment="1" applyProtection="1">
      <alignment horizontal="center"/>
    </xf>
    <xf numFmtId="173" fontId="8" fillId="5" borderId="8" xfId="0" applyNumberFormat="1" applyFont="1" applyFill="1" applyBorder="1" applyAlignment="1" applyProtection="1">
      <alignment horizontal="center"/>
    </xf>
    <xf numFmtId="0" fontId="8" fillId="5" borderId="8" xfId="0" applyNumberFormat="1" applyFont="1" applyFill="1" applyBorder="1" applyAlignment="1" applyProtection="1">
      <alignment horizontal="center"/>
    </xf>
    <xf numFmtId="171" fontId="8" fillId="5" borderId="8" xfId="4" applyNumberFormat="1" applyFont="1" applyFill="1" applyBorder="1" applyAlignment="1" applyProtection="1">
      <alignment horizontal="center"/>
    </xf>
    <xf numFmtId="171" fontId="8" fillId="5" borderId="8" xfId="0" applyNumberFormat="1" applyFont="1" applyFill="1" applyBorder="1" applyAlignment="1" applyProtection="1">
      <alignment horizontal="center"/>
    </xf>
    <xf numFmtId="166" fontId="8" fillId="5" borderId="8" xfId="4" applyNumberFormat="1" applyFont="1" applyFill="1" applyBorder="1" applyProtection="1"/>
    <xf numFmtId="164" fontId="8" fillId="5" borderId="8" xfId="0" applyNumberFormat="1" applyFont="1" applyFill="1" applyBorder="1" applyAlignment="1" applyProtection="1">
      <alignment horizontal="center"/>
    </xf>
    <xf numFmtId="164" fontId="8" fillId="4" borderId="0" xfId="0" applyNumberFormat="1" applyFont="1" applyFill="1" applyBorder="1" applyAlignment="1" applyProtection="1">
      <alignment horizontal="center"/>
    </xf>
    <xf numFmtId="0" fontId="9" fillId="4" borderId="0" xfId="0" applyFont="1" applyFill="1" applyBorder="1" applyAlignment="1" applyProtection="1">
      <alignment horizontal="left"/>
    </xf>
    <xf numFmtId="172" fontId="9" fillId="4" borderId="0" xfId="0" applyNumberFormat="1" applyFont="1" applyFill="1" applyBorder="1" applyAlignment="1" applyProtection="1">
      <alignment horizontal="left"/>
    </xf>
    <xf numFmtId="166" fontId="9" fillId="4" borderId="0" xfId="0" applyNumberFormat="1" applyFont="1" applyFill="1" applyBorder="1" applyProtection="1"/>
    <xf numFmtId="0" fontId="58" fillId="4" borderId="0" xfId="0" applyFont="1" applyFill="1" applyBorder="1" applyProtection="1"/>
    <xf numFmtId="0" fontId="58" fillId="5" borderId="3" xfId="0" applyFont="1" applyFill="1" applyBorder="1" applyProtection="1"/>
    <xf numFmtId="0" fontId="58" fillId="5" borderId="0" xfId="0" applyFont="1" applyFill="1" applyBorder="1" applyProtection="1"/>
    <xf numFmtId="0" fontId="33" fillId="4" borderId="0" xfId="0" applyFont="1" applyFill="1" applyBorder="1" applyProtection="1"/>
    <xf numFmtId="0" fontId="26" fillId="5" borderId="5" xfId="0" applyFont="1" applyFill="1" applyBorder="1" applyAlignment="1" applyProtection="1">
      <alignment horizontal="left"/>
    </xf>
    <xf numFmtId="0" fontId="33" fillId="5" borderId="0" xfId="0" applyFont="1" applyFill="1" applyBorder="1" applyProtection="1"/>
    <xf numFmtId="0" fontId="33" fillId="5" borderId="0" xfId="0" applyFont="1" applyFill="1" applyBorder="1" applyAlignment="1" applyProtection="1">
      <alignment horizontal="center"/>
    </xf>
    <xf numFmtId="173" fontId="33" fillId="5" borderId="0" xfId="0" applyNumberFormat="1" applyFont="1" applyFill="1" applyBorder="1" applyAlignment="1" applyProtection="1">
      <alignment horizontal="center"/>
    </xf>
    <xf numFmtId="0" fontId="33" fillId="5" borderId="0" xfId="0" applyNumberFormat="1" applyFont="1" applyFill="1" applyBorder="1" applyAlignment="1" applyProtection="1">
      <alignment horizontal="center"/>
    </xf>
    <xf numFmtId="171" fontId="33" fillId="5" borderId="0" xfId="0" applyNumberFormat="1" applyFont="1" applyFill="1" applyBorder="1" applyAlignment="1" applyProtection="1">
      <alignment horizontal="center"/>
    </xf>
    <xf numFmtId="0" fontId="59" fillId="5" borderId="0" xfId="0" applyFont="1" applyFill="1" applyBorder="1" applyProtection="1"/>
    <xf numFmtId="0" fontId="33" fillId="5" borderId="6" xfId="0" applyFont="1" applyFill="1" applyBorder="1" applyProtection="1"/>
    <xf numFmtId="0" fontId="60" fillId="5" borderId="0" xfId="0" applyFont="1" applyFill="1" applyBorder="1" applyProtection="1"/>
    <xf numFmtId="0" fontId="19" fillId="5" borderId="0" xfId="0" applyFont="1" applyFill="1" applyBorder="1" applyAlignment="1" applyProtection="1">
      <alignment horizontal="left"/>
    </xf>
    <xf numFmtId="0" fontId="11" fillId="5" borderId="0" xfId="0" applyFont="1" applyFill="1" applyBorder="1" applyAlignment="1" applyProtection="1">
      <alignment horizontal="left" indent="1"/>
    </xf>
    <xf numFmtId="0" fontId="21" fillId="4" borderId="10" xfId="0" applyFont="1" applyFill="1" applyBorder="1" applyProtection="1"/>
    <xf numFmtId="0" fontId="46" fillId="4" borderId="14" xfId="0" applyFont="1" applyFill="1" applyBorder="1" applyAlignment="1" applyProtection="1">
      <alignment horizontal="left"/>
    </xf>
    <xf numFmtId="166" fontId="46" fillId="4" borderId="0" xfId="4" applyNumberFormat="1" applyFont="1" applyFill="1" applyBorder="1" applyProtection="1"/>
    <xf numFmtId="166" fontId="10" fillId="4" borderId="15" xfId="0" applyNumberFormat="1" applyFont="1" applyFill="1" applyBorder="1" applyAlignment="1" applyProtection="1">
      <alignment horizontal="center"/>
    </xf>
    <xf numFmtId="0" fontId="9" fillId="4" borderId="17" xfId="0" applyFont="1" applyFill="1" applyBorder="1" applyAlignment="1" applyProtection="1">
      <alignment horizontal="center"/>
    </xf>
    <xf numFmtId="173" fontId="9" fillId="4" borderId="17" xfId="0" applyNumberFormat="1" applyFont="1" applyFill="1" applyBorder="1" applyAlignment="1" applyProtection="1">
      <alignment horizontal="center"/>
    </xf>
    <xf numFmtId="0" fontId="9" fillId="4" borderId="17" xfId="0" applyNumberFormat="1" applyFont="1" applyFill="1" applyBorder="1" applyAlignment="1" applyProtection="1">
      <alignment horizontal="center"/>
    </xf>
    <xf numFmtId="166" fontId="62" fillId="4" borderId="0" xfId="0" applyNumberFormat="1" applyFont="1" applyFill="1" applyBorder="1" applyProtection="1"/>
    <xf numFmtId="166" fontId="58" fillId="5" borderId="8" xfId="4" applyNumberFormat="1" applyFont="1" applyFill="1" applyBorder="1" applyProtection="1"/>
    <xf numFmtId="171" fontId="8" fillId="5" borderId="3" xfId="4" applyNumberFormat="1" applyFont="1" applyFill="1" applyBorder="1" applyAlignment="1" applyProtection="1">
      <alignment horizontal="center"/>
    </xf>
    <xf numFmtId="166" fontId="8" fillId="5" borderId="3" xfId="4" applyNumberFormat="1" applyFont="1" applyFill="1" applyBorder="1" applyProtection="1"/>
    <xf numFmtId="166" fontId="58" fillId="5" borderId="3" xfId="4" applyNumberFormat="1" applyFont="1" applyFill="1" applyBorder="1" applyProtection="1"/>
    <xf numFmtId="164" fontId="8" fillId="5" borderId="3" xfId="0" applyNumberFormat="1" applyFont="1" applyFill="1" applyBorder="1" applyAlignment="1" applyProtection="1">
      <alignment horizontal="center"/>
    </xf>
    <xf numFmtId="171" fontId="8" fillId="5" borderId="0" xfId="4" applyNumberFormat="1" applyFont="1" applyFill="1" applyBorder="1" applyAlignment="1" applyProtection="1">
      <alignment horizontal="center"/>
    </xf>
    <xf numFmtId="166" fontId="8" fillId="5" borderId="0" xfId="4" applyNumberFormat="1" applyFont="1" applyFill="1" applyBorder="1" applyProtection="1"/>
    <xf numFmtId="166" fontId="58" fillId="5" borderId="0" xfId="4" applyNumberFormat="1" applyFont="1" applyFill="1" applyBorder="1" applyProtection="1"/>
    <xf numFmtId="164" fontId="8" fillId="5" borderId="0" xfId="0" applyNumberFormat="1" applyFont="1" applyFill="1" applyBorder="1" applyAlignment="1" applyProtection="1">
      <alignment horizontal="center"/>
    </xf>
    <xf numFmtId="166" fontId="9" fillId="5" borderId="8" xfId="0" applyNumberFormat="1" applyFont="1" applyFill="1" applyBorder="1" applyProtection="1"/>
    <xf numFmtId="166" fontId="62" fillId="5" borderId="8" xfId="0" applyNumberFormat="1" applyFont="1" applyFill="1" applyBorder="1" applyProtection="1"/>
    <xf numFmtId="0" fontId="15" fillId="4" borderId="0" xfId="0" applyFont="1" applyFill="1" applyBorder="1" applyAlignment="1" applyProtection="1">
      <alignment horizontal="left"/>
    </xf>
    <xf numFmtId="0" fontId="15" fillId="4" borderId="0" xfId="0" applyFont="1" applyFill="1" applyBorder="1" applyAlignment="1" applyProtection="1">
      <alignment horizontal="center"/>
    </xf>
    <xf numFmtId="173" fontId="15" fillId="4" borderId="0" xfId="0" applyNumberFormat="1" applyFont="1" applyFill="1" applyBorder="1" applyAlignment="1" applyProtection="1">
      <alignment horizontal="center"/>
    </xf>
    <xf numFmtId="0" fontId="15" fillId="4" borderId="0" xfId="0" applyNumberFormat="1" applyFont="1" applyFill="1" applyBorder="1" applyAlignment="1" applyProtection="1">
      <alignment horizontal="center"/>
    </xf>
    <xf numFmtId="176" fontId="15" fillId="4" borderId="0" xfId="0" applyNumberFormat="1" applyFont="1" applyFill="1" applyBorder="1" applyAlignment="1" applyProtection="1">
      <alignment horizontal="center"/>
    </xf>
    <xf numFmtId="164" fontId="15" fillId="4" borderId="0" xfId="0" applyNumberFormat="1" applyFont="1" applyFill="1" applyBorder="1" applyAlignment="1" applyProtection="1">
      <alignment horizontal="right"/>
    </xf>
    <xf numFmtId="164" fontId="62" fillId="4" borderId="0" xfId="0" applyNumberFormat="1" applyFont="1" applyFill="1" applyBorder="1" applyAlignment="1" applyProtection="1">
      <alignment horizontal="right"/>
    </xf>
    <xf numFmtId="0" fontId="61" fillId="4" borderId="0" xfId="0" applyFont="1" applyFill="1" applyBorder="1" applyProtection="1"/>
    <xf numFmtId="0" fontId="61" fillId="5" borderId="3" xfId="0" applyFont="1" applyFill="1" applyBorder="1" applyProtection="1"/>
    <xf numFmtId="0" fontId="61" fillId="5" borderId="0" xfId="0" applyFont="1" applyFill="1" applyBorder="1" applyProtection="1"/>
    <xf numFmtId="0" fontId="63" fillId="5" borderId="0" xfId="0" applyFont="1" applyFill="1" applyBorder="1" applyProtection="1"/>
    <xf numFmtId="0" fontId="64" fillId="5" borderId="0" xfId="0" applyFont="1" applyFill="1" applyBorder="1" applyProtection="1"/>
    <xf numFmtId="166" fontId="8" fillId="4" borderId="15" xfId="4" applyNumberFormat="1" applyFont="1" applyFill="1" applyBorder="1" applyProtection="1"/>
    <xf numFmtId="0" fontId="9" fillId="4" borderId="14" xfId="0" applyNumberFormat="1" applyFont="1" applyFill="1" applyBorder="1" applyAlignment="1" applyProtection="1">
      <alignment horizontal="center"/>
    </xf>
    <xf numFmtId="166" fontId="9" fillId="4" borderId="14" xfId="0" applyNumberFormat="1" applyFont="1" applyFill="1" applyBorder="1" applyAlignment="1" applyProtection="1">
      <alignment horizontal="center"/>
    </xf>
    <xf numFmtId="166" fontId="65" fillId="4" borderId="17" xfId="0" applyNumberFormat="1" applyFont="1" applyFill="1" applyBorder="1" applyProtection="1"/>
    <xf numFmtId="0" fontId="8" fillId="4" borderId="18" xfId="0" applyNumberFormat="1" applyFont="1" applyFill="1" applyBorder="1" applyAlignment="1" applyProtection="1">
      <alignment horizontal="center"/>
    </xf>
    <xf numFmtId="166" fontId="61" fillId="5" borderId="0" xfId="4" applyNumberFormat="1" applyFont="1" applyFill="1" applyBorder="1" applyProtection="1"/>
    <xf numFmtId="166" fontId="8" fillId="4" borderId="0" xfId="0" applyNumberFormat="1" applyFont="1" applyFill="1" applyBorder="1" applyAlignment="1" applyProtection="1">
      <alignment horizontal="center"/>
    </xf>
    <xf numFmtId="1" fontId="8" fillId="4" borderId="0" xfId="0" applyNumberFormat="1" applyFont="1" applyFill="1" applyBorder="1" applyAlignment="1" applyProtection="1">
      <alignment horizontal="center"/>
    </xf>
    <xf numFmtId="166" fontId="10" fillId="4" borderId="0" xfId="0" applyNumberFormat="1" applyFont="1" applyFill="1" applyBorder="1" applyAlignment="1" applyProtection="1">
      <alignment horizontal="center"/>
    </xf>
    <xf numFmtId="166" fontId="61" fillId="5" borderId="8" xfId="4" applyNumberFormat="1" applyFont="1" applyFill="1" applyBorder="1" applyProtection="1"/>
    <xf numFmtId="166" fontId="8" fillId="4" borderId="0" xfId="4" applyNumberFormat="1" applyFont="1" applyFill="1" applyBorder="1" applyAlignment="1" applyProtection="1">
      <alignment horizontal="center"/>
    </xf>
    <xf numFmtId="166" fontId="61" fillId="4" borderId="0" xfId="4" applyNumberFormat="1" applyFont="1" applyFill="1" applyBorder="1" applyProtection="1"/>
    <xf numFmtId="166" fontId="21" fillId="5" borderId="0" xfId="0" applyNumberFormat="1" applyFont="1" applyFill="1" applyBorder="1" applyProtection="1"/>
    <xf numFmtId="0" fontId="22" fillId="4" borderId="0" xfId="0" applyFont="1" applyFill="1" applyBorder="1" applyProtection="1"/>
    <xf numFmtId="0" fontId="48" fillId="5" borderId="0" xfId="0" applyNumberFormat="1" applyFont="1" applyFill="1" applyBorder="1" applyAlignment="1" applyProtection="1">
      <alignment horizontal="right"/>
    </xf>
    <xf numFmtId="0" fontId="49" fillId="5" borderId="0" xfId="0" applyNumberFormat="1" applyFont="1" applyFill="1" applyBorder="1" applyProtection="1"/>
    <xf numFmtId="0" fontId="14" fillId="5" borderId="0" xfId="0" applyFont="1" applyFill="1" applyBorder="1" applyProtection="1"/>
    <xf numFmtId="166" fontId="14" fillId="5" borderId="0" xfId="0" quotePrefix="1" applyNumberFormat="1" applyFont="1" applyFill="1" applyBorder="1" applyAlignment="1" applyProtection="1">
      <alignment horizontal="center"/>
    </xf>
    <xf numFmtId="0" fontId="14" fillId="5" borderId="0" xfId="0" quotePrefix="1" applyNumberFormat="1" applyFont="1" applyFill="1" applyBorder="1" applyAlignment="1" applyProtection="1">
      <alignment horizontal="center"/>
    </xf>
    <xf numFmtId="0" fontId="14" fillId="5" borderId="6" xfId="0" quotePrefix="1" applyNumberFormat="1" applyFont="1" applyFill="1" applyBorder="1" applyAlignment="1" applyProtection="1">
      <alignment horizontal="center"/>
    </xf>
    <xf numFmtId="0" fontId="8" fillId="4" borderId="11" xfId="0" applyFont="1" applyFill="1" applyBorder="1" applyAlignment="1" applyProtection="1">
      <alignment horizontal="right"/>
    </xf>
    <xf numFmtId="166" fontId="14" fillId="4" borderId="11" xfId="0" quotePrefix="1" applyNumberFormat="1" applyFont="1" applyFill="1" applyBorder="1" applyAlignment="1" applyProtection="1">
      <alignment horizontal="right"/>
    </xf>
    <xf numFmtId="0" fontId="50" fillId="5" borderId="5" xfId="0" applyFont="1" applyFill="1" applyBorder="1" applyProtection="1"/>
    <xf numFmtId="0" fontId="50" fillId="4" borderId="13" xfId="0" applyFont="1" applyFill="1" applyBorder="1" applyProtection="1"/>
    <xf numFmtId="166" fontId="46" fillId="4" borderId="14" xfId="0" applyNumberFormat="1" applyFont="1" applyFill="1" applyBorder="1" applyProtection="1"/>
    <xf numFmtId="166" fontId="49" fillId="4" borderId="14" xfId="0" quotePrefix="1" applyNumberFormat="1" applyFont="1" applyFill="1" applyBorder="1" applyAlignment="1" applyProtection="1">
      <alignment horizontal="right"/>
    </xf>
    <xf numFmtId="0" fontId="50" fillId="4" borderId="0" xfId="0" applyFont="1" applyFill="1" applyBorder="1" applyProtection="1"/>
    <xf numFmtId="166" fontId="8" fillId="4" borderId="14" xfId="0" applyNumberFormat="1" applyFont="1" applyFill="1" applyBorder="1" applyProtection="1"/>
    <xf numFmtId="166" fontId="14" fillId="4" borderId="14" xfId="0" quotePrefix="1" applyNumberFormat="1" applyFont="1" applyFill="1" applyBorder="1" applyAlignment="1" applyProtection="1">
      <alignment horizontal="right"/>
    </xf>
    <xf numFmtId="166" fontId="14" fillId="4" borderId="15" xfId="4" applyNumberFormat="1" applyFont="1" applyFill="1" applyBorder="1" applyAlignment="1" applyProtection="1">
      <alignment horizontal="left"/>
    </xf>
    <xf numFmtId="164" fontId="14" fillId="5" borderId="6" xfId="4" applyNumberFormat="1" applyFont="1" applyFill="1" applyBorder="1" applyAlignment="1" applyProtection="1">
      <alignment horizontal="left"/>
    </xf>
    <xf numFmtId="164" fontId="8" fillId="4" borderId="15" xfId="4" applyNumberFormat="1" applyFont="1" applyFill="1" applyBorder="1" applyAlignment="1" applyProtection="1">
      <alignment horizontal="left"/>
    </xf>
    <xf numFmtId="164" fontId="8" fillId="5" borderId="6" xfId="4" applyNumberFormat="1" applyFont="1" applyFill="1" applyBorder="1" applyAlignment="1" applyProtection="1">
      <alignment horizontal="left"/>
    </xf>
    <xf numFmtId="164" fontId="10" fillId="5" borderId="6" xfId="4" applyNumberFormat="1" applyFont="1" applyFill="1" applyBorder="1" applyAlignment="1" applyProtection="1">
      <alignment horizontal="left"/>
    </xf>
    <xf numFmtId="166" fontId="25" fillId="4" borderId="14" xfId="4" applyNumberFormat="1" applyFont="1" applyFill="1" applyBorder="1" applyAlignment="1" applyProtection="1">
      <alignment horizontal="left"/>
    </xf>
    <xf numFmtId="164" fontId="10" fillId="4" borderId="14" xfId="4" applyNumberFormat="1" applyFont="1" applyFill="1" applyBorder="1" applyAlignment="1" applyProtection="1">
      <alignment horizontal="left"/>
    </xf>
    <xf numFmtId="164" fontId="10" fillId="4" borderId="15" xfId="4" applyNumberFormat="1" applyFont="1" applyFill="1" applyBorder="1" applyAlignment="1" applyProtection="1">
      <alignment horizontal="left"/>
    </xf>
    <xf numFmtId="166" fontId="8" fillId="4" borderId="15" xfId="4" applyNumberFormat="1" applyFont="1" applyFill="1" applyBorder="1" applyAlignment="1" applyProtection="1">
      <alignment horizontal="left"/>
    </xf>
    <xf numFmtId="166" fontId="8" fillId="5" borderId="14" xfId="4" applyNumberFormat="1" applyFont="1" applyFill="1" applyBorder="1" applyAlignment="1" applyProtection="1">
      <alignment horizontal="left"/>
      <protection locked="0"/>
    </xf>
    <xf numFmtId="164" fontId="9" fillId="4" borderId="14" xfId="4" applyNumberFormat="1" applyFont="1" applyFill="1" applyBorder="1" applyAlignment="1" applyProtection="1">
      <alignment horizontal="left"/>
    </xf>
    <xf numFmtId="164" fontId="8" fillId="4" borderId="14" xfId="0" applyNumberFormat="1" applyFont="1" applyFill="1" applyBorder="1" applyAlignment="1" applyProtection="1">
      <alignment horizontal="left"/>
    </xf>
    <xf numFmtId="164" fontId="8" fillId="4" borderId="15" xfId="0" applyNumberFormat="1" applyFont="1" applyFill="1" applyBorder="1" applyAlignment="1" applyProtection="1">
      <alignment horizontal="left"/>
    </xf>
    <xf numFmtId="0" fontId="37" fillId="4" borderId="14" xfId="0" applyFont="1" applyFill="1" applyBorder="1" applyProtection="1"/>
    <xf numFmtId="164" fontId="14" fillId="4" borderId="14" xfId="4" applyNumberFormat="1" applyFont="1" applyFill="1" applyBorder="1" applyAlignment="1" applyProtection="1">
      <alignment horizontal="left"/>
    </xf>
    <xf numFmtId="164" fontId="14" fillId="4" borderId="15" xfId="4" applyNumberFormat="1" applyFont="1" applyFill="1" applyBorder="1" applyAlignment="1" applyProtection="1">
      <alignment horizontal="left"/>
    </xf>
    <xf numFmtId="0" fontId="66" fillId="4" borderId="14" xfId="0" applyFont="1" applyFill="1" applyBorder="1" applyProtection="1"/>
    <xf numFmtId="166" fontId="10" fillId="4" borderId="14" xfId="4" applyNumberFormat="1" applyFont="1" applyFill="1" applyBorder="1" applyAlignment="1" applyProtection="1">
      <alignment horizontal="left"/>
    </xf>
    <xf numFmtId="166" fontId="10" fillId="4" borderId="15" xfId="4" applyNumberFormat="1" applyFont="1" applyFill="1" applyBorder="1" applyAlignment="1" applyProtection="1">
      <alignment horizontal="left"/>
    </xf>
    <xf numFmtId="166" fontId="9" fillId="4" borderId="15" xfId="4" applyNumberFormat="1" applyFont="1" applyFill="1" applyBorder="1" applyAlignment="1" applyProtection="1">
      <alignment horizontal="left"/>
    </xf>
    <xf numFmtId="164" fontId="9" fillId="5" borderId="6" xfId="4" applyNumberFormat="1" applyFont="1" applyFill="1" applyBorder="1" applyAlignment="1" applyProtection="1">
      <alignment horizontal="left"/>
    </xf>
    <xf numFmtId="164" fontId="9" fillId="4" borderId="17" xfId="4" applyNumberFormat="1" applyFont="1" applyFill="1" applyBorder="1" applyAlignment="1" applyProtection="1">
      <alignment horizontal="left"/>
    </xf>
    <xf numFmtId="164" fontId="9" fillId="4" borderId="18" xfId="4" applyNumberFormat="1" applyFont="1" applyFill="1" applyBorder="1" applyAlignment="1" applyProtection="1">
      <alignment horizontal="left"/>
    </xf>
    <xf numFmtId="0" fontId="51" fillId="5" borderId="0" xfId="0" applyFont="1" applyFill="1" applyBorder="1" applyProtection="1"/>
    <xf numFmtId="0" fontId="51" fillId="5" borderId="0" xfId="0" applyFont="1" applyFill="1" applyBorder="1" applyAlignment="1" applyProtection="1">
      <alignment horizontal="left"/>
    </xf>
    <xf numFmtId="0" fontId="51" fillId="5" borderId="0" xfId="0" applyFont="1" applyFill="1" applyBorder="1" applyAlignment="1" applyProtection="1">
      <alignment horizontal="center"/>
    </xf>
    <xf numFmtId="164" fontId="51" fillId="5" borderId="0" xfId="4" applyNumberFormat="1" applyFont="1" applyFill="1" applyBorder="1" applyAlignment="1" applyProtection="1">
      <alignment horizontal="left"/>
    </xf>
    <xf numFmtId="164" fontId="9" fillId="4" borderId="11" xfId="4" applyNumberFormat="1" applyFont="1" applyFill="1" applyBorder="1" applyAlignment="1" applyProtection="1">
      <alignment horizontal="left"/>
    </xf>
    <xf numFmtId="164" fontId="9" fillId="4" borderId="12" xfId="4" applyNumberFormat="1" applyFont="1" applyFill="1" applyBorder="1" applyAlignment="1" applyProtection="1">
      <alignment horizontal="left"/>
    </xf>
    <xf numFmtId="0" fontId="23" fillId="4" borderId="0" xfId="0" applyFont="1" applyFill="1" applyBorder="1" applyProtection="1"/>
    <xf numFmtId="0" fontId="23" fillId="5" borderId="5" xfId="0" applyFont="1" applyFill="1" applyBorder="1" applyProtection="1"/>
    <xf numFmtId="0" fontId="23" fillId="4" borderId="13" xfId="0" applyFont="1" applyFill="1" applyBorder="1" applyProtection="1"/>
    <xf numFmtId="0" fontId="23" fillId="4" borderId="14" xfId="0" applyFont="1" applyFill="1" applyBorder="1" applyProtection="1"/>
    <xf numFmtId="0" fontId="23" fillId="4" borderId="14" xfId="0" applyFont="1" applyFill="1" applyBorder="1" applyAlignment="1" applyProtection="1">
      <alignment horizontal="center"/>
    </xf>
    <xf numFmtId="0" fontId="23" fillId="4" borderId="14" xfId="0" applyFont="1" applyFill="1" applyBorder="1" applyAlignment="1" applyProtection="1">
      <alignment horizontal="left"/>
    </xf>
    <xf numFmtId="164" fontId="23" fillId="4" borderId="14" xfId="4" applyNumberFormat="1" applyFont="1" applyFill="1" applyBorder="1" applyAlignment="1" applyProtection="1">
      <alignment horizontal="left"/>
    </xf>
    <xf numFmtId="164" fontId="23" fillId="4" borderId="15" xfId="4" applyNumberFormat="1" applyFont="1" applyFill="1" applyBorder="1" applyAlignment="1" applyProtection="1">
      <alignment horizontal="left"/>
    </xf>
    <xf numFmtId="164" fontId="23" fillId="5" borderId="6" xfId="4" applyNumberFormat="1" applyFont="1" applyFill="1" applyBorder="1" applyAlignment="1" applyProtection="1">
      <alignment horizontal="left"/>
    </xf>
    <xf numFmtId="164" fontId="9" fillId="4" borderId="15" xfId="4" applyNumberFormat="1" applyFont="1" applyFill="1" applyBorder="1" applyAlignment="1" applyProtection="1">
      <alignment horizontal="left"/>
    </xf>
    <xf numFmtId="166" fontId="8" fillId="4" borderId="14" xfId="4" applyNumberFormat="1" applyFont="1" applyFill="1" applyBorder="1" applyAlignment="1" applyProtection="1">
      <alignment horizontal="left"/>
    </xf>
    <xf numFmtId="0" fontId="9" fillId="5" borderId="0" xfId="0" applyFont="1" applyFill="1" applyBorder="1" applyAlignment="1" applyProtection="1">
      <alignment horizontal="center"/>
    </xf>
    <xf numFmtId="164" fontId="9" fillId="5" borderId="0" xfId="4" applyNumberFormat="1" applyFont="1" applyFill="1" applyBorder="1" applyAlignment="1" applyProtection="1">
      <alignment horizontal="left"/>
    </xf>
    <xf numFmtId="0" fontId="21" fillId="4" borderId="14" xfId="0" applyFont="1" applyFill="1" applyBorder="1" applyAlignment="1" applyProtection="1">
      <alignment horizontal="left"/>
    </xf>
    <xf numFmtId="166" fontId="10" fillId="4" borderId="17" xfId="4" applyNumberFormat="1" applyFont="1" applyFill="1" applyBorder="1" applyAlignment="1" applyProtection="1">
      <alignment horizontal="left"/>
    </xf>
    <xf numFmtId="164" fontId="10" fillId="4" borderId="17" xfId="4" applyNumberFormat="1" applyFont="1" applyFill="1" applyBorder="1" applyAlignment="1" applyProtection="1">
      <alignment horizontal="left"/>
    </xf>
    <xf numFmtId="164" fontId="10" fillId="4" borderId="18" xfId="4" applyNumberFormat="1" applyFont="1" applyFill="1" applyBorder="1" applyAlignment="1" applyProtection="1">
      <alignment horizontal="left"/>
    </xf>
    <xf numFmtId="166" fontId="10" fillId="5" borderId="0" xfId="4" applyNumberFormat="1" applyFont="1" applyFill="1" applyBorder="1" applyAlignment="1" applyProtection="1">
      <alignment horizontal="left"/>
    </xf>
    <xf numFmtId="164" fontId="10" fillId="5" borderId="0" xfId="4" applyNumberFormat="1" applyFont="1" applyFill="1" applyBorder="1" applyAlignment="1" applyProtection="1">
      <alignment horizontal="left"/>
    </xf>
    <xf numFmtId="166" fontId="10" fillId="4" borderId="11" xfId="4" applyNumberFormat="1" applyFont="1" applyFill="1" applyBorder="1" applyAlignment="1" applyProtection="1">
      <alignment horizontal="left"/>
    </xf>
    <xf numFmtId="164" fontId="10" fillId="4" borderId="11" xfId="4" applyNumberFormat="1" applyFont="1" applyFill="1" applyBorder="1" applyAlignment="1" applyProtection="1">
      <alignment horizontal="left"/>
    </xf>
    <xf numFmtId="164" fontId="10" fillId="4" borderId="12" xfId="4" applyNumberFormat="1" applyFont="1" applyFill="1" applyBorder="1" applyAlignment="1" applyProtection="1">
      <alignment horizontal="left"/>
    </xf>
    <xf numFmtId="1" fontId="9" fillId="5" borderId="0" xfId="0" applyNumberFormat="1" applyFont="1" applyFill="1" applyBorder="1" applyProtection="1"/>
    <xf numFmtId="166" fontId="14" fillId="5" borderId="0" xfId="0" applyNumberFormat="1" applyFont="1" applyFill="1" applyBorder="1" applyAlignment="1" applyProtection="1">
      <alignment horizontal="left"/>
    </xf>
    <xf numFmtId="164" fontId="9" fillId="5" borderId="0" xfId="0" applyNumberFormat="1" applyFont="1" applyFill="1" applyBorder="1" applyAlignment="1" applyProtection="1">
      <alignment horizontal="left"/>
    </xf>
    <xf numFmtId="164" fontId="9" fillId="5" borderId="6" xfId="0" applyNumberFormat="1" applyFont="1" applyFill="1" applyBorder="1" applyAlignment="1" applyProtection="1">
      <alignment horizontal="left"/>
    </xf>
    <xf numFmtId="166" fontId="8" fillId="5" borderId="8" xfId="0" applyNumberFormat="1" applyFont="1" applyFill="1" applyBorder="1" applyProtection="1"/>
    <xf numFmtId="0" fontId="13" fillId="5" borderId="0" xfId="0" quotePrefix="1" applyNumberFormat="1" applyFont="1" applyFill="1" applyBorder="1" applyAlignment="1" applyProtection="1">
      <alignment horizontal="center"/>
    </xf>
    <xf numFmtId="1" fontId="8" fillId="4" borderId="11" xfId="0" applyNumberFormat="1" applyFont="1" applyFill="1" applyBorder="1" applyProtection="1"/>
    <xf numFmtId="1" fontId="8" fillId="4" borderId="11" xfId="0" applyNumberFormat="1" applyFont="1" applyFill="1" applyBorder="1" applyAlignment="1" applyProtection="1">
      <alignment horizontal="center"/>
    </xf>
    <xf numFmtId="166" fontId="8" fillId="4" borderId="11" xfId="4" applyNumberFormat="1" applyFont="1" applyFill="1" applyBorder="1" applyProtection="1"/>
    <xf numFmtId="165" fontId="8" fillId="4" borderId="11" xfId="4" applyNumberFormat="1" applyFont="1" applyFill="1" applyBorder="1" applyProtection="1"/>
    <xf numFmtId="165" fontId="8" fillId="4" borderId="12" xfId="4" applyNumberFormat="1" applyFont="1" applyFill="1" applyBorder="1" applyProtection="1"/>
    <xf numFmtId="166" fontId="8" fillId="4" borderId="14" xfId="4" applyNumberFormat="1" applyFont="1" applyFill="1" applyBorder="1" applyProtection="1"/>
    <xf numFmtId="0" fontId="14" fillId="4" borderId="14" xfId="0" quotePrefix="1" applyFont="1" applyFill="1" applyBorder="1" applyAlignment="1" applyProtection="1">
      <alignment horizontal="center"/>
    </xf>
    <xf numFmtId="0" fontId="14" fillId="4" borderId="15" xfId="0" quotePrefix="1" applyFont="1" applyFill="1" applyBorder="1" applyAlignment="1" applyProtection="1">
      <alignment horizontal="center"/>
    </xf>
    <xf numFmtId="1" fontId="8" fillId="4" borderId="14" xfId="0" applyNumberFormat="1" applyFont="1" applyFill="1" applyBorder="1" applyProtection="1"/>
    <xf numFmtId="166" fontId="9" fillId="4" borderId="15" xfId="4" applyNumberFormat="1" applyFont="1" applyFill="1" applyBorder="1" applyProtection="1"/>
    <xf numFmtId="0" fontId="10" fillId="4" borderId="17" xfId="0" applyFont="1" applyFill="1" applyBorder="1" applyAlignment="1" applyProtection="1">
      <alignment horizontal="right"/>
    </xf>
    <xf numFmtId="0" fontId="14" fillId="4" borderId="17" xfId="0" applyFont="1" applyFill="1" applyBorder="1" applyProtection="1"/>
    <xf numFmtId="166" fontId="14" fillId="4" borderId="17" xfId="0" quotePrefix="1" applyNumberFormat="1" applyFont="1" applyFill="1" applyBorder="1" applyAlignment="1" applyProtection="1">
      <alignment horizontal="center"/>
    </xf>
    <xf numFmtId="0" fontId="14" fillId="4" borderId="17" xfId="0" quotePrefix="1" applyNumberFormat="1" applyFont="1" applyFill="1" applyBorder="1" applyAlignment="1" applyProtection="1">
      <alignment horizontal="center"/>
    </xf>
    <xf numFmtId="0" fontId="14" fillId="4" borderId="18" xfId="0" quotePrefix="1" applyNumberFormat="1" applyFont="1" applyFill="1" applyBorder="1" applyAlignment="1" applyProtection="1">
      <alignment horizontal="center"/>
    </xf>
    <xf numFmtId="0" fontId="14" fillId="4" borderId="11" xfId="0" quotePrefix="1" applyNumberFormat="1" applyFont="1" applyFill="1" applyBorder="1" applyAlignment="1" applyProtection="1">
      <alignment horizontal="center"/>
    </xf>
    <xf numFmtId="0" fontId="14" fillId="4" borderId="11" xfId="0" quotePrefix="1" applyFont="1" applyFill="1" applyBorder="1" applyAlignment="1" applyProtection="1">
      <alignment horizontal="center"/>
    </xf>
    <xf numFmtId="0" fontId="14" fillId="4" borderId="12" xfId="0" quotePrefix="1" applyFont="1" applyFill="1" applyBorder="1" applyAlignment="1" applyProtection="1">
      <alignment horizontal="center"/>
    </xf>
    <xf numFmtId="0" fontId="14" fillId="5" borderId="6" xfId="0" quotePrefix="1" applyFont="1" applyFill="1" applyBorder="1" applyAlignment="1" applyProtection="1">
      <alignment horizontal="center"/>
    </xf>
    <xf numFmtId="166" fontId="10" fillId="4" borderId="14" xfId="4" applyNumberFormat="1" applyFont="1" applyFill="1" applyBorder="1" applyAlignment="1" applyProtection="1">
      <alignment horizontal="right"/>
    </xf>
    <xf numFmtId="1" fontId="10" fillId="4" borderId="14" xfId="4" applyNumberFormat="1" applyFont="1" applyFill="1" applyBorder="1" applyAlignment="1" applyProtection="1">
      <alignment horizontal="right"/>
    </xf>
    <xf numFmtId="1" fontId="10" fillId="4" borderId="15" xfId="4" applyNumberFormat="1" applyFont="1" applyFill="1" applyBorder="1" applyAlignment="1" applyProtection="1">
      <alignment horizontal="right"/>
    </xf>
    <xf numFmtId="1" fontId="10" fillId="5" borderId="6" xfId="4" applyNumberFormat="1" applyFont="1" applyFill="1" applyBorder="1" applyAlignment="1" applyProtection="1">
      <alignment horizontal="right"/>
    </xf>
    <xf numFmtId="49" fontId="8" fillId="4" borderId="14" xfId="0" applyNumberFormat="1" applyFont="1" applyFill="1" applyBorder="1" applyAlignment="1" applyProtection="1">
      <alignment horizontal="center"/>
      <protection locked="0"/>
    </xf>
    <xf numFmtId="165" fontId="8" fillId="5" borderId="6" xfId="4" applyNumberFormat="1" applyFont="1" applyFill="1" applyBorder="1" applyProtection="1"/>
    <xf numFmtId="1" fontId="8" fillId="5" borderId="14" xfId="0" applyNumberFormat="1" applyFont="1" applyFill="1" applyBorder="1" applyProtection="1">
      <protection locked="0"/>
    </xf>
    <xf numFmtId="165" fontId="8" fillId="5" borderId="6" xfId="4" applyNumberFormat="1" applyFont="1" applyFill="1" applyBorder="1" applyAlignment="1" applyProtection="1">
      <alignment horizontal="left"/>
    </xf>
    <xf numFmtId="165" fontId="9" fillId="5" borderId="6" xfId="4" applyNumberFormat="1" applyFont="1" applyFill="1" applyBorder="1" applyProtection="1"/>
    <xf numFmtId="166" fontId="8" fillId="4" borderId="17" xfId="4" applyNumberFormat="1" applyFont="1" applyFill="1" applyBorder="1" applyProtection="1"/>
    <xf numFmtId="166" fontId="8" fillId="4" borderId="18" xfId="4" applyNumberFormat="1" applyFont="1" applyFill="1" applyBorder="1" applyProtection="1"/>
    <xf numFmtId="166" fontId="8" fillId="4" borderId="12" xfId="4" applyNumberFormat="1" applyFont="1" applyFill="1" applyBorder="1" applyProtection="1"/>
    <xf numFmtId="1" fontId="9" fillId="4" borderId="14" xfId="0" applyNumberFormat="1" applyFont="1" applyFill="1" applyBorder="1" applyProtection="1"/>
    <xf numFmtId="166" fontId="9" fillId="4" borderId="14" xfId="4" applyNumberFormat="1" applyFont="1" applyFill="1" applyBorder="1" applyProtection="1"/>
    <xf numFmtId="1" fontId="14" fillId="4" borderId="14" xfId="0" applyNumberFormat="1" applyFont="1" applyFill="1" applyBorder="1" applyProtection="1"/>
    <xf numFmtId="1" fontId="9" fillId="4" borderId="14" xfId="0" applyNumberFormat="1" applyFont="1" applyFill="1" applyBorder="1" applyAlignment="1" applyProtection="1">
      <alignment horizontal="center"/>
    </xf>
    <xf numFmtId="1" fontId="8" fillId="5" borderId="14" xfId="0" applyNumberFormat="1" applyFont="1" applyFill="1" applyBorder="1" applyAlignment="1" applyProtection="1">
      <alignment horizontal="left"/>
      <protection locked="0"/>
    </xf>
    <xf numFmtId="1" fontId="8" fillId="4" borderId="17" xfId="0" applyNumberFormat="1" applyFont="1" applyFill="1" applyBorder="1" applyProtection="1"/>
    <xf numFmtId="1" fontId="8" fillId="4" borderId="17" xfId="0" applyNumberFormat="1" applyFont="1" applyFill="1" applyBorder="1" applyAlignment="1" applyProtection="1">
      <alignment horizontal="center"/>
    </xf>
    <xf numFmtId="165" fontId="8" fillId="4" borderId="17" xfId="4" applyNumberFormat="1" applyFont="1" applyFill="1" applyBorder="1" applyProtection="1"/>
    <xf numFmtId="165" fontId="8" fillId="4" borderId="18" xfId="4" applyNumberFormat="1" applyFont="1" applyFill="1" applyBorder="1" applyProtection="1"/>
    <xf numFmtId="1" fontId="8" fillId="5" borderId="0" xfId="0" applyNumberFormat="1" applyFont="1" applyFill="1" applyBorder="1" applyProtection="1"/>
    <xf numFmtId="1" fontId="8" fillId="5" borderId="0" xfId="0" applyNumberFormat="1" applyFont="1" applyFill="1" applyBorder="1" applyAlignment="1" applyProtection="1">
      <alignment horizontal="center"/>
    </xf>
    <xf numFmtId="165" fontId="8" fillId="5" borderId="0" xfId="4" applyNumberFormat="1" applyFont="1" applyFill="1" applyBorder="1" applyProtection="1"/>
    <xf numFmtId="1" fontId="9" fillId="4" borderId="11" xfId="0" applyNumberFormat="1" applyFont="1" applyFill="1" applyBorder="1" applyProtection="1"/>
    <xf numFmtId="0" fontId="9" fillId="4" borderId="17" xfId="0" applyFont="1" applyFill="1" applyBorder="1" applyAlignment="1" applyProtection="1">
      <alignment horizontal="right"/>
    </xf>
    <xf numFmtId="166" fontId="15" fillId="4" borderId="17" xfId="4" applyNumberFormat="1" applyFont="1" applyFill="1" applyBorder="1" applyProtection="1"/>
    <xf numFmtId="165" fontId="9" fillId="4" borderId="17" xfId="4" applyNumberFormat="1" applyFont="1" applyFill="1" applyBorder="1" applyProtection="1"/>
    <xf numFmtId="165" fontId="9" fillId="4" borderId="18" xfId="4" applyNumberFormat="1" applyFont="1" applyFill="1" applyBorder="1" applyProtection="1"/>
    <xf numFmtId="0" fontId="9" fillId="5" borderId="0" xfId="0" applyFont="1" applyFill="1" applyBorder="1" applyAlignment="1" applyProtection="1">
      <alignment horizontal="right"/>
    </xf>
    <xf numFmtId="166" fontId="15" fillId="5" borderId="0" xfId="4" applyNumberFormat="1" applyFont="1" applyFill="1" applyBorder="1" applyProtection="1"/>
    <xf numFmtId="165" fontId="9" fillId="5" borderId="0" xfId="4" applyNumberFormat="1" applyFont="1" applyFill="1" applyBorder="1" applyProtection="1"/>
    <xf numFmtId="0" fontId="9" fillId="4" borderId="11" xfId="0" applyFont="1" applyFill="1" applyBorder="1" applyAlignment="1" applyProtection="1">
      <alignment horizontal="right"/>
    </xf>
    <xf numFmtId="166" fontId="15" fillId="4" borderId="11" xfId="4" applyNumberFormat="1" applyFont="1" applyFill="1" applyBorder="1" applyProtection="1"/>
    <xf numFmtId="165" fontId="9" fillId="4" borderId="11" xfId="4" applyNumberFormat="1" applyFont="1" applyFill="1" applyBorder="1" applyProtection="1"/>
    <xf numFmtId="165" fontId="9" fillId="4" borderId="12" xfId="4" applyNumberFormat="1" applyFont="1" applyFill="1" applyBorder="1" applyProtection="1"/>
    <xf numFmtId="0" fontId="9" fillId="4" borderId="0" xfId="0" applyFont="1" applyFill="1" applyBorder="1" applyAlignment="1" applyProtection="1">
      <alignment horizontal="right"/>
    </xf>
    <xf numFmtId="0" fontId="20" fillId="4" borderId="0" xfId="0" applyFont="1" applyFill="1" applyBorder="1" applyAlignment="1" applyProtection="1">
      <alignment horizontal="center"/>
    </xf>
    <xf numFmtId="166" fontId="20" fillId="4" borderId="0" xfId="0" applyNumberFormat="1" applyFont="1" applyFill="1" applyBorder="1" applyProtection="1"/>
    <xf numFmtId="0" fontId="8" fillId="5" borderId="3" xfId="0" applyNumberFormat="1" applyFont="1" applyFill="1" applyBorder="1" applyProtection="1"/>
    <xf numFmtId="0" fontId="30" fillId="4" borderId="0" xfId="0" applyFont="1" applyFill="1" applyBorder="1" applyProtection="1"/>
    <xf numFmtId="0" fontId="30" fillId="5" borderId="0" xfId="0" applyFont="1" applyFill="1" applyBorder="1" applyProtection="1"/>
    <xf numFmtId="0" fontId="30" fillId="5" borderId="6" xfId="0" applyFont="1" applyFill="1" applyBorder="1" applyProtection="1"/>
    <xf numFmtId="0" fontId="27" fillId="4" borderId="0" xfId="0" applyFont="1" applyFill="1" applyBorder="1" applyProtection="1"/>
    <xf numFmtId="0" fontId="29" fillId="5" borderId="5" xfId="0" applyFont="1" applyFill="1" applyBorder="1" applyProtection="1"/>
    <xf numFmtId="0" fontId="14" fillId="5" borderId="0" xfId="0" applyFont="1" applyFill="1" applyBorder="1" applyAlignment="1" applyProtection="1">
      <alignment horizontal="right"/>
    </xf>
    <xf numFmtId="0" fontId="27" fillId="5" borderId="6" xfId="0" applyFont="1" applyFill="1" applyBorder="1" applyProtection="1"/>
    <xf numFmtId="0" fontId="49" fillId="5" borderId="0" xfId="0" applyFont="1" applyFill="1" applyBorder="1" applyAlignment="1" applyProtection="1">
      <alignment horizontal="right"/>
    </xf>
    <xf numFmtId="0" fontId="29" fillId="5" borderId="0" xfId="0" applyFont="1" applyFill="1" applyBorder="1" applyProtection="1"/>
    <xf numFmtId="0" fontId="10" fillId="5" borderId="5" xfId="0" applyFont="1" applyFill="1" applyBorder="1" applyAlignment="1" applyProtection="1">
      <alignment horizontal="right"/>
    </xf>
    <xf numFmtId="0" fontId="24" fillId="5" borderId="0" xfId="0" applyNumberFormat="1" applyFont="1" applyFill="1" applyBorder="1" applyAlignment="1" applyProtection="1">
      <alignment horizontal="right"/>
    </xf>
    <xf numFmtId="0" fontId="10" fillId="4" borderId="0" xfId="0" applyFont="1" applyFill="1" applyBorder="1" applyAlignment="1" applyProtection="1">
      <alignment horizontal="right"/>
    </xf>
    <xf numFmtId="0" fontId="14" fillId="4" borderId="0" xfId="0" applyFont="1" applyFill="1" applyBorder="1" applyAlignment="1" applyProtection="1">
      <alignment horizontal="left"/>
    </xf>
    <xf numFmtId="0" fontId="8" fillId="4" borderId="0" xfId="0" applyFont="1" applyFill="1" applyBorder="1" applyAlignment="1" applyProtection="1">
      <alignment horizontal="left" indent="2"/>
    </xf>
    <xf numFmtId="0" fontId="8" fillId="4" borderId="0" xfId="0" applyFont="1" applyFill="1" applyBorder="1" applyAlignment="1" applyProtection="1">
      <alignment horizontal="right"/>
    </xf>
    <xf numFmtId="164" fontId="8" fillId="5" borderId="13" xfId="0" applyNumberFormat="1" applyFont="1" applyFill="1" applyBorder="1" applyProtection="1">
      <protection locked="0"/>
    </xf>
    <xf numFmtId="164" fontId="8" fillId="5" borderId="14" xfId="0" applyNumberFormat="1" applyFont="1" applyFill="1" applyBorder="1" applyProtection="1">
      <protection locked="0"/>
    </xf>
    <xf numFmtId="0" fontId="9" fillId="4" borderId="0" xfId="0" applyFont="1" applyFill="1" applyBorder="1" applyAlignment="1" applyProtection="1">
      <alignment horizontal="left" indent="2"/>
    </xf>
    <xf numFmtId="0" fontId="24" fillId="5" borderId="5" xfId="0" applyFont="1" applyFill="1" applyBorder="1" applyAlignment="1" applyProtection="1">
      <alignment horizontal="right"/>
    </xf>
    <xf numFmtId="0" fontId="13" fillId="5" borderId="0" xfId="0" applyFont="1" applyFill="1" applyBorder="1" applyAlignment="1" applyProtection="1">
      <alignment horizontal="center"/>
    </xf>
    <xf numFmtId="0" fontId="22" fillId="5" borderId="0" xfId="0" applyFont="1" applyFill="1" applyBorder="1" applyAlignment="1" applyProtection="1">
      <alignment horizontal="left"/>
    </xf>
    <xf numFmtId="0" fontId="22" fillId="5" borderId="0" xfId="0" applyFont="1" applyFill="1" applyBorder="1" applyAlignment="1" applyProtection="1">
      <alignment horizontal="center"/>
    </xf>
    <xf numFmtId="0" fontId="31" fillId="5" borderId="0" xfId="0" applyFont="1" applyFill="1" applyBorder="1" applyProtection="1"/>
    <xf numFmtId="0" fontId="48" fillId="5" borderId="0" xfId="0" applyFont="1" applyFill="1" applyBorder="1" applyAlignment="1" applyProtection="1">
      <alignment horizontal="center"/>
    </xf>
    <xf numFmtId="0" fontId="10" fillId="4" borderId="0" xfId="0" applyFont="1" applyFill="1" applyBorder="1" applyAlignment="1" applyProtection="1">
      <alignment horizontal="center"/>
    </xf>
    <xf numFmtId="0" fontId="10" fillId="5" borderId="0" xfId="0" applyFont="1" applyFill="1" applyBorder="1" applyAlignment="1" applyProtection="1">
      <alignment horizontal="left"/>
    </xf>
    <xf numFmtId="0" fontId="10" fillId="5" borderId="0" xfId="0" applyNumberFormat="1" applyFont="1" applyFill="1" applyBorder="1" applyAlignment="1" applyProtection="1">
      <alignment horizontal="center"/>
    </xf>
    <xf numFmtId="0" fontId="10" fillId="4" borderId="10" xfId="0" applyFont="1" applyFill="1" applyBorder="1" applyAlignment="1" applyProtection="1">
      <alignment horizontal="center"/>
    </xf>
    <xf numFmtId="0" fontId="10" fillId="4" borderId="11" xfId="0" applyFont="1" applyFill="1" applyBorder="1" applyAlignment="1" applyProtection="1">
      <alignment horizontal="left"/>
    </xf>
    <xf numFmtId="0" fontId="10" fillId="4" borderId="11" xfId="0" applyFont="1" applyFill="1" applyBorder="1" applyAlignment="1" applyProtection="1">
      <alignment horizontal="center"/>
    </xf>
    <xf numFmtId="0" fontId="10" fillId="4" borderId="11" xfId="0" applyNumberFormat="1" applyFont="1" applyFill="1" applyBorder="1" applyAlignment="1" applyProtection="1">
      <alignment horizontal="center"/>
    </xf>
    <xf numFmtId="0" fontId="10" fillId="4" borderId="12" xfId="0" applyFont="1" applyFill="1" applyBorder="1" applyAlignment="1" applyProtection="1">
      <alignment horizontal="center"/>
    </xf>
    <xf numFmtId="0" fontId="52" fillId="4" borderId="0" xfId="0" applyFont="1" applyFill="1" applyBorder="1" applyProtection="1"/>
    <xf numFmtId="0" fontId="52" fillId="5" borderId="0" xfId="0" applyFont="1" applyFill="1" applyBorder="1" applyProtection="1"/>
    <xf numFmtId="0" fontId="52" fillId="4" borderId="13" xfId="0" applyFont="1" applyFill="1" applyBorder="1" applyProtection="1"/>
    <xf numFmtId="0" fontId="52" fillId="4" borderId="14" xfId="0" applyFont="1" applyFill="1" applyBorder="1" applyAlignment="1" applyProtection="1">
      <alignment horizontal="left"/>
    </xf>
    <xf numFmtId="0" fontId="52" fillId="4" borderId="14" xfId="0" applyFont="1" applyFill="1" applyBorder="1" applyAlignment="1" applyProtection="1">
      <alignment horizontal="center"/>
    </xf>
    <xf numFmtId="0" fontId="52" fillId="4" borderId="14" xfId="0" applyFont="1" applyFill="1" applyBorder="1" applyProtection="1"/>
    <xf numFmtId="0" fontId="52" fillId="4" borderId="15" xfId="0" applyFont="1" applyFill="1" applyBorder="1" applyProtection="1"/>
    <xf numFmtId="0" fontId="10" fillId="4" borderId="13" xfId="0" applyFont="1" applyFill="1" applyBorder="1" applyAlignment="1" applyProtection="1">
      <alignment horizontal="center"/>
    </xf>
    <xf numFmtId="0" fontId="10" fillId="4" borderId="15" xfId="0" applyFont="1" applyFill="1" applyBorder="1" applyAlignment="1" applyProtection="1">
      <alignment horizontal="center"/>
    </xf>
    <xf numFmtId="0" fontId="21" fillId="5" borderId="5" xfId="0" applyFont="1" applyFill="1" applyBorder="1" applyAlignment="1" applyProtection="1">
      <alignment horizontal="right"/>
    </xf>
    <xf numFmtId="0" fontId="21" fillId="5" borderId="0" xfId="0" applyFont="1" applyFill="1" applyBorder="1" applyAlignment="1" applyProtection="1">
      <alignment horizontal="right"/>
    </xf>
    <xf numFmtId="0" fontId="23" fillId="5" borderId="0" xfId="0" applyFont="1" applyFill="1" applyBorder="1" applyAlignment="1" applyProtection="1">
      <alignment horizontal="right"/>
    </xf>
    <xf numFmtId="0" fontId="13" fillId="5" borderId="5" xfId="0" applyFont="1" applyFill="1" applyBorder="1" applyProtection="1"/>
    <xf numFmtId="0" fontId="13" fillId="5" borderId="0" xfId="0" applyFont="1" applyFill="1" applyBorder="1" applyProtection="1"/>
    <xf numFmtId="0" fontId="24" fillId="5" borderId="0" xfId="0" applyFont="1" applyFill="1" applyBorder="1" applyProtection="1"/>
    <xf numFmtId="0" fontId="24" fillId="5" borderId="6" xfId="0" applyFont="1" applyFill="1" applyBorder="1" applyProtection="1"/>
    <xf numFmtId="0" fontId="23" fillId="5" borderId="0" xfId="0" applyFont="1" applyFill="1" applyBorder="1" applyAlignment="1" applyProtection="1">
      <alignment horizontal="left"/>
    </xf>
    <xf numFmtId="0" fontId="8" fillId="5" borderId="5" xfId="0" applyFont="1" applyFill="1" applyBorder="1" applyAlignment="1" applyProtection="1">
      <alignment horizontal="right"/>
    </xf>
    <xf numFmtId="0" fontId="8" fillId="4" borderId="10" xfId="0" applyFont="1" applyFill="1" applyBorder="1" applyAlignment="1" applyProtection="1">
      <alignment horizontal="right"/>
    </xf>
    <xf numFmtId="0" fontId="8" fillId="4" borderId="13" xfId="0" applyFont="1" applyFill="1" applyBorder="1" applyAlignment="1" applyProtection="1">
      <alignment horizontal="right"/>
    </xf>
    <xf numFmtId="0" fontId="8" fillId="4" borderId="16" xfId="0" applyFont="1" applyFill="1" applyBorder="1" applyAlignment="1" applyProtection="1">
      <alignment horizontal="right"/>
    </xf>
    <xf numFmtId="0" fontId="8" fillId="4" borderId="11" xfId="0" applyNumberFormat="1" applyFont="1" applyFill="1" applyBorder="1" applyProtection="1"/>
    <xf numFmtId="0" fontId="10" fillId="4" borderId="13" xfId="0" applyFont="1" applyFill="1" applyBorder="1" applyAlignment="1" applyProtection="1">
      <alignment horizontal="right"/>
    </xf>
    <xf numFmtId="0" fontId="14" fillId="4" borderId="14" xfId="0" applyFont="1" applyFill="1" applyBorder="1" applyAlignment="1" applyProtection="1">
      <alignment horizontal="left"/>
    </xf>
    <xf numFmtId="0" fontId="10" fillId="4" borderId="15" xfId="0" applyFont="1" applyFill="1" applyBorder="1" applyProtection="1"/>
    <xf numFmtId="0" fontId="9" fillId="5" borderId="5" xfId="0" applyFont="1" applyFill="1" applyBorder="1" applyAlignment="1" applyProtection="1">
      <alignment horizontal="right"/>
    </xf>
    <xf numFmtId="0" fontId="9" fillId="4" borderId="13" xfId="0" applyFont="1" applyFill="1" applyBorder="1" applyAlignment="1" applyProtection="1">
      <alignment horizontal="right"/>
    </xf>
    <xf numFmtId="0" fontId="46" fillId="5" borderId="0" xfId="0" applyFont="1" applyFill="1" applyBorder="1" applyAlignment="1" applyProtection="1">
      <alignment horizontal="right"/>
    </xf>
    <xf numFmtId="0" fontId="8" fillId="5" borderId="0" xfId="0" applyFont="1" applyFill="1" applyBorder="1" applyAlignment="1" applyProtection="1">
      <alignment horizontal="right"/>
    </xf>
    <xf numFmtId="165" fontId="48" fillId="5" borderId="0" xfId="4" applyNumberFormat="1" applyFont="1" applyFill="1" applyBorder="1" applyProtection="1"/>
    <xf numFmtId="165" fontId="48" fillId="5" borderId="6" xfId="4" applyNumberFormat="1" applyFont="1" applyFill="1" applyBorder="1" applyProtection="1"/>
    <xf numFmtId="165" fontId="48" fillId="4" borderId="0" xfId="4" applyNumberFormat="1" applyFont="1" applyFill="1" applyBorder="1" applyProtection="1"/>
    <xf numFmtId="165" fontId="10" fillId="5" borderId="0" xfId="4" applyNumberFormat="1" applyFont="1" applyFill="1" applyBorder="1" applyProtection="1"/>
    <xf numFmtId="165" fontId="10" fillId="5" borderId="6" xfId="4" applyNumberFormat="1" applyFont="1" applyFill="1" applyBorder="1" applyProtection="1"/>
    <xf numFmtId="165" fontId="10" fillId="4" borderId="0" xfId="4" applyNumberFormat="1" applyFont="1" applyFill="1" applyBorder="1" applyProtection="1"/>
    <xf numFmtId="0" fontId="14" fillId="4" borderId="11" xfId="0" applyFont="1" applyFill="1" applyBorder="1" applyAlignment="1" applyProtection="1">
      <alignment horizontal="right"/>
    </xf>
    <xf numFmtId="165" fontId="10" fillId="4" borderId="12" xfId="4" applyNumberFormat="1" applyFont="1" applyFill="1" applyBorder="1" applyProtection="1"/>
    <xf numFmtId="0" fontId="14" fillId="4" borderId="14" xfId="0" applyFont="1" applyFill="1" applyBorder="1" applyAlignment="1" applyProtection="1">
      <alignment horizontal="right"/>
    </xf>
    <xf numFmtId="165" fontId="10" fillId="4" borderId="15" xfId="4" applyNumberFormat="1" applyFont="1" applyFill="1" applyBorder="1" applyProtection="1"/>
    <xf numFmtId="0" fontId="9" fillId="5" borderId="5" xfId="0" applyFont="1" applyFill="1" applyBorder="1" applyAlignment="1" applyProtection="1">
      <alignment horizontal="left"/>
    </xf>
    <xf numFmtId="0" fontId="9" fillId="4" borderId="13" xfId="0" applyFont="1" applyFill="1" applyBorder="1" applyAlignment="1" applyProtection="1">
      <alignment horizontal="left"/>
    </xf>
    <xf numFmtId="164" fontId="9" fillId="4" borderId="14" xfId="0" applyNumberFormat="1" applyFont="1" applyFill="1" applyBorder="1" applyAlignment="1" applyProtection="1">
      <alignment horizontal="left"/>
    </xf>
    <xf numFmtId="0" fontId="10" fillId="4" borderId="14" xfId="0" applyNumberFormat="1" applyFont="1" applyFill="1" applyBorder="1" applyAlignment="1" applyProtection="1">
      <alignment horizontal="left"/>
    </xf>
    <xf numFmtId="164" fontId="10" fillId="4" borderId="14" xfId="0" applyNumberFormat="1" applyFont="1" applyFill="1" applyBorder="1" applyAlignment="1" applyProtection="1">
      <alignment horizontal="left"/>
    </xf>
    <xf numFmtId="0" fontId="10" fillId="4" borderId="17" xfId="0" applyFont="1" applyFill="1" applyBorder="1" applyAlignment="1" applyProtection="1">
      <alignment horizontal="left"/>
    </xf>
    <xf numFmtId="0" fontId="10" fillId="4" borderId="17" xfId="0" applyFont="1" applyFill="1" applyBorder="1" applyProtection="1"/>
    <xf numFmtId="164" fontId="8" fillId="4" borderId="17" xfId="0" applyNumberFormat="1" applyFont="1" applyFill="1" applyBorder="1" applyAlignment="1" applyProtection="1">
      <alignment horizontal="left"/>
    </xf>
    <xf numFmtId="164" fontId="8" fillId="5" borderId="0" xfId="0" applyNumberFormat="1" applyFont="1" applyFill="1" applyBorder="1" applyAlignment="1" applyProtection="1">
      <alignment horizontal="left"/>
    </xf>
    <xf numFmtId="0" fontId="10" fillId="4" borderId="11" xfId="0" applyFont="1" applyFill="1" applyBorder="1" applyProtection="1"/>
    <xf numFmtId="164" fontId="8" fillId="4" borderId="11" xfId="0" applyNumberFormat="1" applyFont="1" applyFill="1" applyBorder="1" applyAlignment="1" applyProtection="1">
      <alignment horizontal="left"/>
    </xf>
    <xf numFmtId="164" fontId="8" fillId="5" borderId="14" xfId="0" applyNumberFormat="1" applyFont="1" applyFill="1" applyBorder="1" applyAlignment="1" applyProtection="1">
      <alignment horizontal="left"/>
      <protection locked="0"/>
    </xf>
    <xf numFmtId="0" fontId="8" fillId="4" borderId="14" xfId="0" applyFont="1" applyFill="1" applyBorder="1" applyAlignment="1" applyProtection="1">
      <alignment horizontal="right"/>
    </xf>
    <xf numFmtId="0" fontId="8" fillId="4" borderId="15" xfId="0" applyFont="1" applyFill="1" applyBorder="1" applyAlignment="1" applyProtection="1">
      <alignment horizontal="right"/>
    </xf>
    <xf numFmtId="0" fontId="46" fillId="4" borderId="14" xfId="0" applyFont="1" applyFill="1" applyBorder="1" applyAlignment="1" applyProtection="1">
      <alignment horizontal="right"/>
    </xf>
    <xf numFmtId="0" fontId="46" fillId="4" borderId="15" xfId="0" applyFont="1" applyFill="1" applyBorder="1" applyAlignment="1" applyProtection="1">
      <alignment horizontal="right"/>
    </xf>
    <xf numFmtId="0" fontId="8" fillId="4" borderId="17" xfId="0" applyFont="1" applyFill="1" applyBorder="1" applyAlignment="1" applyProtection="1">
      <alignment horizontal="right"/>
    </xf>
    <xf numFmtId="0" fontId="8" fillId="4" borderId="18" xfId="0" applyFont="1" applyFill="1" applyBorder="1" applyAlignment="1" applyProtection="1">
      <alignment horizontal="right"/>
    </xf>
    <xf numFmtId="0" fontId="9" fillId="5" borderId="8" xfId="0" applyFont="1" applyFill="1" applyBorder="1" applyAlignment="1" applyProtection="1">
      <alignment horizontal="right"/>
    </xf>
    <xf numFmtId="0" fontId="26" fillId="5" borderId="5" xfId="0" applyFont="1" applyFill="1" applyBorder="1" applyProtection="1"/>
    <xf numFmtId="164" fontId="21" fillId="4" borderId="0" xfId="0" applyNumberFormat="1" applyFont="1" applyFill="1" applyBorder="1" applyProtection="1"/>
    <xf numFmtId="164" fontId="9" fillId="4" borderId="15" xfId="0" applyNumberFormat="1" applyFont="1" applyFill="1" applyBorder="1" applyAlignment="1" applyProtection="1">
      <alignment horizontal="center"/>
    </xf>
    <xf numFmtId="0" fontId="8" fillId="4" borderId="12" xfId="0" applyFont="1" applyFill="1" applyBorder="1" applyAlignment="1" applyProtection="1">
      <alignment horizontal="right"/>
    </xf>
    <xf numFmtId="164" fontId="9" fillId="4" borderId="17" xfId="0" applyNumberFormat="1" applyFont="1" applyFill="1" applyBorder="1" applyAlignment="1" applyProtection="1">
      <alignment horizontal="center"/>
    </xf>
    <xf numFmtId="164" fontId="9" fillId="4" borderId="18" xfId="0" applyNumberFormat="1" applyFont="1" applyFill="1" applyBorder="1" applyAlignment="1" applyProtection="1">
      <alignment horizontal="center"/>
    </xf>
    <xf numFmtId="164" fontId="9" fillId="5" borderId="0" xfId="0" applyNumberFormat="1" applyFont="1" applyFill="1" applyBorder="1" applyAlignment="1" applyProtection="1">
      <alignment horizontal="center"/>
    </xf>
    <xf numFmtId="0" fontId="9" fillId="5" borderId="8" xfId="0" applyFont="1" applyFill="1" applyBorder="1" applyProtection="1"/>
    <xf numFmtId="169" fontId="9" fillId="5" borderId="8" xfId="0" applyNumberFormat="1" applyFont="1" applyFill="1" applyBorder="1" applyAlignment="1" applyProtection="1">
      <alignment horizontal="center"/>
    </xf>
    <xf numFmtId="0" fontId="1" fillId="4" borderId="0" xfId="0" applyFont="1" applyFill="1" applyBorder="1" applyProtection="1"/>
    <xf numFmtId="0" fontId="1" fillId="4" borderId="0" xfId="0" applyFont="1" applyFill="1" applyBorder="1" applyAlignment="1" applyProtection="1">
      <alignment horizontal="center"/>
    </xf>
    <xf numFmtId="164" fontId="1" fillId="4" borderId="0" xfId="0" applyNumberFormat="1" applyFont="1" applyFill="1" applyBorder="1" applyProtection="1"/>
    <xf numFmtId="0" fontId="34" fillId="4" borderId="0" xfId="0" applyFont="1" applyFill="1" applyBorder="1" applyProtection="1"/>
    <xf numFmtId="164" fontId="34" fillId="4" borderId="0" xfId="0" applyNumberFormat="1" applyFont="1" applyFill="1" applyBorder="1" applyProtection="1"/>
    <xf numFmtId="0" fontId="5" fillId="4" borderId="0" xfId="0" applyFont="1" applyFill="1" applyBorder="1" applyProtection="1"/>
    <xf numFmtId="0" fontId="32" fillId="5" borderId="5" xfId="0" applyFont="1" applyFill="1" applyBorder="1" applyProtection="1"/>
    <xf numFmtId="0" fontId="29" fillId="5" borderId="0" xfId="0" applyFont="1" applyFill="1" applyBorder="1" applyAlignment="1" applyProtection="1">
      <alignment horizontal="center"/>
    </xf>
    <xf numFmtId="0" fontId="29" fillId="5" borderId="0" xfId="0" applyFont="1" applyFill="1" applyBorder="1" applyAlignment="1" applyProtection="1">
      <alignment horizontal="left"/>
    </xf>
    <xf numFmtId="0" fontId="29" fillId="5" borderId="6" xfId="0" applyFont="1" applyFill="1" applyBorder="1" applyProtection="1"/>
    <xf numFmtId="164" fontId="5" fillId="4" borderId="0" xfId="0" applyNumberFormat="1" applyFont="1" applyFill="1" applyBorder="1" applyProtection="1"/>
    <xf numFmtId="0" fontId="4" fillId="4" borderId="0" xfId="0" applyFont="1" applyFill="1" applyBorder="1" applyProtection="1"/>
    <xf numFmtId="164" fontId="4" fillId="4" borderId="0" xfId="0" applyNumberFormat="1" applyFont="1" applyFill="1" applyBorder="1" applyProtection="1"/>
    <xf numFmtId="0" fontId="46" fillId="4" borderId="17" xfId="0" applyFont="1" applyFill="1" applyBorder="1" applyProtection="1"/>
    <xf numFmtId="0" fontId="67" fillId="4" borderId="14" xfId="0" applyFont="1" applyFill="1" applyBorder="1" applyProtection="1"/>
    <xf numFmtId="0" fontId="55" fillId="4" borderId="14" xfId="0" applyFont="1" applyFill="1" applyBorder="1" applyAlignment="1" applyProtection="1">
      <alignment horizontal="center"/>
    </xf>
    <xf numFmtId="164" fontId="8" fillId="4" borderId="17" xfId="0" applyNumberFormat="1" applyFont="1" applyFill="1" applyBorder="1" applyAlignment="1" applyProtection="1">
      <alignment horizontal="center"/>
    </xf>
    <xf numFmtId="0" fontId="68" fillId="5" borderId="0" xfId="0" applyFont="1" applyFill="1" applyBorder="1" applyAlignment="1" applyProtection="1"/>
    <xf numFmtId="0" fontId="30" fillId="5" borderId="0" xfId="0" applyFont="1" applyFill="1" applyBorder="1" applyAlignment="1" applyProtection="1">
      <alignment horizontal="center"/>
    </xf>
    <xf numFmtId="164" fontId="30" fillId="5" borderId="0" xfId="0" applyNumberFormat="1" applyFont="1" applyFill="1" applyBorder="1" applyAlignment="1" applyProtection="1">
      <alignment horizontal="center"/>
    </xf>
    <xf numFmtId="164" fontId="30" fillId="5" borderId="0" xfId="0" applyNumberFormat="1" applyFont="1" applyFill="1" applyBorder="1" applyProtection="1"/>
    <xf numFmtId="0" fontId="27" fillId="5" borderId="5" xfId="0" applyFont="1" applyFill="1" applyBorder="1" applyProtection="1"/>
    <xf numFmtId="0" fontId="27" fillId="5" borderId="0" xfId="0" applyFont="1" applyFill="1" applyBorder="1" applyAlignment="1" applyProtection="1"/>
    <xf numFmtId="0" fontId="27" fillId="5" borderId="0" xfId="0" applyFont="1" applyFill="1" applyBorder="1" applyAlignment="1" applyProtection="1">
      <alignment horizontal="center"/>
    </xf>
    <xf numFmtId="164" fontId="27" fillId="5" borderId="0" xfId="0" applyNumberFormat="1" applyFont="1" applyFill="1" applyBorder="1" applyAlignment="1" applyProtection="1">
      <alignment horizontal="center"/>
    </xf>
    <xf numFmtId="164" fontId="27" fillId="5" borderId="0" xfId="0" applyNumberFormat="1" applyFont="1" applyFill="1" applyBorder="1" applyProtection="1"/>
    <xf numFmtId="0" fontId="13" fillId="5" borderId="0" xfId="0" applyFont="1" applyFill="1" applyBorder="1" applyAlignment="1" applyProtection="1"/>
    <xf numFmtId="164" fontId="21" fillId="5" borderId="0" xfId="0" applyNumberFormat="1" applyFont="1" applyFill="1" applyBorder="1" applyAlignment="1" applyProtection="1">
      <alignment horizontal="center"/>
    </xf>
    <xf numFmtId="164" fontId="21" fillId="5" borderId="0" xfId="0" applyNumberFormat="1" applyFont="1" applyFill="1" applyBorder="1" applyProtection="1"/>
    <xf numFmtId="0" fontId="21" fillId="5" borderId="0" xfId="0" applyFont="1" applyFill="1" applyBorder="1" applyAlignment="1" applyProtection="1"/>
    <xf numFmtId="164" fontId="8" fillId="4" borderId="12" xfId="0" applyNumberFormat="1" applyFont="1" applyFill="1" applyBorder="1" applyProtection="1"/>
    <xf numFmtId="164" fontId="8" fillId="4" borderId="18" xfId="0" applyNumberFormat="1" applyFont="1" applyFill="1" applyBorder="1" applyProtection="1"/>
    <xf numFmtId="164" fontId="8" fillId="4" borderId="11" xfId="0" applyNumberFormat="1" applyFont="1" applyFill="1" applyBorder="1" applyAlignment="1" applyProtection="1">
      <alignment horizontal="center"/>
    </xf>
    <xf numFmtId="164" fontId="8" fillId="4" borderId="15" xfId="0" applyNumberFormat="1" applyFont="1" applyFill="1" applyBorder="1" applyProtection="1"/>
    <xf numFmtId="164" fontId="8" fillId="4" borderId="14" xfId="0" applyNumberFormat="1" applyFont="1" applyFill="1" applyBorder="1" applyProtection="1"/>
    <xf numFmtId="0" fontId="14" fillId="4" borderId="10" xfId="0" applyFont="1" applyFill="1" applyBorder="1" applyProtection="1"/>
    <xf numFmtId="0" fontId="8" fillId="4" borderId="13" xfId="0" applyFont="1" applyFill="1" applyBorder="1" applyAlignment="1" applyProtection="1">
      <alignment horizontal="center"/>
    </xf>
    <xf numFmtId="2" fontId="8" fillId="4" borderId="15" xfId="0" applyNumberFormat="1" applyFont="1" applyFill="1" applyBorder="1" applyProtection="1"/>
    <xf numFmtId="164" fontId="8" fillId="5" borderId="5" xfId="0" applyNumberFormat="1" applyFont="1" applyFill="1" applyBorder="1" applyProtection="1"/>
    <xf numFmtId="164" fontId="8" fillId="5" borderId="6" xfId="0" applyNumberFormat="1" applyFont="1" applyFill="1" applyBorder="1" applyProtection="1"/>
    <xf numFmtId="164" fontId="8" fillId="5" borderId="0" xfId="0" applyNumberFormat="1" applyFont="1" applyFill="1" applyBorder="1" applyAlignment="1" applyProtection="1"/>
    <xf numFmtId="164" fontId="8" fillId="4" borderId="10" xfId="0" applyNumberFormat="1" applyFont="1" applyFill="1" applyBorder="1" applyProtection="1"/>
    <xf numFmtId="0" fontId="8" fillId="4" borderId="0" xfId="0" applyFont="1" applyFill="1" applyBorder="1"/>
    <xf numFmtId="0" fontId="8" fillId="5" borderId="2" xfId="0" applyFont="1" applyFill="1" applyBorder="1"/>
    <xf numFmtId="0" fontId="8" fillId="5" borderId="3" xfId="0" applyFont="1" applyFill="1" applyBorder="1"/>
    <xf numFmtId="0" fontId="8" fillId="5" borderId="4" xfId="0" applyFont="1" applyFill="1" applyBorder="1"/>
    <xf numFmtId="0" fontId="8" fillId="5" borderId="5" xfId="0" applyFont="1" applyFill="1" applyBorder="1"/>
    <xf numFmtId="0" fontId="8" fillId="5" borderId="0" xfId="0" applyFont="1" applyFill="1" applyBorder="1"/>
    <xf numFmtId="0" fontId="8" fillId="5" borderId="6" xfId="0" applyFont="1" applyFill="1" applyBorder="1"/>
    <xf numFmtId="0" fontId="21" fillId="4" borderId="0" xfId="0" applyFont="1" applyFill="1" applyBorder="1"/>
    <xf numFmtId="0" fontId="22" fillId="5" borderId="5" xfId="0" applyFont="1" applyFill="1" applyBorder="1"/>
    <xf numFmtId="0" fontId="21" fillId="5" borderId="0" xfId="0" applyFont="1" applyFill="1" applyBorder="1"/>
    <xf numFmtId="0" fontId="21" fillId="5" borderId="6" xfId="0" applyFont="1" applyFill="1" applyBorder="1"/>
    <xf numFmtId="0" fontId="29" fillId="5" borderId="5" xfId="0" applyFont="1" applyFill="1" applyBorder="1"/>
    <xf numFmtId="0" fontId="27" fillId="5" borderId="0" xfId="0" applyFont="1" applyFill="1" applyBorder="1"/>
    <xf numFmtId="0" fontId="27" fillId="4" borderId="0" xfId="0" applyFont="1" applyFill="1" applyBorder="1"/>
    <xf numFmtId="0" fontId="27" fillId="5" borderId="5" xfId="0" applyFont="1" applyFill="1" applyBorder="1"/>
    <xf numFmtId="0" fontId="27" fillId="5" borderId="6" xfId="0" applyFont="1" applyFill="1" applyBorder="1"/>
    <xf numFmtId="0" fontId="32" fillId="4" borderId="0" xfId="0" applyFont="1" applyFill="1" applyBorder="1"/>
    <xf numFmtId="0" fontId="50" fillId="5" borderId="0" xfId="0" applyFont="1" applyFill="1" applyBorder="1" applyProtection="1"/>
    <xf numFmtId="165" fontId="24" fillId="5" borderId="0" xfId="4" applyNumberFormat="1" applyFont="1" applyFill="1" applyBorder="1" applyProtection="1"/>
    <xf numFmtId="165" fontId="24" fillId="5" borderId="6" xfId="4" applyNumberFormat="1" applyFont="1" applyFill="1" applyBorder="1" applyProtection="1"/>
    <xf numFmtId="0" fontId="14" fillId="4" borderId="15" xfId="0" applyFont="1" applyFill="1" applyBorder="1" applyProtection="1"/>
    <xf numFmtId="177" fontId="8" fillId="4" borderId="14" xfId="0" applyNumberFormat="1" applyFont="1" applyFill="1" applyBorder="1" applyAlignment="1" applyProtection="1">
      <alignment horizontal="left"/>
    </xf>
    <xf numFmtId="168" fontId="8" fillId="4" borderId="17" xfId="0" applyNumberFormat="1" applyFont="1" applyFill="1" applyBorder="1" applyProtection="1"/>
    <xf numFmtId="168" fontId="8" fillId="5" borderId="0" xfId="0" applyNumberFormat="1" applyFont="1" applyFill="1" applyBorder="1" applyProtection="1"/>
    <xf numFmtId="168" fontId="8" fillId="5" borderId="8" xfId="0" applyNumberFormat="1" applyFont="1" applyFill="1" applyBorder="1" applyProtection="1"/>
    <xf numFmtId="166" fontId="9" fillId="5" borderId="3" xfId="0" applyNumberFormat="1" applyFont="1" applyFill="1" applyBorder="1" applyProtection="1"/>
    <xf numFmtId="166" fontId="54" fillId="5" borderId="0" xfId="0" applyNumberFormat="1" applyFont="1" applyFill="1" applyBorder="1" applyProtection="1"/>
    <xf numFmtId="166" fontId="32" fillId="5" borderId="0" xfId="0" applyNumberFormat="1" applyFont="1" applyFill="1" applyBorder="1" applyProtection="1"/>
    <xf numFmtId="166" fontId="28" fillId="5" borderId="0" xfId="0" applyNumberFormat="1" applyFont="1" applyFill="1" applyBorder="1" applyProtection="1"/>
    <xf numFmtId="166" fontId="9" fillId="4" borderId="11" xfId="0" applyNumberFormat="1" applyFont="1" applyFill="1" applyBorder="1" applyProtection="1"/>
    <xf numFmtId="166" fontId="9" fillId="5" borderId="8" xfId="4" applyNumberFormat="1" applyFont="1" applyFill="1" applyBorder="1" applyAlignment="1" applyProtection="1">
      <alignment horizontal="left"/>
    </xf>
    <xf numFmtId="166" fontId="9" fillId="4" borderId="0" xfId="4" applyNumberFormat="1" applyFont="1" applyFill="1" applyBorder="1" applyAlignment="1" applyProtection="1">
      <alignment horizontal="left"/>
    </xf>
    <xf numFmtId="166" fontId="9" fillId="5" borderId="0" xfId="4" applyNumberFormat="1" applyFont="1" applyFill="1" applyBorder="1" applyAlignment="1" applyProtection="1">
      <alignment horizontal="left"/>
    </xf>
    <xf numFmtId="166" fontId="26" fillId="5" borderId="0" xfId="0" applyNumberFormat="1" applyFont="1" applyFill="1" applyBorder="1" applyProtection="1"/>
    <xf numFmtId="166" fontId="9" fillId="5" borderId="3" xfId="4" applyNumberFormat="1" applyFont="1" applyFill="1" applyBorder="1" applyAlignment="1" applyProtection="1">
      <alignment horizontal="left"/>
    </xf>
    <xf numFmtId="0" fontId="58" fillId="4" borderId="17" xfId="0" applyNumberFormat="1" applyFont="1" applyFill="1" applyBorder="1" applyAlignment="1" applyProtection="1">
      <alignment horizontal="center"/>
    </xf>
    <xf numFmtId="0" fontId="58" fillId="3" borderId="0" xfId="0" applyNumberFormat="1" applyFont="1" applyFill="1" applyBorder="1" applyAlignment="1" applyProtection="1">
      <alignment horizontal="center"/>
    </xf>
    <xf numFmtId="164" fontId="8" fillId="5" borderId="8" xfId="0" applyNumberFormat="1" applyFont="1" applyFill="1" applyBorder="1" applyProtection="1"/>
    <xf numFmtId="164" fontId="8" fillId="2" borderId="0" xfId="0" applyNumberFormat="1" applyFont="1" applyFill="1" applyBorder="1" applyAlignment="1" applyProtection="1">
      <alignment horizontal="left"/>
      <protection locked="0"/>
    </xf>
    <xf numFmtId="0" fontId="48" fillId="4" borderId="0" xfId="0" applyNumberFormat="1" applyFont="1" applyFill="1" applyBorder="1" applyAlignment="1" applyProtection="1">
      <alignment horizontal="left"/>
    </xf>
    <xf numFmtId="0" fontId="48" fillId="4" borderId="0" xfId="0" applyFont="1" applyFill="1" applyBorder="1" applyAlignment="1" applyProtection="1">
      <alignment horizontal="left"/>
    </xf>
    <xf numFmtId="0" fontId="8" fillId="5" borderId="14" xfId="0" applyFont="1" applyFill="1" applyBorder="1" applyAlignment="1" applyProtection="1">
      <alignment horizontal="left" vertical="top" wrapText="1"/>
      <protection locked="0"/>
    </xf>
    <xf numFmtId="0" fontId="8" fillId="5" borderId="15" xfId="0" applyFont="1" applyFill="1" applyBorder="1" applyAlignment="1" applyProtection="1">
      <alignment horizontal="left" vertical="top" wrapText="1"/>
      <protection locked="0"/>
    </xf>
    <xf numFmtId="0" fontId="8" fillId="5" borderId="18" xfId="0" applyFont="1" applyFill="1" applyBorder="1" applyAlignment="1" applyProtection="1">
      <alignment horizontal="left" vertical="top" wrapText="1"/>
      <protection locked="0"/>
    </xf>
    <xf numFmtId="0" fontId="8" fillId="4" borderId="0" xfId="0" applyFont="1" applyFill="1" applyBorder="1" applyAlignment="1" applyProtection="1">
      <alignment horizontal="left" vertical="top" wrapText="1"/>
      <protection locked="0"/>
    </xf>
    <xf numFmtId="165" fontId="52" fillId="6" borderId="0" xfId="4" applyFont="1" applyFill="1" applyBorder="1" applyAlignment="1" applyProtection="1">
      <alignment horizontal="left" vertical="top" wrapText="1"/>
      <protection locked="0"/>
    </xf>
    <xf numFmtId="0" fontId="35" fillId="0" borderId="0" xfId="0" applyFont="1" applyFill="1" applyAlignment="1" applyProtection="1">
      <alignment horizontal="left"/>
    </xf>
    <xf numFmtId="166" fontId="8" fillId="0" borderId="0" xfId="0" applyNumberFormat="1" applyFont="1" applyFill="1" applyBorder="1" applyAlignment="1" applyProtection="1">
      <alignment horizontal="left"/>
      <protection locked="0"/>
    </xf>
    <xf numFmtId="0" fontId="8" fillId="4" borderId="0" xfId="0" applyFont="1" applyFill="1" applyBorder="1" applyProtection="1">
      <protection locked="0"/>
    </xf>
    <xf numFmtId="0" fontId="8" fillId="4" borderId="0" xfId="0" applyFont="1" applyFill="1" applyBorder="1" applyAlignment="1" applyProtection="1">
      <alignment horizontal="right"/>
      <protection locked="0"/>
    </xf>
    <xf numFmtId="0" fontId="11" fillId="0" borderId="0" xfId="0" applyFont="1" applyFill="1"/>
    <xf numFmtId="0" fontId="12" fillId="0" borderId="0" xfId="0" applyFont="1" applyFill="1" applyAlignment="1">
      <alignment horizontal="center"/>
    </xf>
    <xf numFmtId="0" fontId="8" fillId="0" borderId="0" xfId="0" applyFont="1" applyFill="1"/>
    <xf numFmtId="0" fontId="10" fillId="0" borderId="0" xfId="0" applyFont="1" applyFill="1"/>
    <xf numFmtId="0" fontId="8" fillId="0" borderId="0" xfId="0" applyFont="1" applyFill="1" applyAlignment="1"/>
    <xf numFmtId="0" fontId="14" fillId="0" borderId="0" xfId="0" applyFont="1" applyFill="1"/>
    <xf numFmtId="0" fontId="9" fillId="0" borderId="0" xfId="0" applyFont="1" applyFill="1"/>
    <xf numFmtId="0" fontId="50" fillId="0" borderId="0" xfId="0" applyFont="1" applyFill="1" applyBorder="1" applyAlignment="1" applyProtection="1">
      <alignment horizontal="left"/>
    </xf>
    <xf numFmtId="165" fontId="44" fillId="9" borderId="0" xfId="0" applyNumberFormat="1" applyFont="1" applyFill="1" applyAlignment="1" applyProtection="1">
      <alignment horizontal="left"/>
      <protection locked="0"/>
    </xf>
    <xf numFmtId="0" fontId="46" fillId="0" borderId="0" xfId="0" applyFont="1" applyFill="1" applyAlignment="1" applyProtection="1">
      <alignment horizontal="left"/>
    </xf>
    <xf numFmtId="165" fontId="8" fillId="4" borderId="0" xfId="4" applyFont="1" applyFill="1" applyBorder="1" applyProtection="1"/>
    <xf numFmtId="165" fontId="8" fillId="5" borderId="3" xfId="4" applyFont="1" applyFill="1" applyBorder="1" applyProtection="1"/>
    <xf numFmtId="165" fontId="8" fillId="5" borderId="0" xfId="4" applyFont="1" applyFill="1" applyBorder="1" applyProtection="1"/>
    <xf numFmtId="165" fontId="46" fillId="5" borderId="0" xfId="4" applyFont="1" applyFill="1" applyBorder="1" applyProtection="1"/>
    <xf numFmtId="165" fontId="8" fillId="4" borderId="11" xfId="4" applyFont="1" applyFill="1" applyBorder="1" applyProtection="1"/>
    <xf numFmtId="165" fontId="48" fillId="4" borderId="0" xfId="4" applyFont="1" applyFill="1" applyBorder="1" applyAlignment="1" applyProtection="1">
      <alignment horizontal="center"/>
    </xf>
    <xf numFmtId="165" fontId="8" fillId="4" borderId="0" xfId="4" applyFont="1" applyFill="1" applyBorder="1" applyAlignment="1" applyProtection="1">
      <alignment horizontal="right"/>
    </xf>
    <xf numFmtId="165" fontId="8" fillId="5" borderId="0" xfId="4" applyFont="1" applyFill="1" applyBorder="1" applyAlignment="1" applyProtection="1">
      <alignment horizontal="right"/>
    </xf>
    <xf numFmtId="165" fontId="9" fillId="5" borderId="0" xfId="4" applyFont="1" applyFill="1" applyBorder="1" applyAlignment="1" applyProtection="1">
      <alignment horizontal="left"/>
    </xf>
    <xf numFmtId="165" fontId="9" fillId="5" borderId="8" xfId="4" applyFont="1" applyFill="1" applyBorder="1" applyProtection="1"/>
    <xf numFmtId="165" fontId="9" fillId="4" borderId="0" xfId="4" applyFont="1" applyFill="1" applyBorder="1" applyProtection="1"/>
    <xf numFmtId="166" fontId="46" fillId="5" borderId="0" xfId="4" applyNumberFormat="1" applyFont="1" applyFill="1" applyBorder="1" applyProtection="1"/>
    <xf numFmtId="166" fontId="48" fillId="4" borderId="0" xfId="4" applyNumberFormat="1" applyFont="1" applyFill="1" applyBorder="1" applyAlignment="1" applyProtection="1">
      <alignment horizontal="center"/>
    </xf>
    <xf numFmtId="166" fontId="8" fillId="5" borderId="14" xfId="4" applyNumberFormat="1" applyFont="1" applyFill="1" applyBorder="1" applyAlignment="1" applyProtection="1">
      <alignment horizontal="left" vertical="top" wrapText="1"/>
      <protection locked="0"/>
    </xf>
    <xf numFmtId="166" fontId="52" fillId="6" borderId="0" xfId="4" applyNumberFormat="1" applyFont="1" applyFill="1" applyBorder="1" applyAlignment="1" applyProtection="1">
      <alignment horizontal="left" vertical="top" wrapText="1"/>
      <protection locked="0"/>
    </xf>
    <xf numFmtId="166" fontId="8" fillId="4" borderId="0" xfId="4" applyNumberFormat="1" applyFont="1" applyFill="1" applyBorder="1" applyAlignment="1" applyProtection="1">
      <alignment horizontal="right"/>
    </xf>
    <xf numFmtId="166" fontId="8" fillId="5" borderId="0" xfId="4" applyNumberFormat="1" applyFont="1" applyFill="1" applyBorder="1" applyAlignment="1" applyProtection="1">
      <alignment horizontal="right"/>
    </xf>
    <xf numFmtId="166" fontId="9" fillId="5" borderId="8" xfId="4" applyNumberFormat="1" applyFont="1" applyFill="1" applyBorder="1" applyProtection="1"/>
    <xf numFmtId="166" fontId="9" fillId="4" borderId="0" xfId="4" applyNumberFormat="1" applyFont="1" applyFill="1" applyBorder="1" applyProtection="1"/>
    <xf numFmtId="166" fontId="49" fillId="4" borderId="0" xfId="4" applyNumberFormat="1" applyFont="1" applyFill="1" applyBorder="1" applyAlignment="1" applyProtection="1">
      <alignment horizontal="left"/>
    </xf>
    <xf numFmtId="0" fontId="49" fillId="4" borderId="0" xfId="0" applyFont="1" applyFill="1" applyBorder="1" applyAlignment="1" applyProtection="1">
      <alignment horizontal="left"/>
    </xf>
    <xf numFmtId="165" fontId="10" fillId="4" borderId="12" xfId="4" applyNumberFormat="1" applyFont="1" applyFill="1" applyBorder="1" applyAlignment="1" applyProtection="1">
      <alignment horizontal="center"/>
    </xf>
    <xf numFmtId="166" fontId="8" fillId="7" borderId="14" xfId="4" applyNumberFormat="1" applyFont="1" applyFill="1" applyBorder="1" applyAlignment="1" applyProtection="1">
      <alignment horizontal="left" vertical="top" wrapText="1"/>
      <protection locked="0"/>
    </xf>
    <xf numFmtId="165" fontId="49" fillId="4" borderId="0" xfId="4" applyFont="1" applyFill="1" applyBorder="1" applyAlignment="1" applyProtection="1">
      <alignment horizontal="left"/>
    </xf>
    <xf numFmtId="165" fontId="14" fillId="4" borderId="12" xfId="4" applyNumberFormat="1" applyFont="1" applyFill="1" applyBorder="1" applyAlignment="1" applyProtection="1">
      <alignment horizontal="left"/>
    </xf>
    <xf numFmtId="165" fontId="8" fillId="4" borderId="0" xfId="4" applyFont="1" applyFill="1" applyBorder="1" applyAlignment="1" applyProtection="1">
      <alignment horizontal="left"/>
    </xf>
    <xf numFmtId="49" fontId="56" fillId="4" borderId="0" xfId="0" applyNumberFormat="1" applyFont="1" applyFill="1" applyBorder="1" applyAlignment="1" applyProtection="1">
      <alignment horizontal="left"/>
    </xf>
    <xf numFmtId="0" fontId="56" fillId="4" borderId="0" xfId="0" applyFont="1" applyFill="1" applyAlignment="1" applyProtection="1">
      <alignment horizontal="left"/>
    </xf>
    <xf numFmtId="166" fontId="9" fillId="8" borderId="15" xfId="4" applyNumberFormat="1" applyFont="1" applyFill="1" applyBorder="1" applyAlignment="1" applyProtection="1">
      <alignment horizontal="left" vertical="top" wrapText="1"/>
      <protection locked="0"/>
    </xf>
    <xf numFmtId="166" fontId="51" fillId="6" borderId="15" xfId="4" applyNumberFormat="1" applyFont="1" applyFill="1" applyBorder="1" applyAlignment="1" applyProtection="1">
      <alignment horizontal="left" vertical="top" wrapText="1"/>
      <protection locked="0"/>
    </xf>
    <xf numFmtId="0" fontId="49" fillId="4" borderId="0" xfId="0" applyFont="1" applyFill="1" applyBorder="1" applyProtection="1"/>
    <xf numFmtId="0" fontId="40" fillId="0" borderId="0" xfId="0" applyFont="1" applyFill="1" applyAlignment="1" applyProtection="1">
      <alignment horizontal="right"/>
    </xf>
    <xf numFmtId="179" fontId="44" fillId="0" borderId="0" xfId="3" applyNumberFormat="1" applyFont="1" applyFill="1" applyAlignment="1" applyProtection="1">
      <alignment horizontal="right"/>
    </xf>
    <xf numFmtId="44" fontId="44" fillId="0" borderId="0" xfId="0" applyNumberFormat="1" applyFont="1" applyFill="1" applyAlignment="1" applyProtection="1">
      <alignment horizontal="left"/>
    </xf>
    <xf numFmtId="44" fontId="44" fillId="0" borderId="0" xfId="0" applyNumberFormat="1" applyFont="1" applyFill="1" applyBorder="1" applyAlignment="1" applyProtection="1">
      <alignment horizontal="left"/>
    </xf>
    <xf numFmtId="0" fontId="58" fillId="0" borderId="0" xfId="0" applyFont="1" applyFill="1" applyAlignment="1" applyProtection="1">
      <alignment horizontal="left"/>
    </xf>
    <xf numFmtId="44" fontId="58" fillId="0" borderId="0" xfId="0" applyNumberFormat="1" applyFont="1" applyFill="1" applyAlignment="1" applyProtection="1">
      <alignment horizontal="left"/>
    </xf>
    <xf numFmtId="0" fontId="58" fillId="0" borderId="0" xfId="0" applyFont="1" applyFill="1" applyBorder="1" applyAlignment="1" applyProtection="1">
      <alignment horizontal="left"/>
    </xf>
    <xf numFmtId="44" fontId="58" fillId="0" borderId="0" xfId="0" applyNumberFormat="1" applyFont="1" applyFill="1" applyBorder="1" applyAlignment="1" applyProtection="1">
      <alignment horizontal="left"/>
    </xf>
    <xf numFmtId="164" fontId="8" fillId="5" borderId="14" xfId="0" applyNumberFormat="1" applyFont="1" applyFill="1" applyBorder="1" applyAlignment="1" applyProtection="1">
      <alignment horizontal="left"/>
    </xf>
    <xf numFmtId="164" fontId="8" fillId="5" borderId="14" xfId="4" applyNumberFormat="1" applyFont="1" applyFill="1" applyBorder="1" applyAlignment="1" applyProtection="1">
      <alignment horizontal="left"/>
    </xf>
    <xf numFmtId="0" fontId="8" fillId="0" borderId="14" xfId="0" applyFont="1" applyFill="1" applyBorder="1" applyProtection="1"/>
    <xf numFmtId="0" fontId="9" fillId="0" borderId="1" xfId="0" quotePrefix="1" applyFont="1" applyFill="1" applyBorder="1" applyAlignment="1">
      <alignment horizontal="center"/>
    </xf>
    <xf numFmtId="0" fontId="8" fillId="0" borderId="0" xfId="0" applyNumberFormat="1" applyFont="1" applyFill="1"/>
    <xf numFmtId="0" fontId="10" fillId="0" borderId="0" xfId="0" applyFont="1" applyFill="1" applyAlignment="1"/>
    <xf numFmtId="0" fontId="9" fillId="0" borderId="0" xfId="0" applyFont="1" applyFill="1" applyAlignment="1"/>
    <xf numFmtId="0" fontId="71" fillId="0" borderId="0" xfId="2" applyFont="1" applyFill="1" applyAlignment="1" applyProtection="1"/>
    <xf numFmtId="180" fontId="72" fillId="0" borderId="0" xfId="0" applyNumberFormat="1" applyFont="1" applyFill="1"/>
    <xf numFmtId="0" fontId="68" fillId="5" borderId="0" xfId="0" applyFont="1" applyFill="1" applyBorder="1" applyProtection="1"/>
    <xf numFmtId="0" fontId="68" fillId="5" borderId="0" xfId="0" applyFont="1" applyFill="1" applyBorder="1" applyAlignment="1" applyProtection="1">
      <alignment horizontal="left"/>
    </xf>
    <xf numFmtId="0" fontId="75" fillId="0" borderId="0" xfId="0" applyFont="1" applyFill="1" applyBorder="1" applyAlignment="1" applyProtection="1">
      <alignment horizontal="left"/>
    </xf>
    <xf numFmtId="0" fontId="75" fillId="0" borderId="0" xfId="0" applyFont="1" applyFill="1" applyBorder="1" applyAlignment="1" applyProtection="1">
      <alignment horizontal="center"/>
    </xf>
    <xf numFmtId="165" fontId="75" fillId="0" borderId="0" xfId="4" applyFont="1" applyFill="1" applyBorder="1" applyAlignment="1" applyProtection="1">
      <alignment horizontal="center"/>
    </xf>
    <xf numFmtId="10" fontId="75" fillId="0" borderId="0" xfId="4" applyNumberFormat="1" applyFont="1" applyFill="1" applyBorder="1" applyAlignment="1" applyProtection="1">
      <alignment horizontal="center"/>
    </xf>
    <xf numFmtId="165" fontId="75" fillId="0" borderId="0" xfId="4" applyFont="1" applyFill="1" applyBorder="1" applyAlignment="1" applyProtection="1">
      <alignment horizontal="left"/>
    </xf>
    <xf numFmtId="9" fontId="75" fillId="0" borderId="0" xfId="3" applyFont="1" applyFill="1" applyBorder="1" applyAlignment="1" applyProtection="1">
      <alignment horizontal="left"/>
    </xf>
    <xf numFmtId="3" fontId="8" fillId="2" borderId="0" xfId="0" applyNumberFormat="1" applyFont="1" applyFill="1" applyBorder="1" applyAlignment="1" applyProtection="1">
      <alignment horizontal="left"/>
      <protection locked="0"/>
    </xf>
    <xf numFmtId="165" fontId="75" fillId="0" borderId="0" xfId="0" applyNumberFormat="1" applyFont="1" applyFill="1" applyBorder="1" applyAlignment="1" applyProtection="1">
      <alignment horizontal="left"/>
      <protection locked="0"/>
    </xf>
    <xf numFmtId="0" fontId="75" fillId="0" borderId="0" xfId="0" applyFont="1" applyFill="1" applyBorder="1" applyAlignment="1" applyProtection="1">
      <alignment horizontal="left"/>
      <protection locked="0"/>
    </xf>
    <xf numFmtId="0" fontId="68" fillId="5" borderId="0" xfId="0" applyFont="1" applyFill="1" applyBorder="1"/>
    <xf numFmtId="164" fontId="8" fillId="9" borderId="14" xfId="0" applyNumberFormat="1" applyFont="1" applyFill="1" applyBorder="1" applyAlignment="1" applyProtection="1">
      <alignment horizontal="left"/>
    </xf>
    <xf numFmtId="0" fontId="8" fillId="9" borderId="14" xfId="0" applyFont="1" applyFill="1" applyBorder="1" applyAlignment="1" applyProtection="1">
      <alignment horizontal="left"/>
    </xf>
    <xf numFmtId="164" fontId="8" fillId="9" borderId="14" xfId="0" applyNumberFormat="1" applyFont="1" applyFill="1" applyBorder="1" applyProtection="1"/>
    <xf numFmtId="0" fontId="8" fillId="9" borderId="14" xfId="0" applyFont="1" applyFill="1" applyBorder="1" applyProtection="1"/>
    <xf numFmtId="172" fontId="8" fillId="9" borderId="14" xfId="0" applyNumberFormat="1" applyFont="1" applyFill="1" applyBorder="1" applyAlignment="1" applyProtection="1">
      <alignment horizontal="left"/>
    </xf>
    <xf numFmtId="164" fontId="8" fillId="9" borderId="14" xfId="0" applyNumberFormat="1" applyFont="1" applyFill="1" applyBorder="1" applyAlignment="1" applyProtection="1"/>
    <xf numFmtId="0" fontId="8" fillId="9" borderId="14" xfId="0" applyFont="1" applyFill="1" applyBorder="1" applyAlignment="1" applyProtection="1">
      <alignment horizontal="center"/>
    </xf>
    <xf numFmtId="1" fontId="8" fillId="9" borderId="14" xfId="0" applyNumberFormat="1" applyFont="1" applyFill="1" applyBorder="1" applyAlignment="1" applyProtection="1">
      <alignment horizontal="center"/>
    </xf>
    <xf numFmtId="171" fontId="8" fillId="9" borderId="14" xfId="0" applyNumberFormat="1" applyFont="1" applyFill="1" applyBorder="1" applyAlignment="1" applyProtection="1">
      <alignment horizontal="center"/>
    </xf>
    <xf numFmtId="164" fontId="8" fillId="9" borderId="14" xfId="0" applyNumberFormat="1" applyFont="1" applyFill="1" applyBorder="1" applyAlignment="1" applyProtection="1">
      <alignment horizontal="center"/>
    </xf>
    <xf numFmtId="0" fontId="76" fillId="5" borderId="0" xfId="0" applyFont="1" applyFill="1" applyBorder="1" applyProtection="1"/>
    <xf numFmtId="0" fontId="77" fillId="5" borderId="0" xfId="0" applyFont="1" applyFill="1" applyBorder="1" applyAlignment="1" applyProtection="1">
      <alignment horizontal="center"/>
    </xf>
    <xf numFmtId="0" fontId="76" fillId="5" borderId="0" xfId="0" applyFont="1" applyFill="1" applyProtection="1"/>
    <xf numFmtId="0" fontId="78" fillId="5" borderId="0" xfId="0" applyFont="1" applyFill="1" applyBorder="1" applyAlignment="1" applyProtection="1">
      <alignment horizontal="right"/>
    </xf>
    <xf numFmtId="0" fontId="79" fillId="4" borderId="14" xfId="0" applyFont="1" applyFill="1" applyBorder="1" applyProtection="1"/>
    <xf numFmtId="0" fontId="76" fillId="5" borderId="0" xfId="0" applyFont="1" applyFill="1" applyBorder="1" applyAlignment="1" applyProtection="1">
      <alignment horizontal="left"/>
    </xf>
    <xf numFmtId="0" fontId="79" fillId="4" borderId="14" xfId="0" applyFont="1" applyFill="1" applyBorder="1" applyAlignment="1" applyProtection="1">
      <alignment horizontal="left"/>
    </xf>
    <xf numFmtId="0" fontId="78" fillId="4" borderId="14" xfId="0" applyFont="1" applyFill="1" applyBorder="1" applyAlignment="1" applyProtection="1">
      <alignment horizontal="left"/>
    </xf>
    <xf numFmtId="0" fontId="80" fillId="5" borderId="0" xfId="0" applyFont="1" applyFill="1" applyBorder="1" applyAlignment="1" applyProtection="1">
      <alignment horizontal="center"/>
    </xf>
    <xf numFmtId="0" fontId="73" fillId="4" borderId="14" xfId="0" applyFont="1" applyFill="1" applyBorder="1" applyProtection="1"/>
    <xf numFmtId="0" fontId="9" fillId="10" borderId="14" xfId="0" applyFont="1" applyFill="1" applyBorder="1" applyAlignment="1" applyProtection="1">
      <alignment horizontal="center"/>
    </xf>
    <xf numFmtId="1" fontId="8" fillId="10" borderId="14" xfId="0" applyNumberFormat="1" applyFont="1" applyFill="1" applyBorder="1" applyAlignment="1" applyProtection="1">
      <alignment horizontal="center"/>
    </xf>
    <xf numFmtId="0" fontId="8" fillId="10" borderId="14" xfId="0" applyFont="1" applyFill="1" applyBorder="1" applyAlignment="1" applyProtection="1">
      <alignment horizontal="center"/>
    </xf>
    <xf numFmtId="1" fontId="8" fillId="9" borderId="14" xfId="0" applyNumberFormat="1" applyFont="1" applyFill="1" applyBorder="1" applyAlignment="1" applyProtection="1">
      <alignment horizontal="center"/>
      <protection locked="0"/>
    </xf>
    <xf numFmtId="0" fontId="8" fillId="9" borderId="14" xfId="0" applyNumberFormat="1" applyFont="1" applyFill="1" applyBorder="1" applyAlignment="1" applyProtection="1">
      <alignment horizontal="center"/>
    </xf>
    <xf numFmtId="0" fontId="8" fillId="9" borderId="14" xfId="0" quotePrefix="1" applyNumberFormat="1" applyFont="1" applyFill="1" applyBorder="1" applyAlignment="1" applyProtection="1">
      <alignment horizontal="center"/>
    </xf>
    <xf numFmtId="0" fontId="75" fillId="4" borderId="14" xfId="0" applyFont="1" applyFill="1" applyBorder="1" applyAlignment="1" applyProtection="1">
      <alignment horizontal="center"/>
    </xf>
    <xf numFmtId="0" fontId="78" fillId="4" borderId="14" xfId="0" applyFont="1" applyFill="1" applyBorder="1" applyProtection="1"/>
    <xf numFmtId="0" fontId="76" fillId="4" borderId="14" xfId="0" applyFont="1" applyFill="1" applyBorder="1" applyProtection="1"/>
    <xf numFmtId="0" fontId="78" fillId="4" borderId="14" xfId="0" applyFont="1" applyFill="1" applyBorder="1" applyAlignment="1" applyProtection="1">
      <alignment horizontal="center"/>
    </xf>
    <xf numFmtId="0" fontId="76" fillId="4" borderId="14" xfId="0" applyFont="1" applyFill="1" applyBorder="1" applyAlignment="1" applyProtection="1">
      <alignment horizontal="center"/>
    </xf>
    <xf numFmtId="0" fontId="76" fillId="4" borderId="11" xfId="0" applyFont="1" applyFill="1" applyBorder="1" applyAlignment="1" applyProtection="1">
      <alignment horizontal="center"/>
    </xf>
    <xf numFmtId="0" fontId="79" fillId="4" borderId="0" xfId="0" applyFont="1" applyFill="1" applyBorder="1" applyProtection="1"/>
    <xf numFmtId="0" fontId="78" fillId="4" borderId="0" xfId="0" applyFont="1" applyFill="1" applyBorder="1" applyAlignment="1" applyProtection="1">
      <alignment horizontal="center"/>
    </xf>
    <xf numFmtId="0" fontId="77" fillId="4" borderId="0" xfId="0" applyFont="1" applyFill="1" applyBorder="1" applyAlignment="1" applyProtection="1">
      <alignment horizontal="center"/>
    </xf>
    <xf numFmtId="0" fontId="78" fillId="4" borderId="0" xfId="0" applyFont="1" applyFill="1" applyBorder="1" applyProtection="1"/>
    <xf numFmtId="0" fontId="76" fillId="4" borderId="0" xfId="0" applyFont="1" applyFill="1" applyBorder="1" applyAlignment="1" applyProtection="1">
      <alignment horizontal="center"/>
    </xf>
    <xf numFmtId="0" fontId="76" fillId="4" borderId="0" xfId="0" applyFont="1" applyFill="1" applyBorder="1" applyProtection="1"/>
    <xf numFmtId="164" fontId="76" fillId="4" borderId="0" xfId="0" applyNumberFormat="1" applyFont="1" applyFill="1" applyBorder="1" applyAlignment="1" applyProtection="1">
      <alignment horizontal="center"/>
    </xf>
    <xf numFmtId="164" fontId="76" fillId="4" borderId="0" xfId="0" quotePrefix="1" applyNumberFormat="1" applyFont="1" applyFill="1" applyBorder="1" applyAlignment="1" applyProtection="1">
      <alignment horizontal="center"/>
    </xf>
    <xf numFmtId="0" fontId="76" fillId="4" borderId="0" xfId="0" applyFont="1" applyFill="1" applyBorder="1" applyAlignment="1" applyProtection="1">
      <alignment horizontal="left"/>
    </xf>
    <xf numFmtId="0" fontId="76" fillId="4" borderId="0" xfId="0" applyFont="1" applyFill="1" applyProtection="1"/>
    <xf numFmtId="0" fontId="76" fillId="4" borderId="0" xfId="0" applyFont="1" applyFill="1" applyAlignment="1" applyProtection="1">
      <alignment horizontal="center"/>
    </xf>
    <xf numFmtId="166" fontId="65" fillId="10" borderId="14" xfId="0" applyNumberFormat="1" applyFont="1" applyFill="1" applyBorder="1" applyAlignment="1" applyProtection="1">
      <alignment horizontal="center"/>
    </xf>
    <xf numFmtId="164" fontId="61" fillId="10" borderId="14" xfId="0" applyNumberFormat="1" applyFont="1" applyFill="1" applyBorder="1" applyAlignment="1" applyProtection="1">
      <alignment horizontal="center"/>
    </xf>
    <xf numFmtId="167" fontId="65" fillId="10" borderId="14" xfId="0" applyNumberFormat="1" applyFont="1" applyFill="1" applyBorder="1" applyAlignment="1" applyProtection="1">
      <alignment horizontal="center"/>
    </xf>
    <xf numFmtId="164" fontId="66" fillId="10" borderId="14" xfId="0" applyNumberFormat="1" applyFont="1" applyFill="1" applyBorder="1" applyAlignment="1" applyProtection="1">
      <alignment horizontal="center"/>
    </xf>
    <xf numFmtId="164" fontId="10" fillId="9" borderId="14" xfId="0" applyNumberFormat="1" applyFont="1" applyFill="1" applyBorder="1" applyAlignment="1" applyProtection="1"/>
    <xf numFmtId="164" fontId="8" fillId="9" borderId="14" xfId="4" applyNumberFormat="1" applyFont="1" applyFill="1" applyBorder="1" applyAlignment="1" applyProtection="1">
      <alignment horizontal="center"/>
    </xf>
    <xf numFmtId="0" fontId="3" fillId="0" borderId="0" xfId="2" applyFill="1" applyAlignment="1" applyProtection="1">
      <alignment horizontal="left"/>
    </xf>
    <xf numFmtId="0" fontId="76" fillId="4" borderId="11" xfId="0" applyFont="1" applyFill="1" applyBorder="1" applyAlignment="1" applyProtection="1"/>
    <xf numFmtId="0" fontId="77" fillId="4" borderId="11" xfId="0" applyFont="1" applyFill="1" applyBorder="1" applyAlignment="1" applyProtection="1">
      <alignment horizontal="left"/>
    </xf>
    <xf numFmtId="0" fontId="76" fillId="4" borderId="11" xfId="0" applyFont="1" applyFill="1" applyBorder="1" applyAlignment="1" applyProtection="1">
      <alignment horizontal="left"/>
    </xf>
    <xf numFmtId="173" fontId="76" fillId="4" borderId="11" xfId="0" applyNumberFormat="1" applyFont="1" applyFill="1" applyBorder="1" applyAlignment="1" applyProtection="1">
      <alignment horizontal="center"/>
    </xf>
    <xf numFmtId="0" fontId="76" fillId="4" borderId="11" xfId="0" applyNumberFormat="1" applyFont="1" applyFill="1" applyBorder="1" applyAlignment="1" applyProtection="1">
      <alignment horizontal="center"/>
    </xf>
    <xf numFmtId="171" fontId="76" fillId="4" borderId="11" xfId="0" applyNumberFormat="1" applyFont="1" applyFill="1" applyBorder="1" applyAlignment="1" applyProtection="1">
      <alignment horizontal="center"/>
    </xf>
    <xf numFmtId="0" fontId="76" fillId="4" borderId="11" xfId="0" applyFont="1" applyFill="1" applyBorder="1" applyProtection="1"/>
    <xf numFmtId="166" fontId="79" fillId="4" borderId="11" xfId="0" applyNumberFormat="1" applyFont="1" applyFill="1" applyBorder="1" applyProtection="1"/>
    <xf numFmtId="0" fontId="82" fillId="4" borderId="14" xfId="0" applyFont="1" applyFill="1" applyBorder="1" applyAlignment="1" applyProtection="1">
      <alignment horizontal="left"/>
    </xf>
    <xf numFmtId="0" fontId="77" fillId="4" borderId="14" xfId="0" applyFont="1" applyFill="1" applyBorder="1" applyAlignment="1" applyProtection="1">
      <alignment horizontal="center"/>
    </xf>
    <xf numFmtId="0" fontId="78" fillId="4" borderId="14" xfId="0" applyNumberFormat="1" applyFont="1" applyFill="1" applyBorder="1" applyAlignment="1" applyProtection="1">
      <alignment horizontal="center"/>
    </xf>
    <xf numFmtId="173" fontId="78" fillId="4" borderId="14" xfId="0" applyNumberFormat="1" applyFont="1" applyFill="1" applyBorder="1" applyAlignment="1" applyProtection="1">
      <alignment horizontal="center"/>
    </xf>
    <xf numFmtId="171" fontId="78" fillId="4" borderId="14" xfId="0" applyNumberFormat="1" applyFont="1" applyFill="1" applyBorder="1" applyAlignment="1" applyProtection="1">
      <alignment horizontal="center"/>
    </xf>
    <xf numFmtId="1" fontId="78" fillId="4" borderId="14" xfId="0" applyNumberFormat="1" applyFont="1" applyFill="1" applyBorder="1" applyAlignment="1" applyProtection="1">
      <alignment horizontal="center"/>
    </xf>
    <xf numFmtId="166" fontId="78" fillId="4" borderId="14" xfId="0" applyNumberFormat="1" applyFont="1" applyFill="1" applyBorder="1" applyAlignment="1" applyProtection="1">
      <alignment horizontal="center"/>
    </xf>
    <xf numFmtId="164" fontId="78" fillId="4" borderId="14" xfId="0" applyNumberFormat="1" applyFont="1" applyFill="1" applyBorder="1" applyAlignment="1" applyProtection="1">
      <alignment horizontal="center"/>
    </xf>
    <xf numFmtId="166" fontId="77" fillId="4" borderId="14" xfId="0" applyNumberFormat="1" applyFont="1" applyFill="1" applyBorder="1" applyAlignment="1" applyProtection="1">
      <alignment horizontal="center"/>
    </xf>
    <xf numFmtId="166" fontId="8" fillId="9" borderId="14" xfId="4" applyNumberFormat="1" applyFont="1" applyFill="1" applyBorder="1" applyProtection="1"/>
    <xf numFmtId="166" fontId="9" fillId="9" borderId="14" xfId="4" applyNumberFormat="1" applyFont="1" applyFill="1" applyBorder="1" applyAlignment="1" applyProtection="1">
      <alignment horizontal="left"/>
    </xf>
    <xf numFmtId="2" fontId="8" fillId="9" borderId="14" xfId="0" applyNumberFormat="1" applyFont="1" applyFill="1" applyBorder="1" applyAlignment="1" applyProtection="1">
      <alignment horizontal="center"/>
    </xf>
    <xf numFmtId="171" fontId="9" fillId="10" borderId="14" xfId="0" applyNumberFormat="1" applyFont="1" applyFill="1" applyBorder="1" applyAlignment="1" applyProtection="1">
      <alignment horizontal="center"/>
    </xf>
    <xf numFmtId="166" fontId="9" fillId="10" borderId="14" xfId="0" applyNumberFormat="1" applyFont="1" applyFill="1" applyBorder="1" applyProtection="1"/>
    <xf numFmtId="0" fontId="75" fillId="4" borderId="14" xfId="0" applyFont="1" applyFill="1" applyBorder="1" applyAlignment="1" applyProtection="1">
      <alignment horizontal="left"/>
    </xf>
    <xf numFmtId="0" fontId="76" fillId="4" borderId="14" xfId="0" applyFont="1" applyFill="1" applyBorder="1" applyAlignment="1" applyProtection="1">
      <alignment horizontal="left"/>
    </xf>
    <xf numFmtId="0" fontId="81" fillId="4" borderId="14" xfId="0" applyFont="1" applyFill="1" applyBorder="1" applyAlignment="1" applyProtection="1">
      <alignment horizontal="left"/>
    </xf>
    <xf numFmtId="0" fontId="76" fillId="4" borderId="0" xfId="0" applyNumberFormat="1" applyFont="1" applyFill="1" applyBorder="1" applyAlignment="1" applyProtection="1">
      <alignment horizontal="center"/>
    </xf>
    <xf numFmtId="0" fontId="78" fillId="4" borderId="0" xfId="0" applyNumberFormat="1" applyFont="1" applyFill="1" applyBorder="1" applyAlignment="1" applyProtection="1">
      <alignment horizontal="center"/>
    </xf>
    <xf numFmtId="173" fontId="76" fillId="4" borderId="14" xfId="0" applyNumberFormat="1" applyFont="1" applyFill="1" applyBorder="1" applyAlignment="1" applyProtection="1">
      <alignment horizontal="center"/>
    </xf>
    <xf numFmtId="166" fontId="76" fillId="4" borderId="14" xfId="0" applyNumberFormat="1" applyFont="1" applyFill="1" applyBorder="1" applyAlignment="1" applyProtection="1">
      <alignment horizontal="center"/>
    </xf>
    <xf numFmtId="166" fontId="79" fillId="4" borderId="14" xfId="0" applyNumberFormat="1" applyFont="1" applyFill="1" applyBorder="1" applyAlignment="1" applyProtection="1">
      <alignment horizontal="center"/>
    </xf>
    <xf numFmtId="0" fontId="79" fillId="4" borderId="0" xfId="0" applyFont="1" applyFill="1" applyBorder="1" applyAlignment="1" applyProtection="1">
      <alignment horizontal="center"/>
    </xf>
    <xf numFmtId="0" fontId="77" fillId="4" borderId="0" xfId="0" applyNumberFormat="1" applyFont="1" applyFill="1" applyBorder="1" applyAlignment="1" applyProtection="1">
      <alignment horizontal="left"/>
    </xf>
    <xf numFmtId="164" fontId="77" fillId="4" borderId="0" xfId="0" applyNumberFormat="1" applyFont="1" applyFill="1" applyBorder="1" applyAlignment="1" applyProtection="1">
      <alignment horizontal="center"/>
    </xf>
    <xf numFmtId="171" fontId="77" fillId="4" borderId="0" xfId="0" applyNumberFormat="1" applyFont="1" applyFill="1" applyBorder="1" applyAlignment="1" applyProtection="1">
      <alignment horizontal="center"/>
    </xf>
    <xf numFmtId="171" fontId="9" fillId="10" borderId="17" xfId="0" applyNumberFormat="1" applyFont="1" applyFill="1" applyBorder="1" applyAlignment="1" applyProtection="1">
      <alignment horizontal="center"/>
    </xf>
    <xf numFmtId="166" fontId="9" fillId="10" borderId="17" xfId="0" applyNumberFormat="1" applyFont="1" applyFill="1" applyBorder="1" applyProtection="1"/>
    <xf numFmtId="0" fontId="76" fillId="4" borderId="10" xfId="0" applyFont="1" applyFill="1" applyBorder="1" applyProtection="1"/>
    <xf numFmtId="0" fontId="76" fillId="4" borderId="13" xfId="0" applyFont="1" applyFill="1" applyBorder="1" applyProtection="1"/>
    <xf numFmtId="0" fontId="80" fillId="5" borderId="0" xfId="0" quotePrefix="1" applyNumberFormat="1" applyFont="1" applyFill="1" applyBorder="1" applyAlignment="1" applyProtection="1">
      <alignment horizontal="center"/>
    </xf>
    <xf numFmtId="0" fontId="75" fillId="5" borderId="6" xfId="0" applyFont="1" applyFill="1" applyBorder="1" applyProtection="1"/>
    <xf numFmtId="0" fontId="80" fillId="5" borderId="6" xfId="0" quotePrefix="1" applyNumberFormat="1" applyFont="1" applyFill="1" applyBorder="1" applyAlignment="1" applyProtection="1">
      <alignment horizontal="center"/>
    </xf>
    <xf numFmtId="0" fontId="78" fillId="4" borderId="0" xfId="0" applyNumberFormat="1" applyFont="1" applyFill="1" applyBorder="1" applyAlignment="1" applyProtection="1">
      <alignment horizontal="right"/>
    </xf>
    <xf numFmtId="0" fontId="77" fillId="4" borderId="0" xfId="0" applyFont="1" applyFill="1" applyBorder="1" applyAlignment="1" applyProtection="1">
      <alignment horizontal="right"/>
    </xf>
    <xf numFmtId="166" fontId="76" fillId="4" borderId="0" xfId="0" applyNumberFormat="1" applyFont="1" applyFill="1" applyBorder="1" applyProtection="1"/>
    <xf numFmtId="0" fontId="79" fillId="4" borderId="0" xfId="0" applyFont="1" applyFill="1" applyBorder="1" applyAlignment="1" applyProtection="1">
      <alignment horizontal="left"/>
    </xf>
    <xf numFmtId="166" fontId="79" fillId="4" borderId="0" xfId="0" applyNumberFormat="1" applyFont="1" applyFill="1" applyBorder="1" applyProtection="1"/>
    <xf numFmtId="0" fontId="78" fillId="4" borderId="0" xfId="0" applyFont="1" applyFill="1" applyBorder="1" applyAlignment="1" applyProtection="1">
      <alignment horizontal="right"/>
    </xf>
    <xf numFmtId="0" fontId="78" fillId="4" borderId="0" xfId="0" applyFont="1" applyFill="1" applyBorder="1" applyAlignment="1" applyProtection="1">
      <alignment horizontal="left"/>
    </xf>
    <xf numFmtId="0" fontId="79" fillId="4" borderId="0" xfId="0" applyFont="1" applyFill="1" applyBorder="1" applyAlignment="1" applyProtection="1">
      <alignment horizontal="right"/>
    </xf>
    <xf numFmtId="166" fontId="9" fillId="10" borderId="14" xfId="4" applyNumberFormat="1" applyFont="1" applyFill="1" applyBorder="1" applyProtection="1"/>
    <xf numFmtId="166" fontId="8" fillId="10" borderId="14" xfId="4" applyNumberFormat="1" applyFont="1" applyFill="1" applyBorder="1" applyProtection="1"/>
    <xf numFmtId="166" fontId="9" fillId="10" borderId="14" xfId="4" applyNumberFormat="1" applyFont="1" applyFill="1" applyBorder="1" applyAlignment="1" applyProtection="1">
      <alignment horizontal="left"/>
    </xf>
    <xf numFmtId="164" fontId="14" fillId="10" borderId="14" xfId="4" applyNumberFormat="1" applyFont="1" applyFill="1" applyBorder="1" applyAlignment="1" applyProtection="1">
      <alignment horizontal="left"/>
    </xf>
    <xf numFmtId="164" fontId="10" fillId="10" borderId="14" xfId="4" applyNumberFormat="1" applyFont="1" applyFill="1" applyBorder="1" applyAlignment="1" applyProtection="1">
      <alignment horizontal="left"/>
    </xf>
    <xf numFmtId="166" fontId="10" fillId="10" borderId="14" xfId="4" applyNumberFormat="1" applyFont="1" applyFill="1" applyBorder="1" applyAlignment="1" applyProtection="1">
      <alignment horizontal="left"/>
    </xf>
    <xf numFmtId="166" fontId="8" fillId="9" borderId="14" xfId="4" applyNumberFormat="1" applyFont="1" applyFill="1" applyBorder="1" applyAlignment="1" applyProtection="1">
      <alignment horizontal="left"/>
    </xf>
    <xf numFmtId="0" fontId="79" fillId="5" borderId="0" xfId="0" applyFont="1" applyFill="1" applyBorder="1" applyAlignment="1" applyProtection="1">
      <alignment horizontal="left"/>
    </xf>
    <xf numFmtId="0" fontId="83" fillId="5" borderId="0" xfId="0" applyFont="1" applyFill="1" applyBorder="1" applyProtection="1"/>
    <xf numFmtId="0" fontId="78" fillId="5" borderId="0" xfId="0" applyFont="1" applyFill="1" applyBorder="1" applyAlignment="1" applyProtection="1">
      <alignment horizontal="left"/>
    </xf>
    <xf numFmtId="164" fontId="8" fillId="9" borderId="13" xfId="0" applyNumberFormat="1" applyFont="1" applyFill="1" applyBorder="1" applyProtection="1"/>
    <xf numFmtId="164" fontId="65" fillId="10" borderId="13" xfId="0" applyNumberFormat="1" applyFont="1" applyFill="1" applyBorder="1" applyAlignment="1" applyProtection="1"/>
    <xf numFmtId="164" fontId="65" fillId="10" borderId="14" xfId="0" applyNumberFormat="1" applyFont="1" applyFill="1" applyBorder="1" applyAlignment="1" applyProtection="1"/>
    <xf numFmtId="0" fontId="78" fillId="5" borderId="0" xfId="0" applyFont="1" applyFill="1" applyBorder="1" applyAlignment="1" applyProtection="1">
      <alignment horizontal="center"/>
    </xf>
    <xf numFmtId="0" fontId="78" fillId="5" borderId="0" xfId="0" applyNumberFormat="1" applyFont="1" applyFill="1" applyBorder="1" applyAlignment="1" applyProtection="1">
      <alignment horizontal="center"/>
    </xf>
    <xf numFmtId="1" fontId="78" fillId="5" borderId="0" xfId="0" quotePrefix="1" applyNumberFormat="1" applyFont="1" applyFill="1" applyBorder="1" applyAlignment="1" applyProtection="1">
      <alignment horizontal="center"/>
    </xf>
    <xf numFmtId="1" fontId="78" fillId="5" borderId="0" xfId="0" applyNumberFormat="1" applyFont="1" applyFill="1" applyBorder="1" applyAlignment="1" applyProtection="1">
      <alignment horizontal="center"/>
    </xf>
    <xf numFmtId="164" fontId="9" fillId="10" borderId="14" xfId="0" applyNumberFormat="1" applyFont="1" applyFill="1" applyBorder="1" applyProtection="1"/>
    <xf numFmtId="164" fontId="65" fillId="10" borderId="14" xfId="0" applyNumberFormat="1" applyFont="1" applyFill="1" applyBorder="1" applyProtection="1"/>
    <xf numFmtId="164" fontId="65" fillId="10" borderId="14" xfId="0" applyNumberFormat="1" applyFont="1" applyFill="1" applyBorder="1" applyAlignment="1" applyProtection="1">
      <alignment horizontal="center"/>
    </xf>
    <xf numFmtId="164" fontId="10" fillId="10" borderId="14" xfId="0" applyNumberFormat="1" applyFont="1" applyFill="1" applyBorder="1" applyAlignment="1" applyProtection="1">
      <alignment horizontal="center"/>
    </xf>
    <xf numFmtId="164" fontId="9" fillId="10" borderId="14" xfId="0" applyNumberFormat="1" applyFont="1" applyFill="1" applyBorder="1" applyAlignment="1" applyProtection="1">
      <alignment horizontal="left"/>
    </xf>
    <xf numFmtId="164" fontId="10" fillId="10" borderId="14" xfId="0" applyNumberFormat="1" applyFont="1" applyFill="1" applyBorder="1" applyAlignment="1" applyProtection="1">
      <alignment horizontal="left"/>
    </xf>
    <xf numFmtId="164" fontId="8" fillId="9" borderId="14" xfId="4" applyNumberFormat="1" applyFont="1" applyFill="1" applyBorder="1" applyAlignment="1" applyProtection="1">
      <alignment horizontal="left"/>
    </xf>
    <xf numFmtId="164" fontId="8" fillId="9" borderId="14" xfId="0" applyNumberFormat="1" applyFont="1" applyFill="1" applyBorder="1" applyAlignment="1" applyProtection="1">
      <alignment horizontal="right"/>
    </xf>
    <xf numFmtId="175" fontId="78" fillId="4" borderId="14" xfId="0" applyNumberFormat="1" applyFont="1" applyFill="1" applyBorder="1" applyAlignment="1" applyProtection="1">
      <alignment horizontal="center"/>
    </xf>
    <xf numFmtId="170" fontId="78" fillId="4" borderId="14" xfId="0" applyNumberFormat="1" applyFont="1" applyFill="1" applyBorder="1" applyAlignment="1" applyProtection="1">
      <alignment horizontal="center"/>
    </xf>
    <xf numFmtId="164" fontId="9" fillId="10" borderId="14" xfId="0" applyNumberFormat="1" applyFont="1" applyFill="1" applyBorder="1" applyAlignment="1" applyProtection="1">
      <alignment horizontal="center"/>
    </xf>
    <xf numFmtId="164" fontId="8" fillId="10" borderId="14" xfId="0" applyNumberFormat="1" applyFont="1" applyFill="1" applyBorder="1" applyAlignment="1" applyProtection="1">
      <alignment horizontal="center"/>
    </xf>
    <xf numFmtId="0" fontId="80" fillId="4" borderId="14" xfId="0" applyFont="1" applyFill="1" applyBorder="1" applyProtection="1"/>
    <xf numFmtId="164" fontId="75" fillId="4" borderId="15" xfId="0" applyNumberFormat="1" applyFont="1" applyFill="1" applyBorder="1" applyProtection="1"/>
    <xf numFmtId="9" fontId="8" fillId="9" borderId="14" xfId="0" applyNumberFormat="1" applyFont="1" applyFill="1" applyBorder="1" applyAlignment="1" applyProtection="1">
      <alignment horizontal="center"/>
    </xf>
    <xf numFmtId="9" fontId="8" fillId="9" borderId="14" xfId="3" applyFont="1" applyFill="1" applyBorder="1" applyAlignment="1" applyProtection="1">
      <alignment horizontal="center"/>
    </xf>
    <xf numFmtId="0" fontId="79" fillId="5" borderId="0" xfId="0" applyFont="1" applyFill="1" applyBorder="1" applyProtection="1"/>
    <xf numFmtId="0" fontId="78" fillId="5" borderId="0" xfId="0" applyFont="1" applyFill="1" applyBorder="1" applyProtection="1"/>
    <xf numFmtId="0" fontId="78" fillId="5" borderId="0" xfId="0" applyFont="1" applyFill="1" applyBorder="1" applyAlignment="1" applyProtection="1">
      <alignment horizontal="right"/>
    </xf>
    <xf numFmtId="0" fontId="78" fillId="5" borderId="0" xfId="0" applyFont="1" applyFill="1" applyBorder="1" applyAlignment="1" applyProtection="1"/>
    <xf numFmtId="0" fontId="76" fillId="5" borderId="0" xfId="0" quotePrefix="1" applyFont="1" applyFill="1" applyBorder="1" applyProtection="1"/>
    <xf numFmtId="0" fontId="77" fillId="5" borderId="0" xfId="0" applyFont="1" applyFill="1" applyBorder="1" applyAlignment="1" applyProtection="1">
      <alignment horizontal="right"/>
    </xf>
    <xf numFmtId="0" fontId="78" fillId="5" borderId="0" xfId="0" applyNumberFormat="1" applyFont="1" applyFill="1" applyBorder="1" applyAlignment="1" applyProtection="1">
      <alignment horizontal="right"/>
    </xf>
    <xf numFmtId="0" fontId="77" fillId="5" borderId="0" xfId="0" applyNumberFormat="1" applyFont="1" applyFill="1" applyBorder="1" applyProtection="1"/>
    <xf numFmtId="0" fontId="77" fillId="5" borderId="0" xfId="0" quotePrefix="1" applyNumberFormat="1" applyFont="1" applyFill="1" applyBorder="1" applyAlignment="1" applyProtection="1">
      <alignment horizontal="center"/>
    </xf>
    <xf numFmtId="0" fontId="76" fillId="5" borderId="0" xfId="0" applyFont="1" applyFill="1" applyBorder="1" applyAlignment="1" applyProtection="1">
      <alignment horizontal="center"/>
    </xf>
    <xf numFmtId="166" fontId="76" fillId="5" borderId="0" xfId="0" applyNumberFormat="1" applyFont="1" applyFill="1" applyBorder="1" applyProtection="1"/>
    <xf numFmtId="0" fontId="77" fillId="5" borderId="0" xfId="0" applyNumberFormat="1" applyFont="1" applyFill="1" applyBorder="1" applyAlignment="1" applyProtection="1">
      <alignment horizontal="center"/>
    </xf>
    <xf numFmtId="0" fontId="77" fillId="5" borderId="0" xfId="0" applyFont="1" applyFill="1" applyBorder="1" applyProtection="1"/>
    <xf numFmtId="166" fontId="77" fillId="5" borderId="0" xfId="0" quotePrefix="1" applyNumberFormat="1" applyFont="1" applyFill="1" applyBorder="1" applyAlignment="1" applyProtection="1">
      <alignment horizontal="center"/>
    </xf>
    <xf numFmtId="1" fontId="76" fillId="4" borderId="11" xfId="0" applyNumberFormat="1" applyFont="1" applyFill="1" applyBorder="1" applyProtection="1"/>
    <xf numFmtId="1" fontId="76" fillId="4" borderId="11" xfId="0" applyNumberFormat="1" applyFont="1" applyFill="1" applyBorder="1" applyAlignment="1" applyProtection="1">
      <alignment horizontal="center"/>
    </xf>
    <xf numFmtId="166" fontId="76" fillId="4" borderId="11" xfId="4" applyNumberFormat="1" applyFont="1" applyFill="1" applyBorder="1" applyProtection="1"/>
    <xf numFmtId="165" fontId="76" fillId="4" borderId="11" xfId="4" applyNumberFormat="1" applyFont="1" applyFill="1" applyBorder="1" applyProtection="1"/>
    <xf numFmtId="1" fontId="79" fillId="4" borderId="14" xfId="0" applyNumberFormat="1" applyFont="1" applyFill="1" applyBorder="1" applyProtection="1"/>
    <xf numFmtId="166" fontId="76" fillId="4" borderId="14" xfId="4" applyNumberFormat="1" applyFont="1" applyFill="1" applyBorder="1" applyProtection="1"/>
    <xf numFmtId="0" fontId="77" fillId="4" borderId="14" xfId="0" quotePrefix="1" applyFont="1" applyFill="1" applyBorder="1" applyAlignment="1" applyProtection="1">
      <alignment horizontal="center"/>
    </xf>
    <xf numFmtId="0" fontId="77" fillId="4" borderId="14" xfId="0" applyFont="1" applyFill="1" applyBorder="1" applyProtection="1"/>
    <xf numFmtId="166" fontId="66" fillId="10" borderId="14" xfId="4" applyNumberFormat="1" applyFont="1" applyFill="1" applyBorder="1" applyAlignment="1" applyProtection="1">
      <alignment horizontal="left"/>
      <protection locked="0"/>
    </xf>
    <xf numFmtId="164" fontId="66" fillId="10" borderId="14" xfId="0" applyNumberFormat="1" applyFont="1" applyFill="1" applyBorder="1" applyAlignment="1" applyProtection="1"/>
    <xf numFmtId="164" fontId="66" fillId="10" borderId="14" xfId="0" applyNumberFormat="1" applyFont="1" applyFill="1" applyBorder="1" applyAlignment="1" applyProtection="1">
      <alignment horizontal="center"/>
      <protection locked="0"/>
    </xf>
    <xf numFmtId="0" fontId="79" fillId="4" borderId="14" xfId="0" applyFont="1" applyFill="1" applyBorder="1" applyAlignment="1" applyProtection="1"/>
    <xf numFmtId="164" fontId="76" fillId="4" borderId="11" xfId="0" applyNumberFormat="1" applyFont="1" applyFill="1" applyBorder="1" applyAlignment="1" applyProtection="1"/>
    <xf numFmtId="164" fontId="76" fillId="4" borderId="11" xfId="0" applyNumberFormat="1" applyFont="1" applyFill="1" applyBorder="1" applyProtection="1"/>
    <xf numFmtId="164" fontId="76" fillId="4" borderId="11" xfId="0" applyNumberFormat="1" applyFont="1" applyFill="1" applyBorder="1" applyAlignment="1" applyProtection="1">
      <alignment horizontal="center"/>
    </xf>
    <xf numFmtId="0" fontId="77" fillId="4" borderId="14" xfId="0" applyNumberFormat="1" applyFont="1" applyFill="1" applyBorder="1" applyAlignment="1" applyProtection="1">
      <alignment horizontal="center"/>
    </xf>
    <xf numFmtId="0" fontId="78" fillId="0" borderId="0" xfId="0" applyFont="1" applyAlignment="1" applyProtection="1">
      <alignment horizontal="left" indent="1"/>
    </xf>
    <xf numFmtId="0" fontId="78" fillId="0" borderId="0" xfId="0" applyFont="1" applyFill="1" applyBorder="1" applyAlignment="1" applyProtection="1">
      <alignment horizontal="left" indent="1"/>
    </xf>
    <xf numFmtId="0" fontId="77" fillId="0" borderId="0" xfId="0" applyFont="1" applyFill="1" applyBorder="1" applyAlignment="1" applyProtection="1">
      <alignment horizontal="left" indent="1"/>
    </xf>
    <xf numFmtId="0" fontId="78" fillId="0" borderId="0" xfId="0" applyFont="1" applyFill="1" applyAlignment="1" applyProtection="1">
      <alignment horizontal="left" indent="1"/>
    </xf>
    <xf numFmtId="165" fontId="78" fillId="0" borderId="0" xfId="0" applyNumberFormat="1" applyFont="1" applyFill="1" applyBorder="1" applyAlignment="1" applyProtection="1">
      <alignment horizontal="left" indent="1"/>
    </xf>
    <xf numFmtId="0" fontId="78" fillId="0" borderId="0" xfId="0" applyNumberFormat="1" applyFont="1" applyFill="1" applyBorder="1" applyAlignment="1" applyProtection="1">
      <alignment horizontal="left" indent="1"/>
    </xf>
    <xf numFmtId="0" fontId="61" fillId="4" borderId="14" xfId="0" applyFont="1" applyFill="1" applyBorder="1" applyAlignment="1" applyProtection="1">
      <alignment horizontal="left"/>
    </xf>
    <xf numFmtId="0" fontId="66" fillId="4" borderId="14" xfId="0" applyFont="1" applyFill="1" applyBorder="1" applyAlignment="1" applyProtection="1">
      <alignment horizontal="left"/>
    </xf>
    <xf numFmtId="0" fontId="61" fillId="4" borderId="14" xfId="0" applyFont="1" applyFill="1" applyBorder="1" applyProtection="1"/>
    <xf numFmtId="0" fontId="65" fillId="5" borderId="14" xfId="0" applyFont="1" applyFill="1" applyBorder="1" applyProtection="1">
      <protection locked="0"/>
    </xf>
    <xf numFmtId="0" fontId="65" fillId="4" borderId="11" xfId="0" applyFont="1" applyFill="1" applyBorder="1" applyProtection="1"/>
    <xf numFmtId="0" fontId="65" fillId="4" borderId="14" xfId="0" applyFont="1" applyFill="1" applyBorder="1" applyAlignment="1" applyProtection="1">
      <alignment horizontal="left"/>
    </xf>
    <xf numFmtId="2" fontId="61" fillId="4" borderId="14" xfId="0" applyNumberFormat="1" applyFont="1" applyFill="1" applyBorder="1" applyAlignment="1" applyProtection="1">
      <alignment horizontal="left"/>
    </xf>
    <xf numFmtId="0" fontId="65" fillId="4" borderId="14" xfId="0" quotePrefix="1" applyFont="1" applyFill="1" applyBorder="1" applyAlignment="1" applyProtection="1">
      <alignment horizontal="left"/>
    </xf>
    <xf numFmtId="0" fontId="61" fillId="4" borderId="14" xfId="0" applyNumberFormat="1" applyFont="1" applyFill="1" applyBorder="1" applyProtection="1"/>
    <xf numFmtId="0" fontId="66" fillId="4" borderId="14" xfId="0" applyFont="1" applyFill="1" applyBorder="1" applyAlignment="1" applyProtection="1">
      <alignment horizontal="left" indent="2"/>
    </xf>
    <xf numFmtId="0" fontId="84" fillId="4" borderId="14" xfId="0" applyFont="1" applyFill="1" applyBorder="1" applyProtection="1"/>
    <xf numFmtId="0" fontId="61" fillId="4" borderId="14" xfId="0" quotePrefix="1" applyFont="1" applyFill="1" applyBorder="1" applyAlignment="1" applyProtection="1">
      <alignment horizontal="left"/>
    </xf>
    <xf numFmtId="0" fontId="61" fillId="5" borderId="14" xfId="0" applyFont="1" applyFill="1" applyBorder="1" applyProtection="1">
      <protection locked="0"/>
    </xf>
    <xf numFmtId="0" fontId="61" fillId="4" borderId="17" xfId="0" applyFont="1" applyFill="1" applyBorder="1" applyAlignment="1" applyProtection="1">
      <alignment horizontal="left"/>
    </xf>
    <xf numFmtId="0" fontId="61" fillId="4" borderId="14" xfId="0" applyNumberFormat="1" applyFont="1" applyFill="1" applyBorder="1" applyAlignment="1" applyProtection="1">
      <alignment horizontal="left"/>
    </xf>
    <xf numFmtId="0" fontId="65" fillId="4" borderId="14" xfId="0" applyNumberFormat="1" applyFont="1" applyFill="1" applyBorder="1" applyAlignment="1" applyProtection="1">
      <alignment horizontal="left"/>
    </xf>
    <xf numFmtId="0" fontId="61" fillId="5" borderId="14" xfId="0" applyFont="1" applyFill="1" applyBorder="1" applyAlignment="1" applyProtection="1">
      <alignment horizontal="left"/>
      <protection locked="0"/>
    </xf>
    <xf numFmtId="0" fontId="61" fillId="0" borderId="14" xfId="0" applyFont="1" applyFill="1" applyBorder="1" applyProtection="1"/>
    <xf numFmtId="0" fontId="65" fillId="4" borderId="17" xfId="0" applyFont="1" applyFill="1" applyBorder="1" applyAlignment="1" applyProtection="1">
      <alignment horizontal="left"/>
    </xf>
    <xf numFmtId="0" fontId="61" fillId="4" borderId="14" xfId="0" applyFont="1" applyFill="1" applyBorder="1" applyProtection="1">
      <protection locked="0"/>
    </xf>
    <xf numFmtId="0" fontId="65" fillId="4" borderId="14" xfId="0" applyFont="1" applyFill="1" applyBorder="1" applyProtection="1"/>
    <xf numFmtId="0" fontId="61" fillId="4" borderId="14" xfId="0" applyFont="1" applyFill="1" applyBorder="1" applyAlignment="1" applyProtection="1"/>
    <xf numFmtId="0" fontId="61" fillId="4" borderId="14" xfId="0" applyNumberFormat="1" applyFont="1" applyFill="1" applyBorder="1" applyAlignment="1" applyProtection="1"/>
    <xf numFmtId="0" fontId="61" fillId="5" borderId="0" xfId="0" applyFont="1" applyFill="1" applyBorder="1" applyAlignment="1" applyProtection="1"/>
    <xf numFmtId="0" fontId="61" fillId="4" borderId="11" xfId="0" applyFont="1" applyFill="1" applyBorder="1" applyAlignment="1" applyProtection="1"/>
    <xf numFmtId="1" fontId="8" fillId="5" borderId="3" xfId="0" applyNumberFormat="1" applyFont="1" applyFill="1" applyBorder="1" applyAlignment="1" applyProtection="1">
      <alignment horizontal="center"/>
    </xf>
    <xf numFmtId="1" fontId="33" fillId="5" borderId="0" xfId="0" applyNumberFormat="1" applyFont="1" applyFill="1" applyBorder="1" applyAlignment="1" applyProtection="1">
      <alignment horizontal="center"/>
    </xf>
    <xf numFmtId="1" fontId="81" fillId="4" borderId="14" xfId="0" applyNumberFormat="1" applyFont="1" applyFill="1" applyBorder="1" applyAlignment="1" applyProtection="1">
      <alignment horizontal="left"/>
    </xf>
    <xf numFmtId="1" fontId="8" fillId="5" borderId="14" xfId="4" applyNumberFormat="1" applyFont="1" applyFill="1" applyBorder="1" applyAlignment="1" applyProtection="1">
      <alignment horizontal="center"/>
      <protection locked="0"/>
    </xf>
    <xf numFmtId="1" fontId="8" fillId="5" borderId="8" xfId="4" applyNumberFormat="1" applyFont="1" applyFill="1" applyBorder="1" applyAlignment="1" applyProtection="1">
      <alignment horizontal="center"/>
    </xf>
    <xf numFmtId="1" fontId="8" fillId="5" borderId="3" xfId="4" applyNumberFormat="1" applyFont="1" applyFill="1" applyBorder="1" applyAlignment="1" applyProtection="1">
      <alignment horizontal="center"/>
    </xf>
    <xf numFmtId="1" fontId="8" fillId="5" borderId="0" xfId="4" applyNumberFormat="1" applyFont="1" applyFill="1" applyBorder="1" applyAlignment="1" applyProtection="1">
      <alignment horizontal="center"/>
    </xf>
    <xf numFmtId="1" fontId="8" fillId="5" borderId="8" xfId="0" applyNumberFormat="1" applyFont="1" applyFill="1" applyBorder="1" applyAlignment="1" applyProtection="1">
      <alignment horizontal="center"/>
    </xf>
    <xf numFmtId="1" fontId="15" fillId="4" borderId="0" xfId="0" applyNumberFormat="1" applyFont="1" applyFill="1" applyBorder="1" applyAlignment="1" applyProtection="1">
      <alignment horizontal="center"/>
    </xf>
    <xf numFmtId="0" fontId="79" fillId="4" borderId="14" xfId="0" applyFont="1" applyFill="1" applyBorder="1" applyAlignment="1" applyProtection="1">
      <alignment horizontal="left"/>
    </xf>
    <xf numFmtId="0" fontId="76" fillId="4" borderId="14" xfId="0" applyFont="1" applyFill="1" applyBorder="1" applyAlignment="1" applyProtection="1">
      <alignment horizontal="left"/>
    </xf>
    <xf numFmtId="166" fontId="78" fillId="4" borderId="14" xfId="0" applyNumberFormat="1" applyFont="1" applyFill="1" applyBorder="1" applyAlignment="1" applyProtection="1"/>
    <xf numFmtId="0" fontId="79" fillId="4" borderId="14" xfId="0" applyFont="1" applyFill="1" applyBorder="1" applyAlignment="1" applyProtection="1">
      <alignment horizontal="left"/>
    </xf>
    <xf numFmtId="0" fontId="76" fillId="4" borderId="14" xfId="0" applyFont="1" applyFill="1" applyBorder="1" applyAlignment="1" applyProtection="1">
      <alignment horizontal="left"/>
    </xf>
    <xf numFmtId="0" fontId="81" fillId="4" borderId="14" xfId="0" applyFont="1" applyFill="1" applyBorder="1" applyAlignment="1" applyProtection="1">
      <alignment horizontal="left"/>
    </xf>
    <xf numFmtId="1" fontId="8" fillId="9" borderId="14" xfId="4" applyNumberFormat="1" applyFont="1" applyFill="1" applyBorder="1" applyAlignment="1" applyProtection="1">
      <alignment horizontal="center"/>
    </xf>
    <xf numFmtId="1" fontId="8" fillId="5" borderId="14" xfId="0" applyNumberFormat="1" applyFont="1" applyFill="1" applyBorder="1" applyAlignment="1" applyProtection="1">
      <alignment horizontal="center"/>
      <protection locked="0"/>
    </xf>
    <xf numFmtId="1" fontId="9" fillId="10" borderId="14" xfId="0" applyNumberFormat="1" applyFont="1" applyFill="1" applyBorder="1" applyAlignment="1" applyProtection="1">
      <alignment horizontal="center"/>
    </xf>
    <xf numFmtId="0" fontId="85" fillId="4" borderId="0" xfId="0" applyNumberFormat="1" applyFont="1" applyFill="1" applyBorder="1" applyAlignment="1" applyProtection="1">
      <alignment horizontal="center"/>
    </xf>
    <xf numFmtId="0" fontId="85" fillId="5" borderId="3" xfId="0" applyNumberFormat="1" applyFont="1" applyFill="1" applyBorder="1" applyAlignment="1" applyProtection="1">
      <alignment horizontal="center"/>
    </xf>
    <xf numFmtId="0" fontId="85" fillId="5" borderId="0" xfId="0" applyNumberFormat="1" applyFont="1" applyFill="1" applyBorder="1" applyAlignment="1" applyProtection="1">
      <alignment horizontal="center"/>
    </xf>
    <xf numFmtId="0" fontId="86" fillId="5" borderId="0" xfId="0" applyNumberFormat="1" applyFont="1" applyFill="1" applyBorder="1" applyAlignment="1" applyProtection="1">
      <alignment horizontal="center"/>
    </xf>
    <xf numFmtId="0" fontId="87" fillId="5" borderId="0" xfId="0" applyNumberFormat="1" applyFont="1" applyFill="1" applyBorder="1" applyAlignment="1" applyProtection="1">
      <alignment horizontal="center"/>
    </xf>
    <xf numFmtId="1" fontId="85" fillId="4" borderId="11" xfId="0" applyNumberFormat="1" applyFont="1" applyFill="1" applyBorder="1" applyAlignment="1" applyProtection="1">
      <alignment horizontal="center"/>
    </xf>
    <xf numFmtId="1" fontId="89" fillId="4" borderId="14" xfId="0" applyNumberFormat="1" applyFont="1" applyFill="1" applyBorder="1" applyAlignment="1" applyProtection="1">
      <alignment horizontal="center"/>
    </xf>
    <xf numFmtId="1" fontId="88" fillId="10" borderId="14" xfId="0" applyNumberFormat="1" applyFont="1" applyFill="1" applyBorder="1" applyAlignment="1" applyProtection="1">
      <alignment horizontal="center"/>
    </xf>
    <xf numFmtId="0" fontId="85" fillId="4" borderId="17" xfId="0" applyNumberFormat="1" applyFont="1" applyFill="1" applyBorder="1" applyAlignment="1" applyProtection="1">
      <alignment horizontal="center"/>
    </xf>
    <xf numFmtId="0" fontId="85" fillId="4" borderId="11" xfId="0" applyNumberFormat="1" applyFont="1" applyFill="1" applyBorder="1" applyAlignment="1" applyProtection="1">
      <alignment horizontal="center"/>
    </xf>
    <xf numFmtId="171" fontId="85" fillId="5" borderId="8" xfId="0" applyNumberFormat="1" applyFont="1" applyFill="1" applyBorder="1" applyAlignment="1" applyProtection="1">
      <alignment horizontal="center"/>
    </xf>
    <xf numFmtId="171" fontId="85" fillId="4" borderId="0" xfId="0" applyNumberFormat="1" applyFont="1" applyFill="1" applyBorder="1" applyAlignment="1" applyProtection="1">
      <alignment horizontal="center"/>
    </xf>
    <xf numFmtId="0" fontId="75" fillId="4" borderId="0" xfId="0" applyNumberFormat="1" applyFont="1" applyFill="1" applyBorder="1" applyAlignment="1" applyProtection="1"/>
    <xf numFmtId="0" fontId="75" fillId="4" borderId="0" xfId="0" applyNumberFormat="1" applyFont="1" applyFill="1" applyBorder="1" applyAlignment="1" applyProtection="1">
      <alignment horizontal="center"/>
    </xf>
    <xf numFmtId="0" fontId="75" fillId="4" borderId="0" xfId="0" applyFont="1" applyFill="1" applyBorder="1" applyProtection="1"/>
    <xf numFmtId="168" fontId="75" fillId="4" borderId="0" xfId="0" applyNumberFormat="1" applyFont="1" applyFill="1" applyBorder="1" applyProtection="1"/>
    <xf numFmtId="0" fontId="75" fillId="4" borderId="0" xfId="0" applyFont="1" applyFill="1" applyBorder="1" applyAlignment="1" applyProtection="1">
      <alignment horizontal="center"/>
    </xf>
    <xf numFmtId="0" fontId="91" fillId="4" borderId="0" xfId="0" applyNumberFormat="1" applyFont="1" applyFill="1" applyBorder="1" applyProtection="1"/>
    <xf numFmtId="171" fontId="91" fillId="4" borderId="0" xfId="0" applyNumberFormat="1" applyFont="1" applyFill="1" applyBorder="1" applyAlignment="1" applyProtection="1">
      <alignment horizontal="center"/>
    </xf>
    <xf numFmtId="0" fontId="91" fillId="4" borderId="0" xfId="0" applyNumberFormat="1" applyFont="1" applyFill="1" applyBorder="1" applyAlignment="1" applyProtection="1">
      <alignment horizontal="center"/>
    </xf>
    <xf numFmtId="171" fontId="91" fillId="4" borderId="0" xfId="0" applyNumberFormat="1" applyFont="1" applyFill="1" applyBorder="1" applyProtection="1"/>
    <xf numFmtId="1" fontId="91" fillId="4" borderId="0" xfId="0" applyNumberFormat="1" applyFont="1" applyFill="1" applyBorder="1" applyProtection="1"/>
    <xf numFmtId="0" fontId="91" fillId="4" borderId="0" xfId="0" applyFont="1" applyFill="1" applyBorder="1" applyProtection="1"/>
    <xf numFmtId="0" fontId="75" fillId="4" borderId="0" xfId="0" applyNumberFormat="1" applyFont="1" applyFill="1" applyBorder="1" applyProtection="1"/>
    <xf numFmtId="171" fontId="75" fillId="4" borderId="0" xfId="0" applyNumberFormat="1" applyFont="1" applyFill="1" applyBorder="1" applyAlignment="1" applyProtection="1">
      <alignment horizontal="center"/>
    </xf>
    <xf numFmtId="171" fontId="75" fillId="4" borderId="0" xfId="0" applyNumberFormat="1" applyFont="1" applyFill="1" applyBorder="1" applyProtection="1"/>
    <xf numFmtId="1" fontId="75" fillId="4" borderId="0" xfId="0" applyNumberFormat="1" applyFont="1" applyFill="1" applyBorder="1" applyProtection="1"/>
    <xf numFmtId="0" fontId="92" fillId="4" borderId="0" xfId="0" applyNumberFormat="1" applyFont="1" applyFill="1" applyBorder="1" applyProtection="1"/>
    <xf numFmtId="171" fontId="92" fillId="4" borderId="0" xfId="0" applyNumberFormat="1" applyFont="1" applyFill="1" applyBorder="1" applyAlignment="1" applyProtection="1">
      <alignment horizontal="center"/>
    </xf>
    <xf numFmtId="0" fontId="92" fillId="4" borderId="0" xfId="0" applyNumberFormat="1" applyFont="1" applyFill="1" applyBorder="1" applyAlignment="1" applyProtection="1">
      <alignment horizontal="center"/>
    </xf>
    <xf numFmtId="171" fontId="92" fillId="4" borderId="0" xfId="0" applyNumberFormat="1" applyFont="1" applyFill="1" applyBorder="1" applyProtection="1"/>
    <xf numFmtId="1" fontId="92" fillId="4" borderId="0" xfId="0" applyNumberFormat="1" applyFont="1" applyFill="1" applyBorder="1" applyProtection="1"/>
    <xf numFmtId="0" fontId="92" fillId="4" borderId="0" xfId="0" applyFont="1" applyFill="1" applyBorder="1" applyProtection="1"/>
    <xf numFmtId="166" fontId="75" fillId="4" borderId="0" xfId="0" applyNumberFormat="1" applyFont="1" applyFill="1" applyBorder="1" applyAlignment="1" applyProtection="1">
      <alignment horizontal="center"/>
    </xf>
    <xf numFmtId="0" fontId="74" fillId="4" borderId="0" xfId="0" applyFont="1" applyFill="1" applyBorder="1" applyAlignment="1" applyProtection="1">
      <alignment horizontal="center"/>
    </xf>
    <xf numFmtId="166" fontId="74" fillId="4" borderId="0" xfId="0" applyNumberFormat="1" applyFont="1" applyFill="1" applyBorder="1" applyAlignment="1" applyProtection="1">
      <alignment horizontal="center"/>
    </xf>
    <xf numFmtId="166" fontId="75" fillId="4" borderId="0" xfId="4" applyNumberFormat="1" applyFont="1" applyFill="1" applyBorder="1" applyAlignment="1" applyProtection="1">
      <alignment horizontal="center"/>
    </xf>
    <xf numFmtId="166" fontId="75" fillId="4" borderId="0" xfId="4" applyNumberFormat="1" applyFont="1" applyFill="1" applyBorder="1" applyProtection="1"/>
    <xf numFmtId="166" fontId="75" fillId="4" borderId="0" xfId="0" applyNumberFormat="1" applyFont="1" applyFill="1" applyBorder="1" applyProtection="1"/>
    <xf numFmtId="0" fontId="73" fillId="4" borderId="0" xfId="0" quotePrefix="1" applyFont="1" applyFill="1" applyBorder="1" applyAlignment="1" applyProtection="1">
      <alignment horizontal="right"/>
    </xf>
    <xf numFmtId="166" fontId="75" fillId="4" borderId="0" xfId="4" applyNumberFormat="1" applyFont="1" applyFill="1" applyBorder="1" applyAlignment="1" applyProtection="1"/>
    <xf numFmtId="166" fontId="73" fillId="4" borderId="0" xfId="0" applyNumberFormat="1" applyFont="1" applyFill="1" applyBorder="1" applyProtection="1"/>
    <xf numFmtId="0" fontId="91" fillId="4" borderId="0" xfId="0" applyNumberFormat="1" applyFont="1" applyFill="1" applyBorder="1" applyAlignment="1" applyProtection="1"/>
    <xf numFmtId="0" fontId="92" fillId="4" borderId="0" xfId="0" applyNumberFormat="1" applyFont="1" applyFill="1" applyBorder="1" applyAlignment="1" applyProtection="1"/>
    <xf numFmtId="1" fontId="75" fillId="4" borderId="0" xfId="0" applyNumberFormat="1" applyFont="1" applyFill="1" applyBorder="1" applyAlignment="1" applyProtection="1">
      <alignment horizontal="center"/>
    </xf>
    <xf numFmtId="1" fontId="93" fillId="4" borderId="0" xfId="0" applyNumberFormat="1" applyFont="1" applyFill="1" applyBorder="1" applyAlignment="1" applyProtection="1">
      <alignment horizontal="left"/>
    </xf>
    <xf numFmtId="0" fontId="93" fillId="4" borderId="0" xfId="0" applyFont="1" applyFill="1" applyBorder="1" applyAlignment="1" applyProtection="1">
      <alignment horizontal="left"/>
    </xf>
    <xf numFmtId="166" fontId="74" fillId="4" borderId="0" xfId="0" applyNumberFormat="1" applyFont="1" applyFill="1" applyBorder="1" applyAlignment="1" applyProtection="1">
      <alignment horizontal="left"/>
    </xf>
    <xf numFmtId="1" fontId="74" fillId="4" borderId="0" xfId="0" applyNumberFormat="1" applyFont="1" applyFill="1" applyBorder="1" applyAlignment="1" applyProtection="1">
      <alignment horizontal="center"/>
    </xf>
    <xf numFmtId="9" fontId="75" fillId="4" borderId="0" xfId="3" applyFont="1" applyFill="1" applyBorder="1" applyAlignment="1" applyProtection="1">
      <alignment horizontal="center"/>
    </xf>
    <xf numFmtId="171" fontId="73" fillId="4" borderId="0" xfId="0" applyNumberFormat="1" applyFont="1" applyFill="1" applyBorder="1" applyAlignment="1" applyProtection="1">
      <alignment horizontal="center"/>
    </xf>
    <xf numFmtId="171" fontId="75" fillId="4" borderId="0" xfId="4" applyNumberFormat="1" applyFont="1" applyFill="1" applyBorder="1" applyAlignment="1" applyProtection="1">
      <alignment horizontal="center"/>
    </xf>
    <xf numFmtId="2" fontId="75" fillId="4" borderId="0" xfId="0" applyNumberFormat="1" applyFont="1" applyFill="1" applyBorder="1" applyProtection="1"/>
    <xf numFmtId="0" fontId="91" fillId="4" borderId="0" xfId="0" applyFont="1" applyFill="1" applyBorder="1" applyAlignment="1" applyProtection="1">
      <alignment horizontal="center"/>
    </xf>
    <xf numFmtId="1" fontId="91" fillId="4" borderId="0" xfId="0" applyNumberFormat="1" applyFont="1" applyFill="1" applyBorder="1" applyAlignment="1" applyProtection="1">
      <alignment horizontal="center"/>
    </xf>
    <xf numFmtId="2" fontId="91" fillId="4" borderId="0" xfId="0" applyNumberFormat="1" applyFont="1" applyFill="1" applyBorder="1" applyProtection="1"/>
    <xf numFmtId="0" fontId="94" fillId="4" borderId="0" xfId="0" applyFont="1" applyFill="1" applyBorder="1" applyAlignment="1" applyProtection="1">
      <alignment horizontal="center"/>
    </xf>
    <xf numFmtId="0" fontId="92" fillId="4" borderId="0" xfId="0" applyFont="1" applyFill="1" applyBorder="1" applyAlignment="1" applyProtection="1">
      <alignment horizontal="center"/>
    </xf>
    <xf numFmtId="1" fontId="92" fillId="4" borderId="0" xfId="0" applyNumberFormat="1" applyFont="1" applyFill="1" applyBorder="1" applyAlignment="1" applyProtection="1">
      <alignment horizontal="center"/>
    </xf>
    <xf numFmtId="2" fontId="92" fillId="4" borderId="0" xfId="0" applyNumberFormat="1" applyFont="1" applyFill="1" applyBorder="1" applyProtection="1"/>
    <xf numFmtId="0" fontId="80" fillId="4" borderId="0" xfId="0" applyFont="1" applyFill="1" applyBorder="1" applyAlignment="1" applyProtection="1">
      <alignment horizontal="center"/>
    </xf>
    <xf numFmtId="0" fontId="75" fillId="4" borderId="0" xfId="0" applyFont="1" applyFill="1" applyBorder="1" applyAlignment="1" applyProtection="1">
      <alignment horizontal="left"/>
    </xf>
    <xf numFmtId="22" fontId="75" fillId="4" borderId="0" xfId="0" applyNumberFormat="1" applyFont="1" applyFill="1" applyBorder="1" applyAlignment="1" applyProtection="1">
      <alignment horizontal="center"/>
    </xf>
    <xf numFmtId="2" fontId="75" fillId="4" borderId="0" xfId="0" applyNumberFormat="1" applyFont="1" applyFill="1" applyBorder="1" applyAlignment="1" applyProtection="1">
      <alignment horizontal="center"/>
    </xf>
    <xf numFmtId="0" fontId="73" fillId="4" borderId="0" xfId="0" applyFont="1" applyFill="1" applyBorder="1" applyAlignment="1" applyProtection="1">
      <alignment horizontal="center"/>
    </xf>
    <xf numFmtId="166" fontId="73" fillId="4" borderId="0" xfId="0" applyNumberFormat="1" applyFont="1" applyFill="1" applyBorder="1" applyAlignment="1" applyProtection="1">
      <alignment horizontal="center"/>
    </xf>
    <xf numFmtId="2" fontId="73" fillId="4" borderId="0" xfId="0" applyNumberFormat="1" applyFont="1" applyFill="1" applyBorder="1" applyProtection="1"/>
    <xf numFmtId="1" fontId="75" fillId="4" borderId="0" xfId="4" applyNumberFormat="1" applyFont="1" applyFill="1" applyBorder="1" applyAlignment="1" applyProtection="1">
      <alignment horizontal="center"/>
    </xf>
    <xf numFmtId="1" fontId="73" fillId="4" borderId="0" xfId="0" applyNumberFormat="1" applyFont="1" applyFill="1" applyBorder="1" applyAlignment="1" applyProtection="1">
      <alignment horizontal="center"/>
    </xf>
    <xf numFmtId="164" fontId="73" fillId="4" borderId="0" xfId="0" applyNumberFormat="1" applyFont="1" applyFill="1" applyBorder="1" applyAlignment="1" applyProtection="1">
      <alignment horizontal="center"/>
    </xf>
    <xf numFmtId="2" fontId="73" fillId="4" borderId="0" xfId="0" applyNumberFormat="1" applyFont="1" applyFill="1" applyBorder="1" applyAlignment="1" applyProtection="1">
      <alignment horizontal="right"/>
    </xf>
    <xf numFmtId="2" fontId="73" fillId="4" borderId="0" xfId="0" applyNumberFormat="1" applyFont="1" applyFill="1" applyBorder="1" applyAlignment="1" applyProtection="1">
      <alignment horizontal="center"/>
    </xf>
    <xf numFmtId="2" fontId="74" fillId="4" borderId="0" xfId="0" applyNumberFormat="1" applyFont="1" applyFill="1" applyBorder="1" applyAlignment="1" applyProtection="1">
      <alignment horizontal="center"/>
    </xf>
    <xf numFmtId="0" fontId="95" fillId="4" borderId="14" xfId="0" applyFont="1" applyFill="1" applyBorder="1" applyAlignment="1" applyProtection="1">
      <alignment horizontal="left"/>
    </xf>
    <xf numFmtId="164" fontId="89" fillId="4" borderId="0" xfId="0" applyNumberFormat="1" applyFont="1" applyFill="1" applyBorder="1" applyProtection="1"/>
    <xf numFmtId="164" fontId="90" fillId="4" borderId="0" xfId="0" applyNumberFormat="1" applyFont="1" applyFill="1" applyBorder="1" applyProtection="1"/>
    <xf numFmtId="164" fontId="90" fillId="4" borderId="0" xfId="0" applyNumberFormat="1" applyFont="1" applyFill="1" applyBorder="1" applyAlignment="1" applyProtection="1">
      <alignment horizontal="right"/>
    </xf>
    <xf numFmtId="164" fontId="86" fillId="4" borderId="0" xfId="0" applyNumberFormat="1" applyFont="1" applyFill="1" applyBorder="1" applyProtection="1"/>
    <xf numFmtId="164" fontId="96" fillId="4" borderId="0" xfId="0" applyNumberFormat="1" applyFont="1" applyFill="1" applyBorder="1" applyProtection="1"/>
    <xf numFmtId="164" fontId="89" fillId="4" borderId="0" xfId="0" applyNumberFormat="1" applyFont="1" applyFill="1" applyBorder="1" applyAlignment="1" applyProtection="1">
      <alignment horizontal="center"/>
    </xf>
    <xf numFmtId="0" fontId="90" fillId="4" borderId="0" xfId="0" applyFont="1" applyFill="1" applyBorder="1" applyAlignment="1" applyProtection="1">
      <alignment horizontal="center"/>
    </xf>
    <xf numFmtId="1" fontId="9" fillId="10" borderId="17" xfId="0" applyNumberFormat="1" applyFont="1" applyFill="1" applyBorder="1" applyAlignment="1" applyProtection="1">
      <alignment horizontal="center"/>
    </xf>
    <xf numFmtId="1" fontId="75" fillId="4" borderId="0" xfId="4" applyNumberFormat="1" applyFont="1" applyFill="1" applyBorder="1" applyAlignment="1" applyProtection="1">
      <alignment horizontal="center"/>
      <protection locked="0"/>
    </xf>
    <xf numFmtId="165" fontId="75" fillId="4" borderId="0" xfId="4" applyNumberFormat="1" applyFont="1" applyFill="1" applyBorder="1" applyProtection="1"/>
    <xf numFmtId="164" fontId="73" fillId="4" borderId="0" xfId="0" applyNumberFormat="1" applyFont="1" applyFill="1" applyBorder="1" applyAlignment="1" applyProtection="1">
      <alignment horizontal="right"/>
    </xf>
    <xf numFmtId="1" fontId="9" fillId="4" borderId="0" xfId="0" applyNumberFormat="1" applyFont="1" applyFill="1" applyBorder="1" applyAlignment="1" applyProtection="1">
      <alignment horizontal="center"/>
    </xf>
    <xf numFmtId="1" fontId="9" fillId="5" borderId="3" xfId="0" applyNumberFormat="1" applyFont="1" applyFill="1" applyBorder="1" applyAlignment="1" applyProtection="1">
      <alignment horizontal="center"/>
    </xf>
    <xf numFmtId="1" fontId="26" fillId="5" borderId="0" xfId="0" applyNumberFormat="1" applyFont="1" applyFill="1" applyBorder="1" applyAlignment="1" applyProtection="1">
      <alignment horizontal="center"/>
    </xf>
    <xf numFmtId="0" fontId="32" fillId="5" borderId="0" xfId="0" applyNumberFormat="1" applyFont="1" applyFill="1" applyBorder="1" applyAlignment="1" applyProtection="1">
      <alignment horizontal="center"/>
    </xf>
    <xf numFmtId="1" fontId="79" fillId="4" borderId="11" xfId="0" applyNumberFormat="1" applyFont="1" applyFill="1" applyBorder="1" applyAlignment="1" applyProtection="1">
      <alignment horizontal="center"/>
    </xf>
    <xf numFmtId="1" fontId="95" fillId="4" borderId="14" xfId="0" applyNumberFormat="1" applyFont="1" applyFill="1" applyBorder="1" applyAlignment="1" applyProtection="1">
      <alignment horizontal="left"/>
    </xf>
    <xf numFmtId="1" fontId="77" fillId="4" borderId="14" xfId="0" applyNumberFormat="1" applyFont="1" applyFill="1" applyBorder="1" applyAlignment="1" applyProtection="1">
      <alignment horizontal="center"/>
    </xf>
    <xf numFmtId="1" fontId="9" fillId="9" borderId="14" xfId="4" applyNumberFormat="1" applyFont="1" applyFill="1" applyBorder="1" applyAlignment="1" applyProtection="1">
      <alignment horizontal="center"/>
    </xf>
    <xf numFmtId="1" fontId="9" fillId="5" borderId="8" xfId="4" applyNumberFormat="1" applyFont="1" applyFill="1" applyBorder="1" applyAlignment="1" applyProtection="1">
      <alignment horizontal="center"/>
    </xf>
    <xf numFmtId="1" fontId="9" fillId="5" borderId="3" xfId="4" applyNumberFormat="1" applyFont="1" applyFill="1" applyBorder="1" applyAlignment="1" applyProtection="1">
      <alignment horizontal="center"/>
    </xf>
    <xf numFmtId="1" fontId="9" fillId="5" borderId="0" xfId="4" applyNumberFormat="1" applyFont="1" applyFill="1" applyBorder="1" applyAlignment="1" applyProtection="1">
      <alignment horizontal="center"/>
    </xf>
    <xf numFmtId="165" fontId="10" fillId="4" borderId="0" xfId="4" applyFont="1" applyFill="1" applyBorder="1" applyProtection="1"/>
    <xf numFmtId="0" fontId="74" fillId="4" borderId="0" xfId="0" applyNumberFormat="1" applyFont="1" applyFill="1" applyBorder="1" applyAlignment="1" applyProtection="1">
      <alignment horizontal="left"/>
    </xf>
    <xf numFmtId="0" fontId="74" fillId="4" borderId="0" xfId="0" applyNumberFormat="1" applyFont="1" applyFill="1" applyBorder="1" applyAlignment="1" applyProtection="1">
      <alignment horizontal="center"/>
    </xf>
    <xf numFmtId="44" fontId="8" fillId="4" borderId="0" xfId="0" applyNumberFormat="1" applyFont="1" applyFill="1" applyBorder="1" applyProtection="1"/>
    <xf numFmtId="165" fontId="8" fillId="4" borderId="0" xfId="0" applyNumberFormat="1" applyFont="1" applyFill="1" applyBorder="1" applyProtection="1"/>
    <xf numFmtId="165" fontId="75" fillId="4" borderId="0" xfId="4" applyFont="1" applyFill="1" applyBorder="1" applyProtection="1"/>
    <xf numFmtId="166" fontId="74" fillId="4" borderId="0" xfId="0" applyNumberFormat="1" applyFont="1" applyFill="1" applyBorder="1" applyAlignment="1" applyProtection="1"/>
    <xf numFmtId="174" fontId="80" fillId="4" borderId="0" xfId="0" applyNumberFormat="1" applyFont="1" applyFill="1" applyBorder="1" applyAlignment="1" applyProtection="1">
      <alignment horizontal="center"/>
    </xf>
    <xf numFmtId="176" fontId="73" fillId="4" borderId="0" xfId="0" applyNumberFormat="1" applyFont="1" applyFill="1" applyBorder="1" applyAlignment="1" applyProtection="1">
      <alignment horizontal="center"/>
    </xf>
    <xf numFmtId="0" fontId="8" fillId="5" borderId="3" xfId="0" applyFont="1" applyFill="1" applyBorder="1" applyProtection="1">
      <protection locked="0"/>
    </xf>
    <xf numFmtId="0" fontId="8" fillId="5" borderId="0" xfId="0" applyFont="1" applyFill="1" applyBorder="1" applyProtection="1">
      <protection locked="0"/>
    </xf>
    <xf numFmtId="0" fontId="33" fillId="5" borderId="0" xfId="0" applyFont="1" applyFill="1" applyBorder="1" applyProtection="1">
      <protection locked="0"/>
    </xf>
    <xf numFmtId="0" fontId="16" fillId="5" borderId="0" xfId="0" applyFont="1" applyFill="1" applyBorder="1" applyProtection="1">
      <protection locked="0"/>
    </xf>
    <xf numFmtId="0" fontId="18" fillId="5" borderId="0" xfId="0" applyFont="1" applyFill="1" applyBorder="1" applyProtection="1">
      <protection locked="0"/>
    </xf>
    <xf numFmtId="0" fontId="76" fillId="4" borderId="11" xfId="0" applyFont="1" applyFill="1" applyBorder="1" applyProtection="1">
      <protection locked="0"/>
    </xf>
    <xf numFmtId="0" fontId="82" fillId="4" borderId="14" xfId="0" applyFont="1" applyFill="1" applyBorder="1" applyAlignment="1" applyProtection="1">
      <alignment horizontal="left"/>
      <protection locked="0"/>
    </xf>
    <xf numFmtId="0" fontId="78" fillId="4" borderId="14" xfId="0" applyFont="1" applyFill="1" applyBorder="1" applyAlignment="1" applyProtection="1">
      <alignment horizontal="center"/>
      <protection locked="0"/>
    </xf>
    <xf numFmtId="0" fontId="76" fillId="4" borderId="14" xfId="0" applyFont="1" applyFill="1" applyBorder="1" applyAlignment="1" applyProtection="1">
      <alignment horizontal="left"/>
      <protection locked="0"/>
    </xf>
    <xf numFmtId="0" fontId="8" fillId="4" borderId="14" xfId="0" applyFont="1" applyFill="1" applyBorder="1" applyAlignment="1" applyProtection="1">
      <alignment horizontal="left"/>
      <protection locked="0"/>
    </xf>
    <xf numFmtId="0" fontId="9" fillId="4" borderId="17" xfId="0" applyFont="1" applyFill="1" applyBorder="1" applyAlignment="1" applyProtection="1">
      <alignment horizontal="left"/>
      <protection locked="0"/>
    </xf>
    <xf numFmtId="0" fontId="8" fillId="4" borderId="0" xfId="0" applyFont="1" applyFill="1" applyBorder="1" applyAlignment="1" applyProtection="1">
      <alignment horizontal="left"/>
      <protection locked="0"/>
    </xf>
    <xf numFmtId="0" fontId="8" fillId="5" borderId="8" xfId="0" applyFont="1" applyFill="1" applyBorder="1" applyProtection="1">
      <protection locked="0"/>
    </xf>
    <xf numFmtId="0" fontId="8" fillId="5" borderId="8" xfId="0" applyFont="1" applyFill="1" applyBorder="1" applyAlignment="1" applyProtection="1">
      <alignment horizontal="left"/>
      <protection locked="0"/>
    </xf>
    <xf numFmtId="164" fontId="74" fillId="4" borderId="0" xfId="0" applyNumberFormat="1" applyFont="1" applyFill="1" applyBorder="1" applyProtection="1"/>
    <xf numFmtId="2" fontId="91" fillId="4" borderId="0" xfId="0" applyNumberFormat="1" applyFont="1" applyFill="1" applyBorder="1" applyAlignment="1" applyProtection="1">
      <alignment horizontal="center"/>
    </xf>
    <xf numFmtId="164" fontId="91" fillId="4" borderId="0" xfId="0" applyNumberFormat="1" applyFont="1" applyFill="1" applyBorder="1" applyProtection="1"/>
    <xf numFmtId="2" fontId="92" fillId="4" borderId="0" xfId="0" applyNumberFormat="1" applyFont="1" applyFill="1" applyBorder="1" applyAlignment="1" applyProtection="1">
      <alignment horizontal="center"/>
    </xf>
    <xf numFmtId="164" fontId="97" fillId="4" borderId="0" xfId="0" applyNumberFormat="1" applyFont="1" applyFill="1" applyBorder="1" applyProtection="1"/>
    <xf numFmtId="164" fontId="74" fillId="4" borderId="0" xfId="0" applyNumberFormat="1" applyFont="1" applyFill="1" applyBorder="1" applyAlignment="1" applyProtection="1">
      <alignment horizontal="center"/>
    </xf>
    <xf numFmtId="164" fontId="80" fillId="4" borderId="0" xfId="0" applyNumberFormat="1" applyFont="1" applyFill="1" applyBorder="1" applyProtection="1"/>
    <xf numFmtId="166" fontId="76" fillId="4" borderId="0" xfId="0" applyNumberFormat="1" applyFont="1" applyFill="1" applyBorder="1" applyAlignment="1" applyProtection="1">
      <alignment horizontal="center"/>
    </xf>
    <xf numFmtId="166" fontId="9" fillId="4" borderId="0" xfId="0" applyNumberFormat="1" applyFont="1" applyFill="1" applyBorder="1" applyAlignment="1" applyProtection="1">
      <alignment horizontal="center"/>
    </xf>
    <xf numFmtId="0" fontId="57" fillId="4" borderId="0" xfId="0" applyFont="1" applyFill="1" applyBorder="1" applyAlignment="1" applyProtection="1">
      <alignment horizontal="center"/>
    </xf>
    <xf numFmtId="0" fontId="16" fillId="4" borderId="0" xfId="0" applyFont="1" applyFill="1" applyBorder="1" applyAlignment="1" applyProtection="1">
      <alignment horizontal="center"/>
    </xf>
    <xf numFmtId="0" fontId="18" fillId="4" borderId="0" xfId="0" applyFont="1" applyFill="1" applyBorder="1" applyAlignment="1" applyProtection="1">
      <alignment horizontal="center"/>
    </xf>
    <xf numFmtId="174" fontId="75" fillId="4" borderId="0" xfId="0" applyNumberFormat="1" applyFont="1" applyFill="1" applyBorder="1" applyAlignment="1" applyProtection="1">
      <alignment horizontal="center"/>
    </xf>
    <xf numFmtId="3" fontId="58" fillId="2" borderId="0" xfId="0" applyNumberFormat="1" applyFont="1" applyFill="1" applyBorder="1" applyAlignment="1" applyProtection="1">
      <alignment horizontal="left"/>
      <protection locked="0"/>
    </xf>
    <xf numFmtId="164" fontId="8" fillId="9" borderId="14" xfId="0" applyNumberFormat="1" applyFont="1" applyFill="1" applyBorder="1" applyAlignment="1" applyProtection="1">
      <protection locked="0"/>
    </xf>
    <xf numFmtId="0" fontId="58" fillId="4" borderId="0" xfId="0" applyFont="1" applyFill="1" applyProtection="1"/>
    <xf numFmtId="0" fontId="69" fillId="5" borderId="0" xfId="0" applyNumberFormat="1" applyFont="1" applyFill="1" applyBorder="1" applyAlignment="1" applyProtection="1">
      <alignment horizontal="center"/>
    </xf>
    <xf numFmtId="0" fontId="58" fillId="5" borderId="0" xfId="0" applyNumberFormat="1" applyFont="1" applyFill="1" applyBorder="1" applyAlignment="1" applyProtection="1">
      <alignment horizontal="center"/>
    </xf>
    <xf numFmtId="171" fontId="58" fillId="5" borderId="0" xfId="0" applyNumberFormat="1" applyFont="1" applyFill="1" applyBorder="1" applyAlignment="1" applyProtection="1">
      <alignment horizontal="center"/>
    </xf>
    <xf numFmtId="171" fontId="69" fillId="5" borderId="0" xfId="0" applyNumberFormat="1" applyFont="1" applyFill="1" applyBorder="1" applyAlignment="1" applyProtection="1">
      <alignment horizontal="center"/>
    </xf>
    <xf numFmtId="0" fontId="69" fillId="5" borderId="0" xfId="0" applyFont="1" applyFill="1" applyBorder="1" applyProtection="1"/>
    <xf numFmtId="174" fontId="35" fillId="2" borderId="0" xfId="0" applyNumberFormat="1" applyFont="1" applyFill="1" applyBorder="1" applyAlignment="1" applyProtection="1">
      <alignment horizontal="left"/>
      <protection locked="0"/>
    </xf>
    <xf numFmtId="174" fontId="35" fillId="0" borderId="0" xfId="0" applyNumberFormat="1" applyFont="1" applyFill="1" applyBorder="1" applyAlignment="1" applyProtection="1">
      <alignment horizontal="left"/>
    </xf>
    <xf numFmtId="174" fontId="35" fillId="9" borderId="0" xfId="0" applyNumberFormat="1" applyFont="1" applyFill="1" applyBorder="1" applyAlignment="1" applyProtection="1">
      <alignment horizontal="left"/>
    </xf>
    <xf numFmtId="179" fontId="44" fillId="0" borderId="0" xfId="0" applyNumberFormat="1" applyFont="1" applyFill="1" applyAlignment="1" applyProtection="1">
      <alignment horizontal="left"/>
    </xf>
    <xf numFmtId="4" fontId="46" fillId="0" borderId="0" xfId="0" applyNumberFormat="1" applyFont="1" applyFill="1" applyAlignment="1" applyProtection="1">
      <alignment horizontal="left"/>
    </xf>
    <xf numFmtId="0" fontId="58" fillId="0" borderId="0" xfId="0" applyFont="1" applyAlignment="1" applyProtection="1">
      <alignment horizontal="left"/>
    </xf>
    <xf numFmtId="0" fontId="69" fillId="4" borderId="0" xfId="0" applyNumberFormat="1" applyFont="1" applyFill="1" applyBorder="1" applyAlignment="1" applyProtection="1">
      <alignment horizontal="left"/>
    </xf>
    <xf numFmtId="164" fontId="90" fillId="4" borderId="0" xfId="0" applyNumberFormat="1" applyFont="1" applyFill="1" applyBorder="1" applyAlignment="1" applyProtection="1">
      <alignment horizontal="center"/>
    </xf>
    <xf numFmtId="0" fontId="61" fillId="5" borderId="14" xfId="0" applyFont="1" applyFill="1" applyBorder="1" applyProtection="1"/>
    <xf numFmtId="0" fontId="69" fillId="4" borderId="0" xfId="0" applyNumberFormat="1" applyFont="1" applyFill="1" applyBorder="1" applyAlignment="1" applyProtection="1"/>
    <xf numFmtId="174" fontId="8" fillId="9" borderId="14" xfId="3" applyNumberFormat="1" applyFont="1" applyFill="1" applyBorder="1" applyAlignment="1" applyProtection="1">
      <alignment horizontal="center"/>
    </xf>
    <xf numFmtId="0" fontId="69" fillId="5" borderId="0" xfId="0" applyNumberFormat="1" applyFont="1" applyFill="1" applyBorder="1" applyAlignment="1" applyProtection="1">
      <alignment horizontal="left"/>
    </xf>
    <xf numFmtId="0" fontId="69" fillId="5" borderId="0" xfId="0" applyNumberFormat="1" applyFont="1" applyFill="1" applyBorder="1" applyAlignment="1" applyProtection="1"/>
    <xf numFmtId="0" fontId="98" fillId="4" borderId="14" xfId="0" applyFont="1" applyFill="1" applyBorder="1" applyProtection="1"/>
    <xf numFmtId="0" fontId="98" fillId="4" borderId="0" xfId="0" applyFont="1" applyFill="1" applyProtection="1"/>
    <xf numFmtId="164" fontId="99" fillId="4" borderId="14" xfId="0" applyNumberFormat="1" applyFont="1" applyFill="1" applyBorder="1" applyProtection="1"/>
    <xf numFmtId="0" fontId="8" fillId="5" borderId="0" xfId="0" applyNumberFormat="1" applyFont="1" applyFill="1" applyBorder="1" applyAlignment="1" applyProtection="1">
      <alignment horizontal="left"/>
    </xf>
    <xf numFmtId="164" fontId="53" fillId="4" borderId="15" xfId="0" applyNumberFormat="1" applyFont="1" applyFill="1" applyBorder="1" applyProtection="1"/>
    <xf numFmtId="166" fontId="8" fillId="9" borderId="14" xfId="4" applyNumberFormat="1" applyFont="1" applyFill="1" applyBorder="1" applyAlignment="1" applyProtection="1">
      <alignment horizontal="center"/>
    </xf>
    <xf numFmtId="0" fontId="10" fillId="4" borderId="14" xfId="0" applyNumberFormat="1" applyFont="1" applyFill="1" applyBorder="1" applyProtection="1"/>
    <xf numFmtId="0" fontId="14" fillId="4" borderId="14" xfId="0" applyNumberFormat="1" applyFont="1" applyFill="1" applyBorder="1" applyProtection="1"/>
    <xf numFmtId="2" fontId="10" fillId="9" borderId="14" xfId="0" applyNumberFormat="1" applyFont="1" applyFill="1" applyBorder="1" applyAlignment="1" applyProtection="1">
      <alignment horizontal="center"/>
    </xf>
    <xf numFmtId="0" fontId="85" fillId="4" borderId="14" xfId="0" applyFont="1" applyFill="1" applyBorder="1" applyProtection="1"/>
    <xf numFmtId="164" fontId="85" fillId="4" borderId="14" xfId="0" applyNumberFormat="1" applyFont="1" applyFill="1" applyBorder="1" applyAlignment="1" applyProtection="1">
      <alignment horizontal="center"/>
    </xf>
    <xf numFmtId="177" fontId="10" fillId="4" borderId="14" xfId="0" applyNumberFormat="1" applyFont="1" applyFill="1" applyBorder="1" applyAlignment="1" applyProtection="1">
      <alignment horizontal="left"/>
    </xf>
    <xf numFmtId="0" fontId="98" fillId="5" borderId="14" xfId="0" applyFont="1" applyFill="1" applyBorder="1" applyAlignment="1" applyProtection="1">
      <alignment horizontal="left"/>
      <protection locked="0"/>
    </xf>
    <xf numFmtId="0" fontId="98" fillId="5" borderId="14" xfId="0" applyFont="1" applyFill="1" applyBorder="1" applyAlignment="1" applyProtection="1">
      <alignment horizontal="center"/>
      <protection locked="0"/>
    </xf>
    <xf numFmtId="173" fontId="98" fillId="5" borderId="14" xfId="0" applyNumberFormat="1" applyFont="1" applyFill="1" applyBorder="1" applyAlignment="1" applyProtection="1">
      <alignment horizontal="center"/>
      <protection locked="0"/>
    </xf>
    <xf numFmtId="0" fontId="98" fillId="5" borderId="14" xfId="0" applyNumberFormat="1" applyFont="1" applyFill="1" applyBorder="1" applyAlignment="1" applyProtection="1">
      <alignment horizontal="center"/>
      <protection locked="0"/>
    </xf>
    <xf numFmtId="171" fontId="98" fillId="5" borderId="14" xfId="4" applyNumberFormat="1" applyFont="1" applyFill="1" applyBorder="1" applyAlignment="1" applyProtection="1">
      <alignment horizontal="center"/>
      <protection locked="0"/>
    </xf>
    <xf numFmtId="164" fontId="8" fillId="0" borderId="0" xfId="0" applyNumberFormat="1" applyFont="1" applyFill="1" applyAlignment="1" applyProtection="1">
      <alignment horizontal="left"/>
    </xf>
    <xf numFmtId="44" fontId="8" fillId="0" borderId="0" xfId="0" applyNumberFormat="1" applyFont="1" applyFill="1" applyAlignment="1" applyProtection="1">
      <alignment horizontal="left"/>
    </xf>
    <xf numFmtId="3" fontId="8" fillId="9" borderId="0" xfId="0" applyNumberFormat="1" applyFont="1" applyFill="1" applyBorder="1" applyAlignment="1" applyProtection="1">
      <alignment horizontal="left"/>
      <protection locked="0"/>
    </xf>
    <xf numFmtId="3" fontId="9" fillId="9" borderId="0" xfId="0" applyNumberFormat="1" applyFont="1" applyFill="1" applyBorder="1" applyAlignment="1" applyProtection="1">
      <alignment horizontal="left"/>
      <protection locked="0"/>
    </xf>
    <xf numFmtId="3" fontId="70" fillId="9" borderId="0" xfId="0" applyNumberFormat="1" applyFont="1" applyFill="1" applyBorder="1" applyAlignment="1" applyProtection="1">
      <alignment horizontal="left"/>
      <protection locked="0"/>
    </xf>
    <xf numFmtId="165" fontId="44" fillId="2" borderId="0" xfId="4" applyFont="1" applyFill="1" applyBorder="1" applyAlignment="1" applyProtection="1">
      <alignment horizontal="left"/>
      <protection locked="0"/>
    </xf>
    <xf numFmtId="14" fontId="45" fillId="2" borderId="0" xfId="0" applyNumberFormat="1" applyFont="1" applyFill="1" applyBorder="1" applyAlignment="1" applyProtection="1">
      <alignment horizontal="left"/>
      <protection locked="0"/>
    </xf>
    <xf numFmtId="49" fontId="35" fillId="0" borderId="0" xfId="0" applyNumberFormat="1" applyFont="1" applyFill="1" applyBorder="1" applyAlignment="1" applyProtection="1">
      <alignment horizontal="left"/>
    </xf>
    <xf numFmtId="3" fontId="35" fillId="0" borderId="0" xfId="0" applyNumberFormat="1" applyFont="1" applyFill="1" applyBorder="1" applyAlignment="1" applyProtection="1">
      <alignment horizontal="left"/>
    </xf>
    <xf numFmtId="0" fontId="78" fillId="5" borderId="0" xfId="0" applyFont="1" applyFill="1" applyBorder="1" applyAlignment="1" applyProtection="1">
      <alignment horizontal="right"/>
    </xf>
    <xf numFmtId="0" fontId="3" fillId="0" borderId="0" xfId="2" applyFill="1" applyAlignment="1" applyProtection="1"/>
  </cellXfs>
  <cellStyles count="5">
    <cellStyle name="Euro" xfId="1"/>
    <cellStyle name="Hyperlink" xfId="2" builtinId="8"/>
    <cellStyle name="Procent" xfId="3" builtinId="5"/>
    <cellStyle name="Standaard" xfId="0" builtinId="0"/>
    <cellStyle name="Valuta" xfId="4" builtinId="4"/>
  </cellStyles>
  <dxfs count="0"/>
  <tableStyles count="0" defaultTableStyle="TableStyleMedium9"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nl-NL"/>
              <a:t>Liquide Middelen</a:t>
            </a:r>
          </a:p>
        </c:rich>
      </c:tx>
      <c:overlay val="0"/>
      <c:spPr>
        <a:noFill/>
        <a:ln w="25400">
          <a:noFill/>
        </a:ln>
      </c:spPr>
    </c:title>
    <c:autoTitleDeleted val="0"/>
    <c:plotArea>
      <c:layout/>
      <c:barChart>
        <c:barDir val="col"/>
        <c:grouping val="clustered"/>
        <c:varyColors val="0"/>
        <c:ser>
          <c:idx val="0"/>
          <c:order val="0"/>
          <c:spPr>
            <a:solidFill>
              <a:srgbClr val="CC99FF"/>
            </a:solidFill>
            <a:ln w="12700">
              <a:solidFill>
                <a:srgbClr val="000000"/>
              </a:solidFill>
              <a:prstDash val="solid"/>
            </a:ln>
          </c:spPr>
          <c:invertIfNegative val="0"/>
          <c:dLbls>
            <c:spPr>
              <a:noFill/>
              <a:ln w="25400">
                <a:noFill/>
              </a:ln>
            </c:spPr>
            <c:txPr>
              <a:bodyPr/>
              <a:lstStyle/>
              <a:p>
                <a:pPr>
                  <a:defRPr sz="275"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begr!$G$8:$J$8</c:f>
              <c:numCache>
                <c:formatCode>General</c:formatCode>
                <c:ptCount val="4"/>
                <c:pt idx="0">
                  <c:v>2016</c:v>
                </c:pt>
                <c:pt idx="1">
                  <c:v>2017</c:v>
                </c:pt>
                <c:pt idx="2">
                  <c:v>2018</c:v>
                </c:pt>
                <c:pt idx="3">
                  <c:v>2019</c:v>
                </c:pt>
              </c:numCache>
            </c:numRef>
          </c:cat>
          <c:val>
            <c:numRef>
              <c:f>bal!$H$22:$K$22</c:f>
              <c:numCache>
                <c:formatCode>_-"€"\ * #,##0_-;_-"€"\ * #,##0\-;_-"€"\ * "-"_-;_-@_-</c:formatCode>
                <c:ptCount val="4"/>
                <c:pt idx="0">
                  <c:v>827640.94238698028</c:v>
                </c:pt>
                <c:pt idx="1">
                  <c:v>1652979.5546594337</c:v>
                </c:pt>
                <c:pt idx="2">
                  <c:v>2481113.6197347804</c:v>
                </c:pt>
                <c:pt idx="3">
                  <c:v>3312105.7751175412</c:v>
                </c:pt>
              </c:numCache>
            </c:numRef>
          </c:val>
        </c:ser>
        <c:dLbls>
          <c:showLegendKey val="0"/>
          <c:showVal val="1"/>
          <c:showCatName val="0"/>
          <c:showSerName val="0"/>
          <c:showPercent val="0"/>
          <c:showBubbleSize val="0"/>
        </c:dLbls>
        <c:gapWidth val="150"/>
        <c:axId val="277466336"/>
        <c:axId val="277467968"/>
      </c:barChart>
      <c:catAx>
        <c:axId val="2774663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300" b="0" i="0" u="none" strike="noStrike" baseline="0">
                <a:solidFill>
                  <a:srgbClr val="000000"/>
                </a:solidFill>
                <a:latin typeface="Arial"/>
                <a:ea typeface="Arial"/>
                <a:cs typeface="Arial"/>
              </a:defRPr>
            </a:pPr>
            <a:endParaRPr lang="nl-NL"/>
          </a:p>
        </c:txPr>
        <c:crossAx val="277467968"/>
        <c:crosses val="autoZero"/>
        <c:auto val="1"/>
        <c:lblAlgn val="ctr"/>
        <c:lblOffset val="100"/>
        <c:tickLblSkip val="1"/>
        <c:tickMarkSkip val="1"/>
        <c:noMultiLvlLbl val="0"/>
      </c:catAx>
      <c:valAx>
        <c:axId val="277467968"/>
        <c:scaling>
          <c:orientation val="minMax"/>
        </c:scaling>
        <c:delete val="0"/>
        <c:axPos val="l"/>
        <c:numFmt formatCode="_-&quot;€&quot;\ * #,##0_-;_-&quot;€&quot;\ * #,##0\-;_-&quot;€&quot;\ * &quot;-&quot;_-;_-@_-" sourceLinked="1"/>
        <c:majorTickMark val="out"/>
        <c:minorTickMark val="none"/>
        <c:tickLblPos val="nextTo"/>
        <c:spPr>
          <a:ln w="3175">
            <a:solidFill>
              <a:srgbClr val="000000"/>
            </a:solidFill>
            <a:prstDash val="solid"/>
          </a:ln>
        </c:spPr>
        <c:txPr>
          <a:bodyPr rot="0" vert="horz"/>
          <a:lstStyle/>
          <a:p>
            <a:pPr>
              <a:defRPr sz="300" b="0" i="0" u="none" strike="noStrike" baseline="0">
                <a:solidFill>
                  <a:srgbClr val="000000"/>
                </a:solidFill>
                <a:latin typeface="Arial"/>
                <a:ea typeface="Arial"/>
                <a:cs typeface="Arial"/>
              </a:defRPr>
            </a:pPr>
            <a:endParaRPr lang="nl-NL"/>
          </a:p>
        </c:txPr>
        <c:crossAx val="277466336"/>
        <c:crosses val="autoZero"/>
        <c:crossBetween val="between"/>
      </c:valAx>
      <c:spPr>
        <a:gradFill rotWithShape="0">
          <a:gsLst>
            <a:gs pos="0">
              <a:srgbClr val="FFFFFF"/>
            </a:gs>
            <a:gs pos="100000">
              <a:srgbClr val="C0C0C0"/>
            </a:gs>
          </a:gsLst>
          <a:lin ang="5400000" scaled="1"/>
        </a:gra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350" b="0" i="0" u="none" strike="noStrike" baseline="0">
          <a:solidFill>
            <a:srgbClr val="000000"/>
          </a:solidFill>
          <a:latin typeface="Arial"/>
          <a:ea typeface="Arial"/>
          <a:cs typeface="Arial"/>
        </a:defRPr>
      </a:pPr>
      <a:endParaRPr lang="nl-NL"/>
    </a:p>
  </c:txPr>
  <c:printSettings>
    <c:headerFooter alignWithMargins="0"/>
    <c:pageMargins b="1" l="0.75000000000000921" r="0.75000000000000921"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nl-NL"/>
              <a:t>Weerstandsvermogen</a:t>
            </a:r>
          </a:p>
        </c:rich>
      </c:tx>
      <c:layout>
        <c:manualLayout>
          <c:xMode val="edge"/>
          <c:yMode val="edge"/>
          <c:x val="0.33193277310925201"/>
          <c:y val="3.5502958579881658E-2"/>
        </c:manualLayout>
      </c:layout>
      <c:overlay val="0"/>
      <c:spPr>
        <a:noFill/>
        <a:ln w="25400">
          <a:noFill/>
        </a:ln>
      </c:spPr>
    </c:title>
    <c:autoTitleDeleted val="0"/>
    <c:plotArea>
      <c:layout>
        <c:manualLayout>
          <c:layoutTarget val="inner"/>
          <c:xMode val="edge"/>
          <c:yMode val="edge"/>
          <c:x val="7.1428571428571425E-2"/>
          <c:y val="0.24852071005917159"/>
          <c:w val="0.89705882352941801"/>
          <c:h val="0.48816568047337278"/>
        </c:manualLayout>
      </c:layout>
      <c:barChart>
        <c:barDir val="col"/>
        <c:grouping val="clustered"/>
        <c:varyColors val="0"/>
        <c:ser>
          <c:idx val="0"/>
          <c:order val="0"/>
          <c:spPr>
            <a:solidFill>
              <a:srgbClr val="FF99CC"/>
            </a:solidFill>
            <a:ln w="12700">
              <a:solidFill>
                <a:srgbClr val="000000"/>
              </a:solidFill>
              <a:prstDash val="solid"/>
            </a:ln>
          </c:spPr>
          <c:invertIfNegative val="0"/>
          <c:dLbls>
            <c:spPr>
              <a:noFill/>
              <a:ln w="25400">
                <a:noFill/>
              </a:ln>
            </c:spPr>
            <c:txPr>
              <a:bodyPr/>
              <a:lstStyle/>
              <a:p>
                <a:pPr>
                  <a:defRPr sz="1075"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begr!$G$8:$J$8</c:f>
              <c:numCache>
                <c:formatCode>General</c:formatCode>
                <c:ptCount val="4"/>
                <c:pt idx="0">
                  <c:v>2016</c:v>
                </c:pt>
                <c:pt idx="1">
                  <c:v>2017</c:v>
                </c:pt>
                <c:pt idx="2">
                  <c:v>2018</c:v>
                </c:pt>
                <c:pt idx="3">
                  <c:v>2019</c:v>
                </c:pt>
              </c:numCache>
            </c:numRef>
          </c:cat>
          <c:val>
            <c:numRef>
              <c:f>ken!$F$16:$I$16</c:f>
              <c:numCache>
                <c:formatCode>0%</c:formatCode>
                <c:ptCount val="4"/>
                <c:pt idx="0">
                  <c:v>0.80331614395623618</c:v>
                </c:pt>
                <c:pt idx="1">
                  <c:v>1.5986773658368463</c:v>
                </c:pt>
                <c:pt idx="2">
                  <c:v>2.3792474107744255</c:v>
                </c:pt>
                <c:pt idx="3">
                  <c:v>3.1494014399203927</c:v>
                </c:pt>
              </c:numCache>
            </c:numRef>
          </c:val>
        </c:ser>
        <c:dLbls>
          <c:showLegendKey val="0"/>
          <c:showVal val="1"/>
          <c:showCatName val="0"/>
          <c:showSerName val="0"/>
          <c:showPercent val="0"/>
          <c:showBubbleSize val="0"/>
        </c:dLbls>
        <c:gapWidth val="150"/>
        <c:axId val="2036809072"/>
        <c:axId val="2036815056"/>
      </c:barChart>
      <c:catAx>
        <c:axId val="20368090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nl-NL"/>
          </a:p>
        </c:txPr>
        <c:crossAx val="2036815056"/>
        <c:crosses val="autoZero"/>
        <c:auto val="1"/>
        <c:lblAlgn val="ctr"/>
        <c:lblOffset val="100"/>
        <c:tickLblSkip val="1"/>
        <c:tickMarkSkip val="1"/>
        <c:noMultiLvlLbl val="0"/>
      </c:catAx>
      <c:valAx>
        <c:axId val="2036815056"/>
        <c:scaling>
          <c:orientation val="minMax"/>
        </c:scaling>
        <c:delete val="0"/>
        <c:axPos val="l"/>
        <c:numFmt formatCode="0%" sourceLinked="1"/>
        <c:majorTickMark val="out"/>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nl-NL"/>
          </a:p>
        </c:txPr>
        <c:crossAx val="2036809072"/>
        <c:crosses val="autoZero"/>
        <c:crossBetween val="between"/>
      </c:valAx>
      <c:spPr>
        <a:gradFill rotWithShape="0">
          <a:gsLst>
            <a:gs pos="0">
              <a:srgbClr val="FFFFFF"/>
            </a:gs>
            <a:gs pos="100000">
              <a:srgbClr val="C0C0C0"/>
            </a:gs>
          </a:gsLst>
          <a:lin ang="5400000" scaled="1"/>
        </a:gra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nl-NL"/>
    </a:p>
  </c:txPr>
  <c:printSettings>
    <c:headerFooter alignWithMargins="0"/>
    <c:pageMargins b="1" l="0.75000000000000921" r="0.75000000000000921"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nl-NL"/>
              <a:t>Resultaat </a:t>
            </a:r>
          </a:p>
        </c:rich>
      </c:tx>
      <c:layout>
        <c:manualLayout>
          <c:xMode val="edge"/>
          <c:yMode val="edge"/>
          <c:x val="0.42647058823529904"/>
          <c:y val="3.5502958579881658E-2"/>
        </c:manualLayout>
      </c:layout>
      <c:overlay val="0"/>
      <c:spPr>
        <a:noFill/>
        <a:ln w="25400">
          <a:noFill/>
        </a:ln>
      </c:spPr>
    </c:title>
    <c:autoTitleDeleted val="0"/>
    <c:plotArea>
      <c:layout>
        <c:manualLayout>
          <c:layoutTarget val="inner"/>
          <c:xMode val="edge"/>
          <c:yMode val="edge"/>
          <c:x val="0.15546218487395219"/>
          <c:y val="0.24852071005917159"/>
          <c:w val="0.81512605042016861"/>
          <c:h val="0.48816568047337278"/>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075"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begr!$G$8:$J$8</c:f>
              <c:numCache>
                <c:formatCode>General</c:formatCode>
                <c:ptCount val="4"/>
                <c:pt idx="0">
                  <c:v>2016</c:v>
                </c:pt>
                <c:pt idx="1">
                  <c:v>2017</c:v>
                </c:pt>
                <c:pt idx="2">
                  <c:v>2018</c:v>
                </c:pt>
                <c:pt idx="3">
                  <c:v>2019</c:v>
                </c:pt>
              </c:numCache>
            </c:numRef>
          </c:cat>
          <c:val>
            <c:numRef>
              <c:f>begr!$G$42:$J$42</c:f>
              <c:numCache>
                <c:formatCode>_-"€"\ * #,##0_-;_-"€"\ * #,##0\-;_-"€"\ * "-"_-;_-@_-</c:formatCode>
                <c:ptCount val="4"/>
                <c:pt idx="0">
                  <c:v>827640.94238698028</c:v>
                </c:pt>
                <c:pt idx="1">
                  <c:v>825338.61227245338</c:v>
                </c:pt>
                <c:pt idx="2">
                  <c:v>828134.06507534673</c:v>
                </c:pt>
                <c:pt idx="3">
                  <c:v>830992.1553827608</c:v>
                </c:pt>
              </c:numCache>
            </c:numRef>
          </c:val>
        </c:ser>
        <c:dLbls>
          <c:showLegendKey val="0"/>
          <c:showVal val="1"/>
          <c:showCatName val="0"/>
          <c:showSerName val="0"/>
          <c:showPercent val="0"/>
          <c:showBubbleSize val="0"/>
        </c:dLbls>
        <c:gapWidth val="150"/>
        <c:axId val="2119869664"/>
        <c:axId val="2119881088"/>
      </c:barChart>
      <c:catAx>
        <c:axId val="2119869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nl-NL"/>
          </a:p>
        </c:txPr>
        <c:crossAx val="2119881088"/>
        <c:crosses val="autoZero"/>
        <c:auto val="1"/>
        <c:lblAlgn val="ctr"/>
        <c:lblOffset val="100"/>
        <c:tickLblSkip val="1"/>
        <c:tickMarkSkip val="1"/>
        <c:noMultiLvlLbl val="0"/>
      </c:catAx>
      <c:valAx>
        <c:axId val="2119881088"/>
        <c:scaling>
          <c:orientation val="minMax"/>
        </c:scaling>
        <c:delete val="0"/>
        <c:axPos val="l"/>
        <c:numFmt formatCode="_-&quot;€&quot;\ * #,##0_-;_-&quot;€&quot;\ * #,##0\-;_-&quot;€&quot;\ * &quot;-&quot;_-;_-@_-" sourceLinked="1"/>
        <c:majorTickMark val="out"/>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nl-NL"/>
          </a:p>
        </c:txPr>
        <c:crossAx val="2119869664"/>
        <c:crosses val="autoZero"/>
        <c:crossBetween val="between"/>
      </c:valAx>
      <c:spPr>
        <a:gradFill rotWithShape="0">
          <a:gsLst>
            <a:gs pos="0">
              <a:srgbClr val="FFFFFF"/>
            </a:gs>
            <a:gs pos="100000">
              <a:srgbClr val="C0C0C0"/>
            </a:gs>
          </a:gsLst>
          <a:lin ang="5400000" scaled="1"/>
        </a:gra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nl-NL"/>
    </a:p>
  </c:txPr>
  <c:printSettings>
    <c:headerFooter alignWithMargins="0"/>
    <c:pageMargins b="1" l="0.75000000000000921" r="0.75000000000000921"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50" b="1" i="0" u="none" strike="noStrike" baseline="0">
                <a:solidFill>
                  <a:srgbClr val="000000"/>
                </a:solidFill>
                <a:latin typeface="Arial"/>
                <a:ea typeface="Arial"/>
                <a:cs typeface="Arial"/>
              </a:defRPr>
            </a:pPr>
            <a:r>
              <a:rPr lang="nl-NL"/>
              <a:t>Leerlingenverloop</a:t>
            </a:r>
          </a:p>
        </c:rich>
      </c:tx>
      <c:layout>
        <c:manualLayout>
          <c:xMode val="edge"/>
          <c:yMode val="edge"/>
          <c:x val="0.35714285714286204"/>
          <c:y val="3.5294117647058851E-2"/>
        </c:manualLayout>
      </c:layout>
      <c:overlay val="0"/>
      <c:spPr>
        <a:noFill/>
        <a:ln w="25400">
          <a:noFill/>
        </a:ln>
      </c:spPr>
    </c:title>
    <c:autoTitleDeleted val="0"/>
    <c:plotArea>
      <c:layout>
        <c:manualLayout>
          <c:layoutTarget val="inner"/>
          <c:xMode val="edge"/>
          <c:yMode val="edge"/>
          <c:x val="8.789868733423066E-2"/>
          <c:y val="0.25486398424483453"/>
          <c:w val="0.86015144034212065"/>
          <c:h val="0.56130758434873129"/>
        </c:manualLayout>
      </c:layout>
      <c:barChart>
        <c:barDir val="col"/>
        <c:grouping val="clustered"/>
        <c:varyColors val="0"/>
        <c:ser>
          <c:idx val="0"/>
          <c:order val="0"/>
          <c:spPr>
            <a:solidFill>
              <a:srgbClr val="99CC00"/>
            </a:solidFill>
            <a:ln w="12700">
              <a:solidFill>
                <a:srgbClr val="000000"/>
              </a:solidFill>
              <a:prstDash val="solid"/>
            </a:ln>
          </c:spPr>
          <c:invertIfNegative val="0"/>
          <c:dLbls>
            <c:spPr>
              <a:noFill/>
              <a:ln w="25400">
                <a:noFill/>
              </a:ln>
            </c:spPr>
            <c:txPr>
              <a:bodyPr/>
              <a:lstStyle/>
              <a:p>
                <a:pPr>
                  <a:defRPr sz="1075"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geg!$G$19:$K$19</c:f>
              <c:strCache>
                <c:ptCount val="5"/>
                <c:pt idx="0">
                  <c:v>2015/16</c:v>
                </c:pt>
                <c:pt idx="1">
                  <c:v>2016/17</c:v>
                </c:pt>
                <c:pt idx="2">
                  <c:v>2017/18</c:v>
                </c:pt>
                <c:pt idx="3">
                  <c:v>2018/19</c:v>
                </c:pt>
                <c:pt idx="4">
                  <c:v>2019/20</c:v>
                </c:pt>
              </c:strCache>
            </c:strRef>
          </c:cat>
          <c:val>
            <c:numRef>
              <c:f>geg!$G$27:$K$27</c:f>
              <c:numCache>
                <c:formatCode>General</c:formatCode>
                <c:ptCount val="5"/>
                <c:pt idx="0">
                  <c:v>220</c:v>
                </c:pt>
                <c:pt idx="1">
                  <c:v>220</c:v>
                </c:pt>
                <c:pt idx="2">
                  <c:v>220</c:v>
                </c:pt>
                <c:pt idx="3">
                  <c:v>220</c:v>
                </c:pt>
                <c:pt idx="4">
                  <c:v>220</c:v>
                </c:pt>
              </c:numCache>
            </c:numRef>
          </c:val>
        </c:ser>
        <c:dLbls>
          <c:showLegendKey val="0"/>
          <c:showVal val="1"/>
          <c:showCatName val="0"/>
          <c:showSerName val="0"/>
          <c:showPercent val="0"/>
          <c:showBubbleSize val="0"/>
        </c:dLbls>
        <c:gapWidth val="150"/>
        <c:axId val="2119875648"/>
        <c:axId val="2119870752"/>
      </c:barChart>
      <c:catAx>
        <c:axId val="21198756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nl-NL"/>
          </a:p>
        </c:txPr>
        <c:crossAx val="2119870752"/>
        <c:crosses val="autoZero"/>
        <c:auto val="1"/>
        <c:lblAlgn val="ctr"/>
        <c:lblOffset val="100"/>
        <c:tickLblSkip val="1"/>
        <c:tickMarkSkip val="1"/>
        <c:noMultiLvlLbl val="0"/>
      </c:catAx>
      <c:valAx>
        <c:axId val="211987075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nl-NL"/>
          </a:p>
        </c:txPr>
        <c:crossAx val="2119875648"/>
        <c:crosses val="autoZero"/>
        <c:crossBetween val="between"/>
      </c:valAx>
      <c:spPr>
        <a:gradFill rotWithShape="0">
          <a:gsLst>
            <a:gs pos="0">
              <a:srgbClr val="FFFFFF"/>
            </a:gs>
            <a:gs pos="100000">
              <a:srgbClr val="C0C0C0"/>
            </a:gs>
          </a:gsLst>
          <a:lin ang="5400000" scaled="1"/>
        </a:gra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nl-NL"/>
    </a:p>
  </c:txPr>
  <c:printSettings>
    <c:headerFooter alignWithMargins="0"/>
    <c:pageMargins b="1" l="0.75000000000000921" r="0.75000000000000921"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nl-NL"/>
              <a:t>Verloop Gewogen Gemiddelde Leeftijd</a:t>
            </a:r>
          </a:p>
        </c:rich>
      </c:tx>
      <c:layout>
        <c:manualLayout>
          <c:xMode val="edge"/>
          <c:yMode val="edge"/>
          <c:x val="0.20550869700609603"/>
          <c:y val="3.5190615835777136E-2"/>
        </c:manualLayout>
      </c:layout>
      <c:overlay val="0"/>
      <c:spPr>
        <a:noFill/>
        <a:ln w="25400">
          <a:noFill/>
        </a:ln>
      </c:spPr>
    </c:title>
    <c:autoTitleDeleted val="0"/>
    <c:plotArea>
      <c:layout>
        <c:manualLayout>
          <c:layoutTarget val="inner"/>
          <c:xMode val="edge"/>
          <c:yMode val="edge"/>
          <c:x val="0.11596198223199709"/>
          <c:y val="0.25395725651209911"/>
          <c:w val="0.85390186916289534"/>
          <c:h val="0.55931062446117963"/>
        </c:manualLayout>
      </c:layout>
      <c:barChart>
        <c:barDir val="col"/>
        <c:grouping val="clustered"/>
        <c:varyColors val="0"/>
        <c:ser>
          <c:idx val="0"/>
          <c:order val="0"/>
          <c:spPr>
            <a:solidFill>
              <a:srgbClr val="99CC00"/>
            </a:solidFill>
            <a:ln w="12700">
              <a:solidFill>
                <a:srgbClr val="000000"/>
              </a:solidFill>
              <a:prstDash val="solid"/>
            </a:ln>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pers!$I$8:$L$8</c:f>
              <c:strCache>
                <c:ptCount val="4"/>
                <c:pt idx="0">
                  <c:v>2016/17</c:v>
                </c:pt>
                <c:pt idx="1">
                  <c:v>2017/18</c:v>
                </c:pt>
                <c:pt idx="2">
                  <c:v>2018/19</c:v>
                </c:pt>
                <c:pt idx="3">
                  <c:v>2019/20</c:v>
                </c:pt>
              </c:strCache>
            </c:strRef>
          </c:cat>
          <c:val>
            <c:numRef>
              <c:f>pers!$I$14:$L$14</c:f>
              <c:numCache>
                <c:formatCode>0.00</c:formatCode>
                <c:ptCount val="4"/>
                <c:pt idx="0">
                  <c:v>42</c:v>
                </c:pt>
                <c:pt idx="1">
                  <c:v>43</c:v>
                </c:pt>
                <c:pt idx="2">
                  <c:v>44</c:v>
                </c:pt>
                <c:pt idx="3">
                  <c:v>45</c:v>
                </c:pt>
              </c:numCache>
            </c:numRef>
          </c:val>
        </c:ser>
        <c:dLbls>
          <c:showLegendKey val="0"/>
          <c:showVal val="1"/>
          <c:showCatName val="0"/>
          <c:showSerName val="0"/>
          <c:showPercent val="0"/>
          <c:showBubbleSize val="0"/>
        </c:dLbls>
        <c:gapWidth val="150"/>
        <c:axId val="2119877824"/>
        <c:axId val="2119881632"/>
      </c:barChart>
      <c:catAx>
        <c:axId val="2119877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l-NL"/>
          </a:p>
        </c:txPr>
        <c:crossAx val="2119881632"/>
        <c:crosses val="autoZero"/>
        <c:auto val="1"/>
        <c:lblAlgn val="ctr"/>
        <c:lblOffset val="100"/>
        <c:tickLblSkip val="1"/>
        <c:tickMarkSkip val="1"/>
        <c:noMultiLvlLbl val="0"/>
      </c:catAx>
      <c:valAx>
        <c:axId val="2119881632"/>
        <c:scaling>
          <c:orientation val="minMax"/>
        </c:scaling>
        <c:delete val="0"/>
        <c:axPos val="l"/>
        <c:numFmt formatCode="0.00"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nl-NL"/>
          </a:p>
        </c:txPr>
        <c:crossAx val="2119877824"/>
        <c:crosses val="autoZero"/>
        <c:crossBetween val="between"/>
      </c:valAx>
      <c:spPr>
        <a:gradFill rotWithShape="0">
          <a:gsLst>
            <a:gs pos="0">
              <a:srgbClr val="FFFFFF"/>
            </a:gs>
            <a:gs pos="100000">
              <a:srgbClr val="C0C0C0"/>
            </a:gs>
          </a:gsLst>
          <a:lin ang="5400000" scaled="1"/>
        </a:gra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nl-NL"/>
    </a:p>
  </c:txPr>
  <c:printSettings>
    <c:headerFooter alignWithMargins="0"/>
    <c:pageMargins b="1" l="0.75000000000000921" r="0.75000000000000921" t="1" header="0.5" footer="0.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nl-NL"/>
              <a:t>Eigen Vermogen en Vreemd Vermogen</a:t>
            </a:r>
          </a:p>
        </c:rich>
      </c:tx>
      <c:overlay val="0"/>
      <c:spPr>
        <a:noFill/>
        <a:ln w="25400">
          <a:noFill/>
        </a:ln>
      </c:spPr>
    </c:title>
    <c:autoTitleDeleted val="0"/>
    <c:plotArea>
      <c:layout/>
      <c:barChart>
        <c:barDir val="col"/>
        <c:grouping val="clustered"/>
        <c:varyColors val="0"/>
        <c:ser>
          <c:idx val="0"/>
          <c:order val="0"/>
          <c:spPr>
            <a:solidFill>
              <a:srgbClr val="CC99FF"/>
            </a:solidFill>
            <a:ln w="12700">
              <a:solidFill>
                <a:srgbClr val="000000"/>
              </a:solidFill>
              <a:prstDash val="solid"/>
            </a:ln>
          </c:spPr>
          <c:invertIfNegative val="0"/>
          <c:dLbls>
            <c:spPr>
              <a:noFill/>
              <a:ln w="25400">
                <a:noFill/>
              </a:ln>
            </c:spPr>
            <c:txPr>
              <a:bodyPr/>
              <a:lstStyle/>
              <a:p>
                <a:pPr>
                  <a:defRPr sz="200"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begr!$G$8:$J$8</c:f>
              <c:numCache>
                <c:formatCode>General</c:formatCode>
                <c:ptCount val="4"/>
                <c:pt idx="0">
                  <c:v>2016</c:v>
                </c:pt>
                <c:pt idx="1">
                  <c:v>2017</c:v>
                </c:pt>
                <c:pt idx="2">
                  <c:v>2018</c:v>
                </c:pt>
                <c:pt idx="3">
                  <c:v>2019</c:v>
                </c:pt>
              </c:numCache>
            </c:numRef>
          </c:cat>
          <c:val>
            <c:numRef>
              <c:f>bal!$H$36:$K$36</c:f>
              <c:numCache>
                <c:formatCode>_-"€"\ * #,##0_-;_-"€"\ * #,##0\-;_-"€"\ * "-"_-;_-@_-</c:formatCode>
                <c:ptCount val="4"/>
                <c:pt idx="0">
                  <c:v>827640.94238698028</c:v>
                </c:pt>
                <c:pt idx="1">
                  <c:v>1652979.5546594337</c:v>
                </c:pt>
                <c:pt idx="2">
                  <c:v>2481113.6197347804</c:v>
                </c:pt>
                <c:pt idx="3">
                  <c:v>3312105.7751175412</c:v>
                </c:pt>
              </c:numCache>
            </c:numRef>
          </c:val>
        </c:ser>
        <c:ser>
          <c:idx val="1"/>
          <c:order val="1"/>
          <c:spPr>
            <a:solidFill>
              <a:srgbClr val="993366"/>
            </a:solidFill>
            <a:ln w="12700">
              <a:solidFill>
                <a:srgbClr val="000000"/>
              </a:solidFill>
              <a:prstDash val="solid"/>
            </a:ln>
          </c:spPr>
          <c:invertIfNegative val="0"/>
          <c:dLbls>
            <c:spPr>
              <a:noFill/>
              <a:ln w="25400">
                <a:noFill/>
              </a:ln>
            </c:spPr>
            <c:txPr>
              <a:bodyPr/>
              <a:lstStyle/>
              <a:p>
                <a:pPr>
                  <a:defRPr sz="300"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150"/>
        <c:axId val="2119870208"/>
        <c:axId val="2119880000"/>
      </c:barChart>
      <c:catAx>
        <c:axId val="21198702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300" b="0" i="0" u="none" strike="noStrike" baseline="0">
                <a:solidFill>
                  <a:srgbClr val="000000"/>
                </a:solidFill>
                <a:latin typeface="Arial"/>
                <a:ea typeface="Arial"/>
                <a:cs typeface="Arial"/>
              </a:defRPr>
            </a:pPr>
            <a:endParaRPr lang="nl-NL"/>
          </a:p>
        </c:txPr>
        <c:crossAx val="2119880000"/>
        <c:crosses val="autoZero"/>
        <c:auto val="1"/>
        <c:lblAlgn val="ctr"/>
        <c:lblOffset val="100"/>
        <c:tickLblSkip val="1"/>
        <c:tickMarkSkip val="1"/>
        <c:noMultiLvlLbl val="0"/>
      </c:catAx>
      <c:valAx>
        <c:axId val="2119880000"/>
        <c:scaling>
          <c:orientation val="minMax"/>
        </c:scaling>
        <c:delete val="0"/>
        <c:axPos val="l"/>
        <c:numFmt formatCode="_-&quot;€&quot;\ * #,##0_-;_-&quot;€&quot;\ * #,##0\-;_-&quot;€&quot;\ * &quot;-&quot;_-;_-@_-" sourceLinked="1"/>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nl-NL"/>
          </a:p>
        </c:txPr>
        <c:crossAx val="2119870208"/>
        <c:crosses val="autoZero"/>
        <c:crossBetween val="between"/>
      </c:valAx>
      <c:spPr>
        <a:gradFill rotWithShape="0">
          <a:gsLst>
            <a:gs pos="0">
              <a:srgbClr val="FFFFFF"/>
            </a:gs>
            <a:gs pos="100000">
              <a:srgbClr val="C0C0C0"/>
            </a:gs>
          </a:gsLst>
          <a:lin ang="5400000" scaled="1"/>
        </a:gra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300" b="0" i="0" u="none" strike="noStrike" baseline="0">
          <a:solidFill>
            <a:srgbClr val="000000"/>
          </a:solidFill>
          <a:latin typeface="Arial"/>
          <a:ea typeface="Arial"/>
          <a:cs typeface="Arial"/>
        </a:defRPr>
      </a:pPr>
      <a:endParaRPr lang="nl-NL"/>
    </a:p>
  </c:txPr>
  <c:printSettings>
    <c:headerFooter alignWithMargins="0"/>
    <c:pageMargins b="1" l="0.75000000000000921" r="0.75000000000000921" t="1" header="0.5" footer="0.5"/>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nl-NL"/>
              <a:t>Totale baten per leerling</a:t>
            </a:r>
          </a:p>
        </c:rich>
      </c:tx>
      <c:layout>
        <c:manualLayout>
          <c:xMode val="edge"/>
          <c:yMode val="edge"/>
          <c:x val="0.31302521008403639"/>
          <c:y val="3.5502958579881658E-2"/>
        </c:manualLayout>
      </c:layout>
      <c:overlay val="0"/>
      <c:spPr>
        <a:noFill/>
        <a:ln w="25400">
          <a:noFill/>
        </a:ln>
      </c:spPr>
    </c:title>
    <c:autoTitleDeleted val="0"/>
    <c:plotArea>
      <c:layout>
        <c:manualLayout>
          <c:layoutTarget val="inner"/>
          <c:xMode val="edge"/>
          <c:yMode val="edge"/>
          <c:x val="0.14285714285714493"/>
          <c:y val="0.25147928994083196"/>
          <c:w val="0.80672268907563027"/>
          <c:h val="0.5355029585798816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075"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begr!$G$8:$J$8</c:f>
              <c:numCache>
                <c:formatCode>General</c:formatCode>
                <c:ptCount val="4"/>
                <c:pt idx="0">
                  <c:v>2016</c:v>
                </c:pt>
                <c:pt idx="1">
                  <c:v>2017</c:v>
                </c:pt>
                <c:pt idx="2">
                  <c:v>2018</c:v>
                </c:pt>
                <c:pt idx="3">
                  <c:v>2019</c:v>
                </c:pt>
              </c:numCache>
            </c:numRef>
          </c:cat>
          <c:val>
            <c:numRef>
              <c:f>ken!#REF!</c:f>
              <c:numCache>
                <c:formatCode>General</c:formatCode>
                <c:ptCount val="1"/>
                <c:pt idx="0">
                  <c:v>1</c:v>
                </c:pt>
              </c:numCache>
            </c:numRef>
          </c:val>
        </c:ser>
        <c:dLbls>
          <c:showLegendKey val="0"/>
          <c:showVal val="1"/>
          <c:showCatName val="0"/>
          <c:showSerName val="0"/>
          <c:showPercent val="0"/>
          <c:showBubbleSize val="0"/>
        </c:dLbls>
        <c:gapWidth val="150"/>
        <c:axId val="2119872928"/>
        <c:axId val="2119880544"/>
      </c:barChart>
      <c:catAx>
        <c:axId val="21198729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nl-NL"/>
          </a:p>
        </c:txPr>
        <c:crossAx val="2119880544"/>
        <c:crosses val="autoZero"/>
        <c:auto val="1"/>
        <c:lblAlgn val="ctr"/>
        <c:lblOffset val="100"/>
        <c:tickLblSkip val="1"/>
        <c:tickMarkSkip val="1"/>
        <c:noMultiLvlLbl val="0"/>
      </c:catAx>
      <c:valAx>
        <c:axId val="211988054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nl-NL"/>
          </a:p>
        </c:txPr>
        <c:crossAx val="2119872928"/>
        <c:crosses val="autoZero"/>
        <c:crossBetween val="between"/>
      </c:valAx>
      <c:spPr>
        <a:gradFill rotWithShape="0">
          <a:gsLst>
            <a:gs pos="0">
              <a:srgbClr val="FFFFFF"/>
            </a:gs>
            <a:gs pos="100000">
              <a:srgbClr val="C0C0C0"/>
            </a:gs>
          </a:gsLst>
          <a:lin ang="5400000" scaled="1"/>
        </a:gra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nl-NL"/>
    </a:p>
  </c:txPr>
  <c:printSettings>
    <c:headerFooter alignWithMargins="0"/>
    <c:pageMargins b="1" l="0.75000000000000921" r="0.75000000000000921"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nl-NL"/>
              <a:t>Investeringen </a:t>
            </a:r>
          </a:p>
        </c:rich>
      </c:tx>
      <c:layout>
        <c:manualLayout>
          <c:xMode val="edge"/>
          <c:yMode val="edge"/>
          <c:x val="0.39285714285714624"/>
          <c:y val="3.5608308605341282E-2"/>
        </c:manualLayout>
      </c:layout>
      <c:overlay val="0"/>
      <c:spPr>
        <a:noFill/>
        <a:ln w="25400">
          <a:noFill/>
        </a:ln>
      </c:spPr>
    </c:title>
    <c:autoTitleDeleted val="0"/>
    <c:plotArea>
      <c:layout>
        <c:manualLayout>
          <c:layoutTarget val="inner"/>
          <c:xMode val="edge"/>
          <c:yMode val="edge"/>
          <c:x val="0.16951889700173267"/>
          <c:y val="0.25364014078849867"/>
          <c:w val="0.78271688245243498"/>
          <c:h val="0.54700705061616761"/>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025"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act!$F$8:$J$8</c:f>
              <c:numCache>
                <c:formatCode>General</c:formatCode>
                <c:ptCount val="5"/>
                <c:pt idx="0">
                  <c:v>2015</c:v>
                </c:pt>
                <c:pt idx="1">
                  <c:v>2016</c:v>
                </c:pt>
                <c:pt idx="2">
                  <c:v>2017</c:v>
                </c:pt>
                <c:pt idx="3">
                  <c:v>2018</c:v>
                </c:pt>
                <c:pt idx="4">
                  <c:v>2019</c:v>
                </c:pt>
              </c:numCache>
            </c:numRef>
          </c:cat>
          <c:val>
            <c:numRef>
              <c:f>act!$F$29:$J$29</c:f>
              <c:numCache>
                <c:formatCode>_-"€"\ * #,##0_-;_-"€"\ * #,##0\-;_-"€"\ * "-"_-;_-@_-</c:formatCode>
                <c:ptCount val="5"/>
                <c:pt idx="0">
                  <c:v>0</c:v>
                </c:pt>
                <c:pt idx="1">
                  <c:v>0</c:v>
                </c:pt>
                <c:pt idx="2">
                  <c:v>0</c:v>
                </c:pt>
                <c:pt idx="3">
                  <c:v>0</c:v>
                </c:pt>
                <c:pt idx="4">
                  <c:v>0</c:v>
                </c:pt>
              </c:numCache>
            </c:numRef>
          </c:val>
        </c:ser>
        <c:dLbls>
          <c:showLegendKey val="0"/>
          <c:showVal val="1"/>
          <c:showCatName val="0"/>
          <c:showSerName val="0"/>
          <c:showPercent val="0"/>
          <c:showBubbleSize val="0"/>
        </c:dLbls>
        <c:gapWidth val="150"/>
        <c:axId val="2119883264"/>
        <c:axId val="2119868032"/>
      </c:barChart>
      <c:catAx>
        <c:axId val="21198832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nl-NL"/>
          </a:p>
        </c:txPr>
        <c:crossAx val="2119868032"/>
        <c:crosses val="autoZero"/>
        <c:auto val="1"/>
        <c:lblAlgn val="ctr"/>
        <c:lblOffset val="100"/>
        <c:tickLblSkip val="1"/>
        <c:tickMarkSkip val="2"/>
        <c:noMultiLvlLbl val="0"/>
      </c:catAx>
      <c:valAx>
        <c:axId val="2119868032"/>
        <c:scaling>
          <c:orientation val="minMax"/>
        </c:scaling>
        <c:delete val="0"/>
        <c:axPos val="l"/>
        <c:numFmt formatCode="_-&quot;€&quot;\ * #,##0_-;_-&quot;€&quot;\ * #,##0\-;_-&quot;€&quot;\ * &quot;-&quot;_-;_-@_-" sourceLinked="1"/>
        <c:majorTickMark val="out"/>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nl-NL"/>
          </a:p>
        </c:txPr>
        <c:crossAx val="2119883264"/>
        <c:crosses val="autoZero"/>
        <c:crossBetween val="between"/>
      </c:valAx>
      <c:spPr>
        <a:gradFill rotWithShape="0">
          <a:gsLst>
            <a:gs pos="0">
              <a:srgbClr val="FFFFFF"/>
            </a:gs>
            <a:gs pos="100000">
              <a:srgbClr val="C0C0C0"/>
            </a:gs>
          </a:gsLst>
          <a:lin ang="5400000" scaled="1"/>
        </a:gra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nl-NL"/>
    </a:p>
  </c:txPr>
  <c:printSettings>
    <c:headerFooter alignWithMargins="0"/>
    <c:pageMargins b="1" l="0.75000000000000921" r="0.75000000000000921" t="1" header="0.5" footer="0.5"/>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nl-NL"/>
              <a:t>Totale lasten per leerling
</a:t>
            </a:r>
          </a:p>
        </c:rich>
      </c:tx>
      <c:layout>
        <c:manualLayout>
          <c:xMode val="edge"/>
          <c:yMode val="edge"/>
          <c:x val="0.31027327466419641"/>
          <c:y val="3.5714285714285712E-2"/>
        </c:manualLayout>
      </c:layout>
      <c:overlay val="0"/>
      <c:spPr>
        <a:noFill/>
        <a:ln w="25400">
          <a:noFill/>
        </a:ln>
      </c:spPr>
    </c:title>
    <c:autoTitleDeleted val="0"/>
    <c:plotArea>
      <c:layout>
        <c:manualLayout>
          <c:layoutTarget val="inner"/>
          <c:xMode val="edge"/>
          <c:yMode val="edge"/>
          <c:x val="0.13865546218487396"/>
          <c:y val="0.29761904761905073"/>
          <c:w val="0.82352941176470584"/>
          <c:h val="0.49702380952381375"/>
        </c:manualLayout>
      </c:layout>
      <c:barChart>
        <c:barDir val="col"/>
        <c:grouping val="clustered"/>
        <c:varyColors val="0"/>
        <c:ser>
          <c:idx val="0"/>
          <c:order val="0"/>
          <c:spPr>
            <a:solidFill>
              <a:srgbClr val="FF0000"/>
            </a:solidFill>
            <a:ln w="12700">
              <a:solidFill>
                <a:srgbClr val="000000"/>
              </a:solidFill>
              <a:prstDash val="solid"/>
            </a:ln>
          </c:spPr>
          <c:invertIfNegative val="0"/>
          <c:dLbls>
            <c:spPr>
              <a:noFill/>
              <a:ln w="25400">
                <a:noFill/>
              </a:ln>
            </c:spPr>
            <c:txPr>
              <a:bodyPr/>
              <a:lstStyle/>
              <a:p>
                <a:pPr>
                  <a:defRPr sz="1075"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begr!$G$8:$J$8</c:f>
              <c:numCache>
                <c:formatCode>General</c:formatCode>
                <c:ptCount val="4"/>
                <c:pt idx="0">
                  <c:v>2016</c:v>
                </c:pt>
                <c:pt idx="1">
                  <c:v>2017</c:v>
                </c:pt>
                <c:pt idx="2">
                  <c:v>2018</c:v>
                </c:pt>
                <c:pt idx="3">
                  <c:v>2019</c:v>
                </c:pt>
              </c:numCache>
            </c:numRef>
          </c:cat>
          <c:val>
            <c:numRef>
              <c:f>ken!#REF!</c:f>
              <c:numCache>
                <c:formatCode>General</c:formatCode>
                <c:ptCount val="1"/>
                <c:pt idx="0">
                  <c:v>1</c:v>
                </c:pt>
              </c:numCache>
            </c:numRef>
          </c:val>
        </c:ser>
        <c:dLbls>
          <c:showLegendKey val="0"/>
          <c:showVal val="1"/>
          <c:showCatName val="0"/>
          <c:showSerName val="0"/>
          <c:showPercent val="0"/>
          <c:showBubbleSize val="0"/>
        </c:dLbls>
        <c:gapWidth val="150"/>
        <c:axId val="2119871296"/>
        <c:axId val="2119875104"/>
      </c:barChart>
      <c:catAx>
        <c:axId val="21198712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nl-NL"/>
          </a:p>
        </c:txPr>
        <c:crossAx val="2119875104"/>
        <c:crosses val="autoZero"/>
        <c:auto val="1"/>
        <c:lblAlgn val="ctr"/>
        <c:lblOffset val="100"/>
        <c:tickLblSkip val="1"/>
        <c:tickMarkSkip val="1"/>
        <c:noMultiLvlLbl val="0"/>
      </c:catAx>
      <c:valAx>
        <c:axId val="2119875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nl-NL"/>
          </a:p>
        </c:txPr>
        <c:crossAx val="2119871296"/>
        <c:crosses val="autoZero"/>
        <c:crossBetween val="between"/>
      </c:valAx>
      <c:spPr>
        <a:gradFill rotWithShape="0">
          <a:gsLst>
            <a:gs pos="0">
              <a:srgbClr val="FFFFFF"/>
            </a:gs>
            <a:gs pos="100000">
              <a:srgbClr val="C0C0C0"/>
            </a:gs>
          </a:gsLst>
          <a:lin ang="5400000" scaled="1"/>
        </a:gra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nl-NL"/>
    </a:p>
  </c:txPr>
  <c:printSettings>
    <c:headerFooter alignWithMargins="0"/>
    <c:pageMargins b="1" l="0.75000000000000921" r="0.75000000000000921" t="1" header="0.5" footer="0.5"/>
    <c:pageSetup paperSize="9" orientation="landscape"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nl-NL"/>
              <a:t>Kapitalisatiefactor</a:t>
            </a:r>
          </a:p>
        </c:rich>
      </c:tx>
      <c:layout>
        <c:manualLayout>
          <c:xMode val="edge"/>
          <c:yMode val="edge"/>
          <c:x val="0.33193284383756377"/>
          <c:y val="3.5502958579881658E-2"/>
        </c:manualLayout>
      </c:layout>
      <c:overlay val="0"/>
      <c:spPr>
        <a:noFill/>
        <a:ln w="25400">
          <a:noFill/>
        </a:ln>
      </c:spPr>
    </c:title>
    <c:autoTitleDeleted val="0"/>
    <c:plotArea>
      <c:layout>
        <c:manualLayout>
          <c:layoutTarget val="inner"/>
          <c:xMode val="edge"/>
          <c:yMode val="edge"/>
          <c:x val="8.8607594936708861E-2"/>
          <c:y val="0.24852071005917159"/>
          <c:w val="0.87341772151898733"/>
          <c:h val="0.48816568047337278"/>
        </c:manualLayout>
      </c:layout>
      <c:barChart>
        <c:barDir val="col"/>
        <c:grouping val="clustered"/>
        <c:varyColors val="0"/>
        <c:ser>
          <c:idx val="0"/>
          <c:order val="0"/>
          <c:spPr>
            <a:solidFill>
              <a:srgbClr val="FF99CC"/>
            </a:solidFill>
            <a:ln w="12700">
              <a:solidFill>
                <a:srgbClr val="000000"/>
              </a:solidFill>
              <a:prstDash val="solid"/>
            </a:ln>
          </c:spPr>
          <c:invertIfNegative val="0"/>
          <c:dLbls>
            <c:spPr>
              <a:noFill/>
              <a:ln w="25400">
                <a:noFill/>
              </a:ln>
            </c:spPr>
            <c:txPr>
              <a:bodyPr/>
              <a:lstStyle/>
              <a:p>
                <a:pPr>
                  <a:defRPr sz="1075"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ken!$F$8:$I$8</c:f>
              <c:numCache>
                <c:formatCode>General</c:formatCode>
                <c:ptCount val="4"/>
                <c:pt idx="0">
                  <c:v>2016</c:v>
                </c:pt>
                <c:pt idx="1">
                  <c:v>2017</c:v>
                </c:pt>
                <c:pt idx="2">
                  <c:v>2018</c:v>
                </c:pt>
                <c:pt idx="3">
                  <c:v>2019</c:v>
                </c:pt>
              </c:numCache>
            </c:numRef>
          </c:cat>
          <c:val>
            <c:numRef>
              <c:f>ken!#REF!</c:f>
              <c:numCache>
                <c:formatCode>General</c:formatCode>
                <c:ptCount val="1"/>
                <c:pt idx="0">
                  <c:v>1</c:v>
                </c:pt>
              </c:numCache>
            </c:numRef>
          </c:val>
        </c:ser>
        <c:dLbls>
          <c:showLegendKey val="0"/>
          <c:showVal val="1"/>
          <c:showCatName val="0"/>
          <c:showSerName val="0"/>
          <c:showPercent val="0"/>
          <c:showBubbleSize val="0"/>
        </c:dLbls>
        <c:gapWidth val="150"/>
        <c:axId val="370108944"/>
        <c:axId val="370108400"/>
      </c:barChart>
      <c:catAx>
        <c:axId val="3701089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nl-NL"/>
          </a:p>
        </c:txPr>
        <c:crossAx val="370108400"/>
        <c:crosses val="autoZero"/>
        <c:auto val="1"/>
        <c:lblAlgn val="ctr"/>
        <c:lblOffset val="100"/>
        <c:tickLblSkip val="1"/>
        <c:tickMarkSkip val="1"/>
        <c:noMultiLvlLbl val="0"/>
      </c:catAx>
      <c:valAx>
        <c:axId val="37010840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nl-NL"/>
          </a:p>
        </c:txPr>
        <c:crossAx val="370108944"/>
        <c:crosses val="autoZero"/>
        <c:crossBetween val="between"/>
      </c:valAx>
      <c:spPr>
        <a:gradFill rotWithShape="0">
          <a:gsLst>
            <a:gs pos="0">
              <a:srgbClr val="FFFFFF"/>
            </a:gs>
            <a:gs pos="100000">
              <a:srgbClr val="C0C0C0"/>
            </a:gs>
          </a:gsLst>
          <a:lin ang="5400000" scaled="1"/>
        </a:gra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nl-NL"/>
    </a:p>
  </c:txPr>
  <c:printSettings>
    <c:headerFooter alignWithMargins="0"/>
    <c:pageMargins b="1" l="0.75000000000000944" r="0.75000000000000944"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nl-NL"/>
              <a:t>Budget Personeel</a:t>
            </a:r>
          </a:p>
        </c:rich>
      </c:tx>
      <c:layout>
        <c:manualLayout>
          <c:xMode val="edge"/>
          <c:yMode val="edge"/>
          <c:x val="0.35836954929990539"/>
          <c:y val="3.5190615835777136E-2"/>
        </c:manualLayout>
      </c:layout>
      <c:overlay val="0"/>
      <c:spPr>
        <a:noFill/>
        <a:ln w="25400">
          <a:noFill/>
        </a:ln>
      </c:spPr>
    </c:title>
    <c:autoTitleDeleted val="0"/>
    <c:plotArea>
      <c:layout>
        <c:manualLayout>
          <c:layoutTarget val="inner"/>
          <c:xMode val="edge"/>
          <c:yMode val="edge"/>
          <c:x val="0.19527896995708155"/>
          <c:y val="0.25219941348973579"/>
          <c:w val="0.76824034334763969"/>
          <c:h val="0.48387096774194116"/>
        </c:manualLayout>
      </c:layout>
      <c:barChart>
        <c:barDir val="col"/>
        <c:grouping val="clustered"/>
        <c:varyColors val="0"/>
        <c:ser>
          <c:idx val="0"/>
          <c:order val="0"/>
          <c:tx>
            <c:v>baten</c:v>
          </c:tx>
          <c:spPr>
            <a:solidFill>
              <a:srgbClr val="CCCCFF"/>
            </a:solidFill>
            <a:ln w="12700">
              <a:solidFill>
                <a:srgbClr val="000000"/>
              </a:solidFill>
              <a:prstDash val="solid"/>
            </a:ln>
          </c:spPr>
          <c:invertIfNegative val="0"/>
          <c:cat>
            <c:numRef>
              <c:f>begr!$G$8:$J$8</c:f>
              <c:numCache>
                <c:formatCode>General</c:formatCode>
                <c:ptCount val="4"/>
                <c:pt idx="0">
                  <c:v>2016</c:v>
                </c:pt>
                <c:pt idx="1">
                  <c:v>2017</c:v>
                </c:pt>
                <c:pt idx="2">
                  <c:v>2018</c:v>
                </c:pt>
                <c:pt idx="3">
                  <c:v>2019</c:v>
                </c:pt>
              </c:numCache>
            </c:numRef>
          </c:cat>
          <c:val>
            <c:numRef>
              <c:f>pers!$I$166:$L$166</c:f>
              <c:numCache>
                <c:formatCode>_-"€"\ * #,##0_-;_-"€"\ * #,##0\-;_-"€"\ * "-"_-;_-@_-</c:formatCode>
                <c:ptCount val="4"/>
                <c:pt idx="0">
                  <c:v>870370.23000000021</c:v>
                </c:pt>
                <c:pt idx="1">
                  <c:v>874056.69666666677</c:v>
                </c:pt>
                <c:pt idx="2">
                  <c:v>882904.21666666679</c:v>
                </c:pt>
                <c:pt idx="3">
                  <c:v>891751.73666666681</c:v>
                </c:pt>
              </c:numCache>
            </c:numRef>
          </c:val>
        </c:ser>
        <c:ser>
          <c:idx val="1"/>
          <c:order val="1"/>
          <c:tx>
            <c:v>lasten</c:v>
          </c:tx>
          <c:spPr>
            <a:solidFill>
              <a:srgbClr val="FFCC99"/>
            </a:solidFill>
            <a:ln w="12700">
              <a:solidFill>
                <a:srgbClr val="000000"/>
              </a:solidFill>
              <a:prstDash val="solid"/>
            </a:ln>
          </c:spPr>
          <c:invertIfNegative val="0"/>
          <c:cat>
            <c:numRef>
              <c:f>begr!$G$8:$J$8</c:f>
              <c:numCache>
                <c:formatCode>General</c:formatCode>
                <c:ptCount val="4"/>
                <c:pt idx="0">
                  <c:v>2016</c:v>
                </c:pt>
                <c:pt idx="1">
                  <c:v>2017</c:v>
                </c:pt>
                <c:pt idx="2">
                  <c:v>2018</c:v>
                </c:pt>
                <c:pt idx="3">
                  <c:v>2019</c:v>
                </c:pt>
              </c:numCache>
            </c:numRef>
          </c:cat>
          <c:val>
            <c:numRef>
              <c:f>pers!$I$167:$L$167</c:f>
              <c:numCache>
                <c:formatCode>_-"€"\ * #,##0_-;_-"€"\ * #,##0\-;_-"€"\ * "-"_-;_-@_-</c:formatCode>
                <c:ptCount val="4"/>
                <c:pt idx="0">
                  <c:v>202639.53761301993</c:v>
                </c:pt>
                <c:pt idx="1">
                  <c:v>208628.33439421339</c:v>
                </c:pt>
                <c:pt idx="2">
                  <c:v>214680.40159132009</c:v>
                </c:pt>
                <c:pt idx="3">
                  <c:v>220669.83128390601</c:v>
                </c:pt>
              </c:numCache>
            </c:numRef>
          </c:val>
        </c:ser>
        <c:dLbls>
          <c:showLegendKey val="0"/>
          <c:showVal val="0"/>
          <c:showCatName val="0"/>
          <c:showSerName val="0"/>
          <c:showPercent val="0"/>
          <c:showBubbleSize val="0"/>
        </c:dLbls>
        <c:gapWidth val="150"/>
        <c:axId val="277478848"/>
        <c:axId val="277471776"/>
      </c:barChart>
      <c:catAx>
        <c:axId val="2774788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nl-NL"/>
          </a:p>
        </c:txPr>
        <c:crossAx val="277471776"/>
        <c:crosses val="autoZero"/>
        <c:auto val="1"/>
        <c:lblAlgn val="ctr"/>
        <c:lblOffset val="100"/>
        <c:tickLblSkip val="1"/>
        <c:tickMarkSkip val="1"/>
        <c:noMultiLvlLbl val="0"/>
      </c:catAx>
      <c:valAx>
        <c:axId val="277471776"/>
        <c:scaling>
          <c:orientation val="minMax"/>
        </c:scaling>
        <c:delete val="0"/>
        <c:axPos val="l"/>
        <c:numFmt formatCode="_-&quot;€&quot;\ * #,##0_-;_-&quot;€&quot;\ * #,##0\-;_-&quot;€&quot;\ * &quot;-&quot;_-;_-@_-"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nl-NL"/>
          </a:p>
        </c:txPr>
        <c:crossAx val="277478848"/>
        <c:crosses val="autoZero"/>
        <c:crossBetween val="between"/>
      </c:valAx>
      <c:spPr>
        <a:gradFill rotWithShape="0">
          <a:gsLst>
            <a:gs pos="0">
              <a:srgbClr val="FFFFFF"/>
            </a:gs>
            <a:gs pos="100000">
              <a:srgbClr val="C0C0C0"/>
            </a:gs>
          </a:gsLst>
          <a:lin ang="5400000" scaled="1"/>
        </a:gradFill>
        <a:ln w="12700">
          <a:solidFill>
            <a:srgbClr val="808080"/>
          </a:solidFill>
          <a:prstDash val="solid"/>
        </a:ln>
      </c:spPr>
    </c:plotArea>
    <c:legend>
      <c:legendPos val="r"/>
      <c:layout>
        <c:manualLayout>
          <c:xMode val="edge"/>
          <c:yMode val="edge"/>
          <c:x val="0.47424937762607999"/>
          <c:y val="0.89442815249266849"/>
          <c:w val="0.24678134117355499"/>
          <c:h val="7.3313782991202933E-2"/>
        </c:manualLayout>
      </c:layout>
      <c:overlay val="0"/>
      <c:spPr>
        <a:solidFill>
          <a:srgbClr val="FFFFFF"/>
        </a:solidFill>
        <a:ln w="3175">
          <a:solidFill>
            <a:srgbClr val="000000"/>
          </a:solidFill>
          <a:prstDash val="solid"/>
        </a:ln>
      </c:spPr>
      <c:txPr>
        <a:bodyPr/>
        <a:lstStyle/>
        <a:p>
          <a:pPr>
            <a:defRPr sz="885"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nl-NL"/>
    </a:p>
  </c:txPr>
  <c:printSettings>
    <c:headerFooter alignWithMargins="0"/>
    <c:pageMargins b="1" l="0.75000000000000921" r="0.75000000000000921"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nl-NL"/>
              <a:t>Budget Materieel</a:t>
            </a:r>
          </a:p>
        </c:rich>
      </c:tx>
      <c:layout>
        <c:manualLayout>
          <c:xMode val="edge"/>
          <c:yMode val="edge"/>
          <c:x val="0.36842149468158586"/>
          <c:y val="3.5294117647058851E-2"/>
        </c:manualLayout>
      </c:layout>
      <c:overlay val="0"/>
      <c:spPr>
        <a:noFill/>
        <a:ln w="25400">
          <a:noFill/>
        </a:ln>
      </c:spPr>
    </c:title>
    <c:autoTitleDeleted val="0"/>
    <c:plotArea>
      <c:layout>
        <c:manualLayout>
          <c:layoutTarget val="inner"/>
          <c:xMode val="edge"/>
          <c:yMode val="edge"/>
          <c:x val="0.18881950588541699"/>
          <c:y val="0.25486398424483453"/>
          <c:w val="0.76367000158101861"/>
          <c:h val="0.47635292293379172"/>
        </c:manualLayout>
      </c:layout>
      <c:barChart>
        <c:barDir val="col"/>
        <c:grouping val="clustered"/>
        <c:varyColors val="0"/>
        <c:ser>
          <c:idx val="0"/>
          <c:order val="0"/>
          <c:tx>
            <c:v>baten</c:v>
          </c:tx>
          <c:spPr>
            <a:solidFill>
              <a:srgbClr val="CCCCFF"/>
            </a:solidFill>
            <a:ln w="12700">
              <a:solidFill>
                <a:srgbClr val="000000"/>
              </a:solidFill>
              <a:prstDash val="solid"/>
            </a:ln>
          </c:spPr>
          <c:invertIfNegative val="0"/>
          <c:cat>
            <c:numRef>
              <c:f>begr!$G$8:$J$8</c:f>
              <c:numCache>
                <c:formatCode>General</c:formatCode>
                <c:ptCount val="4"/>
                <c:pt idx="0">
                  <c:v>2016</c:v>
                </c:pt>
                <c:pt idx="1">
                  <c:v>2017</c:v>
                </c:pt>
                <c:pt idx="2">
                  <c:v>2018</c:v>
                </c:pt>
                <c:pt idx="3">
                  <c:v>2019</c:v>
                </c:pt>
              </c:numCache>
            </c:numRef>
          </c:cat>
          <c:val>
            <c:numRef>
              <c:f>mat!$I$81:$L$81</c:f>
              <c:numCache>
                <c:formatCode>_-"€"\ * #,##0_-;_-"€"\ * #,##0\-;_-"€"\ * "-"??_-;_-@_-</c:formatCode>
                <c:ptCount val="4"/>
                <c:pt idx="0">
                  <c:v>159910.25</c:v>
                </c:pt>
                <c:pt idx="1">
                  <c:v>159910.25</c:v>
                </c:pt>
                <c:pt idx="2">
                  <c:v>159910.25</c:v>
                </c:pt>
                <c:pt idx="3">
                  <c:v>159910.25</c:v>
                </c:pt>
              </c:numCache>
            </c:numRef>
          </c:val>
        </c:ser>
        <c:ser>
          <c:idx val="1"/>
          <c:order val="1"/>
          <c:tx>
            <c:v>lasten</c:v>
          </c:tx>
          <c:spPr>
            <a:solidFill>
              <a:srgbClr val="FFCC99"/>
            </a:solidFill>
            <a:ln w="12700">
              <a:solidFill>
                <a:srgbClr val="000000"/>
              </a:solidFill>
              <a:prstDash val="solid"/>
            </a:ln>
          </c:spPr>
          <c:invertIfNegative val="0"/>
          <c:val>
            <c:numRef>
              <c:f>mat!$H$162:$K$162</c:f>
              <c:numCache>
                <c:formatCode>_-"€"\ * #,##0_-;_-"€"\ * #,##0\-;_-"€"\ * "-"??_-;_-@_-</c:formatCode>
                <c:ptCount val="4"/>
                <c:pt idx="0">
                  <c:v>0</c:v>
                </c:pt>
                <c:pt idx="1">
                  <c:v>0</c:v>
                </c:pt>
                <c:pt idx="2">
                  <c:v>0</c:v>
                </c:pt>
                <c:pt idx="3">
                  <c:v>0</c:v>
                </c:pt>
              </c:numCache>
            </c:numRef>
          </c:val>
        </c:ser>
        <c:dLbls>
          <c:showLegendKey val="0"/>
          <c:showVal val="0"/>
          <c:showCatName val="0"/>
          <c:showSerName val="0"/>
          <c:showPercent val="0"/>
          <c:showBubbleSize val="0"/>
        </c:dLbls>
        <c:gapWidth val="150"/>
        <c:axId val="277475040"/>
        <c:axId val="277476672"/>
      </c:barChart>
      <c:catAx>
        <c:axId val="2774750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nl-NL"/>
          </a:p>
        </c:txPr>
        <c:crossAx val="277476672"/>
        <c:crosses val="autoZero"/>
        <c:auto val="1"/>
        <c:lblAlgn val="ctr"/>
        <c:lblOffset val="100"/>
        <c:tickLblSkip val="1"/>
        <c:tickMarkSkip val="1"/>
        <c:noMultiLvlLbl val="0"/>
      </c:catAx>
      <c:valAx>
        <c:axId val="277476672"/>
        <c:scaling>
          <c:orientation val="minMax"/>
        </c:scaling>
        <c:delete val="0"/>
        <c:axPos val="l"/>
        <c:numFmt formatCode="_-&quot;€&quot;\ * #,##0_-;_-&quot;€&quot;\ * #,##0\-;_-&quot;€&quot;\ * &quot;-&quot;??_-;_-@_-" sourceLinked="1"/>
        <c:majorTickMark val="out"/>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nl-NL"/>
          </a:p>
        </c:txPr>
        <c:crossAx val="277475040"/>
        <c:crosses val="autoZero"/>
        <c:crossBetween val="between"/>
      </c:valAx>
      <c:spPr>
        <a:gradFill rotWithShape="0">
          <a:gsLst>
            <a:gs pos="0">
              <a:srgbClr val="FFFFFF"/>
            </a:gs>
            <a:gs pos="100000">
              <a:srgbClr val="C0C0C0"/>
            </a:gs>
          </a:gsLst>
          <a:lin ang="5400000" scaled="1"/>
        </a:gradFill>
        <a:ln w="12700">
          <a:solidFill>
            <a:srgbClr val="808080"/>
          </a:solidFill>
          <a:prstDash val="solid"/>
        </a:ln>
      </c:spPr>
    </c:plotArea>
    <c:legend>
      <c:legendPos val="r"/>
      <c:layout>
        <c:manualLayout>
          <c:xMode val="edge"/>
          <c:yMode val="edge"/>
          <c:x val="0.46736886310264786"/>
          <c:y val="0.8794129998456004"/>
          <c:w val="0.24210548418290123"/>
          <c:h val="7.3529411764706079E-2"/>
        </c:manualLayout>
      </c:layout>
      <c:overlay val="0"/>
      <c:spPr>
        <a:solidFill>
          <a:srgbClr val="FFFFFF"/>
        </a:solidFill>
        <a:ln w="3175">
          <a:solidFill>
            <a:srgbClr val="000000"/>
          </a:solidFill>
          <a:prstDash val="solid"/>
        </a:ln>
      </c:spPr>
      <c:txPr>
        <a:bodyPr/>
        <a:lstStyle/>
        <a:p>
          <a:pPr>
            <a:defRPr sz="905"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nl-NL"/>
    </a:p>
  </c:txPr>
  <c:printSettings>
    <c:headerFooter alignWithMargins="0"/>
    <c:pageMargins b="1" l="0.75000000000000921" r="0.75000000000000921"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nl-NL"/>
              <a:t>Totale baten/ lasten</a:t>
            </a:r>
          </a:p>
        </c:rich>
      </c:tx>
      <c:layout>
        <c:manualLayout>
          <c:xMode val="edge"/>
          <c:yMode val="edge"/>
          <c:x val="0.34745807197829548"/>
          <c:y val="3.5294117647058851E-2"/>
        </c:manualLayout>
      </c:layout>
      <c:overlay val="0"/>
      <c:spPr>
        <a:noFill/>
        <a:ln w="25400">
          <a:noFill/>
        </a:ln>
      </c:spPr>
    </c:title>
    <c:autoTitleDeleted val="0"/>
    <c:plotArea>
      <c:layout>
        <c:manualLayout>
          <c:layoutTarget val="inner"/>
          <c:xMode val="edge"/>
          <c:yMode val="edge"/>
          <c:x val="0.22559876543315788"/>
          <c:y val="0.25486398424483453"/>
          <c:w val="0.74426508596172658"/>
          <c:h val="0.49455749323699238"/>
        </c:manualLayout>
      </c:layout>
      <c:barChart>
        <c:barDir val="col"/>
        <c:grouping val="clustered"/>
        <c:varyColors val="0"/>
        <c:ser>
          <c:idx val="0"/>
          <c:order val="0"/>
          <c:tx>
            <c:v>baten</c:v>
          </c:tx>
          <c:spPr>
            <a:solidFill>
              <a:srgbClr val="CCCCFF"/>
            </a:solidFill>
            <a:ln w="12700">
              <a:solidFill>
                <a:srgbClr val="000000"/>
              </a:solidFill>
              <a:prstDash val="solid"/>
            </a:ln>
          </c:spPr>
          <c:invertIfNegative val="0"/>
          <c:cat>
            <c:numRef>
              <c:f>begr!$G$8:$J$8</c:f>
              <c:numCache>
                <c:formatCode>General</c:formatCode>
                <c:ptCount val="4"/>
                <c:pt idx="0">
                  <c:v>2016</c:v>
                </c:pt>
                <c:pt idx="1">
                  <c:v>2017</c:v>
                </c:pt>
                <c:pt idx="2">
                  <c:v>2018</c:v>
                </c:pt>
                <c:pt idx="3">
                  <c:v>2019</c:v>
                </c:pt>
              </c:numCache>
            </c:numRef>
          </c:cat>
          <c:val>
            <c:numRef>
              <c:f>begr!$G$19:$J$19</c:f>
              <c:numCache>
                <c:formatCode>_-"€"\ * #,##0_-;_-"€"\ * #,##0\-;_-"€"\ * "-"_-;_-@_-</c:formatCode>
                <c:ptCount val="4"/>
                <c:pt idx="0">
                  <c:v>1030280.4800000002</c:v>
                </c:pt>
                <c:pt idx="1">
                  <c:v>1033966.9466666668</c:v>
                </c:pt>
                <c:pt idx="2">
                  <c:v>1042814.4666666668</c:v>
                </c:pt>
                <c:pt idx="3">
                  <c:v>1051661.9866666668</c:v>
                </c:pt>
              </c:numCache>
            </c:numRef>
          </c:val>
        </c:ser>
        <c:ser>
          <c:idx val="1"/>
          <c:order val="1"/>
          <c:tx>
            <c:v>lasten</c:v>
          </c:tx>
          <c:spPr>
            <a:solidFill>
              <a:srgbClr val="FFCC99"/>
            </a:solidFill>
            <a:ln w="12700">
              <a:solidFill>
                <a:srgbClr val="000000"/>
              </a:solidFill>
              <a:prstDash val="solid"/>
            </a:ln>
          </c:spPr>
          <c:invertIfNegative val="0"/>
          <c:cat>
            <c:numRef>
              <c:f>begr!$G$8:$J$8</c:f>
              <c:numCache>
                <c:formatCode>General</c:formatCode>
                <c:ptCount val="4"/>
                <c:pt idx="0">
                  <c:v>2016</c:v>
                </c:pt>
                <c:pt idx="1">
                  <c:v>2017</c:v>
                </c:pt>
                <c:pt idx="2">
                  <c:v>2018</c:v>
                </c:pt>
                <c:pt idx="3">
                  <c:v>2019</c:v>
                </c:pt>
              </c:numCache>
            </c:numRef>
          </c:cat>
          <c:val>
            <c:numRef>
              <c:f>begr!$G$27:$J$27</c:f>
              <c:numCache>
                <c:formatCode>_-"€"\ * #,##0_-;_-"€"\ * #,##0\-;_-"€"\ * "-"_-;_-@_-</c:formatCode>
                <c:ptCount val="4"/>
                <c:pt idx="0">
                  <c:v>202639.53761301993</c:v>
                </c:pt>
                <c:pt idx="1">
                  <c:v>208628.33439421339</c:v>
                </c:pt>
                <c:pt idx="2">
                  <c:v>214680.40159132009</c:v>
                </c:pt>
                <c:pt idx="3">
                  <c:v>220669.83128390601</c:v>
                </c:pt>
              </c:numCache>
            </c:numRef>
          </c:val>
        </c:ser>
        <c:dLbls>
          <c:showLegendKey val="0"/>
          <c:showVal val="0"/>
          <c:showCatName val="0"/>
          <c:showSerName val="0"/>
          <c:showPercent val="0"/>
          <c:showBubbleSize val="0"/>
        </c:dLbls>
        <c:gapWidth val="150"/>
        <c:axId val="277470144"/>
        <c:axId val="277473408"/>
      </c:barChart>
      <c:catAx>
        <c:axId val="2774701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nl-NL"/>
          </a:p>
        </c:txPr>
        <c:crossAx val="277473408"/>
        <c:crosses val="autoZero"/>
        <c:auto val="1"/>
        <c:lblAlgn val="ctr"/>
        <c:lblOffset val="100"/>
        <c:tickLblSkip val="1"/>
        <c:tickMarkSkip val="1"/>
        <c:noMultiLvlLbl val="0"/>
      </c:catAx>
      <c:valAx>
        <c:axId val="277473408"/>
        <c:scaling>
          <c:orientation val="minMax"/>
        </c:scaling>
        <c:delete val="0"/>
        <c:axPos val="l"/>
        <c:numFmt formatCode="_-&quot;€&quot;\ * #,##0_-;_-&quot;€&quot;\ * #,##0\-;_-&quot;€&quot;\ * &quot;-&quot;_-;_-@_-"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nl-NL"/>
          </a:p>
        </c:txPr>
        <c:crossAx val="277470144"/>
        <c:crosses val="autoZero"/>
        <c:crossBetween val="between"/>
      </c:valAx>
      <c:spPr>
        <a:gradFill rotWithShape="0">
          <a:gsLst>
            <a:gs pos="0">
              <a:srgbClr val="FFFFFF"/>
            </a:gs>
            <a:gs pos="100000">
              <a:srgbClr val="C0C0C0"/>
            </a:gs>
          </a:gsLst>
          <a:lin ang="5400000" scaled="1"/>
        </a:gradFill>
        <a:ln w="12700">
          <a:solidFill>
            <a:srgbClr val="808080"/>
          </a:solidFill>
          <a:prstDash val="solid"/>
        </a:ln>
      </c:spPr>
    </c:plotArea>
    <c:legend>
      <c:legendPos val="r"/>
      <c:layout>
        <c:manualLayout>
          <c:xMode val="edge"/>
          <c:yMode val="edge"/>
          <c:x val="0.48093264824948045"/>
          <c:y val="0.88529535278678395"/>
          <c:w val="0.24364429022643594"/>
          <c:h val="7.3529411764705954E-2"/>
        </c:manualLayout>
      </c:layout>
      <c:overlay val="0"/>
      <c:spPr>
        <a:solidFill>
          <a:srgbClr val="FFFFFF"/>
        </a:solidFill>
        <a:ln w="3175">
          <a:solidFill>
            <a:srgbClr val="000000"/>
          </a:solidFill>
          <a:prstDash val="solid"/>
        </a:ln>
      </c:spPr>
      <c:txPr>
        <a:bodyPr/>
        <a:lstStyle/>
        <a:p>
          <a:pPr>
            <a:defRPr sz="885"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nl-NL"/>
    </a:p>
  </c:txPr>
  <c:printSettings>
    <c:headerFooter alignWithMargins="0"/>
    <c:pageMargins b="1" l="0.75000000000000921" r="0.75000000000000921" t="1" header="0.5" footer="0.5"/>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nl-NL"/>
              <a:t>Materiële vaste activa</a:t>
            </a:r>
          </a:p>
        </c:rich>
      </c:tx>
      <c:overlay val="0"/>
      <c:spPr>
        <a:noFill/>
        <a:ln w="25400">
          <a:noFill/>
        </a:ln>
      </c:spPr>
    </c:title>
    <c:autoTitleDeleted val="0"/>
    <c:plotArea>
      <c:layout/>
      <c:barChart>
        <c:barDir val="col"/>
        <c:grouping val="clustered"/>
        <c:varyColors val="0"/>
        <c:ser>
          <c:idx val="0"/>
          <c:order val="0"/>
          <c:spPr>
            <a:solidFill>
              <a:srgbClr val="CC99FF"/>
            </a:solidFill>
            <a:ln w="12700">
              <a:solidFill>
                <a:srgbClr val="000000"/>
              </a:solidFill>
              <a:prstDash val="solid"/>
            </a:ln>
          </c:spPr>
          <c:invertIfNegative val="0"/>
          <c:dLbls>
            <c:spPr>
              <a:noFill/>
              <a:ln w="25400">
                <a:noFill/>
              </a:ln>
            </c:spPr>
            <c:txPr>
              <a:bodyPr/>
              <a:lstStyle/>
              <a:p>
                <a:pPr>
                  <a:defRPr sz="300"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begr!$G$8:$J$8</c:f>
              <c:numCache>
                <c:formatCode>General</c:formatCode>
                <c:ptCount val="4"/>
                <c:pt idx="0">
                  <c:v>2016</c:v>
                </c:pt>
                <c:pt idx="1">
                  <c:v>2017</c:v>
                </c:pt>
                <c:pt idx="2">
                  <c:v>2018</c:v>
                </c:pt>
                <c:pt idx="3">
                  <c:v>2019</c:v>
                </c:pt>
              </c:numCache>
            </c:numRef>
          </c:cat>
          <c:val>
            <c:numRef>
              <c:f>bal!$H$17:$K$17</c:f>
              <c:numCache>
                <c:formatCode>_-"€"\ * #,##0_-;_-"€"\ * #,##0\-;_-"€"\ * "-"_-;_-@_-</c:formatCode>
                <c:ptCount val="4"/>
                <c:pt idx="0">
                  <c:v>0</c:v>
                </c:pt>
                <c:pt idx="1">
                  <c:v>0</c:v>
                </c:pt>
                <c:pt idx="2">
                  <c:v>0</c:v>
                </c:pt>
                <c:pt idx="3">
                  <c:v>0</c:v>
                </c:pt>
              </c:numCache>
            </c:numRef>
          </c:val>
        </c:ser>
        <c:dLbls>
          <c:showLegendKey val="0"/>
          <c:showVal val="1"/>
          <c:showCatName val="0"/>
          <c:showSerName val="0"/>
          <c:showPercent val="0"/>
          <c:showBubbleSize val="0"/>
        </c:dLbls>
        <c:gapWidth val="150"/>
        <c:axId val="2036802000"/>
        <c:axId val="2036813424"/>
      </c:barChart>
      <c:catAx>
        <c:axId val="20368020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300" b="0" i="0" u="none" strike="noStrike" baseline="0">
                <a:solidFill>
                  <a:srgbClr val="000000"/>
                </a:solidFill>
                <a:latin typeface="Arial"/>
                <a:ea typeface="Arial"/>
                <a:cs typeface="Arial"/>
              </a:defRPr>
            </a:pPr>
            <a:endParaRPr lang="nl-NL"/>
          </a:p>
        </c:txPr>
        <c:crossAx val="2036813424"/>
        <c:crosses val="autoZero"/>
        <c:auto val="1"/>
        <c:lblAlgn val="ctr"/>
        <c:lblOffset val="100"/>
        <c:tickLblSkip val="1"/>
        <c:tickMarkSkip val="1"/>
        <c:noMultiLvlLbl val="0"/>
      </c:catAx>
      <c:valAx>
        <c:axId val="2036813424"/>
        <c:scaling>
          <c:orientation val="minMax"/>
        </c:scaling>
        <c:delete val="0"/>
        <c:axPos val="l"/>
        <c:numFmt formatCode="_-&quot;€&quot;\ * #,##0_-;_-&quot;€&quot;\ * #,##0\-;_-&quot;€&quot;\ * &quot;-&quot;_-;_-@_-" sourceLinked="1"/>
        <c:majorTickMark val="out"/>
        <c:minorTickMark val="none"/>
        <c:tickLblPos val="nextTo"/>
        <c:spPr>
          <a:ln w="3175">
            <a:solidFill>
              <a:srgbClr val="000000"/>
            </a:solidFill>
            <a:prstDash val="solid"/>
          </a:ln>
        </c:spPr>
        <c:txPr>
          <a:bodyPr rot="0" vert="horz"/>
          <a:lstStyle/>
          <a:p>
            <a:pPr>
              <a:defRPr sz="300" b="0" i="0" u="none" strike="noStrike" baseline="0">
                <a:solidFill>
                  <a:srgbClr val="000000"/>
                </a:solidFill>
                <a:latin typeface="Arial"/>
                <a:ea typeface="Arial"/>
                <a:cs typeface="Arial"/>
              </a:defRPr>
            </a:pPr>
            <a:endParaRPr lang="nl-NL"/>
          </a:p>
        </c:txPr>
        <c:crossAx val="2036802000"/>
        <c:crosses val="autoZero"/>
        <c:crossBetween val="between"/>
      </c:valAx>
      <c:spPr>
        <a:gradFill rotWithShape="0">
          <a:gsLst>
            <a:gs pos="0">
              <a:srgbClr val="FFFFFF"/>
            </a:gs>
            <a:gs pos="100000">
              <a:srgbClr val="C0C0C0"/>
            </a:gs>
          </a:gsLst>
          <a:lin ang="5400000" scaled="1"/>
        </a:gra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300" b="0" i="0" u="none" strike="noStrike" baseline="0">
          <a:solidFill>
            <a:srgbClr val="000000"/>
          </a:solidFill>
          <a:latin typeface="Arial"/>
          <a:ea typeface="Arial"/>
          <a:cs typeface="Arial"/>
        </a:defRPr>
      </a:pPr>
      <a:endParaRPr lang="nl-NL"/>
    </a:p>
  </c:txPr>
  <c:printSettings>
    <c:headerFooter alignWithMargins="0"/>
    <c:pageMargins b="1" l="0.75000000000000921" r="0.75000000000000921"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nl-NL"/>
              <a:t>Opbouw totale loonkosten </a:t>
            </a:r>
          </a:p>
        </c:rich>
      </c:tx>
      <c:layout>
        <c:manualLayout>
          <c:xMode val="edge"/>
          <c:yMode val="edge"/>
          <c:x val="0.30042016806723187"/>
          <c:y val="3.5294117647058851E-2"/>
        </c:manualLayout>
      </c:layout>
      <c:overlay val="0"/>
      <c:spPr>
        <a:noFill/>
        <a:ln w="25400">
          <a:noFill/>
        </a:ln>
      </c:spPr>
    </c:title>
    <c:autoTitleDeleted val="0"/>
    <c:plotArea>
      <c:layout>
        <c:manualLayout>
          <c:layoutTarget val="inner"/>
          <c:xMode val="edge"/>
          <c:yMode val="edge"/>
          <c:x val="0.14859063811263049"/>
          <c:y val="0.25486398424483453"/>
          <c:w val="0.80364514134153764"/>
          <c:h val="0.47635292293379172"/>
        </c:manualLayout>
      </c:layout>
      <c:barChart>
        <c:barDir val="col"/>
        <c:grouping val="percentStacked"/>
        <c:varyColors val="0"/>
        <c:ser>
          <c:idx val="1"/>
          <c:order val="0"/>
          <c:tx>
            <c:v>OP</c:v>
          </c:tx>
          <c:spPr>
            <a:solidFill>
              <a:srgbClr val="FFCC99"/>
            </a:solidFill>
            <a:ln w="12700">
              <a:solidFill>
                <a:srgbClr val="000000"/>
              </a:solidFill>
              <a:prstDash val="solid"/>
            </a:ln>
          </c:spPr>
          <c:invertIfNegative val="0"/>
          <c:dLbls>
            <c:numFmt formatCode="0%" sourceLinked="0"/>
            <c:spPr>
              <a:noFill/>
              <a:ln w="25400">
                <a:noFill/>
              </a:ln>
            </c:spPr>
            <c:txPr>
              <a:bodyPr/>
              <a:lstStyle/>
              <a:p>
                <a:pPr>
                  <a:defRPr sz="1075"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begr!$G$8:$J$8</c:f>
              <c:numCache>
                <c:formatCode>General</c:formatCode>
                <c:ptCount val="4"/>
                <c:pt idx="0">
                  <c:v>2016</c:v>
                </c:pt>
                <c:pt idx="1">
                  <c:v>2017</c:v>
                </c:pt>
                <c:pt idx="2">
                  <c:v>2018</c:v>
                </c:pt>
                <c:pt idx="3">
                  <c:v>2019</c:v>
                </c:pt>
              </c:numCache>
            </c:numRef>
          </c:cat>
          <c:val>
            <c:numRef>
              <c:f>ken!$F$50:$I$50</c:f>
              <c:numCache>
                <c:formatCode>0%</c:formatCode>
                <c:ptCount val="4"/>
                <c:pt idx="0">
                  <c:v>0.44679612412510145</c:v>
                </c:pt>
                <c:pt idx="1">
                  <c:v>0.44817277706547903</c:v>
                </c:pt>
                <c:pt idx="2">
                  <c:v>0.44939295475913021</c:v>
                </c:pt>
                <c:pt idx="3">
                  <c:v>0.4505639915593273</c:v>
                </c:pt>
              </c:numCache>
            </c:numRef>
          </c:val>
        </c:ser>
        <c:ser>
          <c:idx val="2"/>
          <c:order val="1"/>
          <c:tx>
            <c:v>OBP</c:v>
          </c:tx>
          <c:spPr>
            <a:solidFill>
              <a:srgbClr val="CCFFCC"/>
            </a:solidFill>
            <a:ln w="12700">
              <a:solidFill>
                <a:srgbClr val="000000"/>
              </a:solidFill>
              <a:prstDash val="solid"/>
            </a:ln>
          </c:spPr>
          <c:invertIfNegative val="0"/>
          <c:dLbls>
            <c:dLbl>
              <c:idx val="0"/>
              <c:layout>
                <c:manualLayout>
                  <c:x val="-1.0818500628598001E-3"/>
                  <c:y val="-2.2353621407166092E-3"/>
                </c:manualLayout>
              </c:layout>
              <c:dLblPos val="ctr"/>
              <c:showLegendKey val="0"/>
              <c:showVal val="1"/>
              <c:showCatName val="0"/>
              <c:showSerName val="0"/>
              <c:showPercent val="0"/>
              <c:showBubbleSize val="0"/>
              <c:extLst>
                <c:ext xmlns:c15="http://schemas.microsoft.com/office/drawing/2012/chart" uri="{CE6537A1-D6FC-4f65-9D91-7224C49458BB}"/>
              </c:extLst>
            </c:dLbl>
            <c:numFmt formatCode="0%" sourceLinked="0"/>
            <c:spPr>
              <a:noFill/>
              <a:ln w="25400">
                <a:noFill/>
              </a:ln>
            </c:spPr>
            <c:txPr>
              <a:bodyPr/>
              <a:lstStyle/>
              <a:p>
                <a:pPr>
                  <a:defRPr sz="1075"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begr!$G$8:$J$8</c:f>
              <c:numCache>
                <c:formatCode>General</c:formatCode>
                <c:ptCount val="4"/>
                <c:pt idx="0">
                  <c:v>2016</c:v>
                </c:pt>
                <c:pt idx="1">
                  <c:v>2017</c:v>
                </c:pt>
                <c:pt idx="2">
                  <c:v>2018</c:v>
                </c:pt>
                <c:pt idx="3">
                  <c:v>2019</c:v>
                </c:pt>
              </c:numCache>
            </c:numRef>
          </c:cat>
          <c:val>
            <c:numRef>
              <c:f>ken!$F$51:$I$51</c:f>
              <c:numCache>
                <c:formatCode>0%</c:formatCode>
                <c:ptCount val="4"/>
                <c:pt idx="0">
                  <c:v>0.25987692540321128</c:v>
                </c:pt>
                <c:pt idx="1">
                  <c:v>0.25769721143635416</c:v>
                </c:pt>
                <c:pt idx="2">
                  <c:v>0.25581282498504715</c:v>
                </c:pt>
                <c:pt idx="3">
                  <c:v>0.25397173539275475</c:v>
                </c:pt>
              </c:numCache>
            </c:numRef>
          </c:val>
        </c:ser>
        <c:ser>
          <c:idx val="0"/>
          <c:order val="2"/>
          <c:tx>
            <c:v>DIR</c:v>
          </c:tx>
          <c:spPr>
            <a:solidFill>
              <a:srgbClr val="FFFFCC"/>
            </a:solidFill>
            <a:ln w="12700">
              <a:solidFill>
                <a:srgbClr val="000000"/>
              </a:solidFill>
              <a:prstDash val="solid"/>
            </a:ln>
          </c:spPr>
          <c:invertIfNegative val="0"/>
          <c:dLbls>
            <c:dLbl>
              <c:idx val="0"/>
              <c:layout>
                <c:manualLayout>
                  <c:x val="-1.0818500628598001E-3"/>
                  <c:y val="-2.2353621407166092E-3"/>
                </c:manualLayout>
              </c:layout>
              <c:dLblPos val="ctr"/>
              <c:showLegendKey val="0"/>
              <c:showVal val="1"/>
              <c:showCatName val="0"/>
              <c:showSerName val="0"/>
              <c:showPercent val="0"/>
              <c:showBubbleSize val="0"/>
              <c:extLst>
                <c:ext xmlns:c15="http://schemas.microsoft.com/office/drawing/2012/chart" uri="{CE6537A1-D6FC-4f65-9D91-7224C49458BB}"/>
              </c:extLst>
            </c:dLbl>
            <c:numFmt formatCode="0%" sourceLinked="0"/>
            <c:spPr>
              <a:noFill/>
              <a:ln w="25400">
                <a:noFill/>
              </a:ln>
            </c:spPr>
            <c:txPr>
              <a:bodyPr/>
              <a:lstStyle/>
              <a:p>
                <a:pPr>
                  <a:defRPr sz="1075"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begr!$G$8:$J$8</c:f>
              <c:numCache>
                <c:formatCode>General</c:formatCode>
                <c:ptCount val="4"/>
                <c:pt idx="0">
                  <c:v>2016</c:v>
                </c:pt>
                <c:pt idx="1">
                  <c:v>2017</c:v>
                </c:pt>
                <c:pt idx="2">
                  <c:v>2018</c:v>
                </c:pt>
                <c:pt idx="3">
                  <c:v>2019</c:v>
                </c:pt>
              </c:numCache>
            </c:numRef>
          </c:cat>
          <c:val>
            <c:numRef>
              <c:f>ken!$F$49:$I$49</c:f>
              <c:numCache>
                <c:formatCode>0%</c:formatCode>
                <c:ptCount val="4"/>
                <c:pt idx="0">
                  <c:v>0.29332695047168722</c:v>
                </c:pt>
                <c:pt idx="1">
                  <c:v>0.29413001149816687</c:v>
                </c:pt>
                <c:pt idx="2">
                  <c:v>0.29479422025582269</c:v>
                </c:pt>
                <c:pt idx="3">
                  <c:v>0.29546427304791789</c:v>
                </c:pt>
              </c:numCache>
            </c:numRef>
          </c:val>
        </c:ser>
        <c:dLbls>
          <c:showLegendKey val="0"/>
          <c:showVal val="1"/>
          <c:showCatName val="0"/>
          <c:showSerName val="0"/>
          <c:showPercent val="0"/>
          <c:showBubbleSize val="0"/>
        </c:dLbls>
        <c:gapWidth val="150"/>
        <c:overlap val="100"/>
        <c:axId val="2036806352"/>
        <c:axId val="2036810160"/>
      </c:barChart>
      <c:catAx>
        <c:axId val="20368063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nl-NL"/>
          </a:p>
        </c:txPr>
        <c:crossAx val="2036810160"/>
        <c:crosses val="autoZero"/>
        <c:auto val="1"/>
        <c:lblAlgn val="ctr"/>
        <c:lblOffset val="100"/>
        <c:tickLblSkip val="1"/>
        <c:tickMarkSkip val="1"/>
        <c:noMultiLvlLbl val="0"/>
      </c:catAx>
      <c:valAx>
        <c:axId val="2036810160"/>
        <c:scaling>
          <c:orientation val="minMax"/>
        </c:scaling>
        <c:delete val="0"/>
        <c:axPos val="l"/>
        <c:numFmt formatCode="0%" sourceLinked="1"/>
        <c:majorTickMark val="out"/>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nl-NL"/>
          </a:p>
        </c:txPr>
        <c:crossAx val="2036806352"/>
        <c:crosses val="autoZero"/>
        <c:crossBetween val="between"/>
        <c:majorUnit val="0.2"/>
      </c:valAx>
      <c:spPr>
        <a:gradFill rotWithShape="0">
          <a:gsLst>
            <a:gs pos="0">
              <a:srgbClr val="FFFFFF"/>
            </a:gs>
            <a:gs pos="100000">
              <a:srgbClr val="C0C0C0"/>
            </a:gs>
          </a:gsLst>
          <a:lin ang="5400000" scaled="1"/>
        </a:gradFill>
        <a:ln w="12700">
          <a:solidFill>
            <a:srgbClr val="808080"/>
          </a:solidFill>
          <a:prstDash val="solid"/>
        </a:ln>
      </c:spPr>
    </c:plotArea>
    <c:legend>
      <c:legendPos val="r"/>
      <c:layout>
        <c:manualLayout>
          <c:xMode val="edge"/>
          <c:yMode val="edge"/>
          <c:x val="0.42226890756302532"/>
          <c:y val="0.8794129998456004"/>
          <c:w val="0.28361344537815136"/>
          <c:h val="7.3529411764706079E-2"/>
        </c:manualLayout>
      </c:layout>
      <c:overlay val="0"/>
      <c:spPr>
        <a:solidFill>
          <a:srgbClr val="FFFFFF"/>
        </a:solidFill>
        <a:ln w="3175">
          <a:solidFill>
            <a:srgbClr val="000000"/>
          </a:solidFill>
          <a:prstDash val="solid"/>
        </a:ln>
      </c:spPr>
      <c:txPr>
        <a:bodyPr/>
        <a:lstStyle/>
        <a:p>
          <a:pPr>
            <a:defRPr sz="905"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nl-NL"/>
    </a:p>
  </c:txPr>
  <c:printSettings>
    <c:headerFooter alignWithMargins="0"/>
    <c:pageMargins b="1" l="0.75000000000000921" r="0.75000000000000921"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nl-NL"/>
              <a:t>Solvabiliteit</a:t>
            </a:r>
          </a:p>
        </c:rich>
      </c:tx>
      <c:layout>
        <c:manualLayout>
          <c:xMode val="edge"/>
          <c:yMode val="edge"/>
          <c:x val="0.40756302521008408"/>
          <c:y val="3.5294117647058851E-2"/>
        </c:manualLayout>
      </c:layout>
      <c:overlay val="0"/>
      <c:spPr>
        <a:noFill/>
        <a:ln w="25400">
          <a:noFill/>
        </a:ln>
      </c:spPr>
    </c:title>
    <c:autoTitleDeleted val="0"/>
    <c:plotArea>
      <c:layout>
        <c:manualLayout>
          <c:layoutTarget val="inner"/>
          <c:xMode val="edge"/>
          <c:yMode val="edge"/>
          <c:x val="9.6269990889871704E-2"/>
          <c:y val="0.25486398424483453"/>
          <c:w val="0.85596578856429384"/>
          <c:h val="0.55827348929819764"/>
        </c:manualLayout>
      </c:layout>
      <c:barChart>
        <c:barDir val="col"/>
        <c:grouping val="clustered"/>
        <c:varyColors val="0"/>
        <c:ser>
          <c:idx val="0"/>
          <c:order val="0"/>
          <c:spPr>
            <a:solidFill>
              <a:srgbClr val="FF99CC"/>
            </a:solidFill>
            <a:ln w="12700">
              <a:solidFill>
                <a:srgbClr val="000000"/>
              </a:solidFill>
              <a:prstDash val="solid"/>
            </a:ln>
          </c:spPr>
          <c:invertIfNegative val="0"/>
          <c:dLbls>
            <c:spPr>
              <a:noFill/>
              <a:ln w="25400">
                <a:noFill/>
              </a:ln>
            </c:spPr>
            <c:txPr>
              <a:bodyPr/>
              <a:lstStyle/>
              <a:p>
                <a:pPr>
                  <a:defRPr sz="1075"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begr!$G$8:$J$8</c:f>
              <c:numCache>
                <c:formatCode>General</c:formatCode>
                <c:ptCount val="4"/>
                <c:pt idx="0">
                  <c:v>2016</c:v>
                </c:pt>
                <c:pt idx="1">
                  <c:v>2017</c:v>
                </c:pt>
                <c:pt idx="2">
                  <c:v>2018</c:v>
                </c:pt>
                <c:pt idx="3">
                  <c:v>2019</c:v>
                </c:pt>
              </c:numCache>
            </c:numRef>
          </c:cat>
          <c:val>
            <c:numRef>
              <c:f>ken!$F$13:$I$13</c:f>
              <c:numCache>
                <c:formatCode>0%</c:formatCode>
                <c:ptCount val="4"/>
                <c:pt idx="0">
                  <c:v>1</c:v>
                </c:pt>
                <c:pt idx="1">
                  <c:v>1</c:v>
                </c:pt>
                <c:pt idx="2">
                  <c:v>1</c:v>
                </c:pt>
                <c:pt idx="3">
                  <c:v>1</c:v>
                </c:pt>
              </c:numCache>
            </c:numRef>
          </c:val>
        </c:ser>
        <c:dLbls>
          <c:showLegendKey val="0"/>
          <c:showVal val="1"/>
          <c:showCatName val="0"/>
          <c:showSerName val="0"/>
          <c:showPercent val="0"/>
          <c:showBubbleSize val="0"/>
        </c:dLbls>
        <c:gapWidth val="150"/>
        <c:axId val="2036810704"/>
        <c:axId val="2036811248"/>
      </c:barChart>
      <c:catAx>
        <c:axId val="20368107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nl-NL"/>
          </a:p>
        </c:txPr>
        <c:crossAx val="2036811248"/>
        <c:crosses val="autoZero"/>
        <c:auto val="1"/>
        <c:lblAlgn val="ctr"/>
        <c:lblOffset val="100"/>
        <c:tickLblSkip val="1"/>
        <c:tickMarkSkip val="1"/>
        <c:noMultiLvlLbl val="0"/>
      </c:catAx>
      <c:valAx>
        <c:axId val="2036811248"/>
        <c:scaling>
          <c:orientation val="minMax"/>
          <c:max val="1"/>
        </c:scaling>
        <c:delete val="0"/>
        <c:axPos val="l"/>
        <c:numFmt formatCode="0%" sourceLinked="1"/>
        <c:majorTickMark val="out"/>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nl-NL"/>
          </a:p>
        </c:txPr>
        <c:crossAx val="2036810704"/>
        <c:crosses val="autoZero"/>
        <c:crossBetween val="between"/>
      </c:valAx>
      <c:spPr>
        <a:gradFill rotWithShape="0">
          <a:gsLst>
            <a:gs pos="0">
              <a:srgbClr val="FFFFFF"/>
            </a:gs>
            <a:gs pos="100000">
              <a:srgbClr val="C0C0C0"/>
            </a:gs>
          </a:gsLst>
          <a:lin ang="5400000" scaled="1"/>
        </a:gra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nl-NL"/>
    </a:p>
  </c:txPr>
  <c:printSettings>
    <c:headerFooter alignWithMargins="0"/>
    <c:pageMargins b="1" l="0.75000000000000921" r="0.75000000000000921"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nl-NL"/>
              <a:t>Liquiditeit</a:t>
            </a:r>
          </a:p>
        </c:rich>
      </c:tx>
      <c:layout>
        <c:manualLayout>
          <c:xMode val="edge"/>
          <c:yMode val="edge"/>
          <c:x val="0.42226890756302532"/>
          <c:y val="3.5087719298245612E-2"/>
        </c:manualLayout>
      </c:layout>
      <c:overlay val="0"/>
      <c:spPr>
        <a:noFill/>
        <a:ln w="25400">
          <a:noFill/>
        </a:ln>
      </c:spPr>
    </c:title>
    <c:autoTitleDeleted val="0"/>
    <c:plotArea>
      <c:layout>
        <c:manualLayout>
          <c:layoutTarget val="inner"/>
          <c:xMode val="edge"/>
          <c:yMode val="edge"/>
          <c:x val="7.9527383778589644E-2"/>
          <c:y val="0.23196973088426445"/>
          <c:w val="0.86852274389774753"/>
          <c:h val="0.59649359370237642"/>
        </c:manualLayout>
      </c:layout>
      <c:barChart>
        <c:barDir val="col"/>
        <c:grouping val="clustered"/>
        <c:varyColors val="0"/>
        <c:ser>
          <c:idx val="0"/>
          <c:order val="0"/>
          <c:spPr>
            <a:solidFill>
              <a:srgbClr val="FF99CC"/>
            </a:solidFill>
            <a:ln w="12700">
              <a:solidFill>
                <a:srgbClr val="000000"/>
              </a:solidFill>
              <a:prstDash val="solid"/>
            </a:ln>
          </c:spPr>
          <c:invertIfNegative val="0"/>
          <c:dLbls>
            <c:spPr>
              <a:noFill/>
              <a:ln w="25400">
                <a:noFill/>
              </a:ln>
            </c:spPr>
            <c:txPr>
              <a:bodyPr/>
              <a:lstStyle/>
              <a:p>
                <a:pPr>
                  <a:defRPr sz="1075"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begr!$G$8:$J$8</c:f>
              <c:numCache>
                <c:formatCode>General</c:formatCode>
                <c:ptCount val="4"/>
                <c:pt idx="0">
                  <c:v>2016</c:v>
                </c:pt>
                <c:pt idx="1">
                  <c:v>2017</c:v>
                </c:pt>
                <c:pt idx="2">
                  <c:v>2018</c:v>
                </c:pt>
                <c:pt idx="3">
                  <c:v>2019</c:v>
                </c:pt>
              </c:numCache>
            </c:numRef>
          </c:cat>
          <c:val>
            <c:numRef>
              <c:f>ken!$F$15:$I$15</c:f>
              <c:numCache>
                <c:formatCode>0.00</c:formatCode>
                <c:ptCount val="4"/>
                <c:pt idx="0">
                  <c:v>0</c:v>
                </c:pt>
                <c:pt idx="1">
                  <c:v>0</c:v>
                </c:pt>
                <c:pt idx="2">
                  <c:v>0</c:v>
                </c:pt>
                <c:pt idx="3">
                  <c:v>0</c:v>
                </c:pt>
              </c:numCache>
            </c:numRef>
          </c:val>
        </c:ser>
        <c:dLbls>
          <c:showLegendKey val="0"/>
          <c:showVal val="1"/>
          <c:showCatName val="0"/>
          <c:showSerName val="0"/>
          <c:showPercent val="0"/>
          <c:showBubbleSize val="0"/>
        </c:dLbls>
        <c:gapWidth val="150"/>
        <c:axId val="2036800912"/>
        <c:axId val="2036811792"/>
      </c:barChart>
      <c:catAx>
        <c:axId val="2036800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nl-NL"/>
          </a:p>
        </c:txPr>
        <c:crossAx val="2036811792"/>
        <c:crosses val="autoZero"/>
        <c:auto val="1"/>
        <c:lblAlgn val="ctr"/>
        <c:lblOffset val="100"/>
        <c:tickLblSkip val="1"/>
        <c:tickMarkSkip val="1"/>
        <c:noMultiLvlLbl val="0"/>
      </c:catAx>
      <c:valAx>
        <c:axId val="2036811792"/>
        <c:scaling>
          <c:orientation val="minMax"/>
        </c:scaling>
        <c:delete val="0"/>
        <c:axPos val="l"/>
        <c:numFmt formatCode="0.00" sourceLinked="1"/>
        <c:majorTickMark val="out"/>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nl-NL"/>
          </a:p>
        </c:txPr>
        <c:crossAx val="2036800912"/>
        <c:crosses val="autoZero"/>
        <c:crossBetween val="between"/>
      </c:valAx>
      <c:spPr>
        <a:gradFill rotWithShape="0">
          <a:gsLst>
            <a:gs pos="0">
              <a:srgbClr val="FFFFFF"/>
            </a:gs>
            <a:gs pos="100000">
              <a:srgbClr val="C0C0C0"/>
            </a:gs>
          </a:gsLst>
          <a:lin ang="5400000" scaled="1"/>
        </a:gra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nl-NL"/>
    </a:p>
  </c:txPr>
  <c:printSettings>
    <c:headerFooter alignWithMargins="0"/>
    <c:pageMargins b="1" l="0.75000000000000921" r="0.75000000000000921"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nl-NL"/>
              <a:t>Rentabiliteit</a:t>
            </a:r>
          </a:p>
        </c:rich>
      </c:tx>
      <c:layout>
        <c:manualLayout>
          <c:xMode val="edge"/>
          <c:yMode val="edge"/>
          <c:x val="0.40425531914893614"/>
          <c:y val="3.5087719298245612E-2"/>
        </c:manualLayout>
      </c:layout>
      <c:overlay val="0"/>
      <c:spPr>
        <a:noFill/>
        <a:ln w="25400">
          <a:noFill/>
        </a:ln>
      </c:spPr>
    </c:title>
    <c:autoTitleDeleted val="0"/>
    <c:plotArea>
      <c:layout>
        <c:manualLayout>
          <c:layoutTarget val="inner"/>
          <c:xMode val="edge"/>
          <c:yMode val="edge"/>
          <c:x val="8.7234042553191768E-2"/>
          <c:y val="0.25146198830409588"/>
          <c:w val="0.88085106382978762"/>
          <c:h val="0.49415204678362584"/>
        </c:manualLayout>
      </c:layout>
      <c:barChart>
        <c:barDir val="col"/>
        <c:grouping val="clustered"/>
        <c:varyColors val="0"/>
        <c:ser>
          <c:idx val="0"/>
          <c:order val="0"/>
          <c:spPr>
            <a:solidFill>
              <a:srgbClr val="FF99CC"/>
            </a:solidFill>
            <a:ln w="12700">
              <a:solidFill>
                <a:srgbClr val="000000"/>
              </a:solidFill>
              <a:prstDash val="solid"/>
            </a:ln>
          </c:spPr>
          <c:invertIfNegative val="0"/>
          <c:dLbls>
            <c:spPr>
              <a:noFill/>
              <a:ln w="25400">
                <a:noFill/>
              </a:ln>
            </c:spPr>
            <c:txPr>
              <a:bodyPr/>
              <a:lstStyle/>
              <a:p>
                <a:pPr>
                  <a:defRPr sz="1050"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begr!$G$8:$J$8</c:f>
              <c:numCache>
                <c:formatCode>General</c:formatCode>
                <c:ptCount val="4"/>
                <c:pt idx="0">
                  <c:v>2016</c:v>
                </c:pt>
                <c:pt idx="1">
                  <c:v>2017</c:v>
                </c:pt>
                <c:pt idx="2">
                  <c:v>2018</c:v>
                </c:pt>
                <c:pt idx="3">
                  <c:v>2019</c:v>
                </c:pt>
              </c:numCache>
            </c:numRef>
          </c:cat>
          <c:val>
            <c:numRef>
              <c:f>ken!$F$17:$I$17</c:f>
              <c:numCache>
                <c:formatCode>0.0%</c:formatCode>
                <c:ptCount val="4"/>
                <c:pt idx="0">
                  <c:v>0.80331614395623618</c:v>
                </c:pt>
                <c:pt idx="1">
                  <c:v>0.79822533489412251</c:v>
                </c:pt>
                <c:pt idx="2">
                  <c:v>0.79413365612625109</c:v>
                </c:pt>
                <c:pt idx="3">
                  <c:v>0.79017038356274716</c:v>
                </c:pt>
              </c:numCache>
            </c:numRef>
          </c:val>
        </c:ser>
        <c:dLbls>
          <c:showLegendKey val="0"/>
          <c:showVal val="1"/>
          <c:showCatName val="0"/>
          <c:showSerName val="0"/>
          <c:showPercent val="0"/>
          <c:showBubbleSize val="0"/>
        </c:dLbls>
        <c:gapWidth val="150"/>
        <c:axId val="2036800368"/>
        <c:axId val="2036807440"/>
      </c:barChart>
      <c:catAx>
        <c:axId val="20368003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nl-NL"/>
          </a:p>
        </c:txPr>
        <c:crossAx val="2036807440"/>
        <c:crosses val="autoZero"/>
        <c:auto val="1"/>
        <c:lblAlgn val="ctr"/>
        <c:lblOffset val="100"/>
        <c:tickLblSkip val="1"/>
        <c:tickMarkSkip val="1"/>
        <c:noMultiLvlLbl val="0"/>
      </c:catAx>
      <c:valAx>
        <c:axId val="2036807440"/>
        <c:scaling>
          <c:orientation val="minMax"/>
        </c:scaling>
        <c:delete val="0"/>
        <c:axPos val="l"/>
        <c:numFmt formatCode="0.0%"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nl-NL"/>
          </a:p>
        </c:txPr>
        <c:crossAx val="2036800368"/>
        <c:crosses val="autoZero"/>
        <c:crossBetween val="between"/>
      </c:valAx>
      <c:spPr>
        <a:gradFill rotWithShape="0">
          <a:gsLst>
            <a:gs pos="0">
              <a:srgbClr val="FFFFFF"/>
            </a:gs>
            <a:gs pos="100000">
              <a:srgbClr val="C0C0C0"/>
            </a:gs>
          </a:gsLst>
          <a:lin ang="5400000" scaled="1"/>
        </a:gra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nl-NL"/>
    </a:p>
  </c:txPr>
  <c:printSettings>
    <c:headerFooter alignWithMargins="0"/>
    <c:pageMargins b="1" l="0.75000000000000921" r="0.75000000000000921"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12</xdr:col>
      <xdr:colOff>428625</xdr:colOff>
      <xdr:row>2</xdr:row>
      <xdr:rowOff>123825</xdr:rowOff>
    </xdr:from>
    <xdr:to>
      <xdr:col>14</xdr:col>
      <xdr:colOff>600075</xdr:colOff>
      <xdr:row>5</xdr:row>
      <xdr:rowOff>28575</xdr:rowOff>
    </xdr:to>
    <xdr:pic>
      <xdr:nvPicPr>
        <xdr:cNvPr id="91174" name="Picture 9"/>
        <xdr:cNvPicPr>
          <a:picLocks noChangeAspect="1" noChangeArrowheads="1"/>
        </xdr:cNvPicPr>
      </xdr:nvPicPr>
      <xdr:blipFill>
        <a:blip xmlns:r="http://schemas.openxmlformats.org/officeDocument/2006/relationships" r:embed="rId1"/>
        <a:srcRect/>
        <a:stretch>
          <a:fillRect/>
        </a:stretch>
      </xdr:blipFill>
      <xdr:spPr bwMode="auto">
        <a:xfrm>
          <a:off x="7143750" y="447675"/>
          <a:ext cx="1390650" cy="4191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66675</xdr:colOff>
      <xdr:row>99</xdr:row>
      <xdr:rowOff>0</xdr:rowOff>
    </xdr:from>
    <xdr:to>
      <xdr:col>12</xdr:col>
      <xdr:colOff>142875</xdr:colOff>
      <xdr:row>99</xdr:row>
      <xdr:rowOff>0</xdr:rowOff>
    </xdr:to>
    <xdr:pic>
      <xdr:nvPicPr>
        <xdr:cNvPr id="64701" name="Picture 41" descr="vosabblogo"/>
        <xdr:cNvPicPr>
          <a:picLocks noChangeAspect="1" noChangeArrowheads="1"/>
        </xdr:cNvPicPr>
      </xdr:nvPicPr>
      <xdr:blipFill>
        <a:blip xmlns:r="http://schemas.openxmlformats.org/officeDocument/2006/relationships" r:embed="rId1"/>
        <a:srcRect/>
        <a:stretch>
          <a:fillRect/>
        </a:stretch>
      </xdr:blipFill>
      <xdr:spPr bwMode="auto">
        <a:xfrm>
          <a:off x="8458200" y="16278225"/>
          <a:ext cx="1381125" cy="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17</xdr:col>
      <xdr:colOff>360271</xdr:colOff>
      <xdr:row>3</xdr:row>
      <xdr:rowOff>33056</xdr:rowOff>
    </xdr:from>
    <xdr:to>
      <xdr:col>20</xdr:col>
      <xdr:colOff>137835</xdr:colOff>
      <xdr:row>4</xdr:row>
      <xdr:rowOff>218513</xdr:rowOff>
    </xdr:to>
    <xdr:pic>
      <xdr:nvPicPr>
        <xdr:cNvPr id="2" name="Picture 9"/>
        <xdr:cNvPicPr>
          <a:picLocks noChangeAspect="1" noChangeArrowheads="1"/>
        </xdr:cNvPicPr>
      </xdr:nvPicPr>
      <xdr:blipFill>
        <a:blip xmlns:r="http://schemas.openxmlformats.org/officeDocument/2006/relationships" r:embed="rId1"/>
        <a:srcRect/>
        <a:stretch>
          <a:fillRect/>
        </a:stretch>
      </xdr:blipFill>
      <xdr:spPr bwMode="auto">
        <a:xfrm>
          <a:off x="15107212" y="503703"/>
          <a:ext cx="1391211" cy="420781"/>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120</xdr:row>
      <xdr:rowOff>0</xdr:rowOff>
    </xdr:from>
    <xdr:to>
      <xdr:col>17</xdr:col>
      <xdr:colOff>9525</xdr:colOff>
      <xdr:row>120</xdr:row>
      <xdr:rowOff>0</xdr:rowOff>
    </xdr:to>
    <xdr:graphicFrame macro="">
      <xdr:nvGraphicFramePr>
        <xdr:cNvPr id="9593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9525</xdr:colOff>
      <xdr:row>29</xdr:row>
      <xdr:rowOff>47625</xdr:rowOff>
    </xdr:from>
    <xdr:to>
      <xdr:col>16</xdr:col>
      <xdr:colOff>561975</xdr:colOff>
      <xdr:row>49</xdr:row>
      <xdr:rowOff>57150</xdr:rowOff>
    </xdr:to>
    <xdr:graphicFrame macro="">
      <xdr:nvGraphicFramePr>
        <xdr:cNvPr id="95937"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9525</xdr:colOff>
      <xdr:row>29</xdr:row>
      <xdr:rowOff>9525</xdr:rowOff>
    </xdr:from>
    <xdr:to>
      <xdr:col>9</xdr:col>
      <xdr:colOff>0</xdr:colOff>
      <xdr:row>49</xdr:row>
      <xdr:rowOff>9525</xdr:rowOff>
    </xdr:to>
    <xdr:graphicFrame macro="">
      <xdr:nvGraphicFramePr>
        <xdr:cNvPr id="9593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171450</xdr:colOff>
      <xdr:row>7</xdr:row>
      <xdr:rowOff>0</xdr:rowOff>
    </xdr:from>
    <xdr:to>
      <xdr:col>8</xdr:col>
      <xdr:colOff>600075</xdr:colOff>
      <xdr:row>27</xdr:row>
      <xdr:rowOff>0</xdr:rowOff>
    </xdr:to>
    <xdr:graphicFrame macro="">
      <xdr:nvGraphicFramePr>
        <xdr:cNvPr id="95939"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171450</xdr:colOff>
      <xdr:row>120</xdr:row>
      <xdr:rowOff>0</xdr:rowOff>
    </xdr:from>
    <xdr:to>
      <xdr:col>8</xdr:col>
      <xdr:colOff>600075</xdr:colOff>
      <xdr:row>120</xdr:row>
      <xdr:rowOff>0</xdr:rowOff>
    </xdr:to>
    <xdr:graphicFrame macro="">
      <xdr:nvGraphicFramePr>
        <xdr:cNvPr id="95940"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7</xdr:row>
      <xdr:rowOff>0</xdr:rowOff>
    </xdr:from>
    <xdr:to>
      <xdr:col>17</xdr:col>
      <xdr:colOff>0</xdr:colOff>
      <xdr:row>27</xdr:row>
      <xdr:rowOff>0</xdr:rowOff>
    </xdr:to>
    <xdr:graphicFrame macro="">
      <xdr:nvGraphicFramePr>
        <xdr:cNvPr id="95941"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0</xdr:colOff>
      <xdr:row>120</xdr:row>
      <xdr:rowOff>0</xdr:rowOff>
    </xdr:from>
    <xdr:to>
      <xdr:col>9</xdr:col>
      <xdr:colOff>0</xdr:colOff>
      <xdr:row>140</xdr:row>
      <xdr:rowOff>0</xdr:rowOff>
    </xdr:to>
    <xdr:graphicFrame macro="">
      <xdr:nvGraphicFramePr>
        <xdr:cNvPr id="95942"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0</xdr:colOff>
      <xdr:row>120</xdr:row>
      <xdr:rowOff>0</xdr:rowOff>
    </xdr:from>
    <xdr:to>
      <xdr:col>17</xdr:col>
      <xdr:colOff>0</xdr:colOff>
      <xdr:row>140</xdr:row>
      <xdr:rowOff>19050</xdr:rowOff>
    </xdr:to>
    <xdr:graphicFrame macro="">
      <xdr:nvGraphicFramePr>
        <xdr:cNvPr id="95943"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0</xdr:colOff>
      <xdr:row>142</xdr:row>
      <xdr:rowOff>0</xdr:rowOff>
    </xdr:from>
    <xdr:to>
      <xdr:col>8</xdr:col>
      <xdr:colOff>590550</xdr:colOff>
      <xdr:row>162</xdr:row>
      <xdr:rowOff>19050</xdr:rowOff>
    </xdr:to>
    <xdr:graphicFrame macro="">
      <xdr:nvGraphicFramePr>
        <xdr:cNvPr id="95944" name="Chart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10</xdr:col>
      <xdr:colOff>0</xdr:colOff>
      <xdr:row>142</xdr:row>
      <xdr:rowOff>0</xdr:rowOff>
    </xdr:from>
    <xdr:to>
      <xdr:col>17</xdr:col>
      <xdr:colOff>0</xdr:colOff>
      <xdr:row>161</xdr:row>
      <xdr:rowOff>142875</xdr:rowOff>
    </xdr:to>
    <xdr:graphicFrame macro="">
      <xdr:nvGraphicFramePr>
        <xdr:cNvPr id="95945" name="Chart 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10</xdr:col>
      <xdr:colOff>0</xdr:colOff>
      <xdr:row>97</xdr:row>
      <xdr:rowOff>114300</xdr:rowOff>
    </xdr:from>
    <xdr:to>
      <xdr:col>17</xdr:col>
      <xdr:colOff>0</xdr:colOff>
      <xdr:row>117</xdr:row>
      <xdr:rowOff>95250</xdr:rowOff>
    </xdr:to>
    <xdr:graphicFrame macro="">
      <xdr:nvGraphicFramePr>
        <xdr:cNvPr id="95946" name="Chart 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10</xdr:col>
      <xdr:colOff>0</xdr:colOff>
      <xdr:row>51</xdr:row>
      <xdr:rowOff>9525</xdr:rowOff>
    </xdr:from>
    <xdr:to>
      <xdr:col>17</xdr:col>
      <xdr:colOff>0</xdr:colOff>
      <xdr:row>71</xdr:row>
      <xdr:rowOff>9525</xdr:rowOff>
    </xdr:to>
    <xdr:graphicFrame macro="">
      <xdr:nvGraphicFramePr>
        <xdr:cNvPr id="95947" name="Chart 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171450</xdr:colOff>
      <xdr:row>51</xdr:row>
      <xdr:rowOff>0</xdr:rowOff>
    </xdr:from>
    <xdr:to>
      <xdr:col>8</xdr:col>
      <xdr:colOff>600075</xdr:colOff>
      <xdr:row>71</xdr:row>
      <xdr:rowOff>9525</xdr:rowOff>
    </xdr:to>
    <xdr:graphicFrame macro="">
      <xdr:nvGraphicFramePr>
        <xdr:cNvPr id="95948" name="Chart 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152400</xdr:colOff>
      <xdr:row>120</xdr:row>
      <xdr:rowOff>0</xdr:rowOff>
    </xdr:from>
    <xdr:to>
      <xdr:col>8</xdr:col>
      <xdr:colOff>561975</xdr:colOff>
      <xdr:row>120</xdr:row>
      <xdr:rowOff>0</xdr:rowOff>
    </xdr:to>
    <xdr:graphicFrame macro="">
      <xdr:nvGraphicFramePr>
        <xdr:cNvPr id="95949" name="Chart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2</xdr:col>
      <xdr:colOff>9525</xdr:colOff>
      <xdr:row>72</xdr:row>
      <xdr:rowOff>133350</xdr:rowOff>
    </xdr:from>
    <xdr:to>
      <xdr:col>9</xdr:col>
      <xdr:colOff>9525</xdr:colOff>
      <xdr:row>92</xdr:row>
      <xdr:rowOff>114300</xdr:rowOff>
    </xdr:to>
    <xdr:graphicFrame macro="">
      <xdr:nvGraphicFramePr>
        <xdr:cNvPr id="95950" name="Chart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xdr:col>
      <xdr:colOff>0</xdr:colOff>
      <xdr:row>97</xdr:row>
      <xdr:rowOff>104775</xdr:rowOff>
    </xdr:from>
    <xdr:to>
      <xdr:col>9</xdr:col>
      <xdr:colOff>0</xdr:colOff>
      <xdr:row>117</xdr:row>
      <xdr:rowOff>76200</xdr:rowOff>
    </xdr:to>
    <xdr:graphicFrame macro="">
      <xdr:nvGraphicFramePr>
        <xdr:cNvPr id="95951" name="Chart 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9</xdr:col>
      <xdr:colOff>371475</xdr:colOff>
      <xdr:row>73</xdr:row>
      <xdr:rowOff>0</xdr:rowOff>
    </xdr:from>
    <xdr:to>
      <xdr:col>17</xdr:col>
      <xdr:colOff>0</xdr:colOff>
      <xdr:row>92</xdr:row>
      <xdr:rowOff>123825</xdr:rowOff>
    </xdr:to>
    <xdr:graphicFrame macro="">
      <xdr:nvGraphicFramePr>
        <xdr:cNvPr id="95952" name="Chart 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171450</xdr:colOff>
      <xdr:row>164</xdr:row>
      <xdr:rowOff>9525</xdr:rowOff>
    </xdr:from>
    <xdr:to>
      <xdr:col>8</xdr:col>
      <xdr:colOff>619125</xdr:colOff>
      <xdr:row>183</xdr:row>
      <xdr:rowOff>152400</xdr:rowOff>
    </xdr:to>
    <xdr:graphicFrame macro="">
      <xdr:nvGraphicFramePr>
        <xdr:cNvPr id="95954" name="Chart 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wsDr>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08000" tIns="118800" rIns="126000" bIns="11880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08000" tIns="118800" rIns="126000" bIns="11880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aad.nl/nieuws-en-achtergronden/toelichting-op-wijzigingen-in-de-personele-bekostiging-2015-2016-en-de" TargetMode="External"/><Relationship Id="rId1" Type="http://schemas.openxmlformats.org/officeDocument/2006/relationships/hyperlink" Target="mailto:r.goedhart@poraad.nl"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printerSettings" Target="../printerSettings/printerSettings18.bin"/><Relationship Id="rId1" Type="http://schemas.openxmlformats.org/officeDocument/2006/relationships/hyperlink" Target="http://www.poraad.nl/content/werkgeverslasten-po" TargetMode="External"/><Relationship Id="rId4" Type="http://schemas.openxmlformats.org/officeDocument/2006/relationships/comments" Target="../comments1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C4:M190"/>
  <sheetViews>
    <sheetView showGridLines="0" zoomScale="85" zoomScaleNormal="85" zoomScaleSheetLayoutView="75" workbookViewId="0">
      <selection activeCell="K4" sqref="K4"/>
    </sheetView>
  </sheetViews>
  <sheetFormatPr defaultColWidth="9.140625" defaultRowHeight="12.75" x14ac:dyDescent="0.2"/>
  <cols>
    <col min="1" max="1" width="3.7109375" style="801" customWidth="1"/>
    <col min="2" max="2" width="2.7109375" style="801" customWidth="1"/>
    <col min="3" max="10" width="9.140625" style="801"/>
    <col min="11" max="11" width="9.5703125" style="801" bestFit="1" customWidth="1"/>
    <col min="12" max="12" width="12" style="801" bestFit="1" customWidth="1"/>
    <col min="13" max="15" width="9.140625" style="801"/>
    <col min="16" max="16" width="2.7109375" style="801" customWidth="1"/>
    <col min="17" max="16384" width="9.140625" style="801"/>
  </cols>
  <sheetData>
    <row r="4" spans="3:13" ht="15" x14ac:dyDescent="0.25">
      <c r="C4" s="799" t="s">
        <v>620</v>
      </c>
      <c r="J4" s="800" t="s">
        <v>44</v>
      </c>
      <c r="K4" s="856">
        <v>42331</v>
      </c>
      <c r="M4" s="804"/>
    </row>
    <row r="5" spans="3:13" x14ac:dyDescent="0.2">
      <c r="C5" s="805"/>
    </row>
    <row r="6" spans="3:13" x14ac:dyDescent="0.2">
      <c r="C6" s="805"/>
    </row>
    <row r="7" spans="3:13" x14ac:dyDescent="0.2">
      <c r="C7" s="805" t="s">
        <v>636</v>
      </c>
    </row>
    <row r="8" spans="3:13" x14ac:dyDescent="0.2">
      <c r="C8" s="801" t="s">
        <v>637</v>
      </c>
    </row>
    <row r="9" spans="3:13" x14ac:dyDescent="0.2">
      <c r="C9" s="801" t="s">
        <v>638</v>
      </c>
    </row>
    <row r="10" spans="3:13" x14ac:dyDescent="0.2">
      <c r="C10" s="805"/>
    </row>
    <row r="11" spans="3:13" x14ac:dyDescent="0.2">
      <c r="C11" s="805"/>
    </row>
    <row r="12" spans="3:13" x14ac:dyDescent="0.2">
      <c r="C12" s="805" t="s">
        <v>71</v>
      </c>
    </row>
    <row r="13" spans="3:13" x14ac:dyDescent="0.2">
      <c r="C13" s="801" t="s">
        <v>45</v>
      </c>
      <c r="G13" s="851" t="s">
        <v>32</v>
      </c>
      <c r="H13" s="801" t="s">
        <v>494</v>
      </c>
    </row>
    <row r="14" spans="3:13" x14ac:dyDescent="0.2">
      <c r="C14" s="801" t="s">
        <v>46</v>
      </c>
    </row>
    <row r="16" spans="3:13" x14ac:dyDescent="0.2">
      <c r="C16" s="801" t="s">
        <v>625</v>
      </c>
    </row>
    <row r="17" spans="3:3" x14ac:dyDescent="0.2">
      <c r="C17" s="801" t="s">
        <v>622</v>
      </c>
    </row>
    <row r="18" spans="3:3" x14ac:dyDescent="0.2">
      <c r="C18" s="801" t="s">
        <v>621</v>
      </c>
    </row>
    <row r="20" spans="3:3" x14ac:dyDescent="0.2">
      <c r="C20" s="801" t="s">
        <v>49</v>
      </c>
    </row>
    <row r="21" spans="3:3" x14ac:dyDescent="0.2">
      <c r="C21" s="801" t="s">
        <v>50</v>
      </c>
    </row>
    <row r="22" spans="3:3" x14ac:dyDescent="0.2">
      <c r="C22" s="801" t="s">
        <v>51</v>
      </c>
    </row>
    <row r="23" spans="3:3" x14ac:dyDescent="0.2">
      <c r="C23" s="801" t="s">
        <v>432</v>
      </c>
    </row>
    <row r="25" spans="3:3" x14ac:dyDescent="0.2">
      <c r="C25" s="801" t="s">
        <v>52</v>
      </c>
    </row>
    <row r="27" spans="3:3" x14ac:dyDescent="0.2">
      <c r="C27" s="805" t="s">
        <v>70</v>
      </c>
    </row>
    <row r="28" spans="3:3" x14ac:dyDescent="0.2">
      <c r="C28" s="805"/>
    </row>
    <row r="29" spans="3:3" x14ac:dyDescent="0.2">
      <c r="C29" s="801" t="s">
        <v>53</v>
      </c>
    </row>
    <row r="30" spans="3:3" x14ac:dyDescent="0.2">
      <c r="C30" s="801" t="s">
        <v>56</v>
      </c>
    </row>
    <row r="32" spans="3:3" x14ac:dyDescent="0.2">
      <c r="C32" s="801" t="s">
        <v>40</v>
      </c>
    </row>
    <row r="33" spans="3:3" x14ac:dyDescent="0.2">
      <c r="C33" s="801" t="s">
        <v>25</v>
      </c>
    </row>
    <row r="34" spans="3:3" x14ac:dyDescent="0.2">
      <c r="C34" s="801" t="s">
        <v>27</v>
      </c>
    </row>
    <row r="35" spans="3:3" x14ac:dyDescent="0.2">
      <c r="C35" s="852" t="s">
        <v>26</v>
      </c>
    </row>
    <row r="36" spans="3:3" x14ac:dyDescent="0.2">
      <c r="C36" s="801" t="s">
        <v>522</v>
      </c>
    </row>
    <row r="38" spans="3:3" x14ac:dyDescent="0.2">
      <c r="C38" s="801" t="s">
        <v>57</v>
      </c>
    </row>
    <row r="39" spans="3:3" x14ac:dyDescent="0.2">
      <c r="C39" s="801" t="s">
        <v>495</v>
      </c>
    </row>
    <row r="41" spans="3:3" x14ac:dyDescent="0.2">
      <c r="C41" s="801" t="s">
        <v>520</v>
      </c>
    </row>
    <row r="42" spans="3:3" x14ac:dyDescent="0.2">
      <c r="C42" s="801" t="s">
        <v>469</v>
      </c>
    </row>
    <row r="44" spans="3:3" x14ac:dyDescent="0.2">
      <c r="C44" s="801" t="s">
        <v>63</v>
      </c>
    </row>
    <row r="47" spans="3:3" x14ac:dyDescent="0.2">
      <c r="C47" s="805" t="s">
        <v>72</v>
      </c>
    </row>
    <row r="48" spans="3:3" x14ac:dyDescent="0.2">
      <c r="C48" s="805"/>
    </row>
    <row r="49" spans="3:3" x14ac:dyDescent="0.2">
      <c r="C49" s="801" t="s">
        <v>118</v>
      </c>
    </row>
    <row r="51" spans="3:3" x14ac:dyDescent="0.2">
      <c r="C51" s="802" t="s">
        <v>142</v>
      </c>
    </row>
    <row r="52" spans="3:3" x14ac:dyDescent="0.2">
      <c r="C52" s="801" t="s">
        <v>143</v>
      </c>
    </row>
    <row r="53" spans="3:3" x14ac:dyDescent="0.2">
      <c r="C53" s="801" t="s">
        <v>627</v>
      </c>
    </row>
    <row r="54" spans="3:3" x14ac:dyDescent="0.2">
      <c r="C54" s="801" t="s">
        <v>626</v>
      </c>
    </row>
    <row r="55" spans="3:3" x14ac:dyDescent="0.2">
      <c r="C55" s="801" t="s">
        <v>288</v>
      </c>
    </row>
    <row r="57" spans="3:3" x14ac:dyDescent="0.2">
      <c r="C57" s="801" t="s">
        <v>565</v>
      </c>
    </row>
    <row r="58" spans="3:3" x14ac:dyDescent="0.2">
      <c r="C58" s="801" t="s">
        <v>94</v>
      </c>
    </row>
    <row r="59" spans="3:3" x14ac:dyDescent="0.2">
      <c r="C59" s="801" t="s">
        <v>73</v>
      </c>
    </row>
    <row r="60" spans="3:3" x14ac:dyDescent="0.2">
      <c r="C60" s="801" t="s">
        <v>74</v>
      </c>
    </row>
    <row r="62" spans="3:3" x14ac:dyDescent="0.2">
      <c r="C62" s="802" t="s">
        <v>470</v>
      </c>
    </row>
    <row r="63" spans="3:3" x14ac:dyDescent="0.2">
      <c r="C63" s="801" t="s">
        <v>41</v>
      </c>
    </row>
    <row r="64" spans="3:3" x14ac:dyDescent="0.2">
      <c r="C64" s="801" t="s">
        <v>75</v>
      </c>
    </row>
    <row r="65" spans="3:3" x14ac:dyDescent="0.2">
      <c r="C65" s="801" t="s">
        <v>628</v>
      </c>
    </row>
    <row r="66" spans="3:3" x14ac:dyDescent="0.2">
      <c r="C66" s="801" t="s">
        <v>629</v>
      </c>
    </row>
    <row r="68" spans="3:3" x14ac:dyDescent="0.2">
      <c r="C68" s="801" t="s">
        <v>348</v>
      </c>
    </row>
    <row r="69" spans="3:3" x14ac:dyDescent="0.2">
      <c r="C69" s="801" t="s">
        <v>523</v>
      </c>
    </row>
    <row r="71" spans="3:3" x14ac:dyDescent="0.2">
      <c r="C71" s="853" t="s">
        <v>99</v>
      </c>
    </row>
    <row r="72" spans="3:3" x14ac:dyDescent="0.2">
      <c r="C72" s="803" t="s">
        <v>350</v>
      </c>
    </row>
    <row r="73" spans="3:3" x14ac:dyDescent="0.2">
      <c r="C73" s="803" t="s">
        <v>477</v>
      </c>
    </row>
    <row r="74" spans="3:3" x14ac:dyDescent="0.2">
      <c r="C74" s="803" t="s">
        <v>131</v>
      </c>
    </row>
    <row r="75" spans="3:3" x14ac:dyDescent="0.2">
      <c r="C75" s="803" t="s">
        <v>1</v>
      </c>
    </row>
    <row r="76" spans="3:3" x14ac:dyDescent="0.2">
      <c r="C76" s="803"/>
    </row>
    <row r="77" spans="3:3" x14ac:dyDescent="0.2">
      <c r="C77" s="854" t="s">
        <v>77</v>
      </c>
    </row>
    <row r="78" spans="3:3" x14ac:dyDescent="0.2">
      <c r="C78" s="854"/>
    </row>
    <row r="79" spans="3:3" x14ac:dyDescent="0.2">
      <c r="C79" s="803" t="s">
        <v>128</v>
      </c>
    </row>
    <row r="80" spans="3:3" x14ac:dyDescent="0.2">
      <c r="C80" s="803" t="s">
        <v>129</v>
      </c>
    </row>
    <row r="81" spans="3:3" x14ac:dyDescent="0.2">
      <c r="C81" s="803" t="s">
        <v>130</v>
      </c>
    </row>
    <row r="82" spans="3:3" x14ac:dyDescent="0.2">
      <c r="C82" s="803" t="s">
        <v>566</v>
      </c>
    </row>
    <row r="83" spans="3:3" x14ac:dyDescent="0.2">
      <c r="C83" s="803"/>
    </row>
    <row r="84" spans="3:3" x14ac:dyDescent="0.2">
      <c r="C84" s="803" t="s">
        <v>567</v>
      </c>
    </row>
    <row r="85" spans="3:3" x14ac:dyDescent="0.2">
      <c r="C85" s="803" t="s">
        <v>132</v>
      </c>
    </row>
    <row r="86" spans="3:3" x14ac:dyDescent="0.2">
      <c r="C86" s="803" t="s">
        <v>133</v>
      </c>
    </row>
    <row r="87" spans="3:3" x14ac:dyDescent="0.2">
      <c r="C87" s="803" t="s">
        <v>568</v>
      </c>
    </row>
    <row r="88" spans="3:3" x14ac:dyDescent="0.2">
      <c r="C88" s="803" t="s">
        <v>569</v>
      </c>
    </row>
    <row r="89" spans="3:3" x14ac:dyDescent="0.2">
      <c r="C89" s="803" t="s">
        <v>476</v>
      </c>
    </row>
    <row r="90" spans="3:3" x14ac:dyDescent="0.2">
      <c r="C90" s="803" t="s">
        <v>570</v>
      </c>
    </row>
    <row r="91" spans="3:3" x14ac:dyDescent="0.2">
      <c r="C91" s="803" t="s">
        <v>478</v>
      </c>
    </row>
    <row r="92" spans="3:3" x14ac:dyDescent="0.2">
      <c r="C92" s="803"/>
    </row>
    <row r="93" spans="3:3" x14ac:dyDescent="0.2">
      <c r="C93" s="1236" t="s">
        <v>606</v>
      </c>
    </row>
    <row r="94" spans="3:3" x14ac:dyDescent="0.2">
      <c r="C94" s="803" t="s">
        <v>607</v>
      </c>
    </row>
    <row r="95" spans="3:3" x14ac:dyDescent="0.2">
      <c r="C95" s="803" t="s">
        <v>608</v>
      </c>
    </row>
    <row r="96" spans="3:3" x14ac:dyDescent="0.2">
      <c r="C96" s="803"/>
    </row>
    <row r="97" spans="3:3" x14ac:dyDescent="0.2">
      <c r="C97" s="854" t="s">
        <v>78</v>
      </c>
    </row>
    <row r="98" spans="3:3" x14ac:dyDescent="0.2">
      <c r="C98" s="854"/>
    </row>
    <row r="99" spans="3:3" x14ac:dyDescent="0.2">
      <c r="C99" s="803" t="s">
        <v>115</v>
      </c>
    </row>
    <row r="100" spans="3:3" x14ac:dyDescent="0.2">
      <c r="C100" s="803" t="s">
        <v>134</v>
      </c>
    </row>
    <row r="101" spans="3:3" x14ac:dyDescent="0.2">
      <c r="C101" s="803" t="s">
        <v>135</v>
      </c>
    </row>
    <row r="102" spans="3:3" x14ac:dyDescent="0.2">
      <c r="C102" s="803" t="s">
        <v>571</v>
      </c>
    </row>
    <row r="103" spans="3:3" x14ac:dyDescent="0.2">
      <c r="C103" s="803" t="s">
        <v>141</v>
      </c>
    </row>
    <row r="104" spans="3:3" x14ac:dyDescent="0.2">
      <c r="C104" s="803" t="s">
        <v>630</v>
      </c>
    </row>
    <row r="105" spans="3:3" x14ac:dyDescent="0.2">
      <c r="C105" s="803"/>
    </row>
    <row r="106" spans="3:3" x14ac:dyDescent="0.2">
      <c r="C106" s="854" t="s">
        <v>79</v>
      </c>
    </row>
    <row r="107" spans="3:3" x14ac:dyDescent="0.2">
      <c r="C107" s="854"/>
    </row>
    <row r="108" spans="3:3" x14ac:dyDescent="0.2">
      <c r="C108" s="803" t="s">
        <v>496</v>
      </c>
    </row>
    <row r="110" spans="3:3" x14ac:dyDescent="0.2">
      <c r="C110" s="805" t="s">
        <v>80</v>
      </c>
    </row>
    <row r="111" spans="3:3" x14ac:dyDescent="0.2">
      <c r="C111" s="804"/>
    </row>
    <row r="112" spans="3:3" x14ac:dyDescent="0.2">
      <c r="C112" s="801" t="s">
        <v>471</v>
      </c>
    </row>
    <row r="113" spans="3:3" x14ac:dyDescent="0.2">
      <c r="C113" s="801" t="s">
        <v>81</v>
      </c>
    </row>
    <row r="114" spans="3:3" x14ac:dyDescent="0.2">
      <c r="C114" s="801" t="s">
        <v>349</v>
      </c>
    </row>
    <row r="116" spans="3:3" x14ac:dyDescent="0.2">
      <c r="C116" s="801" t="s">
        <v>98</v>
      </c>
    </row>
    <row r="117" spans="3:3" x14ac:dyDescent="0.2">
      <c r="C117" s="801" t="s">
        <v>82</v>
      </c>
    </row>
    <row r="118" spans="3:3" x14ac:dyDescent="0.2">
      <c r="C118" s="801" t="s">
        <v>497</v>
      </c>
    </row>
    <row r="120" spans="3:3" x14ac:dyDescent="0.2">
      <c r="C120" s="805" t="s">
        <v>83</v>
      </c>
    </row>
    <row r="121" spans="3:3" x14ac:dyDescent="0.2">
      <c r="C121" s="805"/>
    </row>
    <row r="122" spans="3:3" x14ac:dyDescent="0.2">
      <c r="C122" s="801" t="s">
        <v>355</v>
      </c>
    </row>
    <row r="123" spans="3:3" x14ac:dyDescent="0.2">
      <c r="C123" s="801" t="s">
        <v>356</v>
      </c>
    </row>
    <row r="125" spans="3:3" x14ac:dyDescent="0.2">
      <c r="C125" s="805" t="s">
        <v>84</v>
      </c>
    </row>
    <row r="126" spans="3:3" x14ac:dyDescent="0.2">
      <c r="C126" s="805"/>
    </row>
    <row r="127" spans="3:3" x14ac:dyDescent="0.2">
      <c r="C127" s="801" t="s">
        <v>67</v>
      </c>
    </row>
    <row r="128" spans="3:3" x14ac:dyDescent="0.2">
      <c r="C128" s="801" t="s">
        <v>631</v>
      </c>
    </row>
    <row r="129" spans="3:3" x14ac:dyDescent="0.2">
      <c r="C129" s="801" t="s">
        <v>632</v>
      </c>
    </row>
    <row r="131" spans="3:3" x14ac:dyDescent="0.2">
      <c r="C131" s="805" t="s">
        <v>85</v>
      </c>
    </row>
    <row r="133" spans="3:3" x14ac:dyDescent="0.2">
      <c r="C133" s="801" t="s">
        <v>572</v>
      </c>
    </row>
    <row r="135" spans="3:3" x14ac:dyDescent="0.2">
      <c r="C135" s="805" t="s">
        <v>573</v>
      </c>
    </row>
    <row r="137" spans="3:3" x14ac:dyDescent="0.2">
      <c r="C137" s="801" t="s">
        <v>506</v>
      </c>
    </row>
    <row r="138" spans="3:3" x14ac:dyDescent="0.2">
      <c r="C138" s="801" t="s">
        <v>507</v>
      </c>
    </row>
    <row r="139" spans="3:3" x14ac:dyDescent="0.2">
      <c r="C139" s="801" t="s">
        <v>508</v>
      </c>
    </row>
    <row r="141" spans="3:3" x14ac:dyDescent="0.2">
      <c r="C141" s="805" t="s">
        <v>498</v>
      </c>
    </row>
    <row r="143" spans="3:3" x14ac:dyDescent="0.2">
      <c r="C143" s="801" t="s">
        <v>472</v>
      </c>
    </row>
    <row r="144" spans="3:3" x14ac:dyDescent="0.2">
      <c r="C144" s="801" t="s">
        <v>86</v>
      </c>
    </row>
    <row r="146" spans="3:3" x14ac:dyDescent="0.2">
      <c r="C146" s="805" t="s">
        <v>499</v>
      </c>
    </row>
    <row r="147" spans="3:3" x14ac:dyDescent="0.2">
      <c r="C147" s="805"/>
    </row>
    <row r="148" spans="3:3" x14ac:dyDescent="0.2">
      <c r="C148" s="803" t="s">
        <v>136</v>
      </c>
    </row>
    <row r="149" spans="3:3" x14ac:dyDescent="0.2">
      <c r="C149" s="803" t="s">
        <v>139</v>
      </c>
    </row>
    <row r="151" spans="3:3" x14ac:dyDescent="0.2">
      <c r="C151" s="805" t="s">
        <v>500</v>
      </c>
    </row>
    <row r="152" spans="3:3" x14ac:dyDescent="0.2">
      <c r="C152" s="805"/>
    </row>
    <row r="153" spans="3:3" x14ac:dyDescent="0.2">
      <c r="C153" s="803" t="s">
        <v>479</v>
      </c>
    </row>
    <row r="154" spans="3:3" x14ac:dyDescent="0.2">
      <c r="C154" s="803" t="s">
        <v>69</v>
      </c>
    </row>
    <row r="156" spans="3:3" x14ac:dyDescent="0.2">
      <c r="C156" s="805" t="s">
        <v>501</v>
      </c>
    </row>
    <row r="158" spans="3:3" x14ac:dyDescent="0.2">
      <c r="C158" s="803" t="s">
        <v>634</v>
      </c>
    </row>
    <row r="159" spans="3:3" x14ac:dyDescent="0.2">
      <c r="C159" s="803"/>
    </row>
    <row r="160" spans="3:3" x14ac:dyDescent="0.2">
      <c r="C160" s="803" t="s">
        <v>635</v>
      </c>
    </row>
    <row r="161" spans="3:3" x14ac:dyDescent="0.2">
      <c r="C161" s="803"/>
    </row>
    <row r="162" spans="3:3" x14ac:dyDescent="0.2">
      <c r="C162" s="803" t="s">
        <v>116</v>
      </c>
    </row>
    <row r="163" spans="3:3" x14ac:dyDescent="0.2">
      <c r="C163" s="803" t="s">
        <v>618</v>
      </c>
    </row>
    <row r="164" spans="3:3" x14ac:dyDescent="0.2">
      <c r="C164" s="801" t="s">
        <v>140</v>
      </c>
    </row>
    <row r="166" spans="3:3" x14ac:dyDescent="0.2">
      <c r="C166" s="805" t="s">
        <v>502</v>
      </c>
    </row>
    <row r="167" spans="3:3" x14ac:dyDescent="0.2">
      <c r="C167" s="801" t="s">
        <v>249</v>
      </c>
    </row>
    <row r="168" spans="3:3" x14ac:dyDescent="0.2">
      <c r="C168" s="801" t="s">
        <v>254</v>
      </c>
    </row>
    <row r="170" spans="3:3" x14ac:dyDescent="0.2">
      <c r="C170" s="805" t="s">
        <v>503</v>
      </c>
    </row>
    <row r="171" spans="3:3" x14ac:dyDescent="0.2">
      <c r="C171" s="805"/>
    </row>
    <row r="172" spans="3:3" x14ac:dyDescent="0.2">
      <c r="C172" s="803" t="s">
        <v>358</v>
      </c>
    </row>
    <row r="173" spans="3:3" x14ac:dyDescent="0.2">
      <c r="C173" s="803" t="s">
        <v>505</v>
      </c>
    </row>
    <row r="174" spans="3:3" x14ac:dyDescent="0.2">
      <c r="C174" s="801" t="s">
        <v>619</v>
      </c>
    </row>
    <row r="175" spans="3:3" x14ac:dyDescent="0.2">
      <c r="C175" s="801" t="s">
        <v>76</v>
      </c>
    </row>
    <row r="176" spans="3:3" x14ac:dyDescent="0.2">
      <c r="C176" s="801" t="s">
        <v>87</v>
      </c>
    </row>
    <row r="178" spans="3:6" x14ac:dyDescent="0.2">
      <c r="C178" s="805" t="s">
        <v>504</v>
      </c>
    </row>
    <row r="180" spans="3:6" x14ac:dyDescent="0.2">
      <c r="C180" s="803" t="s">
        <v>473</v>
      </c>
    </row>
    <row r="181" spans="3:6" x14ac:dyDescent="0.2">
      <c r="C181" s="801" t="s">
        <v>639</v>
      </c>
    </row>
    <row r="182" spans="3:6" x14ac:dyDescent="0.2">
      <c r="C182" s="801" t="s">
        <v>623</v>
      </c>
    </row>
    <row r="183" spans="3:6" x14ac:dyDescent="0.2">
      <c r="C183" s="801" t="s">
        <v>624</v>
      </c>
    </row>
    <row r="184" spans="3:6" x14ac:dyDescent="0.2">
      <c r="C184" s="801" t="s">
        <v>640</v>
      </c>
    </row>
    <row r="185" spans="3:6" x14ac:dyDescent="0.2">
      <c r="C185" s="801" t="s">
        <v>641</v>
      </c>
      <c r="E185" s="1260" t="s">
        <v>642</v>
      </c>
    </row>
    <row r="187" spans="3:6" x14ac:dyDescent="0.2">
      <c r="C187" s="805" t="s">
        <v>97</v>
      </c>
    </row>
    <row r="188" spans="3:6" x14ac:dyDescent="0.2">
      <c r="C188" s="805"/>
    </row>
    <row r="189" spans="3:6" x14ac:dyDescent="0.2">
      <c r="C189" s="803" t="s">
        <v>117</v>
      </c>
      <c r="F189" s="855" t="s">
        <v>433</v>
      </c>
    </row>
    <row r="190" spans="3:6" x14ac:dyDescent="0.2">
      <c r="C190" s="801" t="s">
        <v>434</v>
      </c>
    </row>
  </sheetData>
  <sheetProtection algorithmName="SHA-512" hashValue="AAmmHV0k9M403e08tSU0XyXbcS/oAHlVHPNTOoHLwR1eSh99RJh8Dc6+PYQrN8DxPs6wQYhcYST5mU+JDvR1/Q==" saltValue="F6scGWOr9QOzQChOjpvg7g==" spinCount="100000" sheet="1" objects="1" scenarios="1"/>
  <phoneticPr fontId="0" type="noConversion"/>
  <hyperlinks>
    <hyperlink ref="F189" r:id="rId1"/>
    <hyperlink ref="E185" r:id="rId2"/>
  </hyperlinks>
  <pageMargins left="0.74803149606299213" right="0.74803149606299213" top="0.98425196850393704" bottom="0.98425196850393704" header="0.51181102362204722" footer="0.51181102362204722"/>
  <pageSetup paperSize="9" scale="65" orientation="portrait" r:id="rId3"/>
  <headerFooter alignWithMargins="0">
    <oddHeader>&amp;L&amp;"Arial,Vet"&amp;F&amp;R&amp;"Arial,Vet"&amp;A</oddHeader>
    <oddFooter>&amp;L&amp;"Arial,Vet"PO-Raad&amp;C&amp;"Arial,Vet"&amp;D&amp;R&amp;"Arial,Vet"pagina &amp;P</oddFooter>
  </headerFooter>
  <rowBreaks count="2" manualBreakCount="2">
    <brk id="60" min="1" max="15" man="1"/>
    <brk id="129" min="1" max="15" man="1"/>
  </rowBreaks>
  <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6"/>
  <dimension ref="B2:L64"/>
  <sheetViews>
    <sheetView zoomScale="85" zoomScaleNormal="85" workbookViewId="0">
      <pane ySplit="9" topLeftCell="A10" activePane="bottomLeft" state="frozen"/>
      <selection activeCell="B2" sqref="B2"/>
      <selection pane="bottomLeft" activeCell="B2" sqref="B2"/>
    </sheetView>
  </sheetViews>
  <sheetFormatPr defaultColWidth="9.140625" defaultRowHeight="14.45" customHeight="1" x14ac:dyDescent="0.2"/>
  <cols>
    <col min="1" max="1" width="3.7109375" style="68" customWidth="1"/>
    <col min="2" max="3" width="2.7109375" style="68" customWidth="1"/>
    <col min="4" max="4" width="45.7109375" style="68" customWidth="1"/>
    <col min="5" max="5" width="2.7109375" style="68" customWidth="1"/>
    <col min="6" max="8" width="14.85546875" style="68" customWidth="1"/>
    <col min="9" max="9" width="14.85546875" style="333" customWidth="1"/>
    <col min="10" max="10" width="14.85546875" style="68" customWidth="1"/>
    <col min="11" max="12" width="2.7109375" style="68" customWidth="1"/>
    <col min="13" max="16384" width="9.140625" style="68"/>
  </cols>
  <sheetData>
    <row r="2" spans="2:12" ht="14.45" customHeight="1" x14ac:dyDescent="0.2">
      <c r="B2" s="63"/>
      <c r="C2" s="64"/>
      <c r="D2" s="64"/>
      <c r="E2" s="64"/>
      <c r="F2" s="64"/>
      <c r="G2" s="64"/>
      <c r="H2" s="607"/>
      <c r="I2" s="64"/>
      <c r="J2" s="64"/>
      <c r="K2" s="64"/>
      <c r="L2" s="67"/>
    </row>
    <row r="3" spans="2:12" ht="14.45" customHeight="1" x14ac:dyDescent="0.2">
      <c r="B3" s="69"/>
      <c r="C3" s="70"/>
      <c r="D3" s="70"/>
      <c r="E3" s="70"/>
      <c r="F3" s="70"/>
      <c r="G3" s="70"/>
      <c r="H3" s="397"/>
      <c r="I3" s="70"/>
      <c r="J3" s="70"/>
      <c r="K3" s="70"/>
      <c r="L3" s="73"/>
    </row>
    <row r="4" spans="2:12" s="608" customFormat="1" ht="14.45" customHeight="1" x14ac:dyDescent="0.3">
      <c r="B4" s="80"/>
      <c r="C4" s="857" t="s">
        <v>65</v>
      </c>
      <c r="D4" s="196"/>
      <c r="E4" s="609"/>
      <c r="F4" s="609"/>
      <c r="G4" s="609"/>
      <c r="H4" s="609"/>
      <c r="I4" s="609"/>
      <c r="J4" s="609"/>
      <c r="K4" s="609"/>
      <c r="L4" s="610"/>
    </row>
    <row r="5" spans="2:12" s="608" customFormat="1" ht="14.45" customHeight="1" x14ac:dyDescent="0.3">
      <c r="B5" s="80"/>
      <c r="C5" s="81" t="str">
        <f>geg!G12</f>
        <v>Basisschool</v>
      </c>
      <c r="D5" s="196"/>
      <c r="E5" s="609"/>
      <c r="F5" s="609"/>
      <c r="G5" s="609"/>
      <c r="H5" s="609"/>
      <c r="I5" s="609"/>
      <c r="J5" s="609"/>
      <c r="K5" s="609"/>
      <c r="L5" s="610"/>
    </row>
    <row r="6" spans="2:12" ht="14.45" customHeight="1" x14ac:dyDescent="0.2">
      <c r="B6" s="649"/>
      <c r="C6" s="650"/>
      <c r="D6" s="651"/>
      <c r="E6" s="82"/>
      <c r="F6" s="82"/>
      <c r="G6" s="82"/>
      <c r="H6" s="82"/>
      <c r="I6" s="82"/>
      <c r="J6" s="82"/>
      <c r="K6" s="82"/>
      <c r="L6" s="112"/>
    </row>
    <row r="7" spans="2:12" ht="14.45" customHeight="1" x14ac:dyDescent="0.2">
      <c r="B7" s="649"/>
      <c r="C7" s="650"/>
      <c r="D7" s="651"/>
      <c r="E7" s="82"/>
      <c r="F7" s="82"/>
      <c r="G7" s="82"/>
      <c r="H7" s="82"/>
      <c r="I7" s="82"/>
      <c r="J7" s="82"/>
      <c r="K7" s="82"/>
      <c r="L7" s="112"/>
    </row>
    <row r="8" spans="2:12" s="177" customFormat="1" ht="14.45" customHeight="1" x14ac:dyDescent="0.2">
      <c r="B8" s="652"/>
      <c r="C8" s="653"/>
      <c r="D8" s="618"/>
      <c r="E8" s="654"/>
      <c r="F8" s="880">
        <f>tab!D4</f>
        <v>2015</v>
      </c>
      <c r="G8" s="880">
        <f>F8+1</f>
        <v>2016</v>
      </c>
      <c r="H8" s="880">
        <f>G8+1</f>
        <v>2017</v>
      </c>
      <c r="I8" s="880">
        <f>H8+1</f>
        <v>2018</v>
      </c>
      <c r="J8" s="880">
        <f>I8+1</f>
        <v>2019</v>
      </c>
      <c r="K8" s="654"/>
      <c r="L8" s="655"/>
    </row>
    <row r="9" spans="2:12" ht="14.45" customHeight="1" x14ac:dyDescent="0.2">
      <c r="B9" s="649"/>
      <c r="C9" s="650"/>
      <c r="D9" s="656"/>
      <c r="E9" s="82"/>
      <c r="F9" s="82"/>
      <c r="G9" s="82"/>
      <c r="H9" s="82"/>
      <c r="I9" s="82"/>
      <c r="J9" s="82"/>
      <c r="K9" s="82"/>
      <c r="L9" s="112"/>
    </row>
    <row r="10" spans="2:12" ht="14.45" customHeight="1" x14ac:dyDescent="0.2">
      <c r="B10" s="657"/>
      <c r="C10" s="658"/>
      <c r="D10" s="230"/>
      <c r="E10" s="87"/>
      <c r="F10" s="87"/>
      <c r="G10" s="87"/>
      <c r="H10" s="87"/>
      <c r="I10" s="87"/>
      <c r="J10" s="87"/>
      <c r="K10" s="161"/>
      <c r="L10" s="73"/>
    </row>
    <row r="11" spans="2:12" ht="14.45" customHeight="1" x14ac:dyDescent="0.2">
      <c r="B11" s="657"/>
      <c r="C11" s="659"/>
      <c r="D11" s="885" t="s">
        <v>321</v>
      </c>
      <c r="E11" s="92"/>
      <c r="F11" s="92"/>
      <c r="G11" s="92"/>
      <c r="H11" s="92"/>
      <c r="I11" s="92"/>
      <c r="J11" s="92"/>
      <c r="K11" s="162"/>
      <c r="L11" s="73"/>
    </row>
    <row r="12" spans="2:12" ht="14.45" customHeight="1" x14ac:dyDescent="0.2">
      <c r="B12" s="657"/>
      <c r="C12" s="659"/>
      <c r="D12" s="91" t="s">
        <v>271</v>
      </c>
      <c r="E12" s="92"/>
      <c r="F12" s="219">
        <v>0</v>
      </c>
      <c r="G12" s="871">
        <f t="shared" ref="G12:G17" si="0">F55</f>
        <v>0</v>
      </c>
      <c r="H12" s="871">
        <f t="shared" ref="H12:J13" si="1">G55</f>
        <v>0</v>
      </c>
      <c r="I12" s="871">
        <f t="shared" si="1"/>
        <v>0</v>
      </c>
      <c r="J12" s="871">
        <f t="shared" si="1"/>
        <v>0</v>
      </c>
      <c r="K12" s="162"/>
      <c r="L12" s="73"/>
    </row>
    <row r="13" spans="2:12" ht="14.45" customHeight="1" x14ac:dyDescent="0.2">
      <c r="B13" s="657"/>
      <c r="C13" s="659"/>
      <c r="D13" s="91" t="s">
        <v>272</v>
      </c>
      <c r="E13" s="92"/>
      <c r="F13" s="217">
        <v>0</v>
      </c>
      <c r="G13" s="871">
        <f t="shared" si="0"/>
        <v>0</v>
      </c>
      <c r="H13" s="871">
        <f t="shared" si="1"/>
        <v>0</v>
      </c>
      <c r="I13" s="871">
        <f t="shared" si="1"/>
        <v>0</v>
      </c>
      <c r="J13" s="871">
        <f t="shared" si="1"/>
        <v>0</v>
      </c>
      <c r="K13" s="162"/>
      <c r="L13" s="73"/>
    </row>
    <row r="14" spans="2:12" ht="14.45" customHeight="1" x14ac:dyDescent="0.2">
      <c r="B14" s="657"/>
      <c r="C14" s="659"/>
      <c r="D14" s="214" t="s">
        <v>54</v>
      </c>
      <c r="E14" s="92"/>
      <c r="F14" s="217">
        <v>0</v>
      </c>
      <c r="G14" s="871">
        <f t="shared" si="0"/>
        <v>0</v>
      </c>
      <c r="H14" s="871">
        <f t="shared" ref="H14:J17" si="2">G57</f>
        <v>0</v>
      </c>
      <c r="I14" s="871">
        <f t="shared" si="2"/>
        <v>0</v>
      </c>
      <c r="J14" s="871">
        <f t="shared" si="2"/>
        <v>0</v>
      </c>
      <c r="K14" s="162"/>
      <c r="L14" s="73"/>
    </row>
    <row r="15" spans="2:12" ht="14.45" customHeight="1" x14ac:dyDescent="0.2">
      <c r="B15" s="657"/>
      <c r="C15" s="659"/>
      <c r="D15" s="214" t="s">
        <v>55</v>
      </c>
      <c r="E15" s="92"/>
      <c r="F15" s="217">
        <v>0</v>
      </c>
      <c r="G15" s="871">
        <f t="shared" si="0"/>
        <v>0</v>
      </c>
      <c r="H15" s="871">
        <f t="shared" si="2"/>
        <v>0</v>
      </c>
      <c r="I15" s="871">
        <f t="shared" si="2"/>
        <v>0</v>
      </c>
      <c r="J15" s="871">
        <f t="shared" si="2"/>
        <v>0</v>
      </c>
      <c r="K15" s="162"/>
      <c r="L15" s="73"/>
    </row>
    <row r="16" spans="2:12" ht="14.45" customHeight="1" x14ac:dyDescent="0.2">
      <c r="B16" s="657"/>
      <c r="C16" s="659"/>
      <c r="D16" s="91" t="s">
        <v>313</v>
      </c>
      <c r="E16" s="92"/>
      <c r="F16" s="217">
        <v>0</v>
      </c>
      <c r="G16" s="871">
        <f t="shared" si="0"/>
        <v>0</v>
      </c>
      <c r="H16" s="871">
        <f t="shared" si="2"/>
        <v>0</v>
      </c>
      <c r="I16" s="871">
        <f t="shared" si="2"/>
        <v>0</v>
      </c>
      <c r="J16" s="871">
        <f t="shared" si="2"/>
        <v>0</v>
      </c>
      <c r="K16" s="162"/>
      <c r="L16" s="73"/>
    </row>
    <row r="17" spans="2:12" ht="14.45" customHeight="1" x14ac:dyDescent="0.2">
      <c r="B17" s="657"/>
      <c r="C17" s="659"/>
      <c r="D17" s="91" t="s">
        <v>273</v>
      </c>
      <c r="E17" s="92"/>
      <c r="F17" s="217">
        <v>0</v>
      </c>
      <c r="G17" s="871">
        <f t="shared" si="0"/>
        <v>0</v>
      </c>
      <c r="H17" s="871">
        <f t="shared" si="2"/>
        <v>0</v>
      </c>
      <c r="I17" s="871">
        <f t="shared" si="2"/>
        <v>0</v>
      </c>
      <c r="J17" s="871">
        <f t="shared" si="2"/>
        <v>0</v>
      </c>
      <c r="K17" s="162"/>
      <c r="L17" s="73"/>
    </row>
    <row r="18" spans="2:12" ht="14.45" customHeight="1" x14ac:dyDescent="0.2">
      <c r="B18" s="657"/>
      <c r="C18" s="659"/>
      <c r="D18" s="116"/>
      <c r="E18" s="92"/>
      <c r="F18" s="987">
        <f>SUM(F12:F17)</f>
        <v>0</v>
      </c>
      <c r="G18" s="987">
        <f>SUM(G12:G17)</f>
        <v>0</v>
      </c>
      <c r="H18" s="987">
        <f>SUM(H12:H17)</f>
        <v>0</v>
      </c>
      <c r="I18" s="987">
        <f>SUM(I12:I17)</f>
        <v>0</v>
      </c>
      <c r="J18" s="987">
        <f>SUM(J12:J17)</f>
        <v>0</v>
      </c>
      <c r="K18" s="162"/>
      <c r="L18" s="73"/>
    </row>
    <row r="19" spans="2:12" ht="14.45" customHeight="1" x14ac:dyDescent="0.2">
      <c r="B19" s="657"/>
      <c r="C19" s="660"/>
      <c r="D19" s="144"/>
      <c r="E19" s="99"/>
      <c r="F19" s="99"/>
      <c r="G19" s="99"/>
      <c r="H19" s="99"/>
      <c r="I19" s="99"/>
      <c r="J19" s="99"/>
      <c r="K19" s="130"/>
      <c r="L19" s="73"/>
    </row>
    <row r="20" spans="2:12" ht="14.45" customHeight="1" x14ac:dyDescent="0.2">
      <c r="B20" s="69"/>
      <c r="C20" s="70"/>
      <c r="D20" s="70"/>
      <c r="E20" s="70"/>
      <c r="F20" s="70"/>
      <c r="G20" s="70"/>
      <c r="H20" s="70"/>
      <c r="I20" s="70"/>
      <c r="J20" s="70"/>
      <c r="K20" s="70"/>
      <c r="L20" s="73"/>
    </row>
    <row r="21" spans="2:12" ht="14.45" customHeight="1" x14ac:dyDescent="0.2">
      <c r="B21" s="657"/>
      <c r="C21" s="658"/>
      <c r="D21" s="230"/>
      <c r="E21" s="87"/>
      <c r="F21" s="87"/>
      <c r="G21" s="87"/>
      <c r="H21" s="87"/>
      <c r="I21" s="87"/>
      <c r="J21" s="87"/>
      <c r="K21" s="161"/>
      <c r="L21" s="73"/>
    </row>
    <row r="22" spans="2:12" ht="14.45" customHeight="1" x14ac:dyDescent="0.2">
      <c r="B22" s="657"/>
      <c r="C22" s="659"/>
      <c r="D22" s="885" t="s">
        <v>384</v>
      </c>
      <c r="E22" s="92"/>
      <c r="F22" s="116"/>
      <c r="G22" s="92"/>
      <c r="H22" s="92"/>
      <c r="I22" s="92"/>
      <c r="J22" s="92"/>
      <c r="K22" s="162"/>
      <c r="L22" s="73"/>
    </row>
    <row r="23" spans="2:12" ht="14.45" customHeight="1" x14ac:dyDescent="0.2">
      <c r="B23" s="657"/>
      <c r="C23" s="659"/>
      <c r="D23" s="91" t="s">
        <v>271</v>
      </c>
      <c r="E23" s="92"/>
      <c r="F23" s="878">
        <f>(SUMIF(mip!$D14:$D213,"gebouwen en terreinen",mip!X14:X213))</f>
        <v>0</v>
      </c>
      <c r="G23" s="878">
        <f>(SUMIF(mip!$D14:$D213,"gebouwen en terreinen",mip!Y14:Y213))</f>
        <v>0</v>
      </c>
      <c r="H23" s="878">
        <f>(SUMIF(mip!$D14:$D213,"gebouwen en terreinen",mip!Z14:Z213))</f>
        <v>0</v>
      </c>
      <c r="I23" s="878">
        <f>(SUMIF(mip!$D14:$D213,"gebouwen en terreinen",mip!AA14:AA213))</f>
        <v>0</v>
      </c>
      <c r="J23" s="878">
        <f>(SUMIF(mip!$D14:$D213,"gebouwen en terreinen",mip!AB14:AB213))</f>
        <v>0</v>
      </c>
      <c r="K23" s="162"/>
      <c r="L23" s="73"/>
    </row>
    <row r="24" spans="2:12" ht="14.45" customHeight="1" x14ac:dyDescent="0.2">
      <c r="B24" s="657"/>
      <c r="C24" s="659"/>
      <c r="D24" s="91" t="s">
        <v>272</v>
      </c>
      <c r="E24" s="92"/>
      <c r="F24" s="874">
        <f>(SUMIF(mip!$D14:$D213,"inventaris en apparatuur",mip!X14:X213))</f>
        <v>0</v>
      </c>
      <c r="G24" s="874">
        <f>(SUMIF(mip!$D14:$D213,"inventaris en apparatuur",mip!Y14:Y213))</f>
        <v>0</v>
      </c>
      <c r="H24" s="874">
        <f>(SUMIF(mip!$D14:$D213,"inventaris en apparatuur",mip!Z14:Z213))</f>
        <v>0</v>
      </c>
      <c r="I24" s="874">
        <f>(SUMIF(mip!$D14:$D213,"inventaris en apparatuur",mip!AA14:AA213))</f>
        <v>0</v>
      </c>
      <c r="J24" s="874">
        <f>(SUMIF(mip!$D14:$D213,"inventaris en apparatuur",mip!AB14:AB213))</f>
        <v>0</v>
      </c>
      <c r="K24" s="162"/>
      <c r="L24" s="73"/>
    </row>
    <row r="25" spans="2:12" ht="14.45" customHeight="1" x14ac:dyDescent="0.2">
      <c r="B25" s="657"/>
      <c r="C25" s="659"/>
      <c r="D25" s="214" t="s">
        <v>54</v>
      </c>
      <c r="E25" s="92"/>
      <c r="F25" s="874">
        <f>(SUMIF(mip!$D14:$D213,"meubilair",mip!X14:X213))</f>
        <v>0</v>
      </c>
      <c r="G25" s="874">
        <f>(SUMIF(mip!$D14:$D213,"meubilair",mip!Y14:Y213))</f>
        <v>0</v>
      </c>
      <c r="H25" s="874">
        <f>(SUMIF(mip!$D14:$D213,"meubilair",mip!Z14:Z213))</f>
        <v>0</v>
      </c>
      <c r="I25" s="874">
        <f>(SUMIF(mip!$D14:$D213,"meubilair",mip!AA14:AA213))</f>
        <v>0</v>
      </c>
      <c r="J25" s="874">
        <f>(SUMIF(mip!$D14:$D213,"meubilair",mip!AB14:AB213))</f>
        <v>0</v>
      </c>
      <c r="K25" s="162"/>
      <c r="L25" s="73"/>
    </row>
    <row r="26" spans="2:12" ht="14.45" customHeight="1" x14ac:dyDescent="0.2">
      <c r="B26" s="657"/>
      <c r="C26" s="659"/>
      <c r="D26" s="214" t="s">
        <v>55</v>
      </c>
      <c r="E26" s="92"/>
      <c r="F26" s="874">
        <f>(SUMIF(mip!$D14:$D213,"ICT",mip!X14:X213))</f>
        <v>0</v>
      </c>
      <c r="G26" s="874">
        <f>(SUMIF(mip!$D14:$D213,"ICT",mip!Y14:Y213))</f>
        <v>0</v>
      </c>
      <c r="H26" s="874">
        <f>(SUMIF(mip!$D14:$D213,"ICT",mip!Z14:Z213))</f>
        <v>0</v>
      </c>
      <c r="I26" s="874">
        <f>(SUMIF(mip!$D14:$D213,"ICT",mip!AA14:AA213))</f>
        <v>0</v>
      </c>
      <c r="J26" s="874">
        <f>(SUMIF(mip!$D14:$D213,"ICT",mip!AB14:AB213))</f>
        <v>0</v>
      </c>
      <c r="K26" s="162"/>
      <c r="L26" s="73"/>
    </row>
    <row r="27" spans="2:12" ht="14.45" customHeight="1" x14ac:dyDescent="0.2">
      <c r="B27" s="657"/>
      <c r="C27" s="659"/>
      <c r="D27" s="91" t="s">
        <v>313</v>
      </c>
      <c r="E27" s="92"/>
      <c r="F27" s="874">
        <f>(SUMIF(mip!$D14:$D213,"Leermiddelen PO",mip!X14:X213))</f>
        <v>0</v>
      </c>
      <c r="G27" s="874">
        <f>(SUMIF(mip!$D14:$D213,"Leermiddelen PO",mip!Y14:Y213))</f>
        <v>0</v>
      </c>
      <c r="H27" s="874">
        <f>(SUMIF(mip!$D14:$D213,"Leermiddelen PO",mip!Z14:Z213))</f>
        <v>0</v>
      </c>
      <c r="I27" s="874">
        <f>(SUMIF(mip!$D14:$D213,"Leermiddelen PO",mip!AA14:AA213))</f>
        <v>0</v>
      </c>
      <c r="J27" s="874">
        <f>(SUMIF(mip!$D14:$D213,"Leermiddelen PO",mip!AB14:AB213))</f>
        <v>0</v>
      </c>
      <c r="K27" s="162"/>
      <c r="L27" s="73"/>
    </row>
    <row r="28" spans="2:12" ht="14.45" customHeight="1" x14ac:dyDescent="0.2">
      <c r="B28" s="657"/>
      <c r="C28" s="659"/>
      <c r="D28" s="91" t="s">
        <v>273</v>
      </c>
      <c r="E28" s="92"/>
      <c r="F28" s="874">
        <f>(SUMIF(mip!$D14:$D213,"overige materiële vaste activa",mip!X14:X213))</f>
        <v>0</v>
      </c>
      <c r="G28" s="874">
        <f>(SUMIF(mip!$D14:$D213,"overige materiële vaste activa",mip!Y14:Y213))</f>
        <v>0</v>
      </c>
      <c r="H28" s="874">
        <f>(SUMIF(mip!$D14:$D213,"overige materiële vaste activa",mip!Z14:Z213))</f>
        <v>0</v>
      </c>
      <c r="I28" s="874">
        <f>(SUMIF(mip!$D14:$D213,"overige materiële vaste activa",mip!AA14:AA213))</f>
        <v>0</v>
      </c>
      <c r="J28" s="874">
        <f>(SUMIF(mip!$D14:$D213,"overige materiële vaste activa",mip!AB14:AB213))</f>
        <v>0</v>
      </c>
      <c r="K28" s="162"/>
      <c r="L28" s="73"/>
    </row>
    <row r="29" spans="2:12" ht="14.45" customHeight="1" x14ac:dyDescent="0.2">
      <c r="B29" s="657"/>
      <c r="C29" s="659"/>
      <c r="D29" s="116"/>
      <c r="E29" s="92"/>
      <c r="F29" s="987">
        <f>SUM(F23:F28)</f>
        <v>0</v>
      </c>
      <c r="G29" s="987">
        <f>SUM(G23:G28)</f>
        <v>0</v>
      </c>
      <c r="H29" s="987">
        <f>SUM(H23:H28)</f>
        <v>0</v>
      </c>
      <c r="I29" s="987">
        <f>SUM(I23:I28)</f>
        <v>0</v>
      </c>
      <c r="J29" s="987">
        <f>SUM(J23:J28)</f>
        <v>0</v>
      </c>
      <c r="K29" s="162"/>
      <c r="L29" s="73"/>
    </row>
    <row r="30" spans="2:12" ht="14.45" customHeight="1" x14ac:dyDescent="0.2">
      <c r="B30" s="657"/>
      <c r="C30" s="660"/>
      <c r="D30" s="144"/>
      <c r="E30" s="99"/>
      <c r="F30" s="99"/>
      <c r="G30" s="99"/>
      <c r="H30" s="99"/>
      <c r="I30" s="99"/>
      <c r="J30" s="99"/>
      <c r="K30" s="130"/>
      <c r="L30" s="73"/>
    </row>
    <row r="31" spans="2:12" ht="14.45" customHeight="1" x14ac:dyDescent="0.2">
      <c r="B31" s="69"/>
      <c r="C31" s="70"/>
      <c r="D31" s="70"/>
      <c r="E31" s="70"/>
      <c r="F31" s="70"/>
      <c r="G31" s="70"/>
      <c r="H31" s="70"/>
      <c r="I31" s="70"/>
      <c r="J31" s="70"/>
      <c r="K31" s="70"/>
      <c r="L31" s="73"/>
    </row>
    <row r="32" spans="2:12" ht="14.45" customHeight="1" x14ac:dyDescent="0.2">
      <c r="B32" s="69"/>
      <c r="C32" s="86"/>
      <c r="D32" s="134"/>
      <c r="E32" s="87"/>
      <c r="F32" s="87"/>
      <c r="G32" s="87"/>
      <c r="H32" s="661"/>
      <c r="I32" s="87"/>
      <c r="J32" s="87"/>
      <c r="K32" s="161"/>
      <c r="L32" s="73"/>
    </row>
    <row r="33" spans="2:12" ht="14.45" customHeight="1" x14ac:dyDescent="0.2">
      <c r="B33" s="657"/>
      <c r="C33" s="659"/>
      <c r="D33" s="885" t="s">
        <v>284</v>
      </c>
      <c r="E33" s="92"/>
      <c r="F33" s="92"/>
      <c r="G33" s="92"/>
      <c r="H33" s="92"/>
      <c r="I33" s="92"/>
      <c r="J33" s="92"/>
      <c r="K33" s="162"/>
      <c r="L33" s="73"/>
    </row>
    <row r="34" spans="2:12" ht="14.45" customHeight="1" x14ac:dyDescent="0.2">
      <c r="B34" s="657"/>
      <c r="C34" s="659"/>
      <c r="D34" s="91" t="s">
        <v>271</v>
      </c>
      <c r="E34" s="92"/>
      <c r="F34" s="878">
        <f>(SUMIF(mip!$D14:$D213,"gebouwen en terreinen",mip!R14:R213))</f>
        <v>0</v>
      </c>
      <c r="G34" s="871">
        <f>(SUMIF(mip!$D14:$D213,"gebouwen en terreinen",mip!S14:S213))</f>
        <v>0</v>
      </c>
      <c r="H34" s="871">
        <f>(SUMIF(mip!$D14:$D213,"gebouwen en terreinen",mip!T14:T213))</f>
        <v>0</v>
      </c>
      <c r="I34" s="871">
        <f>(SUMIF(mip!$D14:$D213,"gebouwen en terreinen",mip!U14:U213))</f>
        <v>0</v>
      </c>
      <c r="J34" s="871">
        <f>(SUMIF(mip!$D14:$D213,"gebouwen en terreinen",mip!V14:V213))</f>
        <v>0</v>
      </c>
      <c r="K34" s="162"/>
      <c r="L34" s="73"/>
    </row>
    <row r="35" spans="2:12" ht="14.45" customHeight="1" x14ac:dyDescent="0.2">
      <c r="B35" s="657"/>
      <c r="C35" s="659"/>
      <c r="D35" s="91" t="s">
        <v>272</v>
      </c>
      <c r="E35" s="92"/>
      <c r="F35" s="874">
        <f>(SUMIF(mip!$D14:$D213,"inventaris en apparatuur",mip!R14:R213))</f>
        <v>0</v>
      </c>
      <c r="G35" s="871">
        <f>(SUMIF(mip!$D14:$D213,"inventaris en apparatuur",mip!S14:S213))</f>
        <v>0</v>
      </c>
      <c r="H35" s="871">
        <f>(SUMIF(mip!$D14:$D213,"inventaris en apparatuur",mip!T14:T213))</f>
        <v>0</v>
      </c>
      <c r="I35" s="871">
        <f>(SUMIF(mip!$D14:$D213,"inventaris en apparatuur",mip!U14:U213))</f>
        <v>0</v>
      </c>
      <c r="J35" s="871">
        <f>(SUMIF(mip!$D14:$D213,"inventaris en apparatuur",mip!V14:V213))</f>
        <v>0</v>
      </c>
      <c r="K35" s="162"/>
      <c r="L35" s="73"/>
    </row>
    <row r="36" spans="2:12" ht="14.45" customHeight="1" x14ac:dyDescent="0.2">
      <c r="B36" s="657"/>
      <c r="C36" s="659"/>
      <c r="D36" s="214" t="s">
        <v>54</v>
      </c>
      <c r="E36" s="92"/>
      <c r="F36" s="874">
        <f>(SUMIF(mip!$D14:$D213,"meubilair",mip!R14:R213))</f>
        <v>0</v>
      </c>
      <c r="G36" s="871">
        <f>(SUMIF(mip!$D14:$D213,"meubilair",mip!S14:S213))</f>
        <v>0</v>
      </c>
      <c r="H36" s="871">
        <f>(SUMIF(mip!$D14:$D213,"meubilair",mip!T14:T213))</f>
        <v>0</v>
      </c>
      <c r="I36" s="871">
        <f>(SUMIF(mip!$D14:$D213,"meubilair",mip!U14:U213))</f>
        <v>0</v>
      </c>
      <c r="J36" s="871">
        <f>(SUMIF(mip!$D14:$D213,"meubilair",mip!V14:V213))</f>
        <v>0</v>
      </c>
      <c r="K36" s="162"/>
      <c r="L36" s="73"/>
    </row>
    <row r="37" spans="2:12" ht="14.45" customHeight="1" x14ac:dyDescent="0.2">
      <c r="B37" s="657"/>
      <c r="C37" s="659"/>
      <c r="D37" s="214" t="s">
        <v>55</v>
      </c>
      <c r="E37" s="92"/>
      <c r="F37" s="874">
        <f>(SUMIF(mip!$D14:$D213,"ICT",mip!R14:R213))</f>
        <v>0</v>
      </c>
      <c r="G37" s="871">
        <f>(SUMIF(mip!$D14:$D213,"ICT",mip!S14:S213))</f>
        <v>0</v>
      </c>
      <c r="H37" s="871">
        <f>(SUMIF(mip!$D14:$D213,"ICT",mip!T14:T213))</f>
        <v>0</v>
      </c>
      <c r="I37" s="871">
        <f>(SUMIF(mip!$D14:$D213,"ICT",mip!U14:U213))</f>
        <v>0</v>
      </c>
      <c r="J37" s="871">
        <f>(SUMIF(mip!$D14:$D213,"ICT",mip!V14:V213))</f>
        <v>0</v>
      </c>
      <c r="K37" s="162"/>
      <c r="L37" s="73"/>
    </row>
    <row r="38" spans="2:12" ht="14.45" customHeight="1" x14ac:dyDescent="0.2">
      <c r="B38" s="657"/>
      <c r="C38" s="659"/>
      <c r="D38" s="91" t="s">
        <v>313</v>
      </c>
      <c r="E38" s="92"/>
      <c r="F38" s="874">
        <f>(SUMIF(mip!$D14:$D213,"Leermiddelen PO",mip!R14:R213))</f>
        <v>0</v>
      </c>
      <c r="G38" s="871">
        <f>(SUMIF(mip!$D14:$D213,"Leermiddelen PO",mip!S14:S213))</f>
        <v>0</v>
      </c>
      <c r="H38" s="871">
        <f>(SUMIF(mip!$D14:$D213,"Leermiddelen PO",mip!T14:T213))</f>
        <v>0</v>
      </c>
      <c r="I38" s="871">
        <f>(SUMIF(mip!$D14:$D213,"Leermiddelen PO",mip!U14:U213))</f>
        <v>0</v>
      </c>
      <c r="J38" s="871">
        <f>(SUMIF(mip!$D14:$D213,"Leermiddelen PO",mip!V14:V213))</f>
        <v>0</v>
      </c>
      <c r="K38" s="162"/>
      <c r="L38" s="73"/>
    </row>
    <row r="39" spans="2:12" ht="14.45" customHeight="1" x14ac:dyDescent="0.2">
      <c r="B39" s="657"/>
      <c r="C39" s="659"/>
      <c r="D39" s="91" t="s">
        <v>273</v>
      </c>
      <c r="E39" s="92"/>
      <c r="F39" s="874">
        <f>(SUMIF(mip!$D14:$D213,"overige materiële vaste activa",mip!R14:R213))</f>
        <v>0</v>
      </c>
      <c r="G39" s="871">
        <f>(SUMIF(mip!$D14:$D213,"overige materiële vaste activa",mip!S14:S213))</f>
        <v>0</v>
      </c>
      <c r="H39" s="871">
        <f>(SUMIF(mip!$D14:$D213,"overige materiële vaste activa",mip!T14:T213))</f>
        <v>0</v>
      </c>
      <c r="I39" s="871">
        <f>(SUMIF(mip!$D14:$D213,"overige materiële vaste activa",mip!U14:U213))</f>
        <v>0</v>
      </c>
      <c r="J39" s="871">
        <f>(SUMIF(mip!$D14:$D213,"overige materiële vaste activa",mip!V14:V213))</f>
        <v>0</v>
      </c>
      <c r="K39" s="162"/>
      <c r="L39" s="73"/>
    </row>
    <row r="40" spans="2:12" ht="14.45" customHeight="1" x14ac:dyDescent="0.2">
      <c r="B40" s="617"/>
      <c r="C40" s="662"/>
      <c r="D40" s="663"/>
      <c r="E40" s="204"/>
      <c r="F40" s="915">
        <f>SUM(F34:F39)</f>
        <v>0</v>
      </c>
      <c r="G40" s="915">
        <f>SUM(G34:G39)</f>
        <v>0</v>
      </c>
      <c r="H40" s="915">
        <f>SUM(H34:H39)</f>
        <v>0</v>
      </c>
      <c r="I40" s="915">
        <f>SUM(I34:I39)</f>
        <v>0</v>
      </c>
      <c r="J40" s="915">
        <f>SUM(J34:J39)</f>
        <v>0</v>
      </c>
      <c r="K40" s="664"/>
      <c r="L40" s="127"/>
    </row>
    <row r="41" spans="2:12" ht="14.45" hidden="1" customHeight="1" x14ac:dyDescent="0.2">
      <c r="B41" s="657"/>
      <c r="C41" s="659"/>
      <c r="D41" s="885" t="s">
        <v>533</v>
      </c>
      <c r="E41" s="92"/>
      <c r="F41" s="92"/>
      <c r="G41" s="92"/>
      <c r="H41" s="92"/>
      <c r="I41" s="92"/>
      <c r="J41" s="92"/>
      <c r="K41" s="162"/>
      <c r="L41" s="73"/>
    </row>
    <row r="42" spans="2:12" ht="14.45" hidden="1" customHeight="1" x14ac:dyDescent="0.2">
      <c r="B42" s="657"/>
      <c r="C42" s="659"/>
      <c r="D42" s="91" t="s">
        <v>271</v>
      </c>
      <c r="E42" s="92"/>
      <c r="F42" s="219">
        <v>0</v>
      </c>
      <c r="G42" s="624">
        <v>0</v>
      </c>
      <c r="H42" s="624">
        <v>0</v>
      </c>
      <c r="I42" s="624">
        <v>0</v>
      </c>
      <c r="J42" s="624">
        <v>0</v>
      </c>
      <c r="K42" s="162"/>
      <c r="L42" s="73"/>
    </row>
    <row r="43" spans="2:12" ht="14.45" hidden="1" customHeight="1" x14ac:dyDescent="0.2">
      <c r="B43" s="657"/>
      <c r="C43" s="659"/>
      <c r="D43" s="91" t="s">
        <v>272</v>
      </c>
      <c r="E43" s="92"/>
      <c r="F43" s="217">
        <v>0</v>
      </c>
      <c r="G43" s="624">
        <v>0</v>
      </c>
      <c r="H43" s="624">
        <v>0</v>
      </c>
      <c r="I43" s="624">
        <v>0</v>
      </c>
      <c r="J43" s="624">
        <v>0</v>
      </c>
      <c r="K43" s="162"/>
      <c r="L43" s="73"/>
    </row>
    <row r="44" spans="2:12" ht="14.45" hidden="1" customHeight="1" x14ac:dyDescent="0.2">
      <c r="B44" s="657"/>
      <c r="C44" s="659"/>
      <c r="D44" s="214" t="s">
        <v>54</v>
      </c>
      <c r="E44" s="92"/>
      <c r="F44" s="217">
        <v>0</v>
      </c>
      <c r="G44" s="624">
        <v>0</v>
      </c>
      <c r="H44" s="624">
        <v>0</v>
      </c>
      <c r="I44" s="624">
        <v>0</v>
      </c>
      <c r="J44" s="624">
        <v>0</v>
      </c>
      <c r="K44" s="162"/>
      <c r="L44" s="73"/>
    </row>
    <row r="45" spans="2:12" ht="14.45" hidden="1" customHeight="1" x14ac:dyDescent="0.2">
      <c r="B45" s="657"/>
      <c r="C45" s="659"/>
      <c r="D45" s="214" t="s">
        <v>55</v>
      </c>
      <c r="E45" s="92"/>
      <c r="F45" s="217">
        <v>0</v>
      </c>
      <c r="G45" s="624">
        <v>0</v>
      </c>
      <c r="H45" s="624">
        <v>0</v>
      </c>
      <c r="I45" s="624">
        <v>0</v>
      </c>
      <c r="J45" s="624">
        <v>0</v>
      </c>
      <c r="K45" s="162"/>
      <c r="L45" s="73"/>
    </row>
    <row r="46" spans="2:12" ht="14.45" hidden="1" customHeight="1" x14ac:dyDescent="0.2">
      <c r="B46" s="657"/>
      <c r="C46" s="659"/>
      <c r="D46" s="91" t="s">
        <v>313</v>
      </c>
      <c r="E46" s="92"/>
      <c r="F46" s="217">
        <v>0</v>
      </c>
      <c r="G46" s="624">
        <v>0</v>
      </c>
      <c r="H46" s="624">
        <v>0</v>
      </c>
      <c r="I46" s="624">
        <v>0</v>
      </c>
      <c r="J46" s="624">
        <v>0</v>
      </c>
      <c r="K46" s="162"/>
      <c r="L46" s="73"/>
    </row>
    <row r="47" spans="2:12" ht="14.45" hidden="1" customHeight="1" x14ac:dyDescent="0.2">
      <c r="B47" s="657"/>
      <c r="C47" s="659"/>
      <c r="D47" s="91" t="s">
        <v>273</v>
      </c>
      <c r="E47" s="92"/>
      <c r="F47" s="217">
        <v>0</v>
      </c>
      <c r="G47" s="624">
        <v>0</v>
      </c>
      <c r="H47" s="624">
        <v>0</v>
      </c>
      <c r="I47" s="624">
        <v>0</v>
      </c>
      <c r="J47" s="624">
        <v>0</v>
      </c>
      <c r="K47" s="162"/>
      <c r="L47" s="73"/>
    </row>
    <row r="48" spans="2:12" ht="14.45" hidden="1" customHeight="1" x14ac:dyDescent="0.2">
      <c r="B48" s="617"/>
      <c r="C48" s="662"/>
      <c r="D48" s="663"/>
      <c r="E48" s="204"/>
      <c r="F48" s="988">
        <f>SUM(F42:F47)</f>
        <v>0</v>
      </c>
      <c r="G48" s="988">
        <f>SUM(G42:G47)</f>
        <v>0</v>
      </c>
      <c r="H48" s="988">
        <f>SUM(H42:H47)</f>
        <v>0</v>
      </c>
      <c r="I48" s="988">
        <f>SUM(I42:I47)</f>
        <v>0</v>
      </c>
      <c r="J48" s="988">
        <f>SUM(J42:J47)</f>
        <v>0</v>
      </c>
      <c r="K48" s="664"/>
      <c r="L48" s="127"/>
    </row>
    <row r="49" spans="2:12" ht="14.45" hidden="1" customHeight="1" x14ac:dyDescent="0.2">
      <c r="B49" s="69"/>
      <c r="C49" s="90"/>
      <c r="D49" s="92"/>
      <c r="E49" s="92"/>
      <c r="F49" s="92"/>
      <c r="G49" s="92"/>
      <c r="H49" s="199"/>
      <c r="I49" s="92"/>
      <c r="J49" s="92"/>
      <c r="K49" s="162"/>
      <c r="L49" s="73"/>
    </row>
    <row r="50" spans="2:12" s="182" customFormat="1" ht="14.45" hidden="1" customHeight="1" x14ac:dyDescent="0.2">
      <c r="B50" s="158"/>
      <c r="C50" s="163"/>
      <c r="D50" s="126" t="s">
        <v>193</v>
      </c>
      <c r="E50" s="126"/>
      <c r="F50" s="985">
        <f>F40+F48</f>
        <v>0</v>
      </c>
      <c r="G50" s="985">
        <f>G40+G48</f>
        <v>0</v>
      </c>
      <c r="H50" s="985">
        <f>H40+H48</f>
        <v>0</v>
      </c>
      <c r="I50" s="985">
        <f>I40+I48</f>
        <v>0</v>
      </c>
      <c r="J50" s="985">
        <f>J40+J48</f>
        <v>0</v>
      </c>
      <c r="K50" s="215"/>
      <c r="L50" s="166"/>
    </row>
    <row r="51" spans="2:12" ht="14.45" customHeight="1" x14ac:dyDescent="0.2">
      <c r="B51" s="69"/>
      <c r="C51" s="98"/>
      <c r="D51" s="99"/>
      <c r="E51" s="99"/>
      <c r="F51" s="99"/>
      <c r="G51" s="99"/>
      <c r="H51" s="394"/>
      <c r="I51" s="99"/>
      <c r="J51" s="99"/>
      <c r="K51" s="130"/>
      <c r="L51" s="73"/>
    </row>
    <row r="52" spans="2:12" ht="14.45" customHeight="1" x14ac:dyDescent="0.2">
      <c r="B52" s="69"/>
      <c r="C52" s="70"/>
      <c r="D52" s="70"/>
      <c r="E52" s="70"/>
      <c r="F52" s="70"/>
      <c r="G52" s="70"/>
      <c r="H52" s="70"/>
      <c r="I52" s="70"/>
      <c r="J52" s="70"/>
      <c r="K52" s="70"/>
      <c r="L52" s="73"/>
    </row>
    <row r="53" spans="2:12" ht="14.45" customHeight="1" x14ac:dyDescent="0.2">
      <c r="B53" s="657"/>
      <c r="C53" s="658"/>
      <c r="D53" s="230"/>
      <c r="E53" s="87"/>
      <c r="F53" s="87"/>
      <c r="G53" s="87"/>
      <c r="H53" s="87"/>
      <c r="I53" s="87"/>
      <c r="J53" s="87"/>
      <c r="K53" s="161"/>
      <c r="L53" s="73"/>
    </row>
    <row r="54" spans="2:12" ht="14.45" customHeight="1" x14ac:dyDescent="0.2">
      <c r="B54" s="657"/>
      <c r="C54" s="659"/>
      <c r="D54" s="885" t="s">
        <v>316</v>
      </c>
      <c r="E54" s="92"/>
      <c r="F54" s="92"/>
      <c r="G54" s="92"/>
      <c r="H54" s="92"/>
      <c r="I54" s="92"/>
      <c r="J54" s="92"/>
      <c r="K54" s="162"/>
      <c r="L54" s="73"/>
    </row>
    <row r="55" spans="2:12" ht="14.45" customHeight="1" x14ac:dyDescent="0.2">
      <c r="B55" s="657"/>
      <c r="C55" s="659"/>
      <c r="D55" s="91" t="s">
        <v>271</v>
      </c>
      <c r="E55" s="92"/>
      <c r="F55" s="871">
        <f t="shared" ref="F55:J60" si="3">F12+F23-F34-F42</f>
        <v>0</v>
      </c>
      <c r="G55" s="871">
        <f t="shared" si="3"/>
        <v>0</v>
      </c>
      <c r="H55" s="871">
        <f t="shared" si="3"/>
        <v>0</v>
      </c>
      <c r="I55" s="871">
        <f t="shared" si="3"/>
        <v>0</v>
      </c>
      <c r="J55" s="871">
        <f t="shared" si="3"/>
        <v>0</v>
      </c>
      <c r="K55" s="162"/>
      <c r="L55" s="73"/>
    </row>
    <row r="56" spans="2:12" ht="14.45" customHeight="1" x14ac:dyDescent="0.2">
      <c r="B56" s="657"/>
      <c r="C56" s="659"/>
      <c r="D56" s="91" t="s">
        <v>272</v>
      </c>
      <c r="E56" s="92"/>
      <c r="F56" s="871">
        <f t="shared" si="3"/>
        <v>0</v>
      </c>
      <c r="G56" s="871">
        <f t="shared" si="3"/>
        <v>0</v>
      </c>
      <c r="H56" s="871">
        <f t="shared" si="3"/>
        <v>0</v>
      </c>
      <c r="I56" s="871">
        <f t="shared" si="3"/>
        <v>0</v>
      </c>
      <c r="J56" s="871">
        <f t="shared" si="3"/>
        <v>0</v>
      </c>
      <c r="K56" s="162"/>
      <c r="L56" s="73"/>
    </row>
    <row r="57" spans="2:12" ht="14.45" customHeight="1" x14ac:dyDescent="0.2">
      <c r="B57" s="657"/>
      <c r="C57" s="659"/>
      <c r="D57" s="214" t="s">
        <v>54</v>
      </c>
      <c r="E57" s="92"/>
      <c r="F57" s="871">
        <f t="shared" si="3"/>
        <v>0</v>
      </c>
      <c r="G57" s="871">
        <f t="shared" si="3"/>
        <v>0</v>
      </c>
      <c r="H57" s="871">
        <f t="shared" si="3"/>
        <v>0</v>
      </c>
      <c r="I57" s="871">
        <f t="shared" si="3"/>
        <v>0</v>
      </c>
      <c r="J57" s="871">
        <f t="shared" si="3"/>
        <v>0</v>
      </c>
      <c r="K57" s="162"/>
      <c r="L57" s="73"/>
    </row>
    <row r="58" spans="2:12" ht="14.45" customHeight="1" x14ac:dyDescent="0.2">
      <c r="B58" s="657"/>
      <c r="C58" s="659"/>
      <c r="D58" s="214" t="s">
        <v>55</v>
      </c>
      <c r="E58" s="92"/>
      <c r="F58" s="871">
        <f t="shared" si="3"/>
        <v>0</v>
      </c>
      <c r="G58" s="871">
        <f t="shared" si="3"/>
        <v>0</v>
      </c>
      <c r="H58" s="871">
        <f t="shared" si="3"/>
        <v>0</v>
      </c>
      <c r="I58" s="871">
        <f t="shared" si="3"/>
        <v>0</v>
      </c>
      <c r="J58" s="871">
        <f t="shared" si="3"/>
        <v>0</v>
      </c>
      <c r="K58" s="162"/>
      <c r="L58" s="73"/>
    </row>
    <row r="59" spans="2:12" ht="14.45" customHeight="1" x14ac:dyDescent="0.2">
      <c r="B59" s="657"/>
      <c r="C59" s="659"/>
      <c r="D59" s="91" t="s">
        <v>313</v>
      </c>
      <c r="E59" s="92"/>
      <c r="F59" s="871">
        <f t="shared" si="3"/>
        <v>0</v>
      </c>
      <c r="G59" s="871">
        <f t="shared" si="3"/>
        <v>0</v>
      </c>
      <c r="H59" s="871">
        <f t="shared" si="3"/>
        <v>0</v>
      </c>
      <c r="I59" s="871">
        <f t="shared" si="3"/>
        <v>0</v>
      </c>
      <c r="J59" s="871">
        <f t="shared" si="3"/>
        <v>0</v>
      </c>
      <c r="K59" s="162"/>
      <c r="L59" s="73"/>
    </row>
    <row r="60" spans="2:12" ht="14.45" customHeight="1" x14ac:dyDescent="0.2">
      <c r="B60" s="657"/>
      <c r="C60" s="659"/>
      <c r="D60" s="91" t="s">
        <v>273</v>
      </c>
      <c r="E60" s="92"/>
      <c r="F60" s="871">
        <f t="shared" si="3"/>
        <v>0</v>
      </c>
      <c r="G60" s="871">
        <f t="shared" si="3"/>
        <v>0</v>
      </c>
      <c r="H60" s="871">
        <f t="shared" si="3"/>
        <v>0</v>
      </c>
      <c r="I60" s="871">
        <f t="shared" si="3"/>
        <v>0</v>
      </c>
      <c r="J60" s="871">
        <f t="shared" si="3"/>
        <v>0</v>
      </c>
      <c r="K60" s="162"/>
      <c r="L60" s="73"/>
    </row>
    <row r="61" spans="2:12" ht="14.45" customHeight="1" x14ac:dyDescent="0.2">
      <c r="B61" s="665"/>
      <c r="C61" s="666"/>
      <c r="D61" s="116"/>
      <c r="E61" s="126"/>
      <c r="F61" s="986">
        <f>SUM(F55:F60)</f>
        <v>0</v>
      </c>
      <c r="G61" s="986">
        <f>SUM(G55:G60)</f>
        <v>0</v>
      </c>
      <c r="H61" s="986">
        <f>SUM(H55:H60)</f>
        <v>0</v>
      </c>
      <c r="I61" s="986">
        <f>SUM(I55:I60)</f>
        <v>0</v>
      </c>
      <c r="J61" s="986">
        <f>SUM(J55:J60)</f>
        <v>0</v>
      </c>
      <c r="K61" s="215"/>
      <c r="L61" s="166"/>
    </row>
    <row r="62" spans="2:12" ht="14.45" customHeight="1" x14ac:dyDescent="0.2">
      <c r="B62" s="69"/>
      <c r="C62" s="98"/>
      <c r="D62" s="99"/>
      <c r="E62" s="99"/>
      <c r="F62" s="99"/>
      <c r="G62" s="99"/>
      <c r="H62" s="99"/>
      <c r="I62" s="99"/>
      <c r="J62" s="99"/>
      <c r="K62" s="130"/>
      <c r="L62" s="73"/>
    </row>
    <row r="63" spans="2:12" ht="14.45" customHeight="1" x14ac:dyDescent="0.2">
      <c r="B63" s="69"/>
      <c r="C63" s="70"/>
      <c r="D63" s="70"/>
      <c r="E63" s="70"/>
      <c r="F63" s="70"/>
      <c r="G63" s="70"/>
      <c r="H63" s="70"/>
      <c r="I63" s="70"/>
      <c r="J63" s="70"/>
      <c r="K63" s="70"/>
      <c r="L63" s="73"/>
    </row>
    <row r="64" spans="2:12" ht="14.45" customHeight="1" x14ac:dyDescent="0.25">
      <c r="B64" s="171"/>
      <c r="C64" s="172"/>
      <c r="D64" s="172"/>
      <c r="E64" s="172"/>
      <c r="F64" s="172"/>
      <c r="G64" s="172"/>
      <c r="H64" s="172"/>
      <c r="I64" s="172"/>
      <c r="J64" s="172"/>
      <c r="K64" s="152" t="s">
        <v>435</v>
      </c>
      <c r="L64" s="173"/>
    </row>
  </sheetData>
  <sheetProtection algorithmName="SHA-512" hashValue="UxBaus9dDlxnhELTOE/4Vpz6Nj9PRQLkaDQlEMiie17SUAFxL8HfF7EEehAXvIXfbGWdPzXq13d7x1Wfb/kiQA==" saltValue="na5Sk16VQ1HWO2a9A3TiFQ==" spinCount="100000" sheet="1" objects="1" scenarios="1"/>
  <phoneticPr fontId="0" type="noConversion"/>
  <pageMargins left="0.74803149606299213" right="0.74803149606299213" top="0.98425196850393704" bottom="0.98425196850393704" header="0.51181102362204722" footer="0.51181102362204722"/>
  <pageSetup paperSize="9" scale="60" orientation="portrait" r:id="rId1"/>
  <headerFooter alignWithMargins="0">
    <oddHeader>&amp;L&amp;"Arial,Vet"&amp;F&amp;R&amp;"Arial,Vet"&amp;A</oddHeader>
    <oddFooter>&amp;L&amp;"Arial,Vet"PO-Raad&amp;C&amp;"Arial,Vet"&amp;D&amp;R&amp;"Arial,Vet"pagina &amp;P</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W125"/>
  <sheetViews>
    <sheetView showGridLines="0" zoomScale="85" zoomScaleNormal="85" zoomScaleSheetLayoutView="75" workbookViewId="0">
      <selection activeCell="B2" sqref="B2"/>
    </sheetView>
  </sheetViews>
  <sheetFormatPr defaultColWidth="9.140625" defaultRowHeight="12.75" x14ac:dyDescent="0.2"/>
  <cols>
    <col min="1" max="1" width="3.7109375" style="68" customWidth="1"/>
    <col min="2" max="3" width="2.7109375" style="68" customWidth="1"/>
    <col min="4" max="4" width="36.28515625" style="68" customWidth="1"/>
    <col min="5" max="5" width="0.85546875" style="68" customWidth="1"/>
    <col min="6" max="6" width="35.85546875" style="68" customWidth="1"/>
    <col min="7" max="7" width="0.85546875" style="68" customWidth="1"/>
    <col min="8" max="8" width="30.85546875" style="68" customWidth="1"/>
    <col min="9" max="11" width="8.7109375" style="68" customWidth="1"/>
    <col min="12" max="12" width="10.7109375" style="375" customWidth="1"/>
    <col min="13" max="13" width="0.85546875" style="68" customWidth="1"/>
    <col min="14" max="14" width="31.140625" style="68" customWidth="1"/>
    <col min="15" max="15" width="10.7109375" style="809" customWidth="1"/>
    <col min="16" max="16" width="0.85546875" style="68" customWidth="1"/>
    <col min="17" max="17" width="31" style="68" customWidth="1"/>
    <col min="18" max="18" width="10.7109375" style="68" customWidth="1"/>
    <col min="19" max="19" width="2.7109375" style="68" customWidth="1"/>
    <col min="20" max="20" width="10.7109375" style="68" customWidth="1"/>
    <col min="21" max="22" width="2.7109375" style="68" customWidth="1"/>
    <col min="23" max="23" width="15.42578125" style="68" customWidth="1"/>
    <col min="24" max="25" width="5.7109375" style="68" customWidth="1"/>
    <col min="26" max="16384" width="9.140625" style="68"/>
  </cols>
  <sheetData>
    <row r="1" spans="2:23" ht="12.75" customHeight="1" x14ac:dyDescent="0.2"/>
    <row r="2" spans="2:23" x14ac:dyDescent="0.2">
      <c r="B2" s="63"/>
      <c r="C2" s="64"/>
      <c r="D2" s="64"/>
      <c r="E2" s="64"/>
      <c r="F2" s="64"/>
      <c r="G2" s="64"/>
      <c r="H2" s="64"/>
      <c r="I2" s="64"/>
      <c r="J2" s="64"/>
      <c r="K2" s="64"/>
      <c r="L2" s="442"/>
      <c r="M2" s="64"/>
      <c r="N2" s="64"/>
      <c r="O2" s="810"/>
      <c r="P2" s="64"/>
      <c r="Q2" s="64"/>
      <c r="R2" s="64"/>
      <c r="S2" s="64"/>
      <c r="T2" s="64"/>
      <c r="U2" s="64"/>
      <c r="V2" s="67"/>
    </row>
    <row r="3" spans="2:23" x14ac:dyDescent="0.2">
      <c r="B3" s="69"/>
      <c r="C3" s="70"/>
      <c r="D3" s="70"/>
      <c r="E3" s="70"/>
      <c r="F3" s="70"/>
      <c r="G3" s="70"/>
      <c r="H3" s="70"/>
      <c r="I3" s="70"/>
      <c r="J3" s="70"/>
      <c r="K3" s="70"/>
      <c r="L3" s="446"/>
      <c r="M3" s="70"/>
      <c r="N3" s="70"/>
      <c r="O3" s="811"/>
      <c r="P3" s="70"/>
      <c r="Q3" s="70"/>
      <c r="R3" s="70"/>
      <c r="S3" s="70"/>
      <c r="T3" s="70"/>
      <c r="U3" s="70"/>
      <c r="V3" s="73"/>
    </row>
    <row r="4" spans="2:23" s="106" customFormat="1" ht="18.75" x14ac:dyDescent="0.3">
      <c r="B4" s="75"/>
      <c r="C4" s="857" t="s">
        <v>633</v>
      </c>
      <c r="D4" s="76"/>
      <c r="E4" s="77"/>
      <c r="F4" s="667"/>
      <c r="G4" s="77"/>
      <c r="H4" s="77"/>
      <c r="I4" s="77"/>
      <c r="J4" s="77"/>
      <c r="K4" s="77"/>
      <c r="L4" s="820"/>
      <c r="M4" s="77"/>
      <c r="N4" s="77"/>
      <c r="O4" s="812"/>
      <c r="P4" s="77"/>
      <c r="Q4" s="77"/>
      <c r="R4" s="77"/>
      <c r="S4" s="77"/>
      <c r="T4" s="77"/>
      <c r="U4" s="77"/>
      <c r="V4" s="78"/>
    </row>
    <row r="5" spans="2:23" ht="18.75" x14ac:dyDescent="0.3">
      <c r="B5" s="612"/>
      <c r="C5" s="81" t="str">
        <f>geg!G12</f>
        <v>Basisschool</v>
      </c>
      <c r="D5" s="616"/>
      <c r="E5" s="70"/>
      <c r="F5" s="668"/>
      <c r="G5" s="70"/>
      <c r="H5" s="70"/>
      <c r="I5" s="70"/>
      <c r="J5" s="70"/>
      <c r="K5" s="70"/>
      <c r="L5" s="446"/>
      <c r="M5" s="70"/>
      <c r="N5" s="70"/>
      <c r="O5" s="811"/>
      <c r="P5" s="70"/>
      <c r="Q5" s="70"/>
      <c r="R5" s="70"/>
      <c r="S5" s="70"/>
      <c r="T5" s="70"/>
      <c r="U5" s="70"/>
      <c r="V5" s="73"/>
    </row>
    <row r="6" spans="2:23" x14ac:dyDescent="0.2">
      <c r="B6" s="69"/>
      <c r="C6" s="70"/>
      <c r="D6" s="70"/>
      <c r="E6" s="70"/>
      <c r="F6" s="70"/>
      <c r="G6" s="70"/>
      <c r="H6" s="70"/>
      <c r="I6" s="70"/>
      <c r="J6" s="70"/>
      <c r="K6" s="70"/>
      <c r="L6" s="446"/>
      <c r="M6" s="70"/>
      <c r="N6" s="70"/>
      <c r="O6" s="811"/>
      <c r="P6" s="70"/>
      <c r="Q6" s="70"/>
      <c r="R6" s="70"/>
      <c r="S6" s="70"/>
      <c r="T6" s="70"/>
      <c r="U6" s="70"/>
      <c r="V6" s="73"/>
    </row>
    <row r="7" spans="2:23" x14ac:dyDescent="0.2">
      <c r="B7" s="69"/>
      <c r="C7" s="70"/>
      <c r="D7" s="70"/>
      <c r="E7" s="70"/>
      <c r="F7" s="70"/>
      <c r="G7" s="70"/>
      <c r="H7" s="70"/>
      <c r="I7" s="70"/>
      <c r="J7" s="70"/>
      <c r="K7" s="70"/>
      <c r="L7" s="446"/>
      <c r="M7" s="70"/>
      <c r="N7" s="70"/>
      <c r="O7" s="811"/>
      <c r="P7" s="70"/>
      <c r="Q7" s="70"/>
      <c r="R7" s="70"/>
      <c r="S7" s="70"/>
      <c r="T7" s="70"/>
      <c r="U7" s="70"/>
      <c r="V7" s="73"/>
    </row>
    <row r="8" spans="2:23" x14ac:dyDescent="0.2">
      <c r="B8" s="69"/>
      <c r="C8" s="70"/>
      <c r="D8" s="70"/>
      <c r="E8" s="672"/>
      <c r="F8" s="70"/>
      <c r="G8" s="672"/>
      <c r="H8" s="70"/>
      <c r="I8" s="70"/>
      <c r="J8" s="70"/>
      <c r="K8" s="70"/>
      <c r="L8" s="446"/>
      <c r="M8" s="672"/>
      <c r="N8" s="70"/>
      <c r="O8" s="811"/>
      <c r="P8" s="672"/>
      <c r="Q8" s="70"/>
      <c r="R8" s="70"/>
      <c r="S8" s="672"/>
      <c r="T8" s="70"/>
      <c r="U8" s="672"/>
      <c r="V8" s="673"/>
      <c r="W8" s="674"/>
    </row>
    <row r="9" spans="2:23" x14ac:dyDescent="0.2">
      <c r="B9" s="69"/>
      <c r="C9" s="70"/>
      <c r="D9" s="70"/>
      <c r="E9" s="672"/>
      <c r="F9" s="70"/>
      <c r="G9" s="672"/>
      <c r="H9" s="70"/>
      <c r="I9" s="70"/>
      <c r="J9" s="70"/>
      <c r="K9" s="70"/>
      <c r="L9" s="446"/>
      <c r="M9" s="672"/>
      <c r="N9" s="70"/>
      <c r="O9" s="811"/>
      <c r="P9" s="672"/>
      <c r="Q9" s="70"/>
      <c r="R9" s="70"/>
      <c r="S9" s="672"/>
      <c r="T9" s="70"/>
      <c r="U9" s="672"/>
      <c r="V9" s="673"/>
      <c r="W9" s="674"/>
    </row>
    <row r="10" spans="2:23" x14ac:dyDescent="0.2">
      <c r="B10" s="69"/>
      <c r="C10" s="86"/>
      <c r="D10" s="87"/>
      <c r="E10" s="676"/>
      <c r="F10" s="87"/>
      <c r="G10" s="676"/>
      <c r="H10" s="87"/>
      <c r="I10" s="87"/>
      <c r="J10" s="87"/>
      <c r="K10" s="87"/>
      <c r="L10" s="551"/>
      <c r="M10" s="676"/>
      <c r="N10" s="87"/>
      <c r="O10" s="813"/>
      <c r="P10" s="676"/>
      <c r="Q10" s="161"/>
      <c r="R10" s="87"/>
      <c r="S10" s="676"/>
      <c r="T10" s="161"/>
      <c r="U10" s="676"/>
      <c r="V10" s="673"/>
      <c r="W10" s="674"/>
    </row>
    <row r="11" spans="2:23" x14ac:dyDescent="0.2">
      <c r="B11" s="69"/>
      <c r="C11" s="86"/>
      <c r="D11" s="766" t="s">
        <v>482</v>
      </c>
      <c r="E11" s="676"/>
      <c r="G11" s="674"/>
      <c r="H11" s="828" t="s">
        <v>511</v>
      </c>
      <c r="I11" s="281"/>
      <c r="J11" s="414"/>
      <c r="K11" s="414"/>
      <c r="L11" s="780"/>
      <c r="M11" s="833"/>
      <c r="N11" s="832" t="s">
        <v>510</v>
      </c>
      <c r="O11" s="834"/>
      <c r="P11" s="833"/>
      <c r="Q11" s="829" t="s">
        <v>487</v>
      </c>
      <c r="S11" s="833"/>
      <c r="T11" s="839" t="s">
        <v>509</v>
      </c>
      <c r="U11" s="676"/>
      <c r="V11" s="673"/>
      <c r="W11" s="674"/>
    </row>
    <row r="12" spans="2:23" x14ac:dyDescent="0.2">
      <c r="B12" s="69"/>
      <c r="C12" s="86"/>
      <c r="D12" s="788" t="s">
        <v>483</v>
      </c>
      <c r="E12" s="676"/>
      <c r="F12" s="789" t="s">
        <v>484</v>
      </c>
      <c r="G12" s="674"/>
      <c r="H12" s="789" t="s">
        <v>486</v>
      </c>
      <c r="I12" s="366" t="s">
        <v>231</v>
      </c>
      <c r="J12" s="366" t="s">
        <v>262</v>
      </c>
      <c r="K12" s="367" t="s">
        <v>150</v>
      </c>
      <c r="L12" s="821" t="s">
        <v>261</v>
      </c>
      <c r="M12" s="830"/>
      <c r="N12" s="789" t="s">
        <v>486</v>
      </c>
      <c r="O12" s="814" t="s">
        <v>261</v>
      </c>
      <c r="P12" s="830"/>
      <c r="Q12" s="789" t="s">
        <v>486</v>
      </c>
      <c r="R12" s="367" t="s">
        <v>261</v>
      </c>
      <c r="S12" s="830"/>
      <c r="T12" s="367"/>
      <c r="U12" s="676"/>
      <c r="V12" s="673"/>
      <c r="W12" s="674"/>
    </row>
    <row r="13" spans="2:23" x14ac:dyDescent="0.2">
      <c r="B13" s="69"/>
      <c r="C13" s="90"/>
      <c r="D13" s="790"/>
      <c r="E13" s="162"/>
      <c r="F13" s="790"/>
      <c r="G13" s="162"/>
      <c r="H13" s="790"/>
      <c r="I13" s="129"/>
      <c r="J13" s="129"/>
      <c r="K13" s="378"/>
      <c r="L13" s="831">
        <f>(((IF(I13="",0,VLOOKUP(I13,tab!$A$73:$V$114,J13+2,FALSE)))*K13)*12)*(1+tab!$D$64)</f>
        <v>0</v>
      </c>
      <c r="M13" s="162"/>
      <c r="N13" s="790"/>
      <c r="O13" s="822">
        <v>0</v>
      </c>
      <c r="P13" s="162"/>
      <c r="Q13" s="791"/>
      <c r="R13" s="822">
        <v>0</v>
      </c>
      <c r="S13" s="162"/>
      <c r="T13" s="837">
        <f>L13+O13+R13</f>
        <v>0</v>
      </c>
      <c r="U13" s="162"/>
      <c r="V13" s="73"/>
    </row>
    <row r="14" spans="2:23" x14ac:dyDescent="0.2">
      <c r="B14" s="69"/>
      <c r="C14" s="98"/>
      <c r="D14" s="790"/>
      <c r="E14" s="130"/>
      <c r="F14" s="790"/>
      <c r="G14" s="130"/>
      <c r="H14" s="790"/>
      <c r="I14" s="129"/>
      <c r="J14" s="129"/>
      <c r="K14" s="378"/>
      <c r="L14" s="831">
        <f>(((IF(I14="",0,VLOOKUP(I14,tab!$A$73:$V$114,J14+2,FALSE)))*K14)*12)*(1+tab!$D$64)</f>
        <v>0</v>
      </c>
      <c r="M14" s="130"/>
      <c r="N14" s="790"/>
      <c r="O14" s="822">
        <v>0</v>
      </c>
      <c r="P14" s="130"/>
      <c r="Q14" s="792"/>
      <c r="R14" s="822">
        <v>0</v>
      </c>
      <c r="S14" s="130"/>
      <c r="T14" s="837">
        <f t="shared" ref="T14:T19" si="0">L14+O14+R14</f>
        <v>0</v>
      </c>
      <c r="U14" s="130"/>
      <c r="V14" s="73"/>
    </row>
    <row r="15" spans="2:23" x14ac:dyDescent="0.2">
      <c r="B15" s="69"/>
      <c r="C15" s="98"/>
      <c r="D15" s="790"/>
      <c r="E15" s="130"/>
      <c r="F15" s="790"/>
      <c r="G15" s="130"/>
      <c r="H15" s="790"/>
      <c r="I15" s="129"/>
      <c r="J15" s="129"/>
      <c r="K15" s="378"/>
      <c r="L15" s="831">
        <f>(((IF(I15="",0,VLOOKUP(I15,tab!$A$73:$V$114,J15+2,FALSE)))*K15)*12)*(1+tab!$D$64)</f>
        <v>0</v>
      </c>
      <c r="M15" s="130"/>
      <c r="N15" s="790"/>
      <c r="O15" s="822">
        <v>0</v>
      </c>
      <c r="P15" s="130"/>
      <c r="Q15" s="792"/>
      <c r="R15" s="822">
        <v>0</v>
      </c>
      <c r="S15" s="130"/>
      <c r="T15" s="837">
        <f t="shared" si="0"/>
        <v>0</v>
      </c>
      <c r="U15" s="130"/>
      <c r="V15" s="73"/>
    </row>
    <row r="16" spans="2:23" x14ac:dyDescent="0.2">
      <c r="B16" s="69"/>
      <c r="C16" s="98"/>
      <c r="D16" s="790"/>
      <c r="E16" s="130"/>
      <c r="F16" s="790"/>
      <c r="G16" s="130"/>
      <c r="H16" s="790"/>
      <c r="I16" s="129"/>
      <c r="J16" s="129"/>
      <c r="K16" s="378"/>
      <c r="L16" s="831">
        <f>(((IF(I16="",0,VLOOKUP(I16,tab!$A$73:$V$114,J16+2,FALSE)))*K16)*12)*(1+tab!$D$64)</f>
        <v>0</v>
      </c>
      <c r="M16" s="130"/>
      <c r="N16" s="790"/>
      <c r="O16" s="822">
        <v>0</v>
      </c>
      <c r="P16" s="130"/>
      <c r="Q16" s="792"/>
      <c r="R16" s="822">
        <v>0</v>
      </c>
      <c r="S16" s="130"/>
      <c r="T16" s="837">
        <f t="shared" si="0"/>
        <v>0</v>
      </c>
      <c r="U16" s="130"/>
      <c r="V16" s="73"/>
    </row>
    <row r="17" spans="2:23" x14ac:dyDescent="0.2">
      <c r="B17" s="69"/>
      <c r="C17" s="98"/>
      <c r="D17" s="790"/>
      <c r="E17" s="130"/>
      <c r="F17" s="790"/>
      <c r="G17" s="130"/>
      <c r="H17" s="790"/>
      <c r="I17" s="129"/>
      <c r="J17" s="129"/>
      <c r="K17" s="378"/>
      <c r="L17" s="831">
        <f>(((IF(I17="",0,VLOOKUP(I17,tab!$A$73:$V$114,J17+2,FALSE)))*K17)*12)*(1+tab!$D$64)</f>
        <v>0</v>
      </c>
      <c r="M17" s="130"/>
      <c r="N17" s="790"/>
      <c r="O17" s="822">
        <v>0</v>
      </c>
      <c r="P17" s="130"/>
      <c r="Q17" s="792"/>
      <c r="R17" s="822">
        <v>0</v>
      </c>
      <c r="S17" s="130"/>
      <c r="T17" s="837">
        <f t="shared" si="0"/>
        <v>0</v>
      </c>
      <c r="U17" s="130"/>
      <c r="V17" s="73"/>
    </row>
    <row r="18" spans="2:23" x14ac:dyDescent="0.2">
      <c r="B18" s="69"/>
      <c r="C18" s="98"/>
      <c r="D18" s="790"/>
      <c r="E18" s="130"/>
      <c r="F18" s="790"/>
      <c r="G18" s="130"/>
      <c r="H18" s="790"/>
      <c r="I18" s="129"/>
      <c r="J18" s="129"/>
      <c r="K18" s="378"/>
      <c r="L18" s="831">
        <f>(((IF(I18="",0,VLOOKUP(I18,tab!$A$73:$V$114,J18+2,FALSE)))*K18)*12)*(1+tab!$D$64)</f>
        <v>0</v>
      </c>
      <c r="M18" s="130"/>
      <c r="N18" s="790"/>
      <c r="O18" s="822">
        <v>0</v>
      </c>
      <c r="P18" s="130"/>
      <c r="Q18" s="792"/>
      <c r="R18" s="822">
        <v>0</v>
      </c>
      <c r="S18" s="130"/>
      <c r="T18" s="837">
        <f t="shared" si="0"/>
        <v>0</v>
      </c>
      <c r="U18" s="130"/>
      <c r="V18" s="73"/>
    </row>
    <row r="19" spans="2:23" x14ac:dyDescent="0.2">
      <c r="B19" s="69"/>
      <c r="C19" s="797"/>
      <c r="D19" s="793"/>
      <c r="E19" s="797"/>
      <c r="F19" s="793"/>
      <c r="G19" s="797"/>
      <c r="H19" s="793"/>
      <c r="I19" s="793"/>
      <c r="J19" s="793"/>
      <c r="K19" s="793"/>
      <c r="L19" s="823">
        <f>SUM(L13:L18)</f>
        <v>0</v>
      </c>
      <c r="M19" s="797"/>
      <c r="N19" s="793"/>
      <c r="O19" s="794">
        <f>SUM(O13:O18)</f>
        <v>0</v>
      </c>
      <c r="P19" s="797"/>
      <c r="Q19" s="793"/>
      <c r="R19" s="794">
        <f>SUM(R13:R18)</f>
        <v>0</v>
      </c>
      <c r="S19" s="797"/>
      <c r="T19" s="838">
        <f t="shared" si="0"/>
        <v>0</v>
      </c>
      <c r="U19" s="797"/>
      <c r="V19" s="73"/>
    </row>
    <row r="20" spans="2:23" x14ac:dyDescent="0.2">
      <c r="B20" s="69"/>
      <c r="E20" s="622"/>
      <c r="F20" s="622"/>
      <c r="G20" s="622"/>
      <c r="H20" s="622"/>
      <c r="I20" s="622"/>
      <c r="J20" s="622"/>
      <c r="K20" s="622"/>
      <c r="L20" s="824"/>
      <c r="M20" s="622"/>
      <c r="N20" s="622"/>
      <c r="O20" s="815"/>
      <c r="P20" s="622"/>
      <c r="Q20" s="622"/>
      <c r="R20" s="622"/>
      <c r="S20" s="622"/>
      <c r="T20" s="622"/>
      <c r="U20" s="622"/>
      <c r="V20" s="73"/>
    </row>
    <row r="21" spans="2:23" x14ac:dyDescent="0.2">
      <c r="B21" s="69"/>
      <c r="C21" s="70"/>
      <c r="D21" s="70"/>
      <c r="E21" s="668"/>
      <c r="F21" s="668"/>
      <c r="G21" s="668"/>
      <c r="H21" s="668"/>
      <c r="I21" s="668"/>
      <c r="J21" s="668"/>
      <c r="K21" s="668"/>
      <c r="L21" s="825"/>
      <c r="M21" s="668"/>
      <c r="N21" s="668"/>
      <c r="O21" s="816"/>
      <c r="P21" s="668"/>
      <c r="Q21" s="668"/>
      <c r="R21" s="668"/>
      <c r="S21" s="668"/>
      <c r="T21" s="668"/>
      <c r="U21" s="668"/>
      <c r="V21" s="73"/>
    </row>
    <row r="22" spans="2:23" x14ac:dyDescent="0.2">
      <c r="B22" s="69"/>
      <c r="C22" s="86"/>
      <c r="D22" s="87"/>
      <c r="E22" s="676"/>
      <c r="F22" s="87"/>
      <c r="G22" s="676"/>
      <c r="H22" s="87"/>
      <c r="I22" s="87"/>
      <c r="J22" s="87"/>
      <c r="K22" s="87"/>
      <c r="L22" s="551"/>
      <c r="M22" s="676"/>
      <c r="N22" s="87"/>
      <c r="O22" s="813"/>
      <c r="P22" s="676"/>
      <c r="Q22" s="161"/>
      <c r="R22" s="87"/>
      <c r="S22" s="676"/>
      <c r="T22" s="161"/>
      <c r="U22" s="676"/>
      <c r="V22" s="73"/>
    </row>
    <row r="23" spans="2:23" x14ac:dyDescent="0.2">
      <c r="B23" s="69"/>
      <c r="C23" s="86"/>
      <c r="D23" s="766" t="s">
        <v>485</v>
      </c>
      <c r="E23" s="676"/>
      <c r="G23" s="674"/>
      <c r="H23" s="828" t="s">
        <v>511</v>
      </c>
      <c r="I23" s="281"/>
      <c r="J23" s="414"/>
      <c r="K23" s="414"/>
      <c r="L23" s="780"/>
      <c r="M23" s="833"/>
      <c r="N23" s="832" t="s">
        <v>510</v>
      </c>
      <c r="O23" s="834"/>
      <c r="P23" s="833"/>
      <c r="Q23" s="829" t="s">
        <v>487</v>
      </c>
      <c r="S23" s="833"/>
      <c r="T23" s="839" t="s">
        <v>509</v>
      </c>
      <c r="U23" s="676"/>
      <c r="V23" s="73"/>
    </row>
    <row r="24" spans="2:23" x14ac:dyDescent="0.2">
      <c r="B24" s="69"/>
      <c r="C24" s="86"/>
      <c r="D24" s="788" t="s">
        <v>483</v>
      </c>
      <c r="E24" s="676"/>
      <c r="F24" s="789" t="s">
        <v>484</v>
      </c>
      <c r="G24" s="674"/>
      <c r="H24" s="789" t="s">
        <v>486</v>
      </c>
      <c r="I24" s="366" t="s">
        <v>231</v>
      </c>
      <c r="J24" s="366" t="s">
        <v>262</v>
      </c>
      <c r="K24" s="367" t="s">
        <v>150</v>
      </c>
      <c r="L24" s="821" t="s">
        <v>509</v>
      </c>
      <c r="M24" s="830"/>
      <c r="N24" s="789" t="s">
        <v>486</v>
      </c>
      <c r="O24" s="814" t="s">
        <v>509</v>
      </c>
      <c r="P24" s="830"/>
      <c r="Q24" s="789" t="s">
        <v>486</v>
      </c>
      <c r="R24" s="367" t="s">
        <v>509</v>
      </c>
      <c r="S24" s="830"/>
      <c r="T24" s="367"/>
      <c r="U24" s="676"/>
      <c r="V24" s="673"/>
      <c r="W24" s="674"/>
    </row>
    <row r="25" spans="2:23" x14ac:dyDescent="0.2">
      <c r="B25" s="69"/>
      <c r="C25" s="90"/>
      <c r="D25" s="790"/>
      <c r="E25" s="162"/>
      <c r="F25" s="790"/>
      <c r="G25" s="162"/>
      <c r="H25" s="790"/>
      <c r="I25" s="129"/>
      <c r="J25" s="129"/>
      <c r="K25" s="378"/>
      <c r="L25" s="831">
        <f>(((IF(I25="",0,VLOOKUP(I25,tab!$A$73:$V$114,J25+2,FALSE)))*K25)*12)*(1+tab!$D$64)</f>
        <v>0</v>
      </c>
      <c r="M25" s="162"/>
      <c r="N25" s="790"/>
      <c r="O25" s="822">
        <v>0</v>
      </c>
      <c r="P25" s="162"/>
      <c r="Q25" s="791"/>
      <c r="R25" s="822">
        <v>0</v>
      </c>
      <c r="S25" s="162"/>
      <c r="T25" s="837">
        <f t="shared" ref="T25:T31" si="1">L25+O25+R25</f>
        <v>0</v>
      </c>
      <c r="U25" s="162"/>
      <c r="V25" s="73"/>
    </row>
    <row r="26" spans="2:23" x14ac:dyDescent="0.2">
      <c r="B26" s="69"/>
      <c r="C26" s="98"/>
      <c r="D26" s="790"/>
      <c r="E26" s="130"/>
      <c r="F26" s="790"/>
      <c r="G26" s="130"/>
      <c r="H26" s="790"/>
      <c r="I26" s="129"/>
      <c r="J26" s="129"/>
      <c r="K26" s="378"/>
      <c r="L26" s="831">
        <f>(((IF(I26="",0,VLOOKUP(I26,tab!$A$73:$V$114,J26+2,FALSE)))*K26)*12)*(1+tab!$D$64)</f>
        <v>0</v>
      </c>
      <c r="M26" s="130"/>
      <c r="N26" s="790"/>
      <c r="O26" s="822">
        <v>0</v>
      </c>
      <c r="P26" s="130"/>
      <c r="Q26" s="792"/>
      <c r="R26" s="822">
        <v>0</v>
      </c>
      <c r="S26" s="130"/>
      <c r="T26" s="837">
        <f t="shared" si="1"/>
        <v>0</v>
      </c>
      <c r="U26" s="130"/>
      <c r="V26" s="73"/>
    </row>
    <row r="27" spans="2:23" x14ac:dyDescent="0.2">
      <c r="B27" s="69"/>
      <c r="C27" s="98"/>
      <c r="D27" s="790"/>
      <c r="E27" s="130"/>
      <c r="F27" s="790"/>
      <c r="G27" s="130"/>
      <c r="H27" s="790"/>
      <c r="I27" s="129"/>
      <c r="J27" s="129"/>
      <c r="K27" s="378"/>
      <c r="L27" s="831">
        <f>(((IF(I27="",0,VLOOKUP(I27,tab!$A$73:$V$114,J27+2,FALSE)))*K27)*12)*(1+tab!$D$64)</f>
        <v>0</v>
      </c>
      <c r="M27" s="130"/>
      <c r="N27" s="790"/>
      <c r="O27" s="822">
        <v>0</v>
      </c>
      <c r="P27" s="130"/>
      <c r="Q27" s="792"/>
      <c r="R27" s="822">
        <v>0</v>
      </c>
      <c r="S27" s="130"/>
      <c r="T27" s="837">
        <f t="shared" si="1"/>
        <v>0</v>
      </c>
      <c r="U27" s="130"/>
      <c r="V27" s="73"/>
    </row>
    <row r="28" spans="2:23" x14ac:dyDescent="0.2">
      <c r="B28" s="69"/>
      <c r="C28" s="98"/>
      <c r="D28" s="790"/>
      <c r="E28" s="130"/>
      <c r="F28" s="790"/>
      <c r="G28" s="130"/>
      <c r="H28" s="790"/>
      <c r="I28" s="129"/>
      <c r="J28" s="129"/>
      <c r="K28" s="378"/>
      <c r="L28" s="831">
        <f>(((IF(I28="",0,VLOOKUP(I28,tab!$A$73:$V$114,J28+2,FALSE)))*K28)*12)*(1+tab!$D$64)</f>
        <v>0</v>
      </c>
      <c r="M28" s="130"/>
      <c r="N28" s="790"/>
      <c r="O28" s="822">
        <v>0</v>
      </c>
      <c r="P28" s="130"/>
      <c r="Q28" s="792"/>
      <c r="R28" s="822">
        <v>0</v>
      </c>
      <c r="S28" s="130"/>
      <c r="T28" s="837">
        <f t="shared" si="1"/>
        <v>0</v>
      </c>
      <c r="U28" s="130"/>
      <c r="V28" s="73"/>
    </row>
    <row r="29" spans="2:23" x14ac:dyDescent="0.2">
      <c r="B29" s="69"/>
      <c r="C29" s="98"/>
      <c r="D29" s="790"/>
      <c r="E29" s="130"/>
      <c r="F29" s="790"/>
      <c r="G29" s="130"/>
      <c r="H29" s="790"/>
      <c r="I29" s="129"/>
      <c r="J29" s="129"/>
      <c r="K29" s="378"/>
      <c r="L29" s="831">
        <f>(((IF(I29="",0,VLOOKUP(I29,tab!$A$73:$V$114,J29+2,FALSE)))*K29)*12)*(1+tab!$D$64)</f>
        <v>0</v>
      </c>
      <c r="M29" s="130"/>
      <c r="N29" s="790"/>
      <c r="O29" s="822">
        <v>0</v>
      </c>
      <c r="P29" s="130"/>
      <c r="Q29" s="792"/>
      <c r="R29" s="822">
        <v>0</v>
      </c>
      <c r="S29" s="130"/>
      <c r="T29" s="837">
        <f t="shared" si="1"/>
        <v>0</v>
      </c>
      <c r="U29" s="130"/>
      <c r="V29" s="73"/>
    </row>
    <row r="30" spans="2:23" x14ac:dyDescent="0.2">
      <c r="B30" s="69"/>
      <c r="C30" s="98"/>
      <c r="D30" s="790"/>
      <c r="E30" s="130"/>
      <c r="F30" s="790"/>
      <c r="G30" s="130"/>
      <c r="H30" s="790"/>
      <c r="I30" s="129"/>
      <c r="J30" s="129"/>
      <c r="K30" s="378"/>
      <c r="L30" s="831">
        <f>(((IF(I30="",0,VLOOKUP(I30,tab!$A$73:$V$114,J30+2,FALSE)))*K30)*12)*(1+tab!$D$64)</f>
        <v>0</v>
      </c>
      <c r="M30" s="130"/>
      <c r="N30" s="790"/>
      <c r="O30" s="822">
        <v>0</v>
      </c>
      <c r="P30" s="130"/>
      <c r="Q30" s="792"/>
      <c r="R30" s="822">
        <v>0</v>
      </c>
      <c r="S30" s="130"/>
      <c r="T30" s="837">
        <f t="shared" si="1"/>
        <v>0</v>
      </c>
      <c r="U30" s="130"/>
      <c r="V30" s="73"/>
    </row>
    <row r="31" spans="2:23" x14ac:dyDescent="0.2">
      <c r="B31" s="69"/>
      <c r="C31" s="797"/>
      <c r="D31" s="797"/>
      <c r="E31" s="798"/>
      <c r="F31" s="798"/>
      <c r="G31" s="798"/>
      <c r="H31" s="793"/>
      <c r="I31" s="793"/>
      <c r="J31" s="793"/>
      <c r="K31" s="793"/>
      <c r="L31" s="823">
        <f>SUM(L25:L30)</f>
        <v>0</v>
      </c>
      <c r="M31" s="798"/>
      <c r="N31" s="793"/>
      <c r="O31" s="794">
        <f>SUM(O25:O30)</f>
        <v>0</v>
      </c>
      <c r="P31" s="797"/>
      <c r="Q31" s="798"/>
      <c r="R31" s="794">
        <f>SUM(R25:R30)</f>
        <v>0</v>
      </c>
      <c r="S31" s="797"/>
      <c r="T31" s="838">
        <f t="shared" si="1"/>
        <v>0</v>
      </c>
      <c r="U31" s="798"/>
      <c r="V31" s="73"/>
    </row>
    <row r="32" spans="2:23" x14ac:dyDescent="0.2">
      <c r="B32" s="69"/>
      <c r="E32" s="622"/>
      <c r="F32" s="622"/>
      <c r="G32" s="622"/>
      <c r="H32" s="622"/>
      <c r="I32" s="622"/>
      <c r="J32" s="622"/>
      <c r="K32" s="622"/>
      <c r="L32" s="824"/>
      <c r="M32" s="622"/>
      <c r="N32" s="622"/>
      <c r="O32" s="815"/>
      <c r="P32" s="622"/>
      <c r="Q32" s="622"/>
      <c r="R32" s="622"/>
      <c r="S32" s="622"/>
      <c r="T32" s="622"/>
      <c r="U32" s="622"/>
      <c r="V32" s="73"/>
    </row>
    <row r="33" spans="2:23" x14ac:dyDescent="0.2">
      <c r="B33" s="69"/>
      <c r="C33" s="70"/>
      <c r="D33" s="597"/>
      <c r="E33" s="70"/>
      <c r="F33" s="545"/>
      <c r="G33" s="70"/>
      <c r="H33" s="545"/>
      <c r="I33" s="545"/>
      <c r="J33" s="545"/>
      <c r="K33" s="545"/>
      <c r="L33" s="781"/>
      <c r="M33" s="70"/>
      <c r="N33" s="545"/>
      <c r="O33" s="817"/>
      <c r="P33" s="70"/>
      <c r="Q33" s="545"/>
      <c r="R33" s="545"/>
      <c r="S33" s="70"/>
      <c r="T33" s="545"/>
      <c r="U33" s="70"/>
      <c r="V33" s="73"/>
    </row>
    <row r="34" spans="2:23" x14ac:dyDescent="0.2">
      <c r="B34" s="69"/>
      <c r="C34" s="86"/>
      <c r="D34" s="87"/>
      <c r="E34" s="676"/>
      <c r="F34" s="87"/>
      <c r="G34" s="676"/>
      <c r="H34" s="87"/>
      <c r="I34" s="87"/>
      <c r="J34" s="87"/>
      <c r="K34" s="87"/>
      <c r="L34" s="551"/>
      <c r="M34" s="676"/>
      <c r="N34" s="87"/>
      <c r="O34" s="813"/>
      <c r="P34" s="676"/>
      <c r="Q34" s="161"/>
      <c r="R34" s="87"/>
      <c r="S34" s="676"/>
      <c r="T34" s="161"/>
      <c r="U34" s="676"/>
      <c r="V34" s="73"/>
    </row>
    <row r="35" spans="2:23" x14ac:dyDescent="0.2">
      <c r="B35" s="69"/>
      <c r="C35" s="86"/>
      <c r="D35" s="766" t="s">
        <v>488</v>
      </c>
      <c r="E35" s="676"/>
      <c r="G35" s="674"/>
      <c r="H35" s="828" t="s">
        <v>511</v>
      </c>
      <c r="I35" s="281"/>
      <c r="J35" s="414"/>
      <c r="K35" s="414"/>
      <c r="L35" s="780"/>
      <c r="M35" s="833"/>
      <c r="N35" s="832" t="s">
        <v>510</v>
      </c>
      <c r="O35" s="834"/>
      <c r="P35" s="833"/>
      <c r="Q35" s="829" t="s">
        <v>487</v>
      </c>
      <c r="S35" s="833"/>
      <c r="T35" s="839" t="s">
        <v>509</v>
      </c>
      <c r="U35" s="676"/>
      <c r="V35" s="73"/>
    </row>
    <row r="36" spans="2:23" x14ac:dyDescent="0.2">
      <c r="B36" s="69"/>
      <c r="C36" s="86"/>
      <c r="D36" s="788" t="s">
        <v>483</v>
      </c>
      <c r="E36" s="676"/>
      <c r="F36" s="789" t="s">
        <v>484</v>
      </c>
      <c r="G36" s="674"/>
      <c r="H36" s="789" t="s">
        <v>486</v>
      </c>
      <c r="I36" s="366" t="s">
        <v>231</v>
      </c>
      <c r="J36" s="366" t="s">
        <v>262</v>
      </c>
      <c r="K36" s="367" t="s">
        <v>150</v>
      </c>
      <c r="L36" s="821" t="s">
        <v>509</v>
      </c>
      <c r="M36" s="830"/>
      <c r="N36" s="789" t="s">
        <v>486</v>
      </c>
      <c r="O36" s="814" t="s">
        <v>509</v>
      </c>
      <c r="P36" s="830"/>
      <c r="Q36" s="789" t="s">
        <v>486</v>
      </c>
      <c r="R36" s="367" t="s">
        <v>509</v>
      </c>
      <c r="S36" s="830"/>
      <c r="T36" s="367"/>
      <c r="U36" s="676"/>
      <c r="V36" s="673"/>
      <c r="W36" s="674"/>
    </row>
    <row r="37" spans="2:23" x14ac:dyDescent="0.2">
      <c r="B37" s="69"/>
      <c r="C37" s="90"/>
      <c r="D37" s="790"/>
      <c r="E37" s="162"/>
      <c r="F37" s="790"/>
      <c r="G37" s="162"/>
      <c r="H37" s="790"/>
      <c r="I37" s="129"/>
      <c r="J37" s="129"/>
      <c r="K37" s="378"/>
      <c r="L37" s="831">
        <f>(((IF(I37="",0,VLOOKUP(I37,tab!$A$73:$V$114,J37+2,FALSE)))*K37)*12)*(1+tab!$D$64)</f>
        <v>0</v>
      </c>
      <c r="M37" s="162"/>
      <c r="N37" s="790"/>
      <c r="O37" s="822">
        <v>0</v>
      </c>
      <c r="P37" s="162"/>
      <c r="Q37" s="791"/>
      <c r="R37" s="822">
        <v>0</v>
      </c>
      <c r="S37" s="162"/>
      <c r="T37" s="837">
        <f t="shared" ref="T37:T43" si="2">L37+O37+R37</f>
        <v>0</v>
      </c>
      <c r="U37" s="162"/>
      <c r="V37" s="73"/>
    </row>
    <row r="38" spans="2:23" x14ac:dyDescent="0.2">
      <c r="B38" s="69"/>
      <c r="C38" s="98"/>
      <c r="D38" s="790"/>
      <c r="E38" s="130"/>
      <c r="F38" s="790"/>
      <c r="G38" s="130"/>
      <c r="H38" s="790"/>
      <c r="I38" s="129"/>
      <c r="J38" s="129"/>
      <c r="K38" s="378"/>
      <c r="L38" s="831">
        <f>(((IF(I38="",0,VLOOKUP(I38,tab!$A$73:$V$114,J38+2,FALSE)))*K38)*12)*(1+tab!$D$64)</f>
        <v>0</v>
      </c>
      <c r="M38" s="130"/>
      <c r="N38" s="790"/>
      <c r="O38" s="822">
        <v>0</v>
      </c>
      <c r="P38" s="130"/>
      <c r="Q38" s="792"/>
      <c r="R38" s="822">
        <v>0</v>
      </c>
      <c r="S38" s="130"/>
      <c r="T38" s="837">
        <f t="shared" si="2"/>
        <v>0</v>
      </c>
      <c r="U38" s="130"/>
      <c r="V38" s="73"/>
    </row>
    <row r="39" spans="2:23" x14ac:dyDescent="0.2">
      <c r="B39" s="69"/>
      <c r="C39" s="98"/>
      <c r="D39" s="790"/>
      <c r="E39" s="130"/>
      <c r="F39" s="790"/>
      <c r="G39" s="130"/>
      <c r="H39" s="790"/>
      <c r="I39" s="129"/>
      <c r="J39" s="129"/>
      <c r="K39" s="378"/>
      <c r="L39" s="831">
        <f>(((IF(I39="",0,VLOOKUP(I39,tab!$A$73:$V$114,J39+2,FALSE)))*K39)*12)*(1+tab!$D$64)</f>
        <v>0</v>
      </c>
      <c r="M39" s="130"/>
      <c r="N39" s="790"/>
      <c r="O39" s="822">
        <v>0</v>
      </c>
      <c r="P39" s="130"/>
      <c r="Q39" s="792"/>
      <c r="R39" s="822">
        <v>0</v>
      </c>
      <c r="S39" s="130"/>
      <c r="T39" s="837">
        <f t="shared" si="2"/>
        <v>0</v>
      </c>
      <c r="U39" s="130"/>
      <c r="V39" s="73"/>
    </row>
    <row r="40" spans="2:23" x14ac:dyDescent="0.2">
      <c r="B40" s="69"/>
      <c r="C40" s="98"/>
      <c r="D40" s="790"/>
      <c r="E40" s="130"/>
      <c r="F40" s="790"/>
      <c r="G40" s="130"/>
      <c r="H40" s="790"/>
      <c r="I40" s="129"/>
      <c r="J40" s="129"/>
      <c r="K40" s="378"/>
      <c r="L40" s="831">
        <f>(((IF(I40="",0,VLOOKUP(I40,tab!$A$73:$V$114,J40+2,FALSE)))*K40)*12)*(1+tab!$D$64)</f>
        <v>0</v>
      </c>
      <c r="M40" s="130"/>
      <c r="N40" s="790"/>
      <c r="O40" s="822">
        <v>0</v>
      </c>
      <c r="P40" s="130"/>
      <c r="Q40" s="792"/>
      <c r="R40" s="822">
        <v>0</v>
      </c>
      <c r="S40" s="130"/>
      <c r="T40" s="837">
        <f t="shared" si="2"/>
        <v>0</v>
      </c>
      <c r="U40" s="130"/>
      <c r="V40" s="73"/>
    </row>
    <row r="41" spans="2:23" x14ac:dyDescent="0.2">
      <c r="B41" s="69"/>
      <c r="C41" s="98"/>
      <c r="D41" s="790"/>
      <c r="E41" s="130"/>
      <c r="F41" s="790"/>
      <c r="G41" s="130"/>
      <c r="H41" s="790"/>
      <c r="I41" s="129"/>
      <c r="J41" s="129"/>
      <c r="K41" s="378"/>
      <c r="L41" s="831">
        <f>(((IF(I41="",0,VLOOKUP(I41,tab!$A$73:$V$114,J41+2,FALSE)))*K41)*12)*(1+tab!$D$64)</f>
        <v>0</v>
      </c>
      <c r="M41" s="130"/>
      <c r="N41" s="790"/>
      <c r="O41" s="822">
        <v>0</v>
      </c>
      <c r="P41" s="130"/>
      <c r="Q41" s="792"/>
      <c r="R41" s="822">
        <v>0</v>
      </c>
      <c r="S41" s="130"/>
      <c r="T41" s="837">
        <f t="shared" si="2"/>
        <v>0</v>
      </c>
      <c r="U41" s="130"/>
      <c r="V41" s="73"/>
    </row>
    <row r="42" spans="2:23" x14ac:dyDescent="0.2">
      <c r="B42" s="69"/>
      <c r="C42" s="98"/>
      <c r="D42" s="790"/>
      <c r="E42" s="130"/>
      <c r="F42" s="790"/>
      <c r="G42" s="130"/>
      <c r="H42" s="790"/>
      <c r="I42" s="129"/>
      <c r="J42" s="129"/>
      <c r="K42" s="378"/>
      <c r="L42" s="831">
        <f>(((IF(I42="",0,VLOOKUP(I42,tab!$A$73:$V$114,J42+2,FALSE)))*K42)*12)*(1+tab!$D$64)</f>
        <v>0</v>
      </c>
      <c r="M42" s="130"/>
      <c r="N42" s="790"/>
      <c r="O42" s="822">
        <v>0</v>
      </c>
      <c r="P42" s="130"/>
      <c r="Q42" s="792"/>
      <c r="R42" s="822">
        <v>0</v>
      </c>
      <c r="S42" s="130"/>
      <c r="T42" s="837">
        <f t="shared" si="2"/>
        <v>0</v>
      </c>
      <c r="U42" s="130"/>
      <c r="V42" s="73"/>
    </row>
    <row r="43" spans="2:23" x14ac:dyDescent="0.2">
      <c r="B43" s="69"/>
      <c r="C43" s="797"/>
      <c r="D43" s="797"/>
      <c r="E43" s="798"/>
      <c r="F43" s="798"/>
      <c r="G43" s="798"/>
      <c r="H43" s="793"/>
      <c r="I43" s="793"/>
      <c r="J43" s="793"/>
      <c r="K43" s="793"/>
      <c r="L43" s="823">
        <f>SUM(L37:L42)</f>
        <v>0</v>
      </c>
      <c r="M43" s="798"/>
      <c r="N43" s="793"/>
      <c r="O43" s="794">
        <f>SUM(O37:O42)</f>
        <v>0</v>
      </c>
      <c r="P43" s="797"/>
      <c r="Q43" s="798"/>
      <c r="R43" s="794">
        <f>SUM(R37:R42)</f>
        <v>0</v>
      </c>
      <c r="S43" s="797"/>
      <c r="T43" s="838">
        <f t="shared" si="2"/>
        <v>0</v>
      </c>
      <c r="U43" s="798"/>
      <c r="V43" s="73"/>
    </row>
    <row r="44" spans="2:23" x14ac:dyDescent="0.2">
      <c r="B44" s="69"/>
      <c r="E44" s="622"/>
      <c r="F44" s="622"/>
      <c r="G44" s="622"/>
      <c r="H44" s="622"/>
      <c r="I44" s="622"/>
      <c r="J44" s="622"/>
      <c r="K44" s="622"/>
      <c r="L44" s="824"/>
      <c r="M44" s="622"/>
      <c r="N44" s="622"/>
      <c r="O44" s="815"/>
      <c r="P44" s="622"/>
      <c r="Q44" s="622"/>
      <c r="R44" s="622"/>
      <c r="S44" s="622"/>
      <c r="T44" s="622"/>
      <c r="U44" s="622"/>
      <c r="V44" s="73"/>
    </row>
    <row r="45" spans="2:23" x14ac:dyDescent="0.2">
      <c r="B45" s="69"/>
      <c r="C45" s="70"/>
      <c r="D45" s="597"/>
      <c r="E45" s="70"/>
      <c r="F45" s="545"/>
      <c r="G45" s="70"/>
      <c r="H45" s="545"/>
      <c r="I45" s="545"/>
      <c r="J45" s="545"/>
      <c r="K45" s="545"/>
      <c r="L45" s="781"/>
      <c r="M45" s="70"/>
      <c r="N45" s="545"/>
      <c r="O45" s="817"/>
      <c r="P45" s="70"/>
      <c r="Q45" s="545"/>
      <c r="R45" s="545"/>
      <c r="S45" s="70"/>
      <c r="T45" s="545"/>
      <c r="U45" s="70"/>
      <c r="V45" s="73"/>
    </row>
    <row r="46" spans="2:23" x14ac:dyDescent="0.2">
      <c r="B46" s="69"/>
      <c r="C46" s="86"/>
      <c r="D46" s="87"/>
      <c r="E46" s="676"/>
      <c r="F46" s="87"/>
      <c r="G46" s="676"/>
      <c r="H46" s="87"/>
      <c r="I46" s="87"/>
      <c r="J46" s="87"/>
      <c r="K46" s="87"/>
      <c r="L46" s="551"/>
      <c r="M46" s="676"/>
      <c r="N46" s="87"/>
      <c r="O46" s="813"/>
      <c r="P46" s="676"/>
      <c r="Q46" s="161"/>
      <c r="R46" s="87"/>
      <c r="S46" s="676"/>
      <c r="T46" s="161"/>
      <c r="U46" s="676"/>
      <c r="V46" s="73"/>
    </row>
    <row r="47" spans="2:23" x14ac:dyDescent="0.2">
      <c r="B47" s="69"/>
      <c r="C47" s="86"/>
      <c r="D47" s="766" t="s">
        <v>512</v>
      </c>
      <c r="E47" s="676"/>
      <c r="G47" s="674"/>
      <c r="H47" s="828" t="s">
        <v>511</v>
      </c>
      <c r="I47" s="281"/>
      <c r="J47" s="414"/>
      <c r="K47" s="414"/>
      <c r="L47" s="780"/>
      <c r="M47" s="833"/>
      <c r="N47" s="832" t="s">
        <v>510</v>
      </c>
      <c r="O47" s="834"/>
      <c r="P47" s="833"/>
      <c r="Q47" s="829" t="s">
        <v>487</v>
      </c>
      <c r="S47" s="833"/>
      <c r="T47" s="839" t="s">
        <v>509</v>
      </c>
      <c r="U47" s="676"/>
      <c r="V47" s="73"/>
    </row>
    <row r="48" spans="2:23" x14ac:dyDescent="0.2">
      <c r="B48" s="69"/>
      <c r="C48" s="86"/>
      <c r="D48" s="788" t="s">
        <v>483</v>
      </c>
      <c r="E48" s="676"/>
      <c r="F48" s="789" t="s">
        <v>484</v>
      </c>
      <c r="G48" s="674"/>
      <c r="H48" s="789" t="s">
        <v>486</v>
      </c>
      <c r="I48" s="366" t="s">
        <v>231</v>
      </c>
      <c r="J48" s="366" t="s">
        <v>262</v>
      </c>
      <c r="K48" s="367" t="s">
        <v>150</v>
      </c>
      <c r="L48" s="821" t="s">
        <v>509</v>
      </c>
      <c r="M48" s="830"/>
      <c r="N48" s="789" t="s">
        <v>486</v>
      </c>
      <c r="O48" s="814" t="s">
        <v>509</v>
      </c>
      <c r="P48" s="830"/>
      <c r="Q48" s="789" t="s">
        <v>486</v>
      </c>
      <c r="R48" s="367" t="s">
        <v>509</v>
      </c>
      <c r="S48" s="830"/>
      <c r="T48" s="367"/>
      <c r="U48" s="676"/>
      <c r="V48" s="73"/>
    </row>
    <row r="49" spans="2:22" x14ac:dyDescent="0.2">
      <c r="B49" s="69"/>
      <c r="C49" s="90"/>
      <c r="D49" s="790"/>
      <c r="E49" s="162"/>
      <c r="F49" s="790"/>
      <c r="G49" s="162"/>
      <c r="H49" s="790"/>
      <c r="I49" s="129"/>
      <c r="J49" s="129"/>
      <c r="K49" s="378"/>
      <c r="L49" s="831">
        <f>(((IF(I49="",0,VLOOKUP(I49,tab!$A$73:$V$114,J49+2,FALSE)))*K49)*12)*(1+tab!$D$64)</f>
        <v>0</v>
      </c>
      <c r="M49" s="162"/>
      <c r="N49" s="790"/>
      <c r="O49" s="822">
        <v>0</v>
      </c>
      <c r="P49" s="162"/>
      <c r="Q49" s="791"/>
      <c r="R49" s="822">
        <v>0</v>
      </c>
      <c r="S49" s="162"/>
      <c r="T49" s="837">
        <f t="shared" ref="T49:T55" si="3">L49+O49+R49</f>
        <v>0</v>
      </c>
      <c r="U49" s="162"/>
      <c r="V49" s="73"/>
    </row>
    <row r="50" spans="2:22" x14ac:dyDescent="0.2">
      <c r="B50" s="69"/>
      <c r="C50" s="98"/>
      <c r="D50" s="790"/>
      <c r="E50" s="130"/>
      <c r="F50" s="790"/>
      <c r="G50" s="130"/>
      <c r="H50" s="790"/>
      <c r="I50" s="129"/>
      <c r="J50" s="129"/>
      <c r="K50" s="378"/>
      <c r="L50" s="831">
        <f>(((IF(I50="",0,VLOOKUP(I50,tab!$A$73:$V$114,J50+2,FALSE)))*K50)*12)*(1+tab!$D$64)</f>
        <v>0</v>
      </c>
      <c r="M50" s="130"/>
      <c r="N50" s="790"/>
      <c r="O50" s="822">
        <v>0</v>
      </c>
      <c r="P50" s="130"/>
      <c r="Q50" s="792"/>
      <c r="R50" s="822">
        <v>0</v>
      </c>
      <c r="S50" s="130"/>
      <c r="T50" s="837">
        <f t="shared" si="3"/>
        <v>0</v>
      </c>
      <c r="U50" s="130"/>
      <c r="V50" s="73"/>
    </row>
    <row r="51" spans="2:22" x14ac:dyDescent="0.2">
      <c r="B51" s="69"/>
      <c r="C51" s="98"/>
      <c r="D51" s="790"/>
      <c r="E51" s="130"/>
      <c r="F51" s="790"/>
      <c r="G51" s="130"/>
      <c r="H51" s="790"/>
      <c r="I51" s="129"/>
      <c r="J51" s="129"/>
      <c r="K51" s="378"/>
      <c r="L51" s="831">
        <f>(((IF(I51="",0,VLOOKUP(I51,tab!$A$73:$V$114,J51+2,FALSE)))*K51)*12)*(1+tab!$D$64)</f>
        <v>0</v>
      </c>
      <c r="M51" s="130"/>
      <c r="N51" s="790"/>
      <c r="O51" s="822">
        <v>0</v>
      </c>
      <c r="P51" s="130"/>
      <c r="Q51" s="792"/>
      <c r="R51" s="822">
        <v>0</v>
      </c>
      <c r="S51" s="130"/>
      <c r="T51" s="837">
        <f t="shared" si="3"/>
        <v>0</v>
      </c>
      <c r="U51" s="130"/>
      <c r="V51" s="73"/>
    </row>
    <row r="52" spans="2:22" x14ac:dyDescent="0.2">
      <c r="B52" s="69"/>
      <c r="C52" s="98"/>
      <c r="D52" s="790"/>
      <c r="E52" s="130"/>
      <c r="F52" s="790"/>
      <c r="G52" s="130"/>
      <c r="H52" s="790"/>
      <c r="I52" s="129"/>
      <c r="J52" s="129"/>
      <c r="K52" s="378"/>
      <c r="L52" s="831">
        <f>(((IF(I52="",0,VLOOKUP(I52,tab!$A$73:$V$114,J52+2,FALSE)))*K52)*12)*(1+tab!$D$64)</f>
        <v>0</v>
      </c>
      <c r="M52" s="130"/>
      <c r="N52" s="790"/>
      <c r="O52" s="822">
        <v>0</v>
      </c>
      <c r="P52" s="130"/>
      <c r="Q52" s="792"/>
      <c r="R52" s="822">
        <v>0</v>
      </c>
      <c r="S52" s="130"/>
      <c r="T52" s="837">
        <f t="shared" si="3"/>
        <v>0</v>
      </c>
      <c r="U52" s="130"/>
      <c r="V52" s="73"/>
    </row>
    <row r="53" spans="2:22" x14ac:dyDescent="0.2">
      <c r="B53" s="69"/>
      <c r="C53" s="98"/>
      <c r="D53" s="790"/>
      <c r="E53" s="130"/>
      <c r="F53" s="790"/>
      <c r="G53" s="130"/>
      <c r="H53" s="790"/>
      <c r="I53" s="129"/>
      <c r="J53" s="129"/>
      <c r="K53" s="378"/>
      <c r="L53" s="831">
        <f>(((IF(I53="",0,VLOOKUP(I53,tab!$A$73:$V$114,J53+2,FALSE)))*K53)*12)*(1+tab!$D$64)</f>
        <v>0</v>
      </c>
      <c r="M53" s="130"/>
      <c r="N53" s="790"/>
      <c r="O53" s="822">
        <v>0</v>
      </c>
      <c r="P53" s="130"/>
      <c r="Q53" s="792"/>
      <c r="R53" s="822">
        <v>0</v>
      </c>
      <c r="S53" s="130"/>
      <c r="T53" s="837">
        <f t="shared" si="3"/>
        <v>0</v>
      </c>
      <c r="U53" s="130"/>
      <c r="V53" s="73"/>
    </row>
    <row r="54" spans="2:22" x14ac:dyDescent="0.2">
      <c r="B54" s="69"/>
      <c r="C54" s="98"/>
      <c r="D54" s="790"/>
      <c r="E54" s="130"/>
      <c r="F54" s="790"/>
      <c r="G54" s="130"/>
      <c r="H54" s="790"/>
      <c r="I54" s="129"/>
      <c r="J54" s="129"/>
      <c r="K54" s="378"/>
      <c r="L54" s="831">
        <f>(((IF(I54="",0,VLOOKUP(I54,tab!$A$73:$V$114,J54+2,FALSE)))*K54)*12)*(1+tab!$D$64)</f>
        <v>0</v>
      </c>
      <c r="M54" s="130"/>
      <c r="N54" s="790"/>
      <c r="O54" s="822">
        <v>0</v>
      </c>
      <c r="P54" s="130"/>
      <c r="Q54" s="792"/>
      <c r="R54" s="822">
        <v>0</v>
      </c>
      <c r="S54" s="130"/>
      <c r="T54" s="837">
        <f t="shared" si="3"/>
        <v>0</v>
      </c>
      <c r="U54" s="130"/>
      <c r="V54" s="73"/>
    </row>
    <row r="55" spans="2:22" x14ac:dyDescent="0.2">
      <c r="B55" s="69"/>
      <c r="C55" s="797"/>
      <c r="D55" s="797"/>
      <c r="E55" s="798"/>
      <c r="F55" s="798"/>
      <c r="G55" s="798"/>
      <c r="H55" s="793"/>
      <c r="I55" s="793"/>
      <c r="J55" s="793"/>
      <c r="K55" s="793"/>
      <c r="L55" s="823">
        <f>SUM(L49:L54)</f>
        <v>0</v>
      </c>
      <c r="M55" s="798"/>
      <c r="N55" s="793"/>
      <c r="O55" s="794">
        <f>SUM(O49:O54)</f>
        <v>0</v>
      </c>
      <c r="P55" s="797"/>
      <c r="Q55" s="798"/>
      <c r="R55" s="794">
        <f>SUM(R49:R54)</f>
        <v>0</v>
      </c>
      <c r="S55" s="797"/>
      <c r="T55" s="838">
        <f t="shared" si="3"/>
        <v>0</v>
      </c>
      <c r="U55" s="798"/>
      <c r="V55" s="73"/>
    </row>
    <row r="56" spans="2:22" x14ac:dyDescent="0.2">
      <c r="B56" s="69"/>
      <c r="E56" s="622"/>
      <c r="F56" s="622"/>
      <c r="G56" s="622"/>
      <c r="H56" s="622"/>
      <c r="I56" s="622"/>
      <c r="J56" s="622"/>
      <c r="K56" s="622"/>
      <c r="L56" s="824"/>
      <c r="M56" s="622"/>
      <c r="N56" s="622"/>
      <c r="O56" s="815"/>
      <c r="P56" s="622"/>
      <c r="Q56" s="622"/>
      <c r="R56" s="622"/>
      <c r="S56" s="622"/>
      <c r="T56" s="622"/>
      <c r="U56" s="622"/>
      <c r="V56" s="73"/>
    </row>
    <row r="57" spans="2:22" x14ac:dyDescent="0.2">
      <c r="B57" s="69"/>
      <c r="C57" s="70"/>
      <c r="D57" s="597"/>
      <c r="E57" s="70"/>
      <c r="F57" s="545"/>
      <c r="G57" s="70"/>
      <c r="H57" s="545"/>
      <c r="I57" s="545"/>
      <c r="J57" s="545"/>
      <c r="K57" s="545"/>
      <c r="L57" s="781"/>
      <c r="M57" s="70"/>
      <c r="N57" s="545"/>
      <c r="O57" s="817"/>
      <c r="P57" s="70"/>
      <c r="Q57" s="545"/>
      <c r="R57" s="545"/>
      <c r="S57" s="70"/>
      <c r="T57" s="545"/>
      <c r="U57" s="70"/>
      <c r="V57" s="73"/>
    </row>
    <row r="58" spans="2:22" x14ac:dyDescent="0.2">
      <c r="B58" s="69"/>
      <c r="C58" s="86"/>
      <c r="D58" s="87"/>
      <c r="E58" s="676"/>
      <c r="F58" s="87"/>
      <c r="G58" s="676"/>
      <c r="H58" s="87"/>
      <c r="I58" s="87"/>
      <c r="J58" s="87"/>
      <c r="K58" s="87"/>
      <c r="L58" s="551"/>
      <c r="M58" s="676"/>
      <c r="N58" s="87"/>
      <c r="O58" s="813"/>
      <c r="P58" s="676"/>
      <c r="Q58" s="161"/>
      <c r="R58" s="87"/>
      <c r="S58" s="676"/>
      <c r="T58" s="161"/>
      <c r="U58" s="676"/>
      <c r="V58" s="73"/>
    </row>
    <row r="59" spans="2:22" x14ac:dyDescent="0.2">
      <c r="B59" s="69"/>
      <c r="C59" s="86"/>
      <c r="D59" s="766" t="s">
        <v>515</v>
      </c>
      <c r="E59" s="676"/>
      <c r="G59" s="674"/>
      <c r="H59" s="828" t="s">
        <v>511</v>
      </c>
      <c r="I59" s="281"/>
      <c r="J59" s="414"/>
      <c r="K59" s="414"/>
      <c r="L59" s="780"/>
      <c r="M59" s="833"/>
      <c r="N59" s="832" t="s">
        <v>510</v>
      </c>
      <c r="O59" s="834"/>
      <c r="P59" s="833"/>
      <c r="Q59" s="829" t="s">
        <v>487</v>
      </c>
      <c r="S59" s="833"/>
      <c r="T59" s="839" t="s">
        <v>509</v>
      </c>
      <c r="U59" s="676"/>
      <c r="V59" s="73"/>
    </row>
    <row r="60" spans="2:22" x14ac:dyDescent="0.2">
      <c r="B60" s="69"/>
      <c r="C60" s="86"/>
      <c r="D60" s="788" t="s">
        <v>483</v>
      </c>
      <c r="E60" s="676"/>
      <c r="F60" s="789" t="s">
        <v>484</v>
      </c>
      <c r="G60" s="674"/>
      <c r="H60" s="789" t="s">
        <v>486</v>
      </c>
      <c r="I60" s="366" t="s">
        <v>231</v>
      </c>
      <c r="J60" s="366" t="s">
        <v>262</v>
      </c>
      <c r="K60" s="367" t="s">
        <v>150</v>
      </c>
      <c r="L60" s="821" t="s">
        <v>509</v>
      </c>
      <c r="M60" s="830"/>
      <c r="N60" s="789" t="s">
        <v>486</v>
      </c>
      <c r="O60" s="814" t="s">
        <v>509</v>
      </c>
      <c r="P60" s="830"/>
      <c r="Q60" s="789" t="s">
        <v>486</v>
      </c>
      <c r="R60" s="367" t="s">
        <v>509</v>
      </c>
      <c r="S60" s="830"/>
      <c r="T60" s="367"/>
      <c r="U60" s="676"/>
      <c r="V60" s="73"/>
    </row>
    <row r="61" spans="2:22" x14ac:dyDescent="0.2">
      <c r="B61" s="69"/>
      <c r="C61" s="90"/>
      <c r="D61" s="790"/>
      <c r="E61" s="162"/>
      <c r="F61" s="790"/>
      <c r="G61" s="162"/>
      <c r="H61" s="790"/>
      <c r="I61" s="129"/>
      <c r="J61" s="129"/>
      <c r="K61" s="378"/>
      <c r="L61" s="831">
        <f>(((IF(I61="",0,VLOOKUP(I61,tab!$A$73:$V$114,J61+2,FALSE)))*K61)*12)*(1+tab!$D$64)</f>
        <v>0</v>
      </c>
      <c r="M61" s="162"/>
      <c r="N61" s="790"/>
      <c r="O61" s="822">
        <v>0</v>
      </c>
      <c r="P61" s="162"/>
      <c r="Q61" s="791"/>
      <c r="R61" s="822">
        <v>0</v>
      </c>
      <c r="S61" s="162"/>
      <c r="T61" s="837">
        <f t="shared" ref="T61:T67" si="4">L61+O61+R61</f>
        <v>0</v>
      </c>
      <c r="U61" s="162"/>
      <c r="V61" s="73"/>
    </row>
    <row r="62" spans="2:22" x14ac:dyDescent="0.2">
      <c r="B62" s="69"/>
      <c r="C62" s="98"/>
      <c r="D62" s="790"/>
      <c r="E62" s="130"/>
      <c r="F62" s="790"/>
      <c r="G62" s="130"/>
      <c r="H62" s="790"/>
      <c r="I62" s="129"/>
      <c r="J62" s="129"/>
      <c r="K62" s="378"/>
      <c r="L62" s="831">
        <f>(((IF(I62="",0,VLOOKUP(I62,tab!$A$73:$V$114,J62+2,FALSE)))*K62)*12)*(1+tab!$D$64)</f>
        <v>0</v>
      </c>
      <c r="M62" s="130"/>
      <c r="N62" s="790"/>
      <c r="O62" s="822">
        <v>0</v>
      </c>
      <c r="P62" s="130"/>
      <c r="Q62" s="792"/>
      <c r="R62" s="822">
        <v>0</v>
      </c>
      <c r="S62" s="130"/>
      <c r="T62" s="837">
        <f t="shared" si="4"/>
        <v>0</v>
      </c>
      <c r="U62" s="130"/>
      <c r="V62" s="73"/>
    </row>
    <row r="63" spans="2:22" x14ac:dyDescent="0.2">
      <c r="B63" s="69"/>
      <c r="C63" s="98"/>
      <c r="D63" s="790"/>
      <c r="E63" s="130"/>
      <c r="F63" s="790"/>
      <c r="G63" s="130"/>
      <c r="H63" s="790"/>
      <c r="I63" s="129"/>
      <c r="J63" s="129"/>
      <c r="K63" s="378"/>
      <c r="L63" s="831">
        <f>(((IF(I63="",0,VLOOKUP(I63,tab!$A$73:$V$114,J63+2,FALSE)))*K63)*12)*(1+tab!$D$64)</f>
        <v>0</v>
      </c>
      <c r="M63" s="130"/>
      <c r="N63" s="790"/>
      <c r="O63" s="822">
        <v>0</v>
      </c>
      <c r="P63" s="130"/>
      <c r="Q63" s="792"/>
      <c r="R63" s="822">
        <v>0</v>
      </c>
      <c r="S63" s="130"/>
      <c r="T63" s="837">
        <f t="shared" si="4"/>
        <v>0</v>
      </c>
      <c r="U63" s="130"/>
      <c r="V63" s="73"/>
    </row>
    <row r="64" spans="2:22" x14ac:dyDescent="0.2">
      <c r="B64" s="69"/>
      <c r="C64" s="98"/>
      <c r="D64" s="790"/>
      <c r="E64" s="130"/>
      <c r="F64" s="790"/>
      <c r="G64" s="130"/>
      <c r="H64" s="790"/>
      <c r="I64" s="129"/>
      <c r="J64" s="129"/>
      <c r="K64" s="378"/>
      <c r="L64" s="831">
        <f>(((IF(I64="",0,VLOOKUP(I64,tab!$A$73:$V$114,J64+2,FALSE)))*K64)*12)*(1+tab!$D$64)</f>
        <v>0</v>
      </c>
      <c r="M64" s="130"/>
      <c r="N64" s="790"/>
      <c r="O64" s="822">
        <v>0</v>
      </c>
      <c r="P64" s="130"/>
      <c r="Q64" s="792"/>
      <c r="R64" s="822">
        <v>0</v>
      </c>
      <c r="S64" s="130"/>
      <c r="T64" s="837">
        <f t="shared" si="4"/>
        <v>0</v>
      </c>
      <c r="U64" s="130"/>
      <c r="V64" s="73"/>
    </row>
    <row r="65" spans="2:22" x14ac:dyDescent="0.2">
      <c r="B65" s="69"/>
      <c r="C65" s="98"/>
      <c r="D65" s="790"/>
      <c r="E65" s="130"/>
      <c r="F65" s="790"/>
      <c r="G65" s="130"/>
      <c r="H65" s="790"/>
      <c r="I65" s="129"/>
      <c r="J65" s="129"/>
      <c r="K65" s="378"/>
      <c r="L65" s="831">
        <f>(((IF(I65="",0,VLOOKUP(I65,tab!$A$73:$V$114,J65+2,FALSE)))*K65)*12)*(1+tab!$D$64)</f>
        <v>0</v>
      </c>
      <c r="M65" s="130"/>
      <c r="N65" s="790"/>
      <c r="O65" s="822">
        <v>0</v>
      </c>
      <c r="P65" s="130"/>
      <c r="Q65" s="792"/>
      <c r="R65" s="822">
        <v>0</v>
      </c>
      <c r="S65" s="130"/>
      <c r="T65" s="837">
        <f t="shared" si="4"/>
        <v>0</v>
      </c>
      <c r="U65" s="130"/>
      <c r="V65" s="73"/>
    </row>
    <row r="66" spans="2:22" x14ac:dyDescent="0.2">
      <c r="B66" s="69"/>
      <c r="C66" s="98"/>
      <c r="D66" s="790"/>
      <c r="E66" s="130"/>
      <c r="F66" s="790"/>
      <c r="G66" s="130"/>
      <c r="H66" s="790"/>
      <c r="I66" s="129"/>
      <c r="J66" s="129"/>
      <c r="K66" s="378"/>
      <c r="L66" s="831">
        <f>(((IF(I66="",0,VLOOKUP(I66,tab!$A$73:$V$114,J66+2,FALSE)))*K66)*12)*(1+tab!$D$64)</f>
        <v>0</v>
      </c>
      <c r="M66" s="130"/>
      <c r="N66" s="790"/>
      <c r="O66" s="822">
        <v>0</v>
      </c>
      <c r="P66" s="130"/>
      <c r="Q66" s="792"/>
      <c r="R66" s="822">
        <v>0</v>
      </c>
      <c r="S66" s="130"/>
      <c r="T66" s="837">
        <f t="shared" si="4"/>
        <v>0</v>
      </c>
      <c r="U66" s="130"/>
      <c r="V66" s="73"/>
    </row>
    <row r="67" spans="2:22" x14ac:dyDescent="0.2">
      <c r="B67" s="69"/>
      <c r="C67" s="797"/>
      <c r="D67" s="797"/>
      <c r="E67" s="798"/>
      <c r="F67" s="798"/>
      <c r="G67" s="798"/>
      <c r="H67" s="793"/>
      <c r="I67" s="793"/>
      <c r="J67" s="793"/>
      <c r="K67" s="793"/>
      <c r="L67" s="823">
        <f>SUM(L61:L66)</f>
        <v>0</v>
      </c>
      <c r="M67" s="798"/>
      <c r="N67" s="793"/>
      <c r="O67" s="794">
        <f>SUM(O61:O66)</f>
        <v>0</v>
      </c>
      <c r="P67" s="797"/>
      <c r="Q67" s="798"/>
      <c r="R67" s="794">
        <f>SUM(R61:R66)</f>
        <v>0</v>
      </c>
      <c r="S67" s="797"/>
      <c r="T67" s="838">
        <f t="shared" si="4"/>
        <v>0</v>
      </c>
      <c r="U67" s="798"/>
      <c r="V67" s="73"/>
    </row>
    <row r="68" spans="2:22" x14ac:dyDescent="0.2">
      <c r="B68" s="69"/>
      <c r="E68" s="622"/>
      <c r="F68" s="622"/>
      <c r="G68" s="622"/>
      <c r="H68" s="622"/>
      <c r="I68" s="622"/>
      <c r="J68" s="622"/>
      <c r="K68" s="622"/>
      <c r="L68" s="824"/>
      <c r="M68" s="622"/>
      <c r="N68" s="622"/>
      <c r="O68" s="815"/>
      <c r="P68" s="622"/>
      <c r="Q68" s="622"/>
      <c r="R68" s="622"/>
      <c r="S68" s="622"/>
      <c r="T68" s="622"/>
      <c r="U68" s="622"/>
      <c r="V68" s="73"/>
    </row>
    <row r="69" spans="2:22" x14ac:dyDescent="0.2">
      <c r="B69" s="69"/>
      <c r="C69" s="70"/>
      <c r="D69" s="597"/>
      <c r="E69" s="70"/>
      <c r="F69" s="545"/>
      <c r="G69" s="70"/>
      <c r="H69" s="545"/>
      <c r="I69" s="545"/>
      <c r="J69" s="545"/>
      <c r="K69" s="545"/>
      <c r="L69" s="781"/>
      <c r="M69" s="70"/>
      <c r="N69" s="545"/>
      <c r="O69" s="817"/>
      <c r="P69" s="70"/>
      <c r="Q69" s="545"/>
      <c r="R69" s="545"/>
      <c r="S69" s="70"/>
      <c r="T69" s="545"/>
      <c r="U69" s="70"/>
      <c r="V69" s="73"/>
    </row>
    <row r="70" spans="2:22" x14ac:dyDescent="0.2">
      <c r="B70" s="69"/>
      <c r="C70" s="70"/>
      <c r="D70" s="597"/>
      <c r="E70" s="70"/>
      <c r="F70" s="545"/>
      <c r="G70" s="70"/>
      <c r="H70" s="545"/>
      <c r="I70" s="545"/>
      <c r="J70" s="545"/>
      <c r="K70" s="545"/>
      <c r="L70" s="781"/>
      <c r="M70" s="70"/>
      <c r="N70" s="545"/>
      <c r="O70" s="817"/>
      <c r="P70" s="70"/>
      <c r="Q70" s="545"/>
      <c r="R70" s="545"/>
      <c r="S70" s="70"/>
      <c r="T70" s="545"/>
      <c r="U70" s="70"/>
      <c r="V70" s="73"/>
    </row>
    <row r="71" spans="2:22" x14ac:dyDescent="0.2">
      <c r="B71" s="69"/>
      <c r="C71" s="70"/>
      <c r="D71" s="597"/>
      <c r="E71" s="70"/>
      <c r="F71" s="545"/>
      <c r="G71" s="70"/>
      <c r="H71" s="545"/>
      <c r="I71" s="545"/>
      <c r="J71" s="545"/>
      <c r="K71" s="545"/>
      <c r="L71" s="781"/>
      <c r="M71" s="70"/>
      <c r="N71" s="545"/>
      <c r="O71" s="817"/>
      <c r="P71" s="70"/>
      <c r="Q71" s="545"/>
      <c r="R71" s="545"/>
      <c r="S71" s="70"/>
      <c r="T71" s="545"/>
      <c r="U71" s="70"/>
      <c r="V71" s="73"/>
    </row>
    <row r="72" spans="2:22" ht="15" x14ac:dyDescent="0.25">
      <c r="B72" s="171"/>
      <c r="C72" s="172"/>
      <c r="D72" s="697"/>
      <c r="E72" s="152"/>
      <c r="F72" s="449"/>
      <c r="G72" s="152"/>
      <c r="H72" s="449"/>
      <c r="I72" s="449"/>
      <c r="J72" s="449"/>
      <c r="K72" s="449"/>
      <c r="L72" s="826"/>
      <c r="M72" s="152"/>
      <c r="N72" s="449"/>
      <c r="O72" s="818"/>
      <c r="P72" s="152"/>
      <c r="Q72" s="449"/>
      <c r="R72" s="449"/>
      <c r="S72" s="152"/>
      <c r="T72" s="449"/>
      <c r="U72" s="152" t="s">
        <v>435</v>
      </c>
      <c r="V72" s="173"/>
    </row>
    <row r="73" spans="2:22" x14ac:dyDescent="0.2">
      <c r="D73" s="604"/>
      <c r="F73" s="416"/>
      <c r="H73" s="416"/>
      <c r="I73" s="416"/>
      <c r="J73" s="416"/>
      <c r="K73" s="416"/>
      <c r="L73" s="827"/>
      <c r="N73" s="416"/>
      <c r="O73" s="819"/>
      <c r="Q73" s="416"/>
      <c r="R73" s="416"/>
      <c r="T73" s="416"/>
    </row>
    <row r="74" spans="2:22" x14ac:dyDescent="0.2">
      <c r="H74" s="288"/>
      <c r="I74" s="288"/>
      <c r="J74" s="288"/>
      <c r="K74" s="288"/>
      <c r="N74" s="288"/>
    </row>
    <row r="75" spans="2:22" x14ac:dyDescent="0.2">
      <c r="H75" s="288"/>
      <c r="I75" s="288"/>
      <c r="J75" s="288"/>
      <c r="K75" s="288"/>
      <c r="N75" s="288"/>
    </row>
    <row r="76" spans="2:22" x14ac:dyDescent="0.2">
      <c r="H76" s="288"/>
      <c r="I76" s="288"/>
      <c r="J76" s="288"/>
      <c r="K76" s="288"/>
      <c r="N76" s="288"/>
    </row>
    <row r="77" spans="2:22" x14ac:dyDescent="0.2">
      <c r="H77" s="288"/>
      <c r="I77" s="288"/>
      <c r="J77" s="288"/>
      <c r="K77" s="288"/>
      <c r="N77" s="288"/>
    </row>
    <row r="78" spans="2:22" x14ac:dyDescent="0.2">
      <c r="D78" s="835" t="s">
        <v>157</v>
      </c>
      <c r="H78" s="288"/>
      <c r="I78" s="288"/>
      <c r="J78" s="288"/>
      <c r="K78" s="288"/>
      <c r="N78" s="288"/>
    </row>
    <row r="79" spans="2:22" x14ac:dyDescent="0.2">
      <c r="D79" s="835" t="s">
        <v>158</v>
      </c>
      <c r="H79" s="288"/>
      <c r="I79" s="288"/>
      <c r="J79" s="288"/>
      <c r="K79" s="288"/>
      <c r="N79" s="288"/>
    </row>
    <row r="80" spans="2:22" x14ac:dyDescent="0.2">
      <c r="D80" s="835" t="s">
        <v>159</v>
      </c>
      <c r="H80" s="288"/>
      <c r="I80" s="288"/>
      <c r="J80" s="288"/>
      <c r="K80" s="288"/>
      <c r="N80" s="288"/>
    </row>
    <row r="81" spans="4:14" x14ac:dyDescent="0.2">
      <c r="D81" s="835" t="s">
        <v>160</v>
      </c>
      <c r="H81" s="288"/>
      <c r="I81" s="288"/>
      <c r="J81" s="288"/>
      <c r="K81" s="288"/>
      <c r="N81" s="288"/>
    </row>
    <row r="82" spans="4:14" x14ac:dyDescent="0.2">
      <c r="D82" s="835" t="s">
        <v>163</v>
      </c>
      <c r="H82" s="288"/>
      <c r="I82" s="288"/>
      <c r="J82" s="288"/>
      <c r="K82" s="288"/>
      <c r="N82" s="288"/>
    </row>
    <row r="83" spans="4:14" x14ac:dyDescent="0.2">
      <c r="D83" s="835" t="s">
        <v>151</v>
      </c>
      <c r="H83" s="288"/>
      <c r="I83" s="288"/>
      <c r="J83" s="288"/>
      <c r="K83" s="288"/>
      <c r="N83" s="288"/>
    </row>
    <row r="84" spans="4:14" x14ac:dyDescent="0.2">
      <c r="D84" s="835" t="s">
        <v>152</v>
      </c>
      <c r="H84" s="288"/>
      <c r="I84" s="288"/>
      <c r="J84" s="288"/>
      <c r="K84" s="288"/>
      <c r="N84" s="288"/>
    </row>
    <row r="85" spans="4:14" x14ac:dyDescent="0.2">
      <c r="D85" s="835" t="s">
        <v>176</v>
      </c>
      <c r="H85" s="288"/>
      <c r="I85" s="288"/>
      <c r="J85" s="288"/>
      <c r="K85" s="288"/>
      <c r="N85" s="288"/>
    </row>
    <row r="86" spans="4:14" x14ac:dyDescent="0.2">
      <c r="D86" s="835" t="s">
        <v>153</v>
      </c>
      <c r="H86" s="288"/>
      <c r="I86" s="288"/>
      <c r="J86" s="288"/>
      <c r="K86" s="288"/>
      <c r="N86" s="288"/>
    </row>
    <row r="87" spans="4:14" x14ac:dyDescent="0.2">
      <c r="D87" s="835" t="s">
        <v>177</v>
      </c>
      <c r="H87" s="288"/>
      <c r="I87" s="288"/>
      <c r="J87" s="288"/>
      <c r="K87" s="288"/>
      <c r="N87" s="288"/>
    </row>
    <row r="88" spans="4:14" x14ac:dyDescent="0.2">
      <c r="D88" s="835" t="s">
        <v>161</v>
      </c>
      <c r="H88" s="288"/>
      <c r="I88" s="288"/>
      <c r="J88" s="288"/>
      <c r="K88" s="288"/>
      <c r="N88" s="288"/>
    </row>
    <row r="89" spans="4:14" x14ac:dyDescent="0.2">
      <c r="D89" s="835" t="s">
        <v>162</v>
      </c>
      <c r="H89" s="288"/>
      <c r="I89" s="288"/>
      <c r="J89" s="288"/>
      <c r="K89" s="288"/>
      <c r="N89" s="288"/>
    </row>
    <row r="90" spans="4:14" x14ac:dyDescent="0.2">
      <c r="D90" s="277" t="s">
        <v>180</v>
      </c>
      <c r="H90" s="288"/>
      <c r="I90" s="288"/>
      <c r="J90" s="288"/>
      <c r="K90" s="288"/>
      <c r="N90" s="288"/>
    </row>
    <row r="91" spans="4:14" x14ac:dyDescent="0.2">
      <c r="D91" s="277" t="s">
        <v>192</v>
      </c>
      <c r="H91" s="288"/>
      <c r="I91" s="288"/>
      <c r="J91" s="288"/>
      <c r="K91" s="288"/>
      <c r="N91" s="288"/>
    </row>
    <row r="92" spans="4:14" x14ac:dyDescent="0.2">
      <c r="D92" s="277" t="s">
        <v>181</v>
      </c>
      <c r="H92" s="288"/>
      <c r="I92" s="288"/>
      <c r="J92" s="288"/>
      <c r="K92" s="288"/>
      <c r="N92" s="288"/>
    </row>
    <row r="93" spans="4:14" x14ac:dyDescent="0.2">
      <c r="D93" s="835" t="s">
        <v>154</v>
      </c>
      <c r="H93" s="288"/>
      <c r="I93" s="288"/>
      <c r="J93" s="288"/>
      <c r="K93" s="288"/>
      <c r="N93" s="288"/>
    </row>
    <row r="94" spans="4:14" x14ac:dyDescent="0.2">
      <c r="D94" s="835" t="s">
        <v>155</v>
      </c>
      <c r="H94" s="288"/>
      <c r="I94" s="288"/>
      <c r="J94" s="288"/>
      <c r="K94" s="288"/>
      <c r="N94" s="288"/>
    </row>
    <row r="95" spans="4:14" x14ac:dyDescent="0.2">
      <c r="D95" s="835" t="s">
        <v>156</v>
      </c>
      <c r="H95" s="288"/>
      <c r="I95" s="288"/>
      <c r="J95" s="288"/>
      <c r="K95" s="288"/>
      <c r="N95" s="288"/>
    </row>
    <row r="96" spans="4:14" x14ac:dyDescent="0.2">
      <c r="D96" s="835" t="s">
        <v>164</v>
      </c>
      <c r="H96" s="288"/>
      <c r="I96" s="288"/>
      <c r="J96" s="288"/>
      <c r="K96" s="288"/>
      <c r="N96" s="288"/>
    </row>
    <row r="97" spans="4:14" x14ac:dyDescent="0.2">
      <c r="D97" s="835" t="s">
        <v>165</v>
      </c>
      <c r="H97" s="288"/>
      <c r="I97" s="288"/>
      <c r="J97" s="288"/>
      <c r="K97" s="288"/>
      <c r="N97" s="288"/>
    </row>
    <row r="98" spans="4:14" x14ac:dyDescent="0.2">
      <c r="D98" s="277" t="s">
        <v>178</v>
      </c>
      <c r="H98" s="288"/>
      <c r="I98" s="288"/>
      <c r="J98" s="288"/>
      <c r="K98" s="288"/>
      <c r="N98" s="288"/>
    </row>
    <row r="99" spans="4:14" x14ac:dyDescent="0.2">
      <c r="D99" s="277" t="s">
        <v>179</v>
      </c>
      <c r="H99" s="288"/>
      <c r="I99" s="288"/>
      <c r="J99" s="288"/>
      <c r="K99" s="288"/>
      <c r="N99" s="288"/>
    </row>
    <row r="100" spans="4:14" x14ac:dyDescent="0.2">
      <c r="D100" s="836" t="s">
        <v>374</v>
      </c>
      <c r="H100" s="288"/>
      <c r="I100" s="288"/>
      <c r="J100" s="288"/>
      <c r="K100" s="288"/>
      <c r="N100" s="288"/>
    </row>
    <row r="101" spans="4:14" x14ac:dyDescent="0.2">
      <c r="D101" s="836" t="s">
        <v>368</v>
      </c>
      <c r="H101" s="288"/>
      <c r="I101" s="288"/>
      <c r="J101" s="288"/>
      <c r="K101" s="288"/>
      <c r="N101" s="288"/>
    </row>
    <row r="102" spans="4:14" x14ac:dyDescent="0.2">
      <c r="D102" s="836" t="s">
        <v>369</v>
      </c>
      <c r="H102" s="288"/>
      <c r="I102" s="288"/>
      <c r="J102" s="288"/>
      <c r="K102" s="288"/>
      <c r="N102" s="288"/>
    </row>
    <row r="103" spans="4:14" x14ac:dyDescent="0.2">
      <c r="D103" s="836" t="s">
        <v>371</v>
      </c>
      <c r="H103" s="288"/>
      <c r="I103" s="288"/>
      <c r="J103" s="288"/>
      <c r="K103" s="288"/>
      <c r="N103" s="288"/>
    </row>
    <row r="104" spans="4:14" x14ac:dyDescent="0.2">
      <c r="D104" s="836" t="s">
        <v>370</v>
      </c>
      <c r="H104" s="288"/>
      <c r="I104" s="288"/>
      <c r="J104" s="288"/>
      <c r="K104" s="288"/>
      <c r="N104" s="288"/>
    </row>
    <row r="105" spans="4:14" x14ac:dyDescent="0.2">
      <c r="D105" s="277">
        <v>1</v>
      </c>
      <c r="H105" s="288"/>
      <c r="I105" s="288"/>
      <c r="J105" s="288"/>
      <c r="K105" s="288"/>
      <c r="N105" s="288"/>
    </row>
    <row r="106" spans="4:14" x14ac:dyDescent="0.2">
      <c r="D106" s="277">
        <v>2</v>
      </c>
      <c r="H106" s="288"/>
      <c r="I106" s="288"/>
      <c r="J106" s="288"/>
      <c r="K106" s="288"/>
      <c r="N106" s="288"/>
    </row>
    <row r="107" spans="4:14" x14ac:dyDescent="0.2">
      <c r="D107" s="277">
        <v>3</v>
      </c>
      <c r="H107" s="288"/>
      <c r="I107" s="288"/>
      <c r="J107" s="288"/>
      <c r="K107" s="288"/>
      <c r="N107" s="288"/>
    </row>
    <row r="108" spans="4:14" x14ac:dyDescent="0.2">
      <c r="D108" s="277">
        <v>4</v>
      </c>
      <c r="H108" s="288"/>
      <c r="I108" s="288"/>
      <c r="J108" s="288"/>
      <c r="K108" s="288"/>
      <c r="N108" s="288"/>
    </row>
    <row r="109" spans="4:14" x14ac:dyDescent="0.2">
      <c r="D109" s="277">
        <v>5</v>
      </c>
      <c r="H109" s="288"/>
      <c r="I109" s="288"/>
      <c r="J109" s="288"/>
      <c r="K109" s="288"/>
      <c r="N109" s="288"/>
    </row>
    <row r="110" spans="4:14" x14ac:dyDescent="0.2">
      <c r="D110" s="277">
        <v>6</v>
      </c>
      <c r="H110" s="288"/>
      <c r="I110" s="288"/>
      <c r="J110" s="288"/>
      <c r="K110" s="288"/>
      <c r="N110" s="288"/>
    </row>
    <row r="111" spans="4:14" x14ac:dyDescent="0.2">
      <c r="D111" s="277">
        <v>7</v>
      </c>
      <c r="H111" s="288"/>
      <c r="I111" s="288"/>
      <c r="J111" s="288"/>
      <c r="K111" s="288"/>
      <c r="N111" s="288"/>
    </row>
    <row r="112" spans="4:14" x14ac:dyDescent="0.2">
      <c r="D112" s="277">
        <v>8</v>
      </c>
      <c r="H112" s="288"/>
      <c r="I112" s="288"/>
      <c r="J112" s="288"/>
      <c r="K112" s="288"/>
      <c r="N112" s="288"/>
    </row>
    <row r="113" spans="4:14" x14ac:dyDescent="0.2">
      <c r="D113" s="277">
        <v>9</v>
      </c>
      <c r="H113" s="288"/>
      <c r="I113" s="288"/>
      <c r="J113" s="288"/>
      <c r="K113" s="288"/>
      <c r="N113" s="288"/>
    </row>
    <row r="114" spans="4:14" x14ac:dyDescent="0.2">
      <c r="D114" s="277">
        <v>10</v>
      </c>
      <c r="H114" s="288"/>
      <c r="I114" s="288"/>
      <c r="J114" s="288"/>
      <c r="K114" s="288"/>
      <c r="N114" s="288"/>
    </row>
    <row r="115" spans="4:14" x14ac:dyDescent="0.2">
      <c r="D115" s="277">
        <v>11</v>
      </c>
      <c r="H115" s="288"/>
      <c r="I115" s="288"/>
      <c r="J115" s="288"/>
      <c r="K115" s="288"/>
      <c r="N115" s="288"/>
    </row>
    <row r="116" spans="4:14" x14ac:dyDescent="0.2">
      <c r="D116" s="277">
        <v>12</v>
      </c>
      <c r="H116" s="288"/>
      <c r="I116" s="288"/>
      <c r="J116" s="288"/>
      <c r="K116" s="288"/>
      <c r="N116" s="288"/>
    </row>
    <row r="117" spans="4:14" x14ac:dyDescent="0.2">
      <c r="D117" s="277">
        <v>13</v>
      </c>
      <c r="H117" s="288"/>
      <c r="I117" s="288"/>
      <c r="J117" s="288"/>
      <c r="K117" s="288"/>
      <c r="N117" s="288"/>
    </row>
    <row r="118" spans="4:14" x14ac:dyDescent="0.2">
      <c r="D118" s="277">
        <v>14</v>
      </c>
      <c r="H118" s="288"/>
      <c r="I118" s="288"/>
      <c r="J118" s="288"/>
      <c r="K118" s="288"/>
      <c r="N118" s="288"/>
    </row>
    <row r="119" spans="4:14" x14ac:dyDescent="0.2">
      <c r="D119" s="277">
        <v>15</v>
      </c>
      <c r="H119" s="288"/>
      <c r="I119" s="288"/>
      <c r="J119" s="288"/>
      <c r="K119" s="288"/>
      <c r="N119" s="288"/>
    </row>
    <row r="120" spans="4:14" x14ac:dyDescent="0.2">
      <c r="D120" s="277">
        <v>16</v>
      </c>
      <c r="H120" s="288"/>
      <c r="I120" s="288"/>
      <c r="J120" s="288"/>
      <c r="K120" s="288"/>
      <c r="N120" s="288"/>
    </row>
    <row r="121" spans="4:14" x14ac:dyDescent="0.2">
      <c r="H121" s="288"/>
      <c r="I121" s="288"/>
      <c r="J121" s="288"/>
      <c r="K121" s="288"/>
      <c r="N121" s="288"/>
    </row>
    <row r="122" spans="4:14" x14ac:dyDescent="0.2">
      <c r="H122" s="288"/>
      <c r="I122" s="288"/>
      <c r="J122" s="288"/>
      <c r="K122" s="288"/>
      <c r="N122" s="288"/>
    </row>
    <row r="123" spans="4:14" x14ac:dyDescent="0.2">
      <c r="H123" s="288"/>
      <c r="I123" s="288"/>
      <c r="J123" s="288"/>
      <c r="K123" s="288"/>
      <c r="N123" s="288"/>
    </row>
    <row r="124" spans="4:14" x14ac:dyDescent="0.2">
      <c r="H124" s="288"/>
      <c r="I124" s="288"/>
      <c r="J124" s="288"/>
      <c r="K124" s="288"/>
      <c r="N124" s="288"/>
    </row>
    <row r="125" spans="4:14" x14ac:dyDescent="0.2">
      <c r="H125" s="288"/>
      <c r="I125" s="288"/>
      <c r="J125" s="288"/>
      <c r="K125" s="288"/>
      <c r="N125" s="288"/>
    </row>
  </sheetData>
  <sheetProtection algorithmName="SHA-512" hashValue="uH6eNRGzrlHvbm1OGFaw+jwlVWfODw0/F4VfRrNq3dtstKq68iTdOstooX1/pXrpe73JVkIrUKjvDZFzSM7AkA==" saltValue="mQ65CUdvfpPOGvljoqvO0A==" spinCount="100000" sheet="1" objects="1" scenarios="1"/>
  <dataValidations count="1">
    <dataValidation type="list" allowBlank="1" showInputMessage="1" showErrorMessage="1" sqref="I13:I18 I25:I30 I37:I42 I49:I54 I61:I66">
      <formula1>$D$78:$D$120</formula1>
    </dataValidation>
  </dataValidations>
  <pageMargins left="0.74803149606299213" right="0.74803149606299213" top="0.98425196850393704" bottom="0.98425196850393704" header="0.51181102362204722" footer="0.51181102362204722"/>
  <pageSetup paperSize="9" scale="50" orientation="landscape" r:id="rId1"/>
  <headerFooter alignWithMargins="0">
    <oddHeader>&amp;L&amp;"Arial,Vet"&amp;F&amp;R&amp;"Arial,Vet"&amp;A</oddHeader>
    <oddFooter>&amp;L&amp;"Arial,Vet"PO-Raad&amp;C&amp;"Arial,Vet"&amp;D&amp;R&amp;"Arial,Vet"pagina &amp;P</oddFooter>
  </headerFooter>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B1:M107"/>
  <sheetViews>
    <sheetView showGridLines="0" zoomScale="85" zoomScaleNormal="85" zoomScaleSheetLayoutView="75" workbookViewId="0">
      <pane ySplit="9" topLeftCell="A10" activePane="bottomLeft" state="frozen"/>
      <selection activeCell="B2" sqref="B2"/>
      <selection pane="bottomLeft" activeCell="B2" sqref="B2"/>
    </sheetView>
  </sheetViews>
  <sheetFormatPr defaultColWidth="9.140625" defaultRowHeight="12.75" x14ac:dyDescent="0.2"/>
  <cols>
    <col min="1" max="1" width="3.7109375" style="68" customWidth="1"/>
    <col min="2" max="3" width="2.7109375" style="68" customWidth="1"/>
    <col min="4" max="4" width="40.7109375" style="68" customWidth="1"/>
    <col min="5" max="5" width="2.7109375" style="68" customWidth="1"/>
    <col min="6" max="10" width="14.7109375" style="68" customWidth="1"/>
    <col min="11" max="12" width="2.7109375" style="68" customWidth="1"/>
    <col min="13" max="13" width="15.42578125" style="68" customWidth="1"/>
    <col min="14" max="15" width="5.7109375" style="68" customWidth="1"/>
    <col min="16" max="16384" width="9.140625" style="68"/>
  </cols>
  <sheetData>
    <row r="1" spans="2:13" ht="12.75" customHeight="1" x14ac:dyDescent="0.2"/>
    <row r="2" spans="2:13" x14ac:dyDescent="0.2">
      <c r="B2" s="63"/>
      <c r="C2" s="64"/>
      <c r="D2" s="64"/>
      <c r="E2" s="64"/>
      <c r="F2" s="64"/>
      <c r="G2" s="64"/>
      <c r="H2" s="64"/>
      <c r="I2" s="64"/>
      <c r="J2" s="64"/>
      <c r="K2" s="64"/>
      <c r="L2" s="67"/>
    </row>
    <row r="3" spans="2:13" x14ac:dyDescent="0.2">
      <c r="B3" s="69"/>
      <c r="C3" s="70"/>
      <c r="D3" s="70"/>
      <c r="E3" s="70"/>
      <c r="F3" s="70"/>
      <c r="G3" s="70"/>
      <c r="H3" s="70"/>
      <c r="I3" s="70"/>
      <c r="J3" s="70"/>
      <c r="K3" s="70"/>
      <c r="L3" s="73"/>
    </row>
    <row r="4" spans="2:13" s="106" customFormat="1" ht="18.75" x14ac:dyDescent="0.3">
      <c r="B4" s="75"/>
      <c r="C4" s="857" t="s">
        <v>414</v>
      </c>
      <c r="D4" s="76"/>
      <c r="E4" s="77"/>
      <c r="F4" s="667"/>
      <c r="G4" s="667"/>
      <c r="H4" s="77"/>
      <c r="I4" s="77"/>
      <c r="J4" s="77"/>
      <c r="K4" s="77"/>
      <c r="L4" s="78"/>
    </row>
    <row r="5" spans="2:13" ht="18.75" x14ac:dyDescent="0.3">
      <c r="B5" s="612"/>
      <c r="C5" s="81" t="str">
        <f>geg!G12</f>
        <v>Basisschool</v>
      </c>
      <c r="D5" s="616"/>
      <c r="E5" s="70"/>
      <c r="F5" s="668"/>
      <c r="G5" s="668"/>
      <c r="H5" s="70"/>
      <c r="I5" s="70"/>
      <c r="J5" s="70"/>
      <c r="K5" s="70"/>
      <c r="L5" s="73"/>
    </row>
    <row r="6" spans="2:13" ht="14.45" customHeight="1" x14ac:dyDescent="0.2">
      <c r="B6" s="69"/>
      <c r="C6" s="70"/>
      <c r="D6" s="70"/>
      <c r="E6" s="70"/>
      <c r="F6" s="70"/>
      <c r="G6" s="70"/>
      <c r="H6" s="70"/>
      <c r="I6" s="70"/>
      <c r="J6" s="70"/>
      <c r="K6" s="70"/>
      <c r="L6" s="73"/>
    </row>
    <row r="7" spans="2:13" ht="14.45" customHeight="1" x14ac:dyDescent="0.2">
      <c r="B7" s="69"/>
      <c r="C7" s="70"/>
      <c r="D7" s="70"/>
      <c r="E7" s="70"/>
      <c r="F7" s="70"/>
      <c r="G7" s="70"/>
      <c r="H7" s="70"/>
      <c r="I7" s="70"/>
      <c r="J7" s="70"/>
      <c r="K7" s="70"/>
      <c r="L7" s="73"/>
    </row>
    <row r="8" spans="2:13" s="106" customFormat="1" ht="14.45" customHeight="1" x14ac:dyDescent="0.2">
      <c r="B8" s="102"/>
      <c r="C8" s="77"/>
      <c r="D8" s="477"/>
      <c r="E8" s="615"/>
      <c r="F8" s="880">
        <f>tab!D4</f>
        <v>2015</v>
      </c>
      <c r="G8" s="880">
        <f>tab!E4</f>
        <v>2016</v>
      </c>
      <c r="H8" s="880">
        <f>G8+1</f>
        <v>2017</v>
      </c>
      <c r="I8" s="880">
        <f>H8+1</f>
        <v>2018</v>
      </c>
      <c r="J8" s="880">
        <f>I8+1</f>
        <v>2019</v>
      </c>
      <c r="K8" s="669"/>
      <c r="L8" s="670"/>
      <c r="M8" s="671"/>
    </row>
    <row r="9" spans="2:13" ht="14.45" customHeight="1" x14ac:dyDescent="0.2">
      <c r="B9" s="69"/>
      <c r="C9" s="70"/>
      <c r="D9" s="70"/>
      <c r="E9" s="613"/>
      <c r="F9" s="70"/>
      <c r="G9" s="70"/>
      <c r="H9" s="70"/>
      <c r="I9" s="70"/>
      <c r="J9" s="70"/>
      <c r="K9" s="672"/>
      <c r="L9" s="673"/>
      <c r="M9" s="674"/>
    </row>
    <row r="10" spans="2:13" ht="14.45" customHeight="1" x14ac:dyDescent="0.2">
      <c r="B10" s="69"/>
      <c r="C10" s="86"/>
      <c r="D10" s="87"/>
      <c r="E10" s="675"/>
      <c r="F10" s="87"/>
      <c r="G10" s="87"/>
      <c r="H10" s="87"/>
      <c r="I10" s="87"/>
      <c r="J10" s="87"/>
      <c r="K10" s="676"/>
      <c r="L10" s="673"/>
      <c r="M10" s="674"/>
    </row>
    <row r="11" spans="2:13" ht="14.45" customHeight="1" x14ac:dyDescent="0.2">
      <c r="B11" s="69"/>
      <c r="C11" s="90"/>
      <c r="D11" s="883" t="s">
        <v>436</v>
      </c>
      <c r="E11" s="677"/>
      <c r="F11" s="92"/>
      <c r="G11" s="92"/>
      <c r="H11" s="92"/>
      <c r="I11" s="92"/>
      <c r="J11" s="92"/>
      <c r="K11" s="678"/>
      <c r="L11" s="673"/>
      <c r="M11" s="674"/>
    </row>
    <row r="12" spans="2:13" ht="14.45" customHeight="1" x14ac:dyDescent="0.2">
      <c r="B12" s="69"/>
      <c r="C12" s="90"/>
      <c r="D12" s="92"/>
      <c r="E12" s="677"/>
      <c r="F12" s="92"/>
      <c r="G12" s="92"/>
      <c r="H12" s="92"/>
      <c r="I12" s="92"/>
      <c r="J12" s="92"/>
      <c r="K12" s="678"/>
      <c r="L12" s="673"/>
      <c r="M12" s="674"/>
    </row>
    <row r="13" spans="2:13" ht="14.45" customHeight="1" x14ac:dyDescent="0.2">
      <c r="B13" s="69"/>
      <c r="C13" s="90"/>
      <c r="D13" s="897" t="s">
        <v>23</v>
      </c>
      <c r="E13" s="677"/>
      <c r="F13" s="92"/>
      <c r="G13" s="92"/>
      <c r="H13" s="92"/>
      <c r="I13" s="92"/>
      <c r="J13" s="92"/>
      <c r="K13" s="678"/>
      <c r="L13" s="673"/>
      <c r="M13" s="674"/>
    </row>
    <row r="14" spans="2:13" ht="14.45" customHeight="1" x14ac:dyDescent="0.2">
      <c r="B14" s="69"/>
      <c r="C14" s="90"/>
      <c r="D14" s="91" t="s">
        <v>445</v>
      </c>
      <c r="E14" s="92"/>
      <c r="F14" s="848">
        <v>0</v>
      </c>
      <c r="G14" s="869">
        <f>pers!I151+mat!I50</f>
        <v>1030280.4800000002</v>
      </c>
      <c r="H14" s="869">
        <f>pers!J151+mat!J50</f>
        <v>1033966.9466666668</v>
      </c>
      <c r="I14" s="869">
        <f>pers!K151+mat!K50</f>
        <v>1042814.4666666668</v>
      </c>
      <c r="J14" s="869">
        <f>pers!L151+mat!L50</f>
        <v>1051661.9866666668</v>
      </c>
      <c r="K14" s="162"/>
      <c r="L14" s="73"/>
    </row>
    <row r="15" spans="2:13" ht="14.45" customHeight="1" x14ac:dyDescent="0.2">
      <c r="B15" s="69"/>
      <c r="C15" s="90"/>
      <c r="D15" s="91" t="s">
        <v>446</v>
      </c>
      <c r="E15" s="92"/>
      <c r="F15" s="849">
        <v>0</v>
      </c>
      <c r="G15" s="991">
        <f>pers!I153+mat!I62</f>
        <v>0</v>
      </c>
      <c r="H15" s="991">
        <f>pers!J153+mat!J62</f>
        <v>0</v>
      </c>
      <c r="I15" s="991">
        <f>pers!K153+mat!K62</f>
        <v>0</v>
      </c>
      <c r="J15" s="991">
        <f>pers!L153+mat!L62</f>
        <v>0</v>
      </c>
      <c r="K15" s="162"/>
      <c r="L15" s="73"/>
    </row>
    <row r="16" spans="2:13" ht="14.45" customHeight="1" x14ac:dyDescent="0.2">
      <c r="B16" s="69"/>
      <c r="C16" s="90"/>
      <c r="D16" s="91" t="s">
        <v>448</v>
      </c>
      <c r="E16" s="92"/>
      <c r="F16" s="848">
        <v>0</v>
      </c>
      <c r="G16" s="869">
        <v>0</v>
      </c>
      <c r="H16" s="869">
        <v>0</v>
      </c>
      <c r="I16" s="869">
        <v>0</v>
      </c>
      <c r="J16" s="869">
        <v>0</v>
      </c>
      <c r="K16" s="162"/>
      <c r="L16" s="73"/>
    </row>
    <row r="17" spans="2:12" ht="14.45" customHeight="1" x14ac:dyDescent="0.2">
      <c r="B17" s="69"/>
      <c r="C17" s="90"/>
      <c r="D17" s="91" t="s">
        <v>449</v>
      </c>
      <c r="E17" s="92"/>
      <c r="F17" s="848">
        <v>0</v>
      </c>
      <c r="G17" s="869">
        <f>pers!I154+mat!I68</f>
        <v>0</v>
      </c>
      <c r="H17" s="869">
        <f>pers!J154+mat!J68</f>
        <v>0</v>
      </c>
      <c r="I17" s="869">
        <f>pers!K154+mat!K68</f>
        <v>0</v>
      </c>
      <c r="J17" s="869">
        <f>pers!L154+mat!L68</f>
        <v>0</v>
      </c>
      <c r="K17" s="162"/>
      <c r="L17" s="73"/>
    </row>
    <row r="18" spans="2:12" ht="14.45" customHeight="1" x14ac:dyDescent="0.2">
      <c r="B18" s="69"/>
      <c r="C18" s="90"/>
      <c r="D18" s="91" t="s">
        <v>447</v>
      </c>
      <c r="E18" s="92"/>
      <c r="F18" s="848">
        <v>0</v>
      </c>
      <c r="G18" s="869">
        <f>pers!I157+(mat!I77-mat!I68)</f>
        <v>0</v>
      </c>
      <c r="H18" s="869">
        <f>pers!J157+(mat!J77-mat!J68)</f>
        <v>0</v>
      </c>
      <c r="I18" s="869">
        <f>pers!K157+(mat!K77-mat!K68)</f>
        <v>0</v>
      </c>
      <c r="J18" s="869">
        <f>pers!L157+(mat!L77-mat!L68)</f>
        <v>0</v>
      </c>
      <c r="K18" s="162"/>
      <c r="L18" s="73"/>
    </row>
    <row r="19" spans="2:12" ht="14.45" customHeight="1" x14ac:dyDescent="0.2">
      <c r="B19" s="69"/>
      <c r="C19" s="90"/>
      <c r="D19" s="116"/>
      <c r="E19" s="126"/>
      <c r="F19" s="990">
        <f t="shared" ref="F19:J19" si="0">SUM(F14:F18)</f>
        <v>0</v>
      </c>
      <c r="G19" s="990">
        <f t="shared" si="0"/>
        <v>1030280.4800000002</v>
      </c>
      <c r="H19" s="990">
        <f t="shared" si="0"/>
        <v>1033966.9466666668</v>
      </c>
      <c r="I19" s="990">
        <f t="shared" si="0"/>
        <v>1042814.4666666668</v>
      </c>
      <c r="J19" s="990">
        <f t="shared" si="0"/>
        <v>1051661.9866666668</v>
      </c>
      <c r="K19" s="162"/>
      <c r="L19" s="73"/>
    </row>
    <row r="20" spans="2:12" ht="14.45" customHeight="1" x14ac:dyDescent="0.2">
      <c r="B20" s="679"/>
      <c r="C20" s="680"/>
      <c r="D20" s="897" t="s">
        <v>99</v>
      </c>
      <c r="E20" s="126"/>
      <c r="F20" s="681"/>
      <c r="G20" s="681"/>
      <c r="H20" s="681"/>
      <c r="I20" s="681"/>
      <c r="J20" s="681"/>
      <c r="K20" s="162"/>
      <c r="L20" s="73"/>
    </row>
    <row r="21" spans="2:12" ht="14.45" hidden="1" customHeight="1" x14ac:dyDescent="0.2">
      <c r="B21" s="69"/>
      <c r="C21" s="90"/>
      <c r="D21" s="212" t="s">
        <v>354</v>
      </c>
      <c r="E21" s="204"/>
      <c r="F21" s="498">
        <f>pers!H162</f>
        <v>0</v>
      </c>
      <c r="G21" s="498">
        <f>pers!I162</f>
        <v>202639.53761301993</v>
      </c>
      <c r="H21" s="498">
        <f>pers!J162</f>
        <v>208628.33439421339</v>
      </c>
      <c r="I21" s="498">
        <f>pers!K162</f>
        <v>214680.40159132009</v>
      </c>
      <c r="J21" s="498">
        <f>pers!L162</f>
        <v>220669.83128390601</v>
      </c>
      <c r="K21" s="162"/>
      <c r="L21" s="73"/>
    </row>
    <row r="22" spans="2:12" ht="14.45" hidden="1" customHeight="1" x14ac:dyDescent="0.2">
      <c r="B22" s="69"/>
      <c r="C22" s="90"/>
      <c r="D22" s="682" t="s">
        <v>378</v>
      </c>
      <c r="E22" s="204"/>
      <c r="F22" s="498">
        <f>pers!H163</f>
        <v>0</v>
      </c>
      <c r="G22" s="498">
        <f>pers!I163</f>
        <v>0</v>
      </c>
      <c r="H22" s="498">
        <f>pers!J163</f>
        <v>0</v>
      </c>
      <c r="I22" s="498">
        <f>pers!K163</f>
        <v>0</v>
      </c>
      <c r="J22" s="498">
        <f>pers!L163</f>
        <v>0</v>
      </c>
      <c r="K22" s="162"/>
      <c r="L22" s="73"/>
    </row>
    <row r="23" spans="2:12" ht="14.45" customHeight="1" x14ac:dyDescent="0.2">
      <c r="B23" s="69"/>
      <c r="C23" s="90"/>
      <c r="D23" s="262" t="s">
        <v>450</v>
      </c>
      <c r="E23" s="204"/>
      <c r="F23" s="849">
        <v>0</v>
      </c>
      <c r="G23" s="991">
        <f>G21+G22</f>
        <v>202639.53761301993</v>
      </c>
      <c r="H23" s="991">
        <f>H21+H22</f>
        <v>208628.33439421339</v>
      </c>
      <c r="I23" s="991">
        <f>I21+I22</f>
        <v>214680.40159132009</v>
      </c>
      <c r="J23" s="991">
        <f>J21+J22</f>
        <v>220669.83128390601</v>
      </c>
      <c r="K23" s="162"/>
      <c r="L23" s="73"/>
    </row>
    <row r="24" spans="2:12" ht="14.45" customHeight="1" x14ac:dyDescent="0.2">
      <c r="B24" s="69"/>
      <c r="C24" s="90"/>
      <c r="D24" s="92" t="s">
        <v>451</v>
      </c>
      <c r="E24" s="92"/>
      <c r="F24" s="991">
        <f>act!F50</f>
        <v>0</v>
      </c>
      <c r="G24" s="991">
        <f>act!G50</f>
        <v>0</v>
      </c>
      <c r="H24" s="991">
        <f>act!H50</f>
        <v>0</v>
      </c>
      <c r="I24" s="991">
        <f>act!I50</f>
        <v>0</v>
      </c>
      <c r="J24" s="991">
        <f>act!J50</f>
        <v>0</v>
      </c>
      <c r="K24" s="162"/>
      <c r="L24" s="73"/>
    </row>
    <row r="25" spans="2:12" ht="14.45" customHeight="1" x14ac:dyDescent="0.2">
      <c r="B25" s="69"/>
      <c r="C25" s="90"/>
      <c r="D25" s="92" t="s">
        <v>452</v>
      </c>
      <c r="E25" s="92"/>
      <c r="F25" s="991">
        <f>mat!H116</f>
        <v>0</v>
      </c>
      <c r="G25" s="991">
        <f>mat!I116</f>
        <v>0</v>
      </c>
      <c r="H25" s="991">
        <f>mat!J116</f>
        <v>0</v>
      </c>
      <c r="I25" s="991">
        <f>mat!K116</f>
        <v>0</v>
      </c>
      <c r="J25" s="991">
        <f>mat!L116</f>
        <v>0</v>
      </c>
      <c r="K25" s="162"/>
      <c r="L25" s="73"/>
    </row>
    <row r="26" spans="2:12" ht="14.45" customHeight="1" x14ac:dyDescent="0.2">
      <c r="B26" s="69"/>
      <c r="C26" s="90"/>
      <c r="D26" s="92" t="s">
        <v>453</v>
      </c>
      <c r="E26" s="92"/>
      <c r="F26" s="869">
        <f>mat!H158</f>
        <v>0</v>
      </c>
      <c r="G26" s="869">
        <f>mat!I158</f>
        <v>0</v>
      </c>
      <c r="H26" s="869">
        <f>mat!J158</f>
        <v>0</v>
      </c>
      <c r="I26" s="869">
        <f>mat!K158</f>
        <v>0</v>
      </c>
      <c r="J26" s="869">
        <f>mat!L158</f>
        <v>0</v>
      </c>
      <c r="K26" s="162"/>
      <c r="L26" s="73"/>
    </row>
    <row r="27" spans="2:12" ht="14.45" customHeight="1" x14ac:dyDescent="0.2">
      <c r="B27" s="69"/>
      <c r="C27" s="90"/>
      <c r="D27" s="116"/>
      <c r="E27" s="92"/>
      <c r="F27" s="990">
        <f t="shared" ref="F27:J27" si="1">SUM(F23:F26)</f>
        <v>0</v>
      </c>
      <c r="G27" s="990">
        <f t="shared" si="1"/>
        <v>202639.53761301993</v>
      </c>
      <c r="H27" s="990">
        <f t="shared" si="1"/>
        <v>208628.33439421339</v>
      </c>
      <c r="I27" s="990">
        <f t="shared" si="1"/>
        <v>214680.40159132009</v>
      </c>
      <c r="J27" s="990">
        <f t="shared" si="1"/>
        <v>220669.83128390601</v>
      </c>
      <c r="K27" s="162"/>
      <c r="L27" s="73"/>
    </row>
    <row r="28" spans="2:12" ht="14.45" customHeight="1" x14ac:dyDescent="0.2">
      <c r="B28" s="69"/>
      <c r="C28" s="90"/>
      <c r="D28" s="138"/>
      <c r="E28" s="204"/>
      <c r="F28" s="683"/>
      <c r="G28" s="683"/>
      <c r="H28" s="683"/>
      <c r="I28" s="683"/>
      <c r="J28" s="683"/>
      <c r="K28" s="162"/>
      <c r="L28" s="73"/>
    </row>
    <row r="29" spans="2:12" ht="14.45" customHeight="1" x14ac:dyDescent="0.2">
      <c r="B29" s="158"/>
      <c r="C29" s="163"/>
      <c r="D29" s="116" t="s">
        <v>24</v>
      </c>
      <c r="E29" s="204"/>
      <c r="F29" s="989">
        <f t="shared" ref="F29:J29" si="2">F19-F27</f>
        <v>0</v>
      </c>
      <c r="G29" s="989">
        <f t="shared" si="2"/>
        <v>827640.94238698028</v>
      </c>
      <c r="H29" s="989">
        <f t="shared" si="2"/>
        <v>825338.61227245338</v>
      </c>
      <c r="I29" s="989">
        <f t="shared" si="2"/>
        <v>828134.06507534673</v>
      </c>
      <c r="J29" s="989">
        <f t="shared" si="2"/>
        <v>830992.1553827608</v>
      </c>
      <c r="K29" s="162"/>
      <c r="L29" s="73"/>
    </row>
    <row r="30" spans="2:12" ht="14.45" customHeight="1" x14ac:dyDescent="0.2">
      <c r="B30" s="69"/>
      <c r="C30" s="98"/>
      <c r="D30" s="684"/>
      <c r="E30" s="685"/>
      <c r="F30" s="686"/>
      <c r="G30" s="686"/>
      <c r="H30" s="686"/>
      <c r="I30" s="686"/>
      <c r="J30" s="686"/>
      <c r="K30" s="130"/>
      <c r="L30" s="73"/>
    </row>
    <row r="31" spans="2:12" ht="14.45" customHeight="1" x14ac:dyDescent="0.2">
      <c r="B31" s="69"/>
      <c r="C31" s="70"/>
      <c r="D31" s="633"/>
      <c r="E31" s="145"/>
      <c r="F31" s="687"/>
      <c r="G31" s="687"/>
      <c r="H31" s="687"/>
      <c r="I31" s="687"/>
      <c r="J31" s="687"/>
      <c r="K31" s="70"/>
      <c r="L31" s="73"/>
    </row>
    <row r="32" spans="2:12" ht="14.45" customHeight="1" x14ac:dyDescent="0.2">
      <c r="B32" s="69"/>
      <c r="C32" s="86"/>
      <c r="D32" s="636"/>
      <c r="E32" s="688"/>
      <c r="F32" s="689"/>
      <c r="G32" s="689"/>
      <c r="H32" s="689"/>
      <c r="I32" s="689"/>
      <c r="J32" s="689"/>
      <c r="K32" s="161"/>
      <c r="L32" s="73"/>
    </row>
    <row r="33" spans="2:12" ht="14.45" customHeight="1" x14ac:dyDescent="0.2">
      <c r="B33" s="69"/>
      <c r="C33" s="90"/>
      <c r="D33" s="885" t="s">
        <v>429</v>
      </c>
      <c r="E33" s="204"/>
      <c r="F33" s="503"/>
      <c r="G33" s="503"/>
      <c r="H33" s="503"/>
      <c r="I33" s="503"/>
      <c r="J33" s="503"/>
      <c r="K33" s="162"/>
      <c r="L33" s="73"/>
    </row>
    <row r="34" spans="2:12" ht="14.45" customHeight="1" x14ac:dyDescent="0.2">
      <c r="B34" s="69"/>
      <c r="C34" s="90"/>
      <c r="D34" s="212"/>
      <c r="E34" s="204"/>
      <c r="F34" s="503"/>
      <c r="G34" s="503"/>
      <c r="H34" s="503"/>
      <c r="I34" s="503"/>
      <c r="J34" s="503"/>
      <c r="K34" s="162"/>
      <c r="L34" s="73"/>
    </row>
    <row r="35" spans="2:12" ht="14.45" customHeight="1" x14ac:dyDescent="0.2">
      <c r="B35" s="69"/>
      <c r="C35" s="90"/>
      <c r="D35" s="91" t="s">
        <v>454</v>
      </c>
      <c r="E35" s="204"/>
      <c r="F35" s="690">
        <v>0</v>
      </c>
      <c r="G35" s="690">
        <v>0</v>
      </c>
      <c r="H35" s="690">
        <f t="shared" ref="H35:J36" si="3">G35</f>
        <v>0</v>
      </c>
      <c r="I35" s="690">
        <f t="shared" si="3"/>
        <v>0</v>
      </c>
      <c r="J35" s="690">
        <f t="shared" si="3"/>
        <v>0</v>
      </c>
      <c r="K35" s="162"/>
      <c r="L35" s="73"/>
    </row>
    <row r="36" spans="2:12" ht="14.45" customHeight="1" x14ac:dyDescent="0.2">
      <c r="B36" s="69"/>
      <c r="C36" s="90"/>
      <c r="D36" s="91" t="s">
        <v>455</v>
      </c>
      <c r="E36" s="204"/>
      <c r="F36" s="690">
        <v>0</v>
      </c>
      <c r="G36" s="690">
        <v>0</v>
      </c>
      <c r="H36" s="690">
        <f t="shared" si="3"/>
        <v>0</v>
      </c>
      <c r="I36" s="690">
        <f t="shared" si="3"/>
        <v>0</v>
      </c>
      <c r="J36" s="690">
        <f>I36</f>
        <v>0</v>
      </c>
      <c r="K36" s="162"/>
      <c r="L36" s="73"/>
    </row>
    <row r="37" spans="2:12" ht="14.45" customHeight="1" x14ac:dyDescent="0.2">
      <c r="B37" s="69"/>
      <c r="C37" s="90"/>
      <c r="D37" s="91"/>
      <c r="E37" s="204"/>
      <c r="F37" s="503"/>
      <c r="G37" s="503"/>
      <c r="H37" s="503"/>
      <c r="I37" s="503"/>
      <c r="J37" s="503"/>
      <c r="K37" s="162"/>
      <c r="L37" s="73"/>
    </row>
    <row r="38" spans="2:12" s="182" customFormat="1" ht="14.45" customHeight="1" x14ac:dyDescent="0.2">
      <c r="B38" s="158"/>
      <c r="C38" s="163"/>
      <c r="D38" s="116" t="s">
        <v>253</v>
      </c>
      <c r="E38" s="126"/>
      <c r="F38" s="989">
        <f t="shared" ref="F38:J38" si="4">F35-F36</f>
        <v>0</v>
      </c>
      <c r="G38" s="989">
        <f t="shared" si="4"/>
        <v>0</v>
      </c>
      <c r="H38" s="989">
        <f t="shared" si="4"/>
        <v>0</v>
      </c>
      <c r="I38" s="989">
        <f t="shared" si="4"/>
        <v>0</v>
      </c>
      <c r="J38" s="989">
        <f t="shared" si="4"/>
        <v>0</v>
      </c>
      <c r="K38" s="215"/>
      <c r="L38" s="166"/>
    </row>
    <row r="39" spans="2:12" ht="14.45" customHeight="1" x14ac:dyDescent="0.2">
      <c r="B39" s="69"/>
      <c r="C39" s="90"/>
      <c r="D39" s="91"/>
      <c r="E39" s="204"/>
      <c r="F39" s="503"/>
      <c r="G39" s="503"/>
      <c r="H39" s="503"/>
      <c r="I39" s="503"/>
      <c r="J39" s="503"/>
      <c r="K39" s="162"/>
      <c r="L39" s="73"/>
    </row>
    <row r="40" spans="2:12" ht="14.45" customHeight="1" x14ac:dyDescent="0.2">
      <c r="B40" s="69"/>
      <c r="C40" s="70"/>
      <c r="D40" s="633"/>
      <c r="E40" s="145"/>
      <c r="F40" s="687"/>
      <c r="G40" s="687"/>
      <c r="H40" s="687"/>
      <c r="I40" s="687"/>
      <c r="J40" s="687"/>
      <c r="K40" s="70"/>
      <c r="L40" s="73"/>
    </row>
    <row r="41" spans="2:12" ht="14.45" customHeight="1" x14ac:dyDescent="0.2">
      <c r="B41" s="69"/>
      <c r="C41" s="90"/>
      <c r="D41" s="91"/>
      <c r="E41" s="204"/>
      <c r="F41" s="503"/>
      <c r="G41" s="503"/>
      <c r="H41" s="503"/>
      <c r="I41" s="503"/>
      <c r="J41" s="503"/>
      <c r="K41" s="162"/>
      <c r="L41" s="73"/>
    </row>
    <row r="42" spans="2:12" s="182" customFormat="1" ht="14.45" customHeight="1" x14ac:dyDescent="0.2">
      <c r="B42" s="158"/>
      <c r="C42" s="163"/>
      <c r="D42" s="116" t="s">
        <v>418</v>
      </c>
      <c r="E42" s="126"/>
      <c r="F42" s="989">
        <f t="shared" ref="F42:J42" si="5">F29+F38</f>
        <v>0</v>
      </c>
      <c r="G42" s="989">
        <f t="shared" si="5"/>
        <v>827640.94238698028</v>
      </c>
      <c r="H42" s="989">
        <f t="shared" si="5"/>
        <v>825338.61227245338</v>
      </c>
      <c r="I42" s="989">
        <f t="shared" si="5"/>
        <v>828134.06507534673</v>
      </c>
      <c r="J42" s="989">
        <f t="shared" si="5"/>
        <v>830992.1553827608</v>
      </c>
      <c r="K42" s="215"/>
      <c r="L42" s="166"/>
    </row>
    <row r="43" spans="2:12" ht="14.45" customHeight="1" x14ac:dyDescent="0.2">
      <c r="B43" s="69"/>
      <c r="C43" s="90"/>
      <c r="D43" s="91"/>
      <c r="E43" s="204"/>
      <c r="F43" s="503"/>
      <c r="G43" s="503"/>
      <c r="H43" s="503"/>
      <c r="I43" s="503"/>
      <c r="J43" s="503"/>
      <c r="K43" s="162"/>
      <c r="L43" s="73"/>
    </row>
    <row r="44" spans="2:12" ht="14.45" customHeight="1" x14ac:dyDescent="0.2">
      <c r="B44" s="69"/>
      <c r="C44" s="70"/>
      <c r="D44" s="633"/>
      <c r="E44" s="145"/>
      <c r="F44" s="687"/>
      <c r="G44" s="687"/>
      <c r="H44" s="687"/>
      <c r="I44" s="687"/>
      <c r="J44" s="687"/>
      <c r="K44" s="70"/>
      <c r="L44" s="73"/>
    </row>
    <row r="45" spans="2:12" ht="14.45" customHeight="1" x14ac:dyDescent="0.2">
      <c r="B45" s="69"/>
      <c r="C45" s="70"/>
      <c r="D45" s="633"/>
      <c r="E45" s="145"/>
      <c r="F45" s="687"/>
      <c r="G45" s="687"/>
      <c r="H45" s="687"/>
      <c r="I45" s="687"/>
      <c r="J45" s="687"/>
      <c r="K45" s="70"/>
      <c r="L45" s="73"/>
    </row>
    <row r="46" spans="2:12" ht="14.45" customHeight="1" x14ac:dyDescent="0.2">
      <c r="B46" s="69"/>
      <c r="C46" s="90"/>
      <c r="D46" s="92"/>
      <c r="E46" s="92"/>
      <c r="F46" s="691"/>
      <c r="G46" s="691"/>
      <c r="H46" s="691"/>
      <c r="I46" s="691"/>
      <c r="J46" s="691"/>
      <c r="K46" s="692"/>
      <c r="L46" s="73"/>
    </row>
    <row r="47" spans="2:12" s="106" customFormat="1" ht="14.45" customHeight="1" x14ac:dyDescent="0.2">
      <c r="B47" s="102"/>
      <c r="C47" s="183"/>
      <c r="D47" s="883" t="s">
        <v>422</v>
      </c>
      <c r="E47" s="259"/>
      <c r="F47" s="693"/>
      <c r="G47" s="693"/>
      <c r="H47" s="693"/>
      <c r="I47" s="693"/>
      <c r="J47" s="693"/>
      <c r="K47" s="694"/>
      <c r="L47" s="78"/>
    </row>
    <row r="48" spans="2:12" ht="14.45" customHeight="1" x14ac:dyDescent="0.2">
      <c r="B48" s="69"/>
      <c r="C48" s="90"/>
      <c r="D48" s="92"/>
      <c r="E48" s="92"/>
      <c r="F48" s="691"/>
      <c r="G48" s="691"/>
      <c r="H48" s="691"/>
      <c r="I48" s="691"/>
      <c r="J48" s="691"/>
      <c r="K48" s="692"/>
      <c r="L48" s="73"/>
    </row>
    <row r="49" spans="2:12" ht="14.45" customHeight="1" x14ac:dyDescent="0.2">
      <c r="B49" s="69"/>
      <c r="C49" s="90"/>
      <c r="D49" s="92" t="s">
        <v>423</v>
      </c>
      <c r="E49" s="92"/>
      <c r="F49" s="690">
        <v>0</v>
      </c>
      <c r="G49" s="871">
        <f>pers!I158</f>
        <v>0</v>
      </c>
      <c r="H49" s="871">
        <f>pers!J158</f>
        <v>0</v>
      </c>
      <c r="I49" s="871">
        <f>pers!K158</f>
        <v>0</v>
      </c>
      <c r="J49" s="871">
        <f>pers!L158</f>
        <v>0</v>
      </c>
      <c r="K49" s="692"/>
      <c r="L49" s="73"/>
    </row>
    <row r="50" spans="2:12" ht="14.45" customHeight="1" x14ac:dyDescent="0.2">
      <c r="B50" s="69"/>
      <c r="C50" s="90"/>
      <c r="D50" s="92" t="s">
        <v>424</v>
      </c>
      <c r="E50" s="92"/>
      <c r="F50" s="690">
        <v>0</v>
      </c>
      <c r="G50" s="871">
        <f>mat!I47</f>
        <v>0</v>
      </c>
      <c r="H50" s="871">
        <f>mat!J47</f>
        <v>0</v>
      </c>
      <c r="I50" s="871">
        <f>mat!K47</f>
        <v>0</v>
      </c>
      <c r="J50" s="871">
        <f>mat!L47</f>
        <v>0</v>
      </c>
      <c r="K50" s="692"/>
      <c r="L50" s="73"/>
    </row>
    <row r="51" spans="2:12" ht="14.45" customHeight="1" x14ac:dyDescent="0.2">
      <c r="B51" s="69"/>
      <c r="C51" s="90"/>
      <c r="D51" s="126"/>
      <c r="E51" s="92"/>
      <c r="F51" s="985">
        <f t="shared" ref="F51:J51" si="6">SUM(F49:F50)</f>
        <v>0</v>
      </c>
      <c r="G51" s="985">
        <f t="shared" si="6"/>
        <v>0</v>
      </c>
      <c r="H51" s="985">
        <f t="shared" si="6"/>
        <v>0</v>
      </c>
      <c r="I51" s="985">
        <f t="shared" si="6"/>
        <v>0</v>
      </c>
      <c r="J51" s="985">
        <f t="shared" si="6"/>
        <v>0</v>
      </c>
      <c r="K51" s="692"/>
      <c r="L51" s="73"/>
    </row>
    <row r="52" spans="2:12" ht="14.45" customHeight="1" x14ac:dyDescent="0.2">
      <c r="B52" s="69"/>
      <c r="C52" s="98"/>
      <c r="D52" s="99"/>
      <c r="E52" s="99"/>
      <c r="F52" s="695"/>
      <c r="G52" s="695"/>
      <c r="H52" s="695"/>
      <c r="I52" s="695"/>
      <c r="J52" s="695"/>
      <c r="K52" s="696"/>
      <c r="L52" s="73"/>
    </row>
    <row r="53" spans="2:12" ht="14.45" customHeight="1" x14ac:dyDescent="0.2">
      <c r="B53" s="69"/>
      <c r="C53" s="70"/>
      <c r="D53" s="597"/>
      <c r="E53" s="70"/>
      <c r="F53" s="545"/>
      <c r="G53" s="545"/>
      <c r="H53" s="545"/>
      <c r="I53" s="545"/>
      <c r="J53" s="545"/>
      <c r="K53" s="70"/>
      <c r="L53" s="73"/>
    </row>
    <row r="54" spans="2:12" ht="14.45" customHeight="1" x14ac:dyDescent="0.25">
      <c r="B54" s="171"/>
      <c r="C54" s="172"/>
      <c r="D54" s="697"/>
      <c r="E54" s="172"/>
      <c r="F54" s="449"/>
      <c r="G54" s="449"/>
      <c r="H54" s="449"/>
      <c r="I54" s="449"/>
      <c r="J54" s="449"/>
      <c r="K54" s="152" t="s">
        <v>435</v>
      </c>
      <c r="L54" s="173"/>
    </row>
    <row r="55" spans="2:12" x14ac:dyDescent="0.2">
      <c r="D55" s="604"/>
      <c r="F55" s="416"/>
      <c r="G55" s="416"/>
      <c r="H55" s="416"/>
      <c r="I55" s="416"/>
      <c r="J55" s="416"/>
    </row>
    <row r="56" spans="2:12" x14ac:dyDescent="0.2">
      <c r="I56" s="288"/>
    </row>
    <row r="57" spans="2:12" x14ac:dyDescent="0.2">
      <c r="I57" s="288"/>
    </row>
    <row r="58" spans="2:12" x14ac:dyDescent="0.2">
      <c r="C58" s="960"/>
      <c r="D58" s="961"/>
      <c r="E58" s="903"/>
      <c r="F58" s="903" t="str">
        <f>tab!D2</f>
        <v>2015/16</v>
      </c>
      <c r="G58" s="903" t="str">
        <f>tab!E2</f>
        <v>2016/17</v>
      </c>
      <c r="H58" s="903" t="str">
        <f>tab!F2</f>
        <v>2017/18</v>
      </c>
      <c r="I58" s="903" t="str">
        <f>tab!G2</f>
        <v>2018/19</v>
      </c>
      <c r="J58" s="903" t="str">
        <f>tab!H2</f>
        <v>2019/20</v>
      </c>
    </row>
    <row r="59" spans="2:12" x14ac:dyDescent="0.2">
      <c r="C59" s="901" t="s">
        <v>415</v>
      </c>
      <c r="D59" s="949"/>
      <c r="E59" s="901"/>
      <c r="F59" s="962"/>
      <c r="G59" s="962"/>
      <c r="H59" s="962"/>
      <c r="I59" s="962"/>
      <c r="J59" s="906"/>
    </row>
    <row r="60" spans="2:12" x14ac:dyDescent="0.2">
      <c r="C60" s="909" t="s">
        <v>286</v>
      </c>
      <c r="D60" s="949"/>
      <c r="E60" s="901"/>
      <c r="F60" s="962">
        <f>pers!H70+mat!H178</f>
        <v>1028559.8508333334</v>
      </c>
      <c r="G60" s="962">
        <f>pers!I70+mat!I178</f>
        <v>1030280.4800000001</v>
      </c>
      <c r="H60" s="962">
        <f>pers!J70+mat!J178</f>
        <v>1039128</v>
      </c>
      <c r="I60" s="962">
        <f>pers!K70+mat!K178</f>
        <v>1047975.52</v>
      </c>
      <c r="J60" s="962">
        <f>pers!L70+mat!L178</f>
        <v>1056823.04</v>
      </c>
    </row>
    <row r="61" spans="2:12" x14ac:dyDescent="0.2">
      <c r="C61" s="909" t="s">
        <v>413</v>
      </c>
      <c r="D61" s="949"/>
      <c r="E61" s="901"/>
      <c r="F61" s="962">
        <f>pers!H82+mat!H179</f>
        <v>0</v>
      </c>
      <c r="G61" s="962">
        <f>pers!I82+mat!I179</f>
        <v>0</v>
      </c>
      <c r="H61" s="962">
        <f>pers!J82+mat!J179</f>
        <v>0</v>
      </c>
      <c r="I61" s="962">
        <f>pers!K82+mat!K179</f>
        <v>0</v>
      </c>
      <c r="J61" s="962">
        <f>pers!L82+mat!L179</f>
        <v>0</v>
      </c>
    </row>
    <row r="62" spans="2:12" x14ac:dyDescent="0.2">
      <c r="C62" s="909" t="s">
        <v>420</v>
      </c>
      <c r="D62" s="949"/>
      <c r="E62" s="901"/>
      <c r="F62" s="962">
        <f>pers!H93+mat!H181</f>
        <v>0</v>
      </c>
      <c r="G62" s="962">
        <f>pers!I93+mat!I181</f>
        <v>0</v>
      </c>
      <c r="H62" s="962">
        <f>pers!J93+mat!J181</f>
        <v>0</v>
      </c>
      <c r="I62" s="962">
        <f>pers!K93+mat!K181</f>
        <v>0</v>
      </c>
      <c r="J62" s="962">
        <f>pers!L93+mat!L181</f>
        <v>0</v>
      </c>
    </row>
    <row r="63" spans="2:12" x14ac:dyDescent="0.2">
      <c r="C63" s="909" t="s">
        <v>282</v>
      </c>
      <c r="D63" s="949"/>
      <c r="E63" s="901"/>
      <c r="F63" s="962">
        <f>pers!H102-pers!H93+mat!H182</f>
        <v>0</v>
      </c>
      <c r="G63" s="962">
        <f>pers!I102-pers!I93+mat!I182</f>
        <v>0</v>
      </c>
      <c r="H63" s="962">
        <f>pers!J102-pers!J93+mat!J182</f>
        <v>0</v>
      </c>
      <c r="I63" s="962">
        <f>pers!K102-pers!K93+mat!K182</f>
        <v>0</v>
      </c>
      <c r="J63" s="962">
        <f>pers!L102-pers!L93+mat!L182</f>
        <v>0</v>
      </c>
    </row>
    <row r="64" spans="2:12" x14ac:dyDescent="0.2">
      <c r="C64" s="963" t="s">
        <v>320</v>
      </c>
      <c r="D64" s="949"/>
      <c r="E64" s="901"/>
      <c r="F64" s="964">
        <f>SUM(F60:F63)</f>
        <v>1028559.8508333334</v>
      </c>
      <c r="G64" s="964">
        <f>SUM(G60:G63)</f>
        <v>1030280.4800000001</v>
      </c>
      <c r="H64" s="964">
        <f>SUM(H60:H63)</f>
        <v>1039128</v>
      </c>
      <c r="I64" s="964">
        <f>SUM(I60:I63)</f>
        <v>1047975.52</v>
      </c>
      <c r="J64" s="964">
        <f>SUM(J60:J63)</f>
        <v>1056823.04</v>
      </c>
    </row>
    <row r="65" spans="3:10" x14ac:dyDescent="0.2">
      <c r="C65" s="965"/>
      <c r="D65" s="949"/>
      <c r="E65" s="901"/>
      <c r="F65" s="962"/>
      <c r="G65" s="962"/>
      <c r="H65" s="962"/>
      <c r="I65" s="962"/>
      <c r="J65" s="906"/>
    </row>
    <row r="66" spans="3:10" x14ac:dyDescent="0.2">
      <c r="C66" s="901" t="s">
        <v>99</v>
      </c>
      <c r="D66" s="949"/>
      <c r="E66" s="901"/>
      <c r="F66" s="962"/>
      <c r="G66" s="962"/>
      <c r="H66" s="962"/>
      <c r="I66" s="962"/>
      <c r="J66" s="906"/>
    </row>
    <row r="67" spans="3:10" x14ac:dyDescent="0.2">
      <c r="C67" s="906" t="s">
        <v>536</v>
      </c>
      <c r="D67" s="949"/>
      <c r="E67" s="901"/>
      <c r="F67" s="962">
        <f>pers!H135</f>
        <v>200167.45388788427</v>
      </c>
      <c r="G67" s="962">
        <f>pers!I135</f>
        <v>206100.4548282098</v>
      </c>
      <c r="H67" s="962">
        <f>pers!J135</f>
        <v>212167.36578661844</v>
      </c>
      <c r="I67" s="962">
        <f>pers!K135</f>
        <v>218198.65171790236</v>
      </c>
      <c r="J67" s="962">
        <f>pers!L135</f>
        <v>224129.48267631105</v>
      </c>
    </row>
    <row r="68" spans="3:10" x14ac:dyDescent="0.2">
      <c r="C68" s="906" t="s">
        <v>284</v>
      </c>
      <c r="D68" s="949"/>
      <c r="E68" s="901"/>
      <c r="F68" s="962">
        <f>mat!H186</f>
        <v>0</v>
      </c>
      <c r="G68" s="962">
        <f>mat!I186</f>
        <v>0</v>
      </c>
      <c r="H68" s="962">
        <f>mat!J186</f>
        <v>0</v>
      </c>
      <c r="I68" s="962">
        <f>mat!K186</f>
        <v>0</v>
      </c>
      <c r="J68" s="962">
        <f>mat!L186</f>
        <v>0</v>
      </c>
    </row>
    <row r="69" spans="3:10" x14ac:dyDescent="0.2">
      <c r="C69" s="906" t="s">
        <v>285</v>
      </c>
      <c r="D69" s="949"/>
      <c r="E69" s="901"/>
      <c r="F69" s="962">
        <f>mat!H187</f>
        <v>0</v>
      </c>
      <c r="G69" s="962">
        <f>mat!I187</f>
        <v>0</v>
      </c>
      <c r="H69" s="962">
        <f>mat!J187</f>
        <v>0</v>
      </c>
      <c r="I69" s="962">
        <f>mat!K187</f>
        <v>0</v>
      </c>
      <c r="J69" s="962">
        <f>mat!L187</f>
        <v>0</v>
      </c>
    </row>
    <row r="70" spans="3:10" x14ac:dyDescent="0.2">
      <c r="C70" s="906" t="s">
        <v>416</v>
      </c>
      <c r="D70" s="949"/>
      <c r="E70" s="901"/>
      <c r="F70" s="962">
        <f>mat!H188</f>
        <v>0</v>
      </c>
      <c r="G70" s="962">
        <f>mat!I188</f>
        <v>0</v>
      </c>
      <c r="H70" s="962">
        <f>mat!J188</f>
        <v>0</v>
      </c>
      <c r="I70" s="962">
        <f>mat!K188</f>
        <v>0</v>
      </c>
      <c r="J70" s="962">
        <f>mat!L188</f>
        <v>0</v>
      </c>
    </row>
    <row r="71" spans="3:10" x14ac:dyDescent="0.2">
      <c r="C71" s="963" t="s">
        <v>320</v>
      </c>
      <c r="D71" s="949"/>
      <c r="E71" s="901"/>
      <c r="F71" s="964">
        <f>SUM(F67:F70)</f>
        <v>200167.45388788427</v>
      </c>
      <c r="G71" s="964">
        <f>SUM(G67:G70)</f>
        <v>206100.4548282098</v>
      </c>
      <c r="H71" s="964">
        <f>SUM(H67:H70)</f>
        <v>212167.36578661844</v>
      </c>
      <c r="I71" s="964">
        <f>SUM(I67:I70)</f>
        <v>218198.65171790236</v>
      </c>
      <c r="J71" s="964">
        <f>SUM(J67:J70)</f>
        <v>224129.48267631105</v>
      </c>
    </row>
    <row r="72" spans="3:10" x14ac:dyDescent="0.2">
      <c r="C72" s="966"/>
      <c r="D72" s="949"/>
      <c r="E72" s="901"/>
      <c r="F72" s="962"/>
      <c r="G72" s="962"/>
      <c r="H72" s="962"/>
      <c r="I72" s="962"/>
      <c r="J72" s="906"/>
    </row>
    <row r="73" spans="3:10" x14ac:dyDescent="0.2">
      <c r="C73" s="963" t="s">
        <v>417</v>
      </c>
      <c r="D73" s="949"/>
      <c r="E73" s="901"/>
      <c r="F73" s="964">
        <f>+F64-F71</f>
        <v>828392.39694544917</v>
      </c>
      <c r="G73" s="964">
        <f>+G64-G71</f>
        <v>824180.02517179027</v>
      </c>
      <c r="H73" s="964">
        <f>+H64-H71</f>
        <v>826960.63421338156</v>
      </c>
      <c r="I73" s="964">
        <f>+I64-I71</f>
        <v>829776.86828209762</v>
      </c>
      <c r="J73" s="964">
        <f>+J64-J71</f>
        <v>832693.55732368899</v>
      </c>
    </row>
    <row r="74" spans="3:10" x14ac:dyDescent="0.2">
      <c r="I74" s="288"/>
    </row>
    <row r="75" spans="3:10" x14ac:dyDescent="0.2">
      <c r="I75" s="288"/>
    </row>
    <row r="76" spans="3:10" x14ac:dyDescent="0.2">
      <c r="I76" s="288"/>
    </row>
    <row r="77" spans="3:10" x14ac:dyDescent="0.2">
      <c r="I77" s="288"/>
    </row>
    <row r="78" spans="3:10" x14ac:dyDescent="0.2">
      <c r="I78" s="288"/>
    </row>
    <row r="79" spans="3:10" x14ac:dyDescent="0.2">
      <c r="I79" s="288"/>
    </row>
    <row r="80" spans="3:10" x14ac:dyDescent="0.2">
      <c r="I80" s="288"/>
    </row>
    <row r="81" spans="9:9" x14ac:dyDescent="0.2">
      <c r="I81" s="288"/>
    </row>
    <row r="82" spans="9:9" x14ac:dyDescent="0.2">
      <c r="I82" s="288"/>
    </row>
    <row r="83" spans="9:9" x14ac:dyDescent="0.2">
      <c r="I83" s="288"/>
    </row>
    <row r="84" spans="9:9" x14ac:dyDescent="0.2">
      <c r="I84" s="288"/>
    </row>
    <row r="85" spans="9:9" x14ac:dyDescent="0.2">
      <c r="I85" s="288"/>
    </row>
    <row r="86" spans="9:9" x14ac:dyDescent="0.2">
      <c r="I86" s="288"/>
    </row>
    <row r="87" spans="9:9" x14ac:dyDescent="0.2">
      <c r="I87" s="288"/>
    </row>
    <row r="88" spans="9:9" x14ac:dyDescent="0.2">
      <c r="I88" s="288"/>
    </row>
    <row r="89" spans="9:9" x14ac:dyDescent="0.2">
      <c r="I89" s="288"/>
    </row>
    <row r="90" spans="9:9" x14ac:dyDescent="0.2">
      <c r="I90" s="288"/>
    </row>
    <row r="91" spans="9:9" x14ac:dyDescent="0.2">
      <c r="I91" s="288"/>
    </row>
    <row r="92" spans="9:9" x14ac:dyDescent="0.2">
      <c r="I92" s="288"/>
    </row>
    <row r="93" spans="9:9" x14ac:dyDescent="0.2">
      <c r="I93" s="288"/>
    </row>
    <row r="94" spans="9:9" x14ac:dyDescent="0.2">
      <c r="I94" s="288"/>
    </row>
    <row r="95" spans="9:9" x14ac:dyDescent="0.2">
      <c r="I95" s="288"/>
    </row>
    <row r="96" spans="9:9" x14ac:dyDescent="0.2">
      <c r="I96" s="288"/>
    </row>
    <row r="97" spans="9:9" x14ac:dyDescent="0.2">
      <c r="I97" s="288"/>
    </row>
    <row r="98" spans="9:9" x14ac:dyDescent="0.2">
      <c r="I98" s="288"/>
    </row>
    <row r="99" spans="9:9" x14ac:dyDescent="0.2">
      <c r="I99" s="288"/>
    </row>
    <row r="100" spans="9:9" x14ac:dyDescent="0.2">
      <c r="I100" s="288"/>
    </row>
    <row r="101" spans="9:9" x14ac:dyDescent="0.2">
      <c r="I101" s="288"/>
    </row>
    <row r="102" spans="9:9" x14ac:dyDescent="0.2">
      <c r="I102" s="288"/>
    </row>
    <row r="103" spans="9:9" x14ac:dyDescent="0.2">
      <c r="I103" s="288"/>
    </row>
    <row r="104" spans="9:9" x14ac:dyDescent="0.2">
      <c r="I104" s="288"/>
    </row>
    <row r="105" spans="9:9" x14ac:dyDescent="0.2">
      <c r="I105" s="288"/>
    </row>
    <row r="106" spans="9:9" x14ac:dyDescent="0.2">
      <c r="I106" s="288"/>
    </row>
    <row r="107" spans="9:9" x14ac:dyDescent="0.2">
      <c r="I107" s="288"/>
    </row>
  </sheetData>
  <sheetProtection algorithmName="SHA-512" hashValue="VqF3gjEF3mtbJcGk1zG8PSsp3znCH5is/K4NR2KxS05RG2ngzcnYbYhBW7TC0F4tGGsOWLBjXJEMnNvcG6rHPw==" saltValue="rwNjzFE03CflzlX9C1GFFg==" spinCount="100000" sheet="1" objects="1" scenarios="1"/>
  <phoneticPr fontId="0" type="noConversion"/>
  <pageMargins left="0.74803149606299213" right="0.74803149606299213" top="0.98425196850393704" bottom="0.98425196850393704" header="0.51181102362204722" footer="0.51181102362204722"/>
  <pageSetup paperSize="9" scale="60" orientation="portrait" r:id="rId1"/>
  <headerFooter alignWithMargins="0">
    <oddHeader>&amp;L&amp;"Arial,Vet"&amp;F&amp;R&amp;"Arial,Vet"&amp;A</oddHeader>
    <oddFooter>&amp;L&amp;"Arial,Vet"PO-Raad&amp;C&amp;"Arial,Vet"&amp;D&amp;R&amp;"Arial,Vet"pagina &amp;P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7">
    <pageSetUpPr fitToPage="1"/>
  </sheetPr>
  <dimension ref="B1:U60"/>
  <sheetViews>
    <sheetView showGridLines="0" zoomScale="85" zoomScaleNormal="85" zoomScaleSheetLayoutView="85" workbookViewId="0">
      <pane ySplit="9" topLeftCell="A10" activePane="bottomLeft" state="frozen"/>
      <selection activeCell="B2" sqref="B2"/>
      <selection pane="bottomLeft" activeCell="B2" sqref="B2"/>
    </sheetView>
  </sheetViews>
  <sheetFormatPr defaultColWidth="9.140625" defaultRowHeight="12.75" x14ac:dyDescent="0.2"/>
  <cols>
    <col min="1" max="1" width="3.7109375" style="68" customWidth="1"/>
    <col min="2" max="3" width="2.7109375" style="68" customWidth="1"/>
    <col min="4" max="4" width="40.42578125" style="68" customWidth="1"/>
    <col min="5" max="5" width="2.7109375" style="68" customWidth="1"/>
    <col min="6" max="7" width="14.85546875" style="68" customWidth="1"/>
    <col min="8" max="11" width="14.85546875" style="174" customWidth="1"/>
    <col min="12" max="12" width="2.7109375" style="174" customWidth="1"/>
    <col min="13" max="13" width="2.7109375" style="68" customWidth="1"/>
    <col min="14" max="14" width="11.42578125" style="287" customWidth="1"/>
    <col min="15" max="15" width="33.7109375" style="68" customWidth="1"/>
    <col min="16" max="16" width="2.5703125" style="68" customWidth="1"/>
    <col min="17" max="21" width="10.7109375" style="68" customWidth="1"/>
    <col min="22" max="22" width="2.7109375" style="68" customWidth="1"/>
    <col min="23" max="16384" width="9.140625" style="68"/>
  </cols>
  <sheetData>
    <row r="1" spans="2:17" ht="12.75" customHeight="1" x14ac:dyDescent="0.2"/>
    <row r="2" spans="2:17" x14ac:dyDescent="0.2">
      <c r="B2" s="63"/>
      <c r="C2" s="64"/>
      <c r="D2" s="64"/>
      <c r="E2" s="64"/>
      <c r="F2" s="64"/>
      <c r="G2" s="64"/>
      <c r="H2" s="175"/>
      <c r="I2" s="175"/>
      <c r="J2" s="175"/>
      <c r="K2" s="175"/>
      <c r="L2" s="175"/>
      <c r="M2" s="67"/>
    </row>
    <row r="3" spans="2:17" x14ac:dyDescent="0.2">
      <c r="B3" s="69"/>
      <c r="C3" s="70"/>
      <c r="D3" s="70"/>
      <c r="E3" s="70"/>
      <c r="F3" s="70"/>
      <c r="G3" s="70"/>
      <c r="H3" s="176"/>
      <c r="I3" s="176"/>
      <c r="J3" s="176"/>
      <c r="K3" s="176"/>
      <c r="L3" s="176"/>
      <c r="M3" s="73"/>
    </row>
    <row r="4" spans="2:17" s="177" customFormat="1" ht="18.75" x14ac:dyDescent="0.3">
      <c r="B4" s="698"/>
      <c r="C4" s="857" t="s">
        <v>222</v>
      </c>
      <c r="D4" s="77"/>
      <c r="E4" s="82"/>
      <c r="F4" s="82"/>
      <c r="G4" s="82"/>
      <c r="H4" s="178"/>
      <c r="I4" s="178"/>
      <c r="J4" s="178"/>
      <c r="K4" s="178"/>
      <c r="L4" s="178"/>
      <c r="M4" s="112"/>
      <c r="N4" s="699"/>
    </row>
    <row r="5" spans="2:17" s="177" customFormat="1" ht="18.75" x14ac:dyDescent="0.3">
      <c r="B5" s="698"/>
      <c r="C5" s="81" t="str">
        <f>geg!G12</f>
        <v>Basisschool</v>
      </c>
      <c r="D5" s="82"/>
      <c r="E5" s="82"/>
      <c r="F5" s="82"/>
      <c r="G5" s="82"/>
      <c r="H5" s="178"/>
      <c r="I5" s="178"/>
      <c r="J5" s="178"/>
      <c r="K5" s="178"/>
      <c r="L5" s="178"/>
      <c r="M5" s="112"/>
      <c r="N5" s="699"/>
    </row>
    <row r="6" spans="2:17" x14ac:dyDescent="0.2">
      <c r="B6" s="124"/>
      <c r="C6" s="145"/>
      <c r="D6" s="70"/>
      <c r="E6" s="70"/>
      <c r="F6" s="70"/>
      <c r="G6" s="70"/>
      <c r="H6" s="176"/>
      <c r="I6" s="176"/>
      <c r="J6" s="176"/>
      <c r="K6" s="176"/>
      <c r="L6" s="176"/>
      <c r="M6" s="73"/>
    </row>
    <row r="7" spans="2:17" x14ac:dyDescent="0.2">
      <c r="B7" s="124"/>
      <c r="C7" s="145"/>
      <c r="D7" s="70"/>
      <c r="E7" s="70"/>
      <c r="F7" s="70"/>
      <c r="G7" s="70"/>
      <c r="H7" s="176"/>
      <c r="I7" s="176"/>
      <c r="J7" s="176"/>
      <c r="K7" s="176"/>
      <c r="L7" s="176"/>
      <c r="M7" s="73"/>
    </row>
    <row r="8" spans="2:17" s="177" customFormat="1" x14ac:dyDescent="0.2">
      <c r="B8" s="522"/>
      <c r="C8" s="84"/>
      <c r="D8" s="654"/>
      <c r="E8" s="82"/>
      <c r="F8" s="880">
        <f>G8-1</f>
        <v>2014</v>
      </c>
      <c r="G8" s="880">
        <f>H8-1</f>
        <v>2015</v>
      </c>
      <c r="H8" s="880">
        <f>tab!E4</f>
        <v>2016</v>
      </c>
      <c r="I8" s="880">
        <f>begr!H8</f>
        <v>2017</v>
      </c>
      <c r="J8" s="880">
        <f>begr!I8</f>
        <v>2018</v>
      </c>
      <c r="K8" s="880">
        <f>begr!J8</f>
        <v>2019</v>
      </c>
      <c r="L8" s="627"/>
      <c r="M8" s="112"/>
      <c r="N8" s="699"/>
    </row>
    <row r="9" spans="2:17" x14ac:dyDescent="0.2">
      <c r="B9" s="158"/>
      <c r="C9" s="193"/>
      <c r="D9" s="145"/>
      <c r="E9" s="70"/>
      <c r="F9" s="879"/>
      <c r="G9" s="879"/>
      <c r="H9" s="880"/>
      <c r="I9" s="880"/>
      <c r="J9" s="880"/>
      <c r="K9" s="880"/>
      <c r="L9" s="72"/>
      <c r="M9" s="73"/>
    </row>
    <row r="10" spans="2:17" x14ac:dyDescent="0.2">
      <c r="B10" s="158"/>
      <c r="C10" s="159"/>
      <c r="D10" s="688"/>
      <c r="E10" s="87"/>
      <c r="F10" s="87"/>
      <c r="G10" s="87"/>
      <c r="H10" s="88"/>
      <c r="I10" s="88"/>
      <c r="J10" s="88"/>
      <c r="K10" s="88"/>
      <c r="L10" s="89"/>
      <c r="M10" s="73"/>
    </row>
    <row r="11" spans="2:17" x14ac:dyDescent="0.2">
      <c r="B11" s="69"/>
      <c r="C11" s="90"/>
      <c r="D11" s="883" t="s">
        <v>295</v>
      </c>
      <c r="E11" s="92"/>
      <c r="F11" s="92"/>
      <c r="G11" s="92"/>
      <c r="H11" s="113"/>
      <c r="I11" s="113"/>
      <c r="J11" s="113"/>
      <c r="K11" s="113"/>
      <c r="L11" s="96"/>
      <c r="M11" s="73"/>
    </row>
    <row r="12" spans="2:17" x14ac:dyDescent="0.2">
      <c r="B12" s="69"/>
      <c r="C12" s="90"/>
      <c r="D12" s="92"/>
      <c r="E12" s="92"/>
      <c r="F12" s="92"/>
      <c r="G12" s="92"/>
      <c r="H12" s="92"/>
      <c r="I12" s="92"/>
      <c r="J12" s="92"/>
      <c r="K12" s="92"/>
      <c r="L12" s="162"/>
      <c r="M12" s="167"/>
      <c r="N12" s="413"/>
      <c r="O12" s="174"/>
      <c r="P12" s="174"/>
      <c r="Q12" s="174"/>
    </row>
    <row r="13" spans="2:17" x14ac:dyDescent="0.2">
      <c r="B13" s="69"/>
      <c r="C13" s="90"/>
      <c r="D13" s="508" t="s">
        <v>187</v>
      </c>
      <c r="E13" s="92"/>
      <c r="F13" s="92"/>
      <c r="G13" s="92"/>
      <c r="H13" s="92"/>
      <c r="I13" s="92"/>
      <c r="J13" s="92"/>
      <c r="K13" s="92"/>
      <c r="L13" s="162"/>
      <c r="M13" s="73"/>
    </row>
    <row r="14" spans="2:17" x14ac:dyDescent="0.2">
      <c r="B14" s="69"/>
      <c r="C14" s="90"/>
      <c r="D14" s="1039" t="s">
        <v>456</v>
      </c>
      <c r="E14" s="92"/>
      <c r="F14" s="219">
        <v>0</v>
      </c>
      <c r="G14" s="219">
        <v>0</v>
      </c>
      <c r="H14" s="219">
        <f>G14</f>
        <v>0</v>
      </c>
      <c r="I14" s="219">
        <f t="shared" ref="I14:K16" si="0">H14</f>
        <v>0</v>
      </c>
      <c r="J14" s="219">
        <f t="shared" si="0"/>
        <v>0</v>
      </c>
      <c r="K14" s="219">
        <f t="shared" si="0"/>
        <v>0</v>
      </c>
      <c r="L14" s="207"/>
      <c r="M14" s="73"/>
    </row>
    <row r="15" spans="2:17" x14ac:dyDescent="0.2">
      <c r="B15" s="69"/>
      <c r="C15" s="90"/>
      <c r="D15" s="1039" t="s">
        <v>457</v>
      </c>
      <c r="E15" s="92"/>
      <c r="F15" s="871">
        <f>act!F18</f>
        <v>0</v>
      </c>
      <c r="G15" s="871">
        <f>act!F61</f>
        <v>0</v>
      </c>
      <c r="H15" s="871">
        <f>act!G61</f>
        <v>0</v>
      </c>
      <c r="I15" s="871">
        <f>act!H61</f>
        <v>0</v>
      </c>
      <c r="J15" s="871">
        <f>act!I61</f>
        <v>0</v>
      </c>
      <c r="K15" s="871">
        <f>act!J61</f>
        <v>0</v>
      </c>
      <c r="L15" s="207"/>
      <c r="M15" s="73"/>
    </row>
    <row r="16" spans="2:17" x14ac:dyDescent="0.2">
      <c r="B16" s="69"/>
      <c r="C16" s="90"/>
      <c r="D16" s="1039" t="s">
        <v>458</v>
      </c>
      <c r="E16" s="92"/>
      <c r="F16" s="219">
        <v>0</v>
      </c>
      <c r="G16" s="219">
        <v>0</v>
      </c>
      <c r="H16" s="219">
        <f>G16</f>
        <v>0</v>
      </c>
      <c r="I16" s="219">
        <f t="shared" si="0"/>
        <v>0</v>
      </c>
      <c r="J16" s="219">
        <f t="shared" si="0"/>
        <v>0</v>
      </c>
      <c r="K16" s="219">
        <f t="shared" si="0"/>
        <v>0</v>
      </c>
      <c r="L16" s="207"/>
      <c r="M16" s="73"/>
    </row>
    <row r="17" spans="2:21" x14ac:dyDescent="0.2">
      <c r="B17" s="69"/>
      <c r="C17" s="90"/>
      <c r="D17" s="1042"/>
      <c r="E17" s="92"/>
      <c r="F17" s="915">
        <f t="shared" ref="F17:K17" si="1">SUM(F14:F16)</f>
        <v>0</v>
      </c>
      <c r="G17" s="915">
        <f t="shared" si="1"/>
        <v>0</v>
      </c>
      <c r="H17" s="915">
        <f t="shared" si="1"/>
        <v>0</v>
      </c>
      <c r="I17" s="915">
        <f t="shared" si="1"/>
        <v>0</v>
      </c>
      <c r="J17" s="915">
        <f t="shared" si="1"/>
        <v>0</v>
      </c>
      <c r="K17" s="915">
        <f t="shared" si="1"/>
        <v>0</v>
      </c>
      <c r="L17" s="700"/>
      <c r="M17" s="73"/>
    </row>
    <row r="18" spans="2:21" x14ac:dyDescent="0.2">
      <c r="B18" s="69"/>
      <c r="C18" s="90"/>
      <c r="D18" s="508" t="s">
        <v>186</v>
      </c>
      <c r="E18" s="92"/>
      <c r="F18" s="92"/>
      <c r="G18" s="92"/>
      <c r="H18" s="222"/>
      <c r="I18" s="222"/>
      <c r="J18" s="222"/>
      <c r="K18" s="222"/>
      <c r="L18" s="207"/>
      <c r="M18" s="73"/>
    </row>
    <row r="19" spans="2:21" x14ac:dyDescent="0.2">
      <c r="B19" s="69"/>
      <c r="C19" s="90"/>
      <c r="D19" s="1039" t="s">
        <v>459</v>
      </c>
      <c r="E19" s="92"/>
      <c r="F19" s="219">
        <v>0</v>
      </c>
      <c r="G19" s="219">
        <v>0</v>
      </c>
      <c r="H19" s="219">
        <f>G19</f>
        <v>0</v>
      </c>
      <c r="I19" s="219">
        <f t="shared" ref="I19:K21" si="2">H19</f>
        <v>0</v>
      </c>
      <c r="J19" s="219">
        <f t="shared" si="2"/>
        <v>0</v>
      </c>
      <c r="K19" s="219">
        <f t="shared" si="2"/>
        <v>0</v>
      </c>
      <c r="L19" s="207"/>
      <c r="M19" s="73"/>
    </row>
    <row r="20" spans="2:21" x14ac:dyDescent="0.2">
      <c r="B20" s="69"/>
      <c r="C20" s="90"/>
      <c r="D20" s="1039" t="s">
        <v>460</v>
      </c>
      <c r="E20" s="92"/>
      <c r="F20" s="219">
        <v>0</v>
      </c>
      <c r="G20" s="219">
        <v>0</v>
      </c>
      <c r="H20" s="219">
        <f>G20</f>
        <v>0</v>
      </c>
      <c r="I20" s="219">
        <f t="shared" si="2"/>
        <v>0</v>
      </c>
      <c r="J20" s="219">
        <f t="shared" si="2"/>
        <v>0</v>
      </c>
      <c r="K20" s="219">
        <f t="shared" si="2"/>
        <v>0</v>
      </c>
      <c r="L20" s="207"/>
      <c r="M20" s="73"/>
    </row>
    <row r="21" spans="2:21" x14ac:dyDescent="0.2">
      <c r="B21" s="69"/>
      <c r="C21" s="90"/>
      <c r="D21" s="1039" t="s">
        <v>461</v>
      </c>
      <c r="E21" s="92"/>
      <c r="F21" s="219">
        <v>0</v>
      </c>
      <c r="G21" s="219">
        <v>0</v>
      </c>
      <c r="H21" s="219">
        <f>G21</f>
        <v>0</v>
      </c>
      <c r="I21" s="219">
        <f t="shared" si="2"/>
        <v>0</v>
      </c>
      <c r="J21" s="219">
        <f t="shared" si="2"/>
        <v>0</v>
      </c>
      <c r="K21" s="219">
        <f t="shared" si="2"/>
        <v>0</v>
      </c>
      <c r="L21" s="207"/>
      <c r="M21" s="73"/>
    </row>
    <row r="22" spans="2:21" x14ac:dyDescent="0.2">
      <c r="B22" s="69"/>
      <c r="C22" s="90"/>
      <c r="D22" s="1039" t="s">
        <v>462</v>
      </c>
      <c r="E22" s="92"/>
      <c r="F22" s="219">
        <v>0</v>
      </c>
      <c r="G22" s="878">
        <f>G57-(G17+(SUM(G19:G21)))</f>
        <v>0</v>
      </c>
      <c r="H22" s="878">
        <f>H57-(H17+(SUM(H19:H21)))</f>
        <v>827640.94238698028</v>
      </c>
      <c r="I22" s="878">
        <f>I57-(I17+(SUM(I19:I21)))</f>
        <v>1652979.5546594337</v>
      </c>
      <c r="J22" s="878">
        <f>J57-(J17+(SUM(J19:J21)))</f>
        <v>2481113.6197347804</v>
      </c>
      <c r="K22" s="878">
        <f>K57-(K17+(SUM(K19:K21)))</f>
        <v>3312105.7751175412</v>
      </c>
      <c r="L22" s="207"/>
      <c r="M22" s="73"/>
    </row>
    <row r="23" spans="2:21" x14ac:dyDescent="0.2">
      <c r="B23" s="69"/>
      <c r="C23" s="90"/>
      <c r="D23" s="1042"/>
      <c r="E23" s="92"/>
      <c r="F23" s="915">
        <f t="shared" ref="F23:K23" si="3">SUM(F19:F22)</f>
        <v>0</v>
      </c>
      <c r="G23" s="915">
        <f t="shared" si="3"/>
        <v>0</v>
      </c>
      <c r="H23" s="915">
        <f t="shared" si="3"/>
        <v>827640.94238698028</v>
      </c>
      <c r="I23" s="915">
        <f t="shared" si="3"/>
        <v>1652979.5546594337</v>
      </c>
      <c r="J23" s="915">
        <f t="shared" si="3"/>
        <v>2481113.6197347804</v>
      </c>
      <c r="K23" s="915">
        <f t="shared" si="3"/>
        <v>3312105.7751175412</v>
      </c>
      <c r="L23" s="700"/>
      <c r="M23" s="73"/>
    </row>
    <row r="24" spans="2:21" x14ac:dyDescent="0.2">
      <c r="B24" s="69"/>
      <c r="C24" s="90"/>
      <c r="D24" s="1039"/>
      <c r="E24" s="92"/>
      <c r="F24" s="92"/>
      <c r="G24" s="92"/>
      <c r="H24" s="92"/>
      <c r="I24" s="92"/>
      <c r="J24" s="92"/>
      <c r="K24" s="92"/>
      <c r="L24" s="162"/>
      <c r="M24" s="73"/>
    </row>
    <row r="25" spans="2:21" x14ac:dyDescent="0.2">
      <c r="B25" s="69"/>
      <c r="C25" s="90"/>
      <c r="D25" s="1042" t="s">
        <v>294</v>
      </c>
      <c r="E25" s="691"/>
      <c r="F25" s="987">
        <f t="shared" ref="F25:K25" si="4">F17+F23</f>
        <v>0</v>
      </c>
      <c r="G25" s="987">
        <f t="shared" si="4"/>
        <v>0</v>
      </c>
      <c r="H25" s="987">
        <f t="shared" si="4"/>
        <v>827640.94238698028</v>
      </c>
      <c r="I25" s="987">
        <f t="shared" si="4"/>
        <v>1652979.5546594337</v>
      </c>
      <c r="J25" s="987">
        <f t="shared" si="4"/>
        <v>2481113.6197347804</v>
      </c>
      <c r="K25" s="987">
        <f t="shared" si="4"/>
        <v>3312105.7751175412</v>
      </c>
      <c r="L25" s="700"/>
      <c r="M25" s="73"/>
    </row>
    <row r="26" spans="2:21" x14ac:dyDescent="0.2">
      <c r="B26" s="69"/>
      <c r="C26" s="98"/>
      <c r="D26" s="99"/>
      <c r="E26" s="695"/>
      <c r="F26" s="695"/>
      <c r="G26" s="695"/>
      <c r="H26" s="191"/>
      <c r="I26" s="191"/>
      <c r="J26" s="191"/>
      <c r="K26" s="191"/>
      <c r="L26" s="192"/>
      <c r="M26" s="73"/>
      <c r="O26" s="604"/>
      <c r="Q26" s="452"/>
      <c r="R26" s="452"/>
      <c r="S26" s="452"/>
      <c r="T26" s="452"/>
      <c r="U26" s="452"/>
    </row>
    <row r="27" spans="2:21" x14ac:dyDescent="0.2">
      <c r="B27" s="69"/>
      <c r="C27" s="70"/>
      <c r="D27" s="70"/>
      <c r="E27" s="668"/>
      <c r="F27" s="668"/>
      <c r="G27" s="668"/>
      <c r="H27" s="176"/>
      <c r="I27" s="176"/>
      <c r="J27" s="176"/>
      <c r="K27" s="176"/>
      <c r="L27" s="176"/>
      <c r="M27" s="73"/>
      <c r="O27" s="604"/>
      <c r="Q27" s="452"/>
      <c r="R27" s="452"/>
      <c r="S27" s="452"/>
      <c r="T27" s="452"/>
      <c r="U27" s="452"/>
    </row>
    <row r="28" spans="2:21" x14ac:dyDescent="0.2">
      <c r="B28" s="69"/>
      <c r="C28" s="86"/>
      <c r="D28" s="87"/>
      <c r="E28" s="483"/>
      <c r="F28" s="483"/>
      <c r="G28" s="483"/>
      <c r="H28" s="483"/>
      <c r="I28" s="483"/>
      <c r="J28" s="483"/>
      <c r="K28" s="483"/>
      <c r="L28" s="701"/>
      <c r="M28" s="73"/>
      <c r="O28" s="604"/>
      <c r="Q28" s="452"/>
      <c r="R28" s="452"/>
      <c r="S28" s="452"/>
      <c r="T28" s="452"/>
      <c r="U28" s="452"/>
    </row>
    <row r="29" spans="2:21" x14ac:dyDescent="0.2">
      <c r="B29" s="69"/>
      <c r="C29" s="90"/>
      <c r="D29" s="883" t="s">
        <v>296</v>
      </c>
      <c r="E29" s="92"/>
      <c r="F29" s="691"/>
      <c r="G29" s="691"/>
      <c r="H29" s="95"/>
      <c r="I29" s="95"/>
      <c r="J29" s="95"/>
      <c r="K29" s="95"/>
      <c r="L29" s="115"/>
      <c r="M29" s="73"/>
      <c r="O29" s="604"/>
      <c r="Q29" s="452"/>
      <c r="R29" s="452"/>
      <c r="S29" s="452"/>
      <c r="T29" s="452"/>
      <c r="U29" s="452"/>
    </row>
    <row r="30" spans="2:21" x14ac:dyDescent="0.2">
      <c r="B30" s="186"/>
      <c r="C30" s="187"/>
      <c r="D30" s="92"/>
      <c r="E30" s="691"/>
      <c r="F30" s="691"/>
      <c r="G30" s="691"/>
      <c r="H30" s="95"/>
      <c r="I30" s="95"/>
      <c r="J30" s="95"/>
      <c r="K30" s="95"/>
      <c r="L30" s="115"/>
      <c r="M30" s="73"/>
      <c r="O30" s="604"/>
      <c r="Q30" s="452"/>
      <c r="R30" s="452"/>
      <c r="S30" s="452"/>
      <c r="T30" s="452"/>
      <c r="U30" s="452"/>
    </row>
    <row r="31" spans="2:21" x14ac:dyDescent="0.2">
      <c r="B31" s="186"/>
      <c r="C31" s="187"/>
      <c r="D31" s="1039" t="s">
        <v>463</v>
      </c>
      <c r="E31" s="691"/>
      <c r="F31" s="691"/>
      <c r="G31" s="691"/>
      <c r="H31" s="95"/>
      <c r="I31" s="95"/>
      <c r="J31" s="95"/>
      <c r="K31" s="95"/>
      <c r="L31" s="115"/>
      <c r="M31" s="73"/>
      <c r="O31" s="604"/>
      <c r="Q31" s="452"/>
      <c r="R31" s="452"/>
      <c r="S31" s="452"/>
      <c r="T31" s="452"/>
      <c r="U31" s="452"/>
    </row>
    <row r="32" spans="2:21" x14ac:dyDescent="0.2">
      <c r="B32" s="186"/>
      <c r="C32" s="187"/>
      <c r="D32" s="1039" t="s">
        <v>290</v>
      </c>
      <c r="E32" s="691"/>
      <c r="F32" s="992">
        <f>F25-(F33+F34+F35+F42+F46+F55)</f>
        <v>0</v>
      </c>
      <c r="G32" s="878">
        <f>F36+begr!F42-SUM(G33:G35)</f>
        <v>0</v>
      </c>
      <c r="H32" s="878">
        <f>G36+begr!G42-SUM(H33:H35)</f>
        <v>827640.94238698028</v>
      </c>
      <c r="I32" s="878">
        <f>H36+begr!H42-SUM(I33:I35)</f>
        <v>1652979.5546594337</v>
      </c>
      <c r="J32" s="878">
        <f>I36+begr!I42-SUM(J33:J35)</f>
        <v>2481113.6197347804</v>
      </c>
      <c r="K32" s="878">
        <f>J36+begr!J42-SUM(K33:K35)</f>
        <v>3312105.7751175412</v>
      </c>
      <c r="L32" s="115"/>
      <c r="M32" s="73"/>
      <c r="O32" s="604"/>
      <c r="Q32" s="452"/>
      <c r="R32" s="452"/>
      <c r="S32" s="452"/>
      <c r="T32" s="452"/>
      <c r="U32" s="452"/>
    </row>
    <row r="33" spans="2:21" x14ac:dyDescent="0.2">
      <c r="B33" s="186"/>
      <c r="C33" s="187"/>
      <c r="D33" s="1056" t="s">
        <v>291</v>
      </c>
      <c r="E33" s="691"/>
      <c r="F33" s="219">
        <v>0</v>
      </c>
      <c r="G33" s="219">
        <v>0</v>
      </c>
      <c r="H33" s="219">
        <f>G33</f>
        <v>0</v>
      </c>
      <c r="I33" s="219">
        <f t="shared" ref="I33:K35" si="5">H33</f>
        <v>0</v>
      </c>
      <c r="J33" s="219">
        <f t="shared" si="5"/>
        <v>0</v>
      </c>
      <c r="K33" s="219">
        <f t="shared" si="5"/>
        <v>0</v>
      </c>
      <c r="L33" s="115"/>
      <c r="M33" s="73"/>
      <c r="O33" s="604"/>
      <c r="Q33" s="452"/>
      <c r="R33" s="452"/>
      <c r="S33" s="452"/>
      <c r="T33" s="452"/>
      <c r="U33" s="452"/>
    </row>
    <row r="34" spans="2:21" x14ac:dyDescent="0.2">
      <c r="B34" s="186"/>
      <c r="C34" s="187"/>
      <c r="D34" s="1056" t="s">
        <v>292</v>
      </c>
      <c r="E34" s="691"/>
      <c r="F34" s="219">
        <v>0</v>
      </c>
      <c r="G34" s="219">
        <v>0</v>
      </c>
      <c r="H34" s="219">
        <f>G34</f>
        <v>0</v>
      </c>
      <c r="I34" s="219">
        <f t="shared" si="5"/>
        <v>0</v>
      </c>
      <c r="J34" s="219">
        <f t="shared" si="5"/>
        <v>0</v>
      </c>
      <c r="K34" s="219">
        <f t="shared" si="5"/>
        <v>0</v>
      </c>
      <c r="L34" s="115"/>
      <c r="M34" s="73"/>
      <c r="O34" s="604"/>
      <c r="Q34" s="452"/>
      <c r="R34" s="452"/>
      <c r="S34" s="452"/>
      <c r="T34" s="452"/>
      <c r="U34" s="452"/>
    </row>
    <row r="35" spans="2:21" x14ac:dyDescent="0.2">
      <c r="B35" s="186"/>
      <c r="C35" s="187"/>
      <c r="D35" s="1056" t="s">
        <v>293</v>
      </c>
      <c r="E35" s="691"/>
      <c r="F35" s="219">
        <v>0</v>
      </c>
      <c r="G35" s="219">
        <v>0</v>
      </c>
      <c r="H35" s="219">
        <f>G35</f>
        <v>0</v>
      </c>
      <c r="I35" s="219">
        <f t="shared" si="5"/>
        <v>0</v>
      </c>
      <c r="J35" s="219">
        <f t="shared" si="5"/>
        <v>0</v>
      </c>
      <c r="K35" s="219">
        <f t="shared" si="5"/>
        <v>0</v>
      </c>
      <c r="L35" s="115"/>
      <c r="M35" s="73"/>
      <c r="O35" s="604"/>
      <c r="Q35" s="452"/>
      <c r="R35" s="452"/>
      <c r="S35" s="452"/>
      <c r="T35" s="452"/>
      <c r="U35" s="452"/>
    </row>
    <row r="36" spans="2:21" x14ac:dyDescent="0.2">
      <c r="B36" s="69"/>
      <c r="C36" s="90"/>
      <c r="D36" s="1057"/>
      <c r="E36" s="92"/>
      <c r="F36" s="915">
        <f t="shared" ref="F36:K36" si="6">SUM(F32:F35)</f>
        <v>0</v>
      </c>
      <c r="G36" s="915">
        <f t="shared" si="6"/>
        <v>0</v>
      </c>
      <c r="H36" s="915">
        <f t="shared" si="6"/>
        <v>827640.94238698028</v>
      </c>
      <c r="I36" s="915">
        <f t="shared" si="6"/>
        <v>1652979.5546594337</v>
      </c>
      <c r="J36" s="915">
        <f t="shared" si="6"/>
        <v>2481113.6197347804</v>
      </c>
      <c r="K36" s="915">
        <f t="shared" si="6"/>
        <v>3312105.7751175412</v>
      </c>
      <c r="L36" s="700"/>
      <c r="M36" s="73"/>
    </row>
    <row r="37" spans="2:21" x14ac:dyDescent="0.2">
      <c r="B37" s="69"/>
      <c r="C37" s="90"/>
      <c r="D37" s="1039" t="s">
        <v>464</v>
      </c>
      <c r="E37" s="92"/>
      <c r="F37" s="92"/>
      <c r="G37" s="92"/>
      <c r="H37" s="92"/>
      <c r="I37" s="92"/>
      <c r="J37" s="92"/>
      <c r="K37" s="92"/>
      <c r="L37" s="162"/>
      <c r="M37" s="73"/>
    </row>
    <row r="38" spans="2:21" x14ac:dyDescent="0.2">
      <c r="B38" s="69"/>
      <c r="C38" s="90"/>
      <c r="D38" s="1039" t="s">
        <v>584</v>
      </c>
      <c r="E38" s="92"/>
      <c r="F38" s="878">
        <f>mop!F16</f>
        <v>0</v>
      </c>
      <c r="G38" s="878">
        <f>mop!F19</f>
        <v>0</v>
      </c>
      <c r="H38" s="878">
        <f>mop!G19</f>
        <v>0</v>
      </c>
      <c r="I38" s="878">
        <f>mop!H19</f>
        <v>0</v>
      </c>
      <c r="J38" s="878">
        <f>mop!I19</f>
        <v>0</v>
      </c>
      <c r="K38" s="878">
        <f>mop!J19</f>
        <v>0</v>
      </c>
      <c r="L38" s="207"/>
      <c r="M38" s="73"/>
    </row>
    <row r="39" spans="2:21" s="177" customFormat="1" x14ac:dyDescent="0.2">
      <c r="B39" s="83"/>
      <c r="C39" s="107"/>
      <c r="D39" s="1039" t="s">
        <v>583</v>
      </c>
      <c r="E39" s="92"/>
      <c r="F39" s="219">
        <v>0</v>
      </c>
      <c r="G39" s="219">
        <v>0</v>
      </c>
      <c r="H39" s="219">
        <v>0</v>
      </c>
      <c r="I39" s="219">
        <v>0</v>
      </c>
      <c r="J39" s="219">
        <v>0</v>
      </c>
      <c r="K39" s="219">
        <v>0</v>
      </c>
      <c r="L39" s="207"/>
      <c r="M39" s="112"/>
      <c r="N39" s="699"/>
    </row>
    <row r="40" spans="2:21" s="177" customFormat="1" x14ac:dyDescent="0.2">
      <c r="B40" s="83"/>
      <c r="C40" s="107"/>
      <c r="D40" s="1039" t="s">
        <v>581</v>
      </c>
      <c r="E40" s="92"/>
      <c r="F40" s="219">
        <v>0</v>
      </c>
      <c r="G40" s="219">
        <v>0</v>
      </c>
      <c r="H40" s="219">
        <v>0</v>
      </c>
      <c r="I40" s="219">
        <v>0</v>
      </c>
      <c r="J40" s="219">
        <v>0</v>
      </c>
      <c r="K40" s="219">
        <v>0</v>
      </c>
      <c r="L40" s="207"/>
      <c r="M40" s="112"/>
      <c r="N40" s="699"/>
      <c r="O40" s="417"/>
    </row>
    <row r="41" spans="2:21" s="177" customFormat="1" x14ac:dyDescent="0.2">
      <c r="B41" s="83"/>
      <c r="C41" s="107"/>
      <c r="D41" s="1039" t="s">
        <v>438</v>
      </c>
      <c r="E41" s="92"/>
      <c r="F41" s="219">
        <v>0</v>
      </c>
      <c r="G41" s="219">
        <v>0</v>
      </c>
      <c r="H41" s="219">
        <f>G41</f>
        <v>0</v>
      </c>
      <c r="I41" s="219">
        <f>H41</f>
        <v>0</v>
      </c>
      <c r="J41" s="219">
        <f>I41</f>
        <v>0</v>
      </c>
      <c r="K41" s="219">
        <f>J41</f>
        <v>0</v>
      </c>
      <c r="L41" s="207"/>
      <c r="M41" s="112"/>
      <c r="N41" s="699"/>
    </row>
    <row r="42" spans="2:21" x14ac:dyDescent="0.2">
      <c r="B42" s="69"/>
      <c r="C42" s="90"/>
      <c r="D42" s="1057"/>
      <c r="E42" s="92"/>
      <c r="F42" s="915">
        <f t="shared" ref="F42:K42" si="7">SUM(F38:F41)</f>
        <v>0</v>
      </c>
      <c r="G42" s="915">
        <f t="shared" si="7"/>
        <v>0</v>
      </c>
      <c r="H42" s="915">
        <f t="shared" si="7"/>
        <v>0</v>
      </c>
      <c r="I42" s="915">
        <f t="shared" si="7"/>
        <v>0</v>
      </c>
      <c r="J42" s="915">
        <f t="shared" si="7"/>
        <v>0</v>
      </c>
      <c r="K42" s="915">
        <f t="shared" si="7"/>
        <v>0</v>
      </c>
      <c r="L42" s="700"/>
      <c r="M42" s="73"/>
    </row>
    <row r="43" spans="2:21" x14ac:dyDescent="0.2">
      <c r="B43" s="69"/>
      <c r="C43" s="90"/>
      <c r="D43" s="1039" t="s">
        <v>465</v>
      </c>
      <c r="E43" s="92"/>
      <c r="F43" s="92"/>
      <c r="G43" s="92"/>
      <c r="H43" s="222"/>
      <c r="I43" s="222"/>
      <c r="J43" s="222"/>
      <c r="K43" s="222"/>
      <c r="L43" s="207"/>
      <c r="M43" s="73"/>
    </row>
    <row r="44" spans="2:21" x14ac:dyDescent="0.2">
      <c r="B44" s="69"/>
      <c r="C44" s="90"/>
      <c r="D44" s="1039" t="s">
        <v>289</v>
      </c>
      <c r="E44" s="92"/>
      <c r="F44" s="219">
        <v>0</v>
      </c>
      <c r="G44" s="219">
        <v>0</v>
      </c>
      <c r="H44" s="219">
        <f>G44</f>
        <v>0</v>
      </c>
      <c r="I44" s="219">
        <f t="shared" ref="I44:K45" si="8">H44</f>
        <v>0</v>
      </c>
      <c r="J44" s="219">
        <f t="shared" si="8"/>
        <v>0</v>
      </c>
      <c r="K44" s="219">
        <f t="shared" si="8"/>
        <v>0</v>
      </c>
      <c r="L44" s="207"/>
      <c r="M44" s="73"/>
    </row>
    <row r="45" spans="2:21" x14ac:dyDescent="0.2">
      <c r="B45" s="69"/>
      <c r="C45" s="90"/>
      <c r="D45" s="1039" t="s">
        <v>301</v>
      </c>
      <c r="E45" s="92"/>
      <c r="F45" s="219">
        <v>0</v>
      </c>
      <c r="G45" s="219">
        <v>0</v>
      </c>
      <c r="H45" s="219">
        <f>G45</f>
        <v>0</v>
      </c>
      <c r="I45" s="219">
        <f t="shared" si="8"/>
        <v>0</v>
      </c>
      <c r="J45" s="219">
        <f t="shared" si="8"/>
        <v>0</v>
      </c>
      <c r="K45" s="219">
        <f t="shared" si="8"/>
        <v>0</v>
      </c>
      <c r="L45" s="207"/>
      <c r="M45" s="73"/>
    </row>
    <row r="46" spans="2:21" x14ac:dyDescent="0.2">
      <c r="B46" s="69"/>
      <c r="C46" s="90"/>
      <c r="D46" s="1042"/>
      <c r="E46" s="92"/>
      <c r="F46" s="915">
        <f t="shared" ref="F46:K46" si="9">SUM(F44:F45)</f>
        <v>0</v>
      </c>
      <c r="G46" s="915">
        <f t="shared" si="9"/>
        <v>0</v>
      </c>
      <c r="H46" s="915">
        <f t="shared" si="9"/>
        <v>0</v>
      </c>
      <c r="I46" s="915">
        <f t="shared" si="9"/>
        <v>0</v>
      </c>
      <c r="J46" s="915">
        <f t="shared" si="9"/>
        <v>0</v>
      </c>
      <c r="K46" s="915">
        <f t="shared" si="9"/>
        <v>0</v>
      </c>
      <c r="L46" s="700"/>
      <c r="M46" s="73"/>
    </row>
    <row r="47" spans="2:21" x14ac:dyDescent="0.2">
      <c r="B47" s="69"/>
      <c r="C47" s="90"/>
      <c r="D47" s="1039" t="s">
        <v>466</v>
      </c>
      <c r="E47" s="92"/>
      <c r="F47" s="92"/>
      <c r="G47" s="92"/>
      <c r="H47" s="222"/>
      <c r="I47" s="222"/>
      <c r="J47" s="222"/>
      <c r="K47" s="222"/>
      <c r="L47" s="207"/>
      <c r="M47" s="73"/>
    </row>
    <row r="48" spans="2:21" x14ac:dyDescent="0.2">
      <c r="B48" s="69"/>
      <c r="C48" s="90"/>
      <c r="D48" s="1039" t="s">
        <v>289</v>
      </c>
      <c r="E48" s="92"/>
      <c r="F48" s="219">
        <v>0</v>
      </c>
      <c r="G48" s="219">
        <v>0</v>
      </c>
      <c r="H48" s="219">
        <f t="shared" ref="H48:H54" si="10">G48</f>
        <v>0</v>
      </c>
      <c r="I48" s="219">
        <f t="shared" ref="I48:I54" si="11">H48</f>
        <v>0</v>
      </c>
      <c r="J48" s="219">
        <f t="shared" ref="J48:J54" si="12">I48</f>
        <v>0</v>
      </c>
      <c r="K48" s="219">
        <f t="shared" ref="K48:K54" si="13">J48</f>
        <v>0</v>
      </c>
      <c r="L48" s="207"/>
      <c r="M48" s="73"/>
    </row>
    <row r="49" spans="2:13" x14ac:dyDescent="0.2">
      <c r="B49" s="69"/>
      <c r="C49" s="90"/>
      <c r="D49" s="1039" t="s">
        <v>191</v>
      </c>
      <c r="E49" s="92"/>
      <c r="F49" s="219">
        <v>0</v>
      </c>
      <c r="G49" s="219">
        <v>0</v>
      </c>
      <c r="H49" s="219">
        <f t="shared" si="10"/>
        <v>0</v>
      </c>
      <c r="I49" s="219">
        <f t="shared" si="11"/>
        <v>0</v>
      </c>
      <c r="J49" s="219">
        <f t="shared" si="12"/>
        <v>0</v>
      </c>
      <c r="K49" s="219">
        <f t="shared" si="13"/>
        <v>0</v>
      </c>
      <c r="L49" s="207"/>
      <c r="M49" s="73"/>
    </row>
    <row r="50" spans="2:13" x14ac:dyDescent="0.2">
      <c r="B50" s="69"/>
      <c r="C50" s="90"/>
      <c r="D50" s="1039" t="s">
        <v>287</v>
      </c>
      <c r="E50" s="92"/>
      <c r="F50" s="219">
        <v>0</v>
      </c>
      <c r="G50" s="219">
        <v>0</v>
      </c>
      <c r="H50" s="219">
        <f t="shared" si="10"/>
        <v>0</v>
      </c>
      <c r="I50" s="219">
        <f t="shared" si="11"/>
        <v>0</v>
      </c>
      <c r="J50" s="219">
        <f t="shared" si="12"/>
        <v>0</v>
      </c>
      <c r="K50" s="219">
        <f t="shared" si="13"/>
        <v>0</v>
      </c>
      <c r="L50" s="207"/>
      <c r="M50" s="73"/>
    </row>
    <row r="51" spans="2:13" x14ac:dyDescent="0.2">
      <c r="B51" s="69"/>
      <c r="C51" s="90"/>
      <c r="D51" s="1039" t="s">
        <v>302</v>
      </c>
      <c r="E51" s="92"/>
      <c r="F51" s="219">
        <v>0</v>
      </c>
      <c r="G51" s="219">
        <v>0</v>
      </c>
      <c r="H51" s="219">
        <f t="shared" si="10"/>
        <v>0</v>
      </c>
      <c r="I51" s="219">
        <f t="shared" si="11"/>
        <v>0</v>
      </c>
      <c r="J51" s="219">
        <f t="shared" si="12"/>
        <v>0</v>
      </c>
      <c r="K51" s="219">
        <f t="shared" si="13"/>
        <v>0</v>
      </c>
      <c r="L51" s="207"/>
      <c r="M51" s="73"/>
    </row>
    <row r="52" spans="2:13" x14ac:dyDescent="0.2">
      <c r="B52" s="69"/>
      <c r="C52" s="90"/>
      <c r="D52" s="1039" t="s">
        <v>303</v>
      </c>
      <c r="E52" s="92"/>
      <c r="F52" s="219">
        <v>0</v>
      </c>
      <c r="G52" s="219">
        <v>0</v>
      </c>
      <c r="H52" s="219">
        <f t="shared" si="10"/>
        <v>0</v>
      </c>
      <c r="I52" s="219">
        <f t="shared" si="11"/>
        <v>0</v>
      </c>
      <c r="J52" s="219">
        <f t="shared" si="12"/>
        <v>0</v>
      </c>
      <c r="K52" s="219">
        <f t="shared" si="13"/>
        <v>0</v>
      </c>
      <c r="L52" s="207"/>
      <c r="M52" s="73"/>
    </row>
    <row r="53" spans="2:13" x14ac:dyDescent="0.2">
      <c r="B53" s="69"/>
      <c r="C53" s="90"/>
      <c r="D53" s="1039" t="s">
        <v>304</v>
      </c>
      <c r="E53" s="92"/>
      <c r="F53" s="219">
        <v>0</v>
      </c>
      <c r="G53" s="219">
        <v>0</v>
      </c>
      <c r="H53" s="219">
        <f t="shared" si="10"/>
        <v>0</v>
      </c>
      <c r="I53" s="219">
        <f t="shared" si="11"/>
        <v>0</v>
      </c>
      <c r="J53" s="219">
        <f t="shared" si="12"/>
        <v>0</v>
      </c>
      <c r="K53" s="219">
        <f t="shared" si="13"/>
        <v>0</v>
      </c>
      <c r="L53" s="207"/>
      <c r="M53" s="73"/>
    </row>
    <row r="54" spans="2:13" x14ac:dyDescent="0.2">
      <c r="B54" s="69"/>
      <c r="C54" s="90"/>
      <c r="D54" s="1039" t="s">
        <v>305</v>
      </c>
      <c r="E54" s="92"/>
      <c r="F54" s="219">
        <v>0</v>
      </c>
      <c r="G54" s="219">
        <v>0</v>
      </c>
      <c r="H54" s="219">
        <f t="shared" si="10"/>
        <v>0</v>
      </c>
      <c r="I54" s="219">
        <f t="shared" si="11"/>
        <v>0</v>
      </c>
      <c r="J54" s="219">
        <f t="shared" si="12"/>
        <v>0</v>
      </c>
      <c r="K54" s="219">
        <f t="shared" si="13"/>
        <v>0</v>
      </c>
      <c r="L54" s="207"/>
      <c r="M54" s="73"/>
    </row>
    <row r="55" spans="2:13" x14ac:dyDescent="0.2">
      <c r="B55" s="69"/>
      <c r="C55" s="90"/>
      <c r="D55" s="1042"/>
      <c r="E55" s="92"/>
      <c r="F55" s="915">
        <f t="shared" ref="F55:K55" si="14">SUM(F48:F54)</f>
        <v>0</v>
      </c>
      <c r="G55" s="915">
        <f t="shared" si="14"/>
        <v>0</v>
      </c>
      <c r="H55" s="915">
        <f t="shared" si="14"/>
        <v>0</v>
      </c>
      <c r="I55" s="915">
        <f t="shared" si="14"/>
        <v>0</v>
      </c>
      <c r="J55" s="915">
        <f t="shared" si="14"/>
        <v>0</v>
      </c>
      <c r="K55" s="915">
        <f t="shared" si="14"/>
        <v>0</v>
      </c>
      <c r="L55" s="700"/>
      <c r="M55" s="73"/>
    </row>
    <row r="56" spans="2:13" x14ac:dyDescent="0.2">
      <c r="B56" s="69"/>
      <c r="C56" s="90"/>
      <c r="D56" s="1039"/>
      <c r="E56" s="92"/>
      <c r="F56" s="92"/>
      <c r="G56" s="92"/>
      <c r="H56" s="92"/>
      <c r="I56" s="92"/>
      <c r="J56" s="92"/>
      <c r="K56" s="92"/>
      <c r="L56" s="162"/>
      <c r="M56" s="73"/>
    </row>
    <row r="57" spans="2:13" x14ac:dyDescent="0.2">
      <c r="B57" s="69"/>
      <c r="C57" s="90"/>
      <c r="D57" s="1042" t="s">
        <v>297</v>
      </c>
      <c r="E57" s="92"/>
      <c r="F57" s="987">
        <f t="shared" ref="F57:K57" si="15">F36+F42+F46+F55</f>
        <v>0</v>
      </c>
      <c r="G57" s="987">
        <f t="shared" si="15"/>
        <v>0</v>
      </c>
      <c r="H57" s="987">
        <f t="shared" si="15"/>
        <v>827640.94238698028</v>
      </c>
      <c r="I57" s="987">
        <f t="shared" si="15"/>
        <v>1652979.5546594337</v>
      </c>
      <c r="J57" s="987">
        <f t="shared" si="15"/>
        <v>2481113.6197347804</v>
      </c>
      <c r="K57" s="987">
        <f t="shared" si="15"/>
        <v>3312105.7751175412</v>
      </c>
      <c r="L57" s="700"/>
      <c r="M57" s="73"/>
    </row>
    <row r="58" spans="2:13" x14ac:dyDescent="0.2">
      <c r="B58" s="69"/>
      <c r="C58" s="98"/>
      <c r="D58" s="227"/>
      <c r="E58" s="99"/>
      <c r="F58" s="702"/>
      <c r="G58" s="702"/>
      <c r="H58" s="702"/>
      <c r="I58" s="702"/>
      <c r="J58" s="702"/>
      <c r="K58" s="702"/>
      <c r="L58" s="703"/>
      <c r="M58" s="73"/>
    </row>
    <row r="59" spans="2:13" x14ac:dyDescent="0.2">
      <c r="B59" s="69"/>
      <c r="C59" s="70"/>
      <c r="D59" s="398"/>
      <c r="E59" s="70"/>
      <c r="F59" s="704"/>
      <c r="G59" s="704"/>
      <c r="H59" s="704"/>
      <c r="I59" s="704"/>
      <c r="J59" s="704"/>
      <c r="K59" s="704"/>
      <c r="L59" s="704"/>
      <c r="M59" s="73"/>
    </row>
    <row r="60" spans="2:13" ht="15" x14ac:dyDescent="0.25">
      <c r="B60" s="171"/>
      <c r="C60" s="172"/>
      <c r="D60" s="705"/>
      <c r="E60" s="172"/>
      <c r="F60" s="172"/>
      <c r="G60" s="172"/>
      <c r="H60" s="706"/>
      <c r="I60" s="706"/>
      <c r="J60" s="706"/>
      <c r="K60" s="706"/>
      <c r="L60" s="152" t="s">
        <v>435</v>
      </c>
      <c r="M60" s="173"/>
    </row>
  </sheetData>
  <sheetProtection algorithmName="SHA-512" hashValue="E8lcD2Pit8Q3UKYP8Daq6k5NgqXDeVBpEYxQW/7SqZoRuw7IrmAnsy1503jAZ2tiKWkaBGPafvR3B2UqjMvbSQ==" saltValue="ieDlMwIx84aniC0kBIYgqQ==" spinCount="100000" sheet="1" objects="1" scenarios="1"/>
  <phoneticPr fontId="0" type="noConversion"/>
  <pageMargins left="0.74803149606299213" right="0.74803149606299213" top="0.98425196850393704" bottom="0.98425196850393704" header="0.51181102362204722" footer="0.51181102362204722"/>
  <pageSetup paperSize="9" scale="61" orientation="portrait" r:id="rId1"/>
  <headerFooter alignWithMargins="0">
    <oddHeader>&amp;L&amp;"Arial,Vet"&amp;F&amp;R&amp;"Arial,Vet"&amp;A</oddHeader>
    <oddFooter>&amp;L&amp;"Arial,Vet"PO-Raad&amp;C&amp;"Arial,Vet"&amp;D&amp;R&amp;"Arial,Vet"pagina &amp;P</oddFooter>
  </headerFooter>
  <colBreaks count="1" manualBreakCount="1">
    <brk id="22" min="3" max="63" man="1"/>
  </colBreaks>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0"/>
  <dimension ref="B1:M55"/>
  <sheetViews>
    <sheetView showGridLines="0" zoomScale="85" zoomScaleNormal="85" zoomScaleSheetLayoutView="85" workbookViewId="0">
      <pane ySplit="9" topLeftCell="A10" activePane="bottomLeft" state="frozen"/>
      <selection activeCell="B2" sqref="B2"/>
      <selection pane="bottomLeft" activeCell="B2" sqref="B2"/>
    </sheetView>
  </sheetViews>
  <sheetFormatPr defaultColWidth="9.140625" defaultRowHeight="12.75" x14ac:dyDescent="0.2"/>
  <cols>
    <col min="1" max="1" width="3.7109375" style="707" customWidth="1"/>
    <col min="2" max="3" width="2.7109375" style="707" customWidth="1"/>
    <col min="4" max="4" width="45.7109375" style="707" customWidth="1"/>
    <col min="5" max="5" width="2.7109375" style="708" customWidth="1"/>
    <col min="6" max="10" width="14.7109375" style="708" customWidth="1"/>
    <col min="11" max="11" width="2.7109375" style="708" customWidth="1"/>
    <col min="12" max="12" width="2.7109375" style="707" customWidth="1"/>
    <col min="13" max="13" width="2.7109375" style="709" customWidth="1"/>
    <col min="14" max="14" width="2.7109375" style="707" customWidth="1"/>
    <col min="15" max="15" width="2.5703125" style="707" customWidth="1"/>
    <col min="16" max="20" width="10.7109375" style="707" customWidth="1"/>
    <col min="21" max="21" width="2.7109375" style="707" customWidth="1"/>
    <col min="22" max="16384" width="9.140625" style="707"/>
  </cols>
  <sheetData>
    <row r="1" spans="2:13" ht="12.75" customHeight="1" x14ac:dyDescent="0.2"/>
    <row r="2" spans="2:13" x14ac:dyDescent="0.2">
      <c r="B2" s="63"/>
      <c r="C2" s="64"/>
      <c r="D2" s="64"/>
      <c r="E2" s="175"/>
      <c r="F2" s="175"/>
      <c r="G2" s="175"/>
      <c r="H2" s="175"/>
      <c r="I2" s="175"/>
      <c r="J2" s="175"/>
      <c r="K2" s="175"/>
      <c r="L2" s="67"/>
    </row>
    <row r="3" spans="2:13" x14ac:dyDescent="0.2">
      <c r="B3" s="69"/>
      <c r="C3" s="70"/>
      <c r="D3" s="70"/>
      <c r="E3" s="176"/>
      <c r="F3" s="176"/>
      <c r="G3" s="176"/>
      <c r="H3" s="176"/>
      <c r="I3" s="176"/>
      <c r="J3" s="176"/>
      <c r="K3" s="176"/>
      <c r="L3" s="73"/>
    </row>
    <row r="4" spans="2:13" s="710" customFormat="1" ht="18.75" x14ac:dyDescent="0.3">
      <c r="B4" s="698"/>
      <c r="C4" s="858" t="s">
        <v>431</v>
      </c>
      <c r="D4" s="82"/>
      <c r="E4" s="178"/>
      <c r="F4" s="628"/>
      <c r="G4" s="628"/>
      <c r="H4" s="178"/>
      <c r="I4" s="178"/>
      <c r="J4" s="178"/>
      <c r="K4" s="178"/>
      <c r="L4" s="112"/>
      <c r="M4" s="711"/>
    </row>
    <row r="5" spans="2:13" s="712" customFormat="1" ht="18.75" x14ac:dyDescent="0.3">
      <c r="B5" s="713"/>
      <c r="C5" s="319" t="str">
        <f>geg!G12</f>
        <v>Basisschool</v>
      </c>
      <c r="D5" s="616"/>
      <c r="E5" s="714"/>
      <c r="F5" s="715"/>
      <c r="G5" s="715"/>
      <c r="H5" s="714"/>
      <c r="I5" s="714"/>
      <c r="J5" s="714"/>
      <c r="K5" s="714"/>
      <c r="L5" s="716"/>
      <c r="M5" s="717"/>
    </row>
    <row r="6" spans="2:13" x14ac:dyDescent="0.2">
      <c r="B6" s="186"/>
      <c r="C6" s="479"/>
      <c r="D6" s="70"/>
      <c r="E6" s="176"/>
      <c r="F6" s="176"/>
      <c r="G6" s="176"/>
      <c r="H6" s="176"/>
      <c r="I6" s="176"/>
      <c r="J6" s="176"/>
      <c r="K6" s="176"/>
      <c r="L6" s="73"/>
    </row>
    <row r="7" spans="2:13" x14ac:dyDescent="0.2">
      <c r="B7" s="186"/>
      <c r="C7" s="479"/>
      <c r="D7" s="70"/>
      <c r="E7" s="176"/>
      <c r="F7" s="176"/>
      <c r="G7" s="176"/>
      <c r="H7" s="176"/>
      <c r="I7" s="176"/>
      <c r="J7" s="176"/>
      <c r="K7" s="176"/>
      <c r="L7" s="73"/>
    </row>
    <row r="8" spans="2:13" s="710" customFormat="1" x14ac:dyDescent="0.2">
      <c r="B8" s="522"/>
      <c r="C8" s="84"/>
      <c r="D8" s="653"/>
      <c r="E8" s="627"/>
      <c r="F8" s="880">
        <f>begr!F8</f>
        <v>2015</v>
      </c>
      <c r="G8" s="880">
        <f>begr!G8</f>
        <v>2016</v>
      </c>
      <c r="H8" s="880">
        <f>begr!H8</f>
        <v>2017</v>
      </c>
      <c r="I8" s="880">
        <f>begr!I8</f>
        <v>2018</v>
      </c>
      <c r="J8" s="880">
        <f>begr!J8</f>
        <v>2019</v>
      </c>
      <c r="K8" s="627"/>
      <c r="L8" s="112"/>
      <c r="M8" s="711"/>
    </row>
    <row r="9" spans="2:13" x14ac:dyDescent="0.2">
      <c r="B9" s="158"/>
      <c r="C9" s="193"/>
      <c r="D9" s="145"/>
      <c r="E9" s="72"/>
      <c r="F9" s="72"/>
      <c r="G9" s="72"/>
      <c r="H9" s="72"/>
      <c r="I9" s="72"/>
      <c r="J9" s="72"/>
      <c r="K9" s="72"/>
      <c r="L9" s="73"/>
    </row>
    <row r="10" spans="2:13" x14ac:dyDescent="0.2">
      <c r="B10" s="69"/>
      <c r="C10" s="86"/>
      <c r="D10" s="87"/>
      <c r="E10" s="179"/>
      <c r="F10" s="179"/>
      <c r="G10" s="179"/>
      <c r="H10" s="179"/>
      <c r="I10" s="179"/>
      <c r="J10" s="179"/>
      <c r="K10" s="181"/>
      <c r="L10" s="73"/>
    </row>
    <row r="11" spans="2:13" s="718" customFormat="1" x14ac:dyDescent="0.2">
      <c r="B11" s="158"/>
      <c r="C11" s="163"/>
      <c r="D11" s="883" t="s">
        <v>516</v>
      </c>
      <c r="E11" s="128"/>
      <c r="F11" s="995">
        <f>bal!F22</f>
        <v>0</v>
      </c>
      <c r="G11" s="995">
        <f>bal!G22</f>
        <v>0</v>
      </c>
      <c r="H11" s="995">
        <f>G51</f>
        <v>827641</v>
      </c>
      <c r="I11" s="995">
        <f>H51</f>
        <v>1652980</v>
      </c>
      <c r="J11" s="995">
        <f>I51</f>
        <v>2481114</v>
      </c>
      <c r="K11" s="117"/>
      <c r="L11" s="166"/>
      <c r="M11" s="719"/>
    </row>
    <row r="12" spans="2:13" x14ac:dyDescent="0.2">
      <c r="B12" s="69"/>
      <c r="C12" s="98"/>
      <c r="D12" s="720"/>
      <c r="E12" s="191"/>
      <c r="F12" s="191"/>
      <c r="G12" s="191"/>
      <c r="H12" s="191"/>
      <c r="I12" s="191"/>
      <c r="J12" s="191"/>
      <c r="K12" s="192"/>
      <c r="L12" s="73"/>
    </row>
    <row r="13" spans="2:13" x14ac:dyDescent="0.2">
      <c r="B13" s="69"/>
      <c r="C13" s="70"/>
      <c r="D13" s="70"/>
      <c r="E13" s="176"/>
      <c r="F13" s="176"/>
      <c r="G13" s="176"/>
      <c r="H13" s="176"/>
      <c r="I13" s="176"/>
      <c r="J13" s="176"/>
      <c r="K13" s="176"/>
      <c r="L13" s="73"/>
    </row>
    <row r="14" spans="2:13" x14ac:dyDescent="0.2">
      <c r="B14" s="69"/>
      <c r="C14" s="86"/>
      <c r="D14" s="87"/>
      <c r="E14" s="179"/>
      <c r="F14" s="179"/>
      <c r="G14" s="179"/>
      <c r="H14" s="179"/>
      <c r="I14" s="179"/>
      <c r="J14" s="179"/>
      <c r="K14" s="181"/>
      <c r="L14" s="73"/>
    </row>
    <row r="15" spans="2:13" x14ac:dyDescent="0.2">
      <c r="B15" s="69"/>
      <c r="C15" s="90"/>
      <c r="D15" s="883" t="s">
        <v>338</v>
      </c>
      <c r="E15" s="95"/>
      <c r="F15" s="95"/>
      <c r="G15" s="95"/>
      <c r="H15" s="95"/>
      <c r="I15" s="95"/>
      <c r="J15" s="95"/>
      <c r="K15" s="115"/>
      <c r="L15" s="73"/>
    </row>
    <row r="16" spans="2:13" x14ac:dyDescent="0.2">
      <c r="B16" s="69"/>
      <c r="C16" s="90"/>
      <c r="D16" s="126"/>
      <c r="E16" s="95"/>
      <c r="F16" s="95"/>
      <c r="G16" s="95"/>
      <c r="H16" s="95"/>
      <c r="I16" s="95"/>
      <c r="J16" s="95"/>
      <c r="K16" s="115"/>
      <c r="L16" s="73"/>
    </row>
    <row r="17" spans="2:12" x14ac:dyDescent="0.2">
      <c r="B17" s="69"/>
      <c r="C17" s="90"/>
      <c r="D17" s="92" t="s">
        <v>418</v>
      </c>
      <c r="E17" s="95"/>
      <c r="F17" s="869">
        <f>begr!F42</f>
        <v>0</v>
      </c>
      <c r="G17" s="869">
        <f>begr!G42</f>
        <v>827640.94238698028</v>
      </c>
      <c r="H17" s="869">
        <f>begr!H42</f>
        <v>825338.61227245338</v>
      </c>
      <c r="I17" s="869">
        <f>begr!I42</f>
        <v>828134.06507534673</v>
      </c>
      <c r="J17" s="869">
        <f>begr!J42</f>
        <v>830992.1553827608</v>
      </c>
      <c r="K17" s="115"/>
      <c r="L17" s="73"/>
    </row>
    <row r="18" spans="2:12" x14ac:dyDescent="0.2">
      <c r="B18" s="69"/>
      <c r="C18" s="90"/>
      <c r="D18" s="92"/>
      <c r="E18" s="95"/>
      <c r="F18" s="95"/>
      <c r="G18" s="95"/>
      <c r="H18" s="95"/>
      <c r="I18" s="95"/>
      <c r="J18" s="95"/>
      <c r="K18" s="115"/>
      <c r="L18" s="73"/>
    </row>
    <row r="19" spans="2:12" x14ac:dyDescent="0.2">
      <c r="B19" s="69"/>
      <c r="C19" s="90"/>
      <c r="D19" s="92" t="s">
        <v>284</v>
      </c>
      <c r="E19" s="95"/>
      <c r="F19" s="878">
        <f>mat!H99</f>
        <v>0</v>
      </c>
      <c r="G19" s="878">
        <f>mat!I99</f>
        <v>0</v>
      </c>
      <c r="H19" s="878">
        <f>mat!J99</f>
        <v>0</v>
      </c>
      <c r="I19" s="878">
        <f>mat!K99</f>
        <v>0</v>
      </c>
      <c r="J19" s="878">
        <f>mat!L99</f>
        <v>0</v>
      </c>
      <c r="K19" s="115"/>
      <c r="L19" s="73"/>
    </row>
    <row r="20" spans="2:12" x14ac:dyDescent="0.2">
      <c r="B20" s="69"/>
      <c r="C20" s="90"/>
      <c r="D20" s="92"/>
      <c r="E20" s="95"/>
      <c r="F20" s="222"/>
      <c r="G20" s="222"/>
      <c r="H20" s="222"/>
      <c r="I20" s="222"/>
      <c r="J20" s="222"/>
      <c r="K20" s="115"/>
      <c r="L20" s="73"/>
    </row>
    <row r="21" spans="2:12" x14ac:dyDescent="0.2">
      <c r="B21" s="69"/>
      <c r="C21" s="90"/>
      <c r="D21" s="721" t="s">
        <v>339</v>
      </c>
      <c r="E21" s="95"/>
      <c r="F21" s="222"/>
      <c r="G21" s="222"/>
      <c r="H21" s="222"/>
      <c r="I21" s="222"/>
      <c r="J21" s="222"/>
      <c r="K21" s="115"/>
      <c r="L21" s="73"/>
    </row>
    <row r="22" spans="2:12" x14ac:dyDescent="0.2">
      <c r="B22" s="69"/>
      <c r="C22" s="90"/>
      <c r="D22" s="92" t="s">
        <v>91</v>
      </c>
      <c r="E22" s="95"/>
      <c r="F22" s="878">
        <f>(bal!F19)-(bal!G19)</f>
        <v>0</v>
      </c>
      <c r="G22" s="878">
        <f>(bal!G19)-(bal!H19)</f>
        <v>0</v>
      </c>
      <c r="H22" s="878">
        <f>(bal!H19)-(bal!I19)</f>
        <v>0</v>
      </c>
      <c r="I22" s="878">
        <f>(bal!I19)-(bal!J19)</f>
        <v>0</v>
      </c>
      <c r="J22" s="878">
        <f>(bal!J19)-(bal!K19)</f>
        <v>0</v>
      </c>
      <c r="K22" s="115"/>
      <c r="L22" s="73"/>
    </row>
    <row r="23" spans="2:12" x14ac:dyDescent="0.2">
      <c r="B23" s="69"/>
      <c r="C23" s="90"/>
      <c r="D23" s="92" t="s">
        <v>93</v>
      </c>
      <c r="E23" s="95"/>
      <c r="F23" s="878">
        <f>(bal!F20)-(bal!G20)</f>
        <v>0</v>
      </c>
      <c r="G23" s="878">
        <f>(bal!G20)-(bal!H20)</f>
        <v>0</v>
      </c>
      <c r="H23" s="878">
        <f>(bal!H20)-(bal!I20)</f>
        <v>0</v>
      </c>
      <c r="I23" s="878">
        <f>(bal!I20)-(bal!J20)</f>
        <v>0</v>
      </c>
      <c r="J23" s="878">
        <f>(bal!J20)-(bal!K20)</f>
        <v>0</v>
      </c>
      <c r="K23" s="115"/>
      <c r="L23" s="73"/>
    </row>
    <row r="24" spans="2:12" x14ac:dyDescent="0.2">
      <c r="B24" s="69"/>
      <c r="C24" s="90"/>
      <c r="D24" s="92" t="s">
        <v>92</v>
      </c>
      <c r="E24" s="95"/>
      <c r="F24" s="878">
        <f>(bal!F21)-(bal!G21)</f>
        <v>0</v>
      </c>
      <c r="G24" s="878">
        <f>(bal!G21)-(bal!H21)</f>
        <v>0</v>
      </c>
      <c r="H24" s="878">
        <f>(bal!H21)-(bal!I21)</f>
        <v>0</v>
      </c>
      <c r="I24" s="878">
        <f>(bal!I21)-(bal!J21)</f>
        <v>0</v>
      </c>
      <c r="J24" s="878">
        <f>(bal!J21)-(bal!K21)</f>
        <v>0</v>
      </c>
      <c r="K24" s="115"/>
      <c r="L24" s="73"/>
    </row>
    <row r="25" spans="2:12" x14ac:dyDescent="0.2">
      <c r="B25" s="69"/>
      <c r="C25" s="90"/>
      <c r="D25" s="92" t="s">
        <v>330</v>
      </c>
      <c r="E25" s="95"/>
      <c r="F25" s="878">
        <f>(bal!G55)-(bal!F55)</f>
        <v>0</v>
      </c>
      <c r="G25" s="878">
        <f>(bal!H55)-(bal!G55)</f>
        <v>0</v>
      </c>
      <c r="H25" s="878">
        <f>(bal!I55)-(bal!H55)</f>
        <v>0</v>
      </c>
      <c r="I25" s="878">
        <f>(bal!J55)-(bal!I55)</f>
        <v>0</v>
      </c>
      <c r="J25" s="878">
        <f>(bal!K55)-(bal!J55)</f>
        <v>0</v>
      </c>
      <c r="K25" s="115"/>
      <c r="L25" s="73"/>
    </row>
    <row r="26" spans="2:12" x14ac:dyDescent="0.2">
      <c r="B26" s="69"/>
      <c r="C26" s="90"/>
      <c r="D26" s="92"/>
      <c r="E26" s="95"/>
      <c r="F26" s="988">
        <f>SUM(F22:F25)</f>
        <v>0</v>
      </c>
      <c r="G26" s="988">
        <f>SUM(G22:G25)</f>
        <v>0</v>
      </c>
      <c r="H26" s="988">
        <f>SUM(H22:H25)</f>
        <v>0</v>
      </c>
      <c r="I26" s="988">
        <f>SUM(I22:I25)</f>
        <v>0</v>
      </c>
      <c r="J26" s="988">
        <f>SUM(J22:J25)</f>
        <v>0</v>
      </c>
      <c r="K26" s="115"/>
      <c r="L26" s="73"/>
    </row>
    <row r="27" spans="2:12" x14ac:dyDescent="0.2">
      <c r="B27" s="69"/>
      <c r="C27" s="90"/>
      <c r="D27" s="223"/>
      <c r="E27" s="95"/>
      <c r="F27" s="222"/>
      <c r="G27" s="222"/>
      <c r="H27" s="222"/>
      <c r="I27" s="222"/>
      <c r="J27" s="222"/>
      <c r="K27" s="115"/>
      <c r="L27" s="73"/>
    </row>
    <row r="28" spans="2:12" x14ac:dyDescent="0.2">
      <c r="B28" s="69"/>
      <c r="C28" s="90"/>
      <c r="D28" s="92" t="s">
        <v>341</v>
      </c>
      <c r="E28" s="95"/>
      <c r="F28" s="878">
        <f>(bal!G42)-(bal!F42)</f>
        <v>0</v>
      </c>
      <c r="G28" s="878">
        <f>(bal!H42)-(bal!G42)</f>
        <v>0</v>
      </c>
      <c r="H28" s="878">
        <f>(bal!I42)-(bal!H42)</f>
        <v>0</v>
      </c>
      <c r="I28" s="878">
        <f>(bal!J42)-(bal!I42)</f>
        <v>0</v>
      </c>
      <c r="J28" s="878">
        <f>(bal!K42)-(bal!J42)</f>
        <v>0</v>
      </c>
      <c r="K28" s="115"/>
      <c r="L28" s="73"/>
    </row>
    <row r="29" spans="2:12" x14ac:dyDescent="0.2">
      <c r="B29" s="69"/>
      <c r="C29" s="90"/>
      <c r="D29" s="92"/>
      <c r="E29" s="95"/>
      <c r="F29" s="222"/>
      <c r="G29" s="222"/>
      <c r="H29" s="222"/>
      <c r="I29" s="222"/>
      <c r="J29" s="222"/>
      <c r="K29" s="115"/>
      <c r="L29" s="73"/>
    </row>
    <row r="30" spans="2:12" x14ac:dyDescent="0.2">
      <c r="B30" s="69"/>
      <c r="C30" s="90"/>
      <c r="D30" s="126" t="s">
        <v>320</v>
      </c>
      <c r="E30" s="95"/>
      <c r="F30" s="995">
        <f>F17+F19+F26+F28</f>
        <v>0</v>
      </c>
      <c r="G30" s="995">
        <f>G17+G19+G26+G28</f>
        <v>827640.94238698028</v>
      </c>
      <c r="H30" s="995">
        <f>H17+H19+H26+H28</f>
        <v>825338.61227245338</v>
      </c>
      <c r="I30" s="995">
        <f>I17+I19+I26+I28</f>
        <v>828134.06507534673</v>
      </c>
      <c r="J30" s="995">
        <f>J17+J19+J26+J28</f>
        <v>830992.1553827608</v>
      </c>
      <c r="K30" s="115"/>
      <c r="L30" s="73"/>
    </row>
    <row r="31" spans="2:12" x14ac:dyDescent="0.2">
      <c r="B31" s="69"/>
      <c r="C31" s="90"/>
      <c r="D31" s="92"/>
      <c r="E31" s="95"/>
      <c r="F31" s="222"/>
      <c r="G31" s="222"/>
      <c r="H31" s="222"/>
      <c r="I31" s="222"/>
      <c r="J31" s="222"/>
      <c r="K31" s="115"/>
      <c r="L31" s="73"/>
    </row>
    <row r="32" spans="2:12" x14ac:dyDescent="0.2">
      <c r="B32" s="69"/>
      <c r="C32" s="70"/>
      <c r="D32" s="70"/>
      <c r="E32" s="176"/>
      <c r="F32" s="176"/>
      <c r="G32" s="176"/>
      <c r="H32" s="176"/>
      <c r="I32" s="176"/>
      <c r="J32" s="176"/>
      <c r="K32" s="176"/>
      <c r="L32" s="73"/>
    </row>
    <row r="33" spans="2:12" x14ac:dyDescent="0.2">
      <c r="B33" s="69"/>
      <c r="C33" s="90"/>
      <c r="D33" s="92"/>
      <c r="E33" s="95"/>
      <c r="F33" s="222"/>
      <c r="G33" s="222"/>
      <c r="H33" s="222"/>
      <c r="I33" s="222"/>
      <c r="J33" s="222"/>
      <c r="K33" s="115"/>
      <c r="L33" s="73"/>
    </row>
    <row r="34" spans="2:12" x14ac:dyDescent="0.2">
      <c r="B34" s="69"/>
      <c r="C34" s="90"/>
      <c r="D34" s="883" t="s">
        <v>340</v>
      </c>
      <c r="E34" s="95"/>
      <c r="F34" s="222"/>
      <c r="G34" s="222"/>
      <c r="H34" s="222"/>
      <c r="I34" s="222"/>
      <c r="J34" s="222"/>
      <c r="K34" s="115"/>
      <c r="L34" s="73"/>
    </row>
    <row r="35" spans="2:12" x14ac:dyDescent="0.2">
      <c r="B35" s="69"/>
      <c r="C35" s="90"/>
      <c r="D35" s="126"/>
      <c r="E35" s="95"/>
      <c r="F35" s="222"/>
      <c r="G35" s="222"/>
      <c r="H35" s="222"/>
      <c r="I35" s="222"/>
      <c r="J35" s="222"/>
      <c r="K35" s="115"/>
      <c r="L35" s="73"/>
    </row>
    <row r="36" spans="2:12" x14ac:dyDescent="0.2">
      <c r="B36" s="69"/>
      <c r="C36" s="90"/>
      <c r="D36" s="92" t="s">
        <v>517</v>
      </c>
      <c r="E36" s="95"/>
      <c r="F36" s="878">
        <f>act!F29</f>
        <v>0</v>
      </c>
      <c r="G36" s="878">
        <f>act!G29</f>
        <v>0</v>
      </c>
      <c r="H36" s="878">
        <f>act!H29</f>
        <v>0</v>
      </c>
      <c r="I36" s="878">
        <f>act!I29</f>
        <v>0</v>
      </c>
      <c r="J36" s="878">
        <f>act!J29</f>
        <v>0</v>
      </c>
      <c r="K36" s="115"/>
      <c r="L36" s="73"/>
    </row>
    <row r="37" spans="2:12" x14ac:dyDescent="0.2">
      <c r="B37" s="69"/>
      <c r="C37" s="90"/>
      <c r="D37" s="92" t="s">
        <v>518</v>
      </c>
      <c r="E37" s="95"/>
      <c r="F37" s="878">
        <f>(bal!G14)-(bal!F14)</f>
        <v>0</v>
      </c>
      <c r="G37" s="878">
        <f>(bal!H14)-(bal!G14)</f>
        <v>0</v>
      </c>
      <c r="H37" s="878">
        <f>(bal!I14)-(bal!H14)</f>
        <v>0</v>
      </c>
      <c r="I37" s="878">
        <f>(bal!J14)-(bal!I14)</f>
        <v>0</v>
      </c>
      <c r="J37" s="878">
        <f>(bal!K14)-(bal!J14)</f>
        <v>0</v>
      </c>
      <c r="K37" s="115"/>
      <c r="L37" s="73"/>
    </row>
    <row r="38" spans="2:12" x14ac:dyDescent="0.2">
      <c r="B38" s="69"/>
      <c r="C38" s="90"/>
      <c r="D38" s="92" t="s">
        <v>519</v>
      </c>
      <c r="E38" s="95"/>
      <c r="F38" s="878">
        <f>(bal!G16)-(bal!F16)</f>
        <v>0</v>
      </c>
      <c r="G38" s="878">
        <f>(bal!H16)-(bal!G16)</f>
        <v>0</v>
      </c>
      <c r="H38" s="878">
        <f>(bal!I16)-(bal!H16)</f>
        <v>0</v>
      </c>
      <c r="I38" s="878">
        <f>(bal!J16)-(bal!I16)</f>
        <v>0</v>
      </c>
      <c r="J38" s="878">
        <f>(bal!K16)-(bal!J16)</f>
        <v>0</v>
      </c>
      <c r="K38" s="115"/>
      <c r="L38" s="73"/>
    </row>
    <row r="39" spans="2:12" x14ac:dyDescent="0.2">
      <c r="B39" s="69"/>
      <c r="C39" s="90"/>
      <c r="D39" s="92"/>
      <c r="E39" s="95"/>
      <c r="F39" s="222"/>
      <c r="G39" s="222"/>
      <c r="H39" s="222"/>
      <c r="I39" s="222"/>
      <c r="J39" s="222"/>
      <c r="K39" s="115"/>
      <c r="L39" s="73"/>
    </row>
    <row r="40" spans="2:12" x14ac:dyDescent="0.2">
      <c r="B40" s="69"/>
      <c r="C40" s="90"/>
      <c r="D40" s="126" t="s">
        <v>193</v>
      </c>
      <c r="E40" s="95"/>
      <c r="F40" s="996">
        <f>SUM(F36:F38)</f>
        <v>0</v>
      </c>
      <c r="G40" s="996">
        <f>SUM(G36:G38)</f>
        <v>0</v>
      </c>
      <c r="H40" s="996">
        <f>SUM(H36:H38)</f>
        <v>0</v>
      </c>
      <c r="I40" s="996">
        <f>SUM(I36:I38)</f>
        <v>0</v>
      </c>
      <c r="J40" s="996">
        <f>SUM(J36:J38)</f>
        <v>0</v>
      </c>
      <c r="K40" s="115"/>
      <c r="L40" s="73"/>
    </row>
    <row r="41" spans="2:12" x14ac:dyDescent="0.2">
      <c r="B41" s="69"/>
      <c r="C41" s="90"/>
      <c r="D41" s="92"/>
      <c r="E41" s="95"/>
      <c r="F41" s="222"/>
      <c r="G41" s="222"/>
      <c r="H41" s="222"/>
      <c r="I41" s="222"/>
      <c r="J41" s="222"/>
      <c r="K41" s="115"/>
      <c r="L41" s="73"/>
    </row>
    <row r="42" spans="2:12" x14ac:dyDescent="0.2">
      <c r="B42" s="69"/>
      <c r="C42" s="70"/>
      <c r="D42" s="70"/>
      <c r="E42" s="176"/>
      <c r="F42" s="176"/>
      <c r="G42" s="176"/>
      <c r="H42" s="176"/>
      <c r="I42" s="176"/>
      <c r="J42" s="176"/>
      <c r="K42" s="176"/>
      <c r="L42" s="73"/>
    </row>
    <row r="43" spans="2:12" x14ac:dyDescent="0.2">
      <c r="B43" s="69"/>
      <c r="C43" s="90"/>
      <c r="D43" s="92"/>
      <c r="E43" s="95"/>
      <c r="F43" s="222"/>
      <c r="G43" s="222"/>
      <c r="H43" s="222"/>
      <c r="I43" s="222"/>
      <c r="J43" s="222"/>
      <c r="K43" s="115"/>
      <c r="L43" s="73"/>
    </row>
    <row r="44" spans="2:12" x14ac:dyDescent="0.2">
      <c r="B44" s="69"/>
      <c r="C44" s="90"/>
      <c r="D44" s="883" t="s">
        <v>342</v>
      </c>
      <c r="E44" s="95"/>
      <c r="F44" s="995">
        <f>(bal!G46)-(bal!F46)</f>
        <v>0</v>
      </c>
      <c r="G44" s="995">
        <f>(bal!H46)-(bal!G46)</f>
        <v>0</v>
      </c>
      <c r="H44" s="995">
        <f>(bal!I46)-(bal!H46)</f>
        <v>0</v>
      </c>
      <c r="I44" s="995">
        <f>(bal!J46)-(bal!I46)</f>
        <v>0</v>
      </c>
      <c r="J44" s="995">
        <f>(bal!K46)-(bal!J46)</f>
        <v>0</v>
      </c>
      <c r="K44" s="115"/>
      <c r="L44" s="73"/>
    </row>
    <row r="45" spans="2:12" x14ac:dyDescent="0.2">
      <c r="B45" s="69"/>
      <c r="C45" s="90"/>
      <c r="D45" s="126"/>
      <c r="E45" s="95"/>
      <c r="F45" s="222"/>
      <c r="G45" s="222"/>
      <c r="H45" s="222"/>
      <c r="I45" s="222"/>
      <c r="J45" s="222"/>
      <c r="K45" s="115"/>
      <c r="L45" s="73"/>
    </row>
    <row r="46" spans="2:12" x14ac:dyDescent="0.2">
      <c r="B46" s="69"/>
      <c r="C46" s="70"/>
      <c r="D46" s="70"/>
      <c r="E46" s="176"/>
      <c r="F46" s="176"/>
      <c r="G46" s="176"/>
      <c r="H46" s="176"/>
      <c r="I46" s="176"/>
      <c r="J46" s="176"/>
      <c r="K46" s="176"/>
      <c r="L46" s="73"/>
    </row>
    <row r="47" spans="2:12" x14ac:dyDescent="0.2">
      <c r="B47" s="69"/>
      <c r="C47" s="90"/>
      <c r="D47" s="92"/>
      <c r="E47" s="95"/>
      <c r="F47" s="222"/>
      <c r="G47" s="222"/>
      <c r="H47" s="222"/>
      <c r="I47" s="222"/>
      <c r="J47" s="222"/>
      <c r="K47" s="115"/>
      <c r="L47" s="73"/>
    </row>
    <row r="48" spans="2:12" x14ac:dyDescent="0.2">
      <c r="B48" s="69"/>
      <c r="C48" s="90"/>
      <c r="D48" s="885" t="s">
        <v>337</v>
      </c>
      <c r="E48" s="95"/>
      <c r="F48" s="995">
        <f>ROUND((F30-F40+F44),0)</f>
        <v>0</v>
      </c>
      <c r="G48" s="995">
        <f>ROUND((G30-G40+G44),0)</f>
        <v>827641</v>
      </c>
      <c r="H48" s="995">
        <f>ROUND((H30-H40+H44),0)</f>
        <v>825339</v>
      </c>
      <c r="I48" s="995">
        <f>ROUND((I30-I40+I44),0)</f>
        <v>828134</v>
      </c>
      <c r="J48" s="995">
        <f>ROUND((J30-J40+J44),0)</f>
        <v>830992</v>
      </c>
      <c r="K48" s="115"/>
      <c r="L48" s="73"/>
    </row>
    <row r="49" spans="2:13" x14ac:dyDescent="0.2">
      <c r="B49" s="69"/>
      <c r="C49" s="90"/>
      <c r="D49" s="886" t="s">
        <v>61</v>
      </c>
      <c r="E49" s="899"/>
      <c r="F49" s="934">
        <f>ROUND((bal!G22-bal!F22),0)</f>
        <v>0</v>
      </c>
      <c r="G49" s="934">
        <f>ROUND((bal!H22-bal!G22),0)</f>
        <v>827641</v>
      </c>
      <c r="H49" s="934">
        <f>ROUND((bal!I22-bal!H22),0)</f>
        <v>825339</v>
      </c>
      <c r="I49" s="934">
        <f>ROUND((bal!J22-bal!I22),0)</f>
        <v>828134</v>
      </c>
      <c r="J49" s="934">
        <f>ROUND((bal!K22-bal!J22),0)</f>
        <v>830992</v>
      </c>
      <c r="K49" s="115"/>
      <c r="L49" s="73"/>
    </row>
    <row r="50" spans="2:13" x14ac:dyDescent="0.2">
      <c r="B50" s="69"/>
      <c r="C50" s="90"/>
      <c r="D50" s="92"/>
      <c r="E50" s="95"/>
      <c r="F50" s="222"/>
      <c r="G50" s="222"/>
      <c r="H50" s="222"/>
      <c r="I50" s="222"/>
      <c r="J50" s="222"/>
      <c r="K50" s="115"/>
      <c r="L50" s="73"/>
    </row>
    <row r="51" spans="2:13" s="718" customFormat="1" x14ac:dyDescent="0.2">
      <c r="B51" s="158"/>
      <c r="C51" s="163"/>
      <c r="D51" s="883" t="s">
        <v>95</v>
      </c>
      <c r="E51" s="128"/>
      <c r="F51" s="985">
        <f>F11+F48</f>
        <v>0</v>
      </c>
      <c r="G51" s="985">
        <f>G11+G48</f>
        <v>827641</v>
      </c>
      <c r="H51" s="995">
        <f>H48+G51</f>
        <v>1652980</v>
      </c>
      <c r="I51" s="995">
        <f>I48+H51</f>
        <v>2481114</v>
      </c>
      <c r="J51" s="995">
        <f>J48+I51</f>
        <v>3312106</v>
      </c>
      <c r="K51" s="117"/>
      <c r="L51" s="166"/>
      <c r="M51" s="719"/>
    </row>
    <row r="52" spans="2:13" s="718" customFormat="1" x14ac:dyDescent="0.2">
      <c r="B52" s="158"/>
      <c r="C52" s="163"/>
      <c r="D52" s="896" t="s">
        <v>396</v>
      </c>
      <c r="E52" s="722"/>
      <c r="F52" s="993" t="e">
        <f>ken!#REF!</f>
        <v>#REF!</v>
      </c>
      <c r="G52" s="993" t="e">
        <f>ken!F15</f>
        <v>#DIV/0!</v>
      </c>
      <c r="H52" s="994" t="e">
        <f>ken!G15</f>
        <v>#DIV/0!</v>
      </c>
      <c r="I52" s="994" t="e">
        <f>ken!H15</f>
        <v>#DIV/0!</v>
      </c>
      <c r="J52" s="994" t="e">
        <f>ken!I15</f>
        <v>#DIV/0!</v>
      </c>
      <c r="K52" s="117"/>
      <c r="L52" s="166"/>
      <c r="M52" s="719"/>
    </row>
    <row r="53" spans="2:13" x14ac:dyDescent="0.2">
      <c r="B53" s="69"/>
      <c r="C53" s="98"/>
      <c r="D53" s="99"/>
      <c r="E53" s="191"/>
      <c r="F53" s="723"/>
      <c r="G53" s="723"/>
      <c r="H53" s="723"/>
      <c r="I53" s="723"/>
      <c r="J53" s="723"/>
      <c r="K53" s="192"/>
      <c r="L53" s="73"/>
    </row>
    <row r="54" spans="2:13" x14ac:dyDescent="0.2">
      <c r="B54" s="69"/>
      <c r="C54" s="70"/>
      <c r="D54" s="70"/>
      <c r="E54" s="176"/>
      <c r="F54" s="448"/>
      <c r="G54" s="448"/>
      <c r="H54" s="448"/>
      <c r="I54" s="448"/>
      <c r="J54" s="448"/>
      <c r="K54" s="176"/>
      <c r="L54" s="73"/>
    </row>
    <row r="55" spans="2:13" ht="15" x14ac:dyDescent="0.25">
      <c r="B55" s="171"/>
      <c r="C55" s="172"/>
      <c r="D55" s="172"/>
      <c r="E55" s="406"/>
      <c r="F55" s="412"/>
      <c r="G55" s="412"/>
      <c r="H55" s="412"/>
      <c r="I55" s="412"/>
      <c r="J55" s="412"/>
      <c r="K55" s="152" t="s">
        <v>435</v>
      </c>
      <c r="L55" s="173"/>
    </row>
  </sheetData>
  <sheetProtection algorithmName="SHA-512" hashValue="jYEccQqlVDq3UMRJ1xdbfbhq5IcbkYZ6yDzlRLZXhTiH8fyGQiizW1/5UwKanBRkCjrvXpmrH0h2D/PZa0e6Rw==" saltValue="bzQKeG/BZa/DXwaEBwAwMQ==" spinCount="100000" sheet="1" objects="1" scenarios="1"/>
  <phoneticPr fontId="0" type="noConversion"/>
  <pageMargins left="0.74803149606299213" right="0.74803149606299213" top="0.98425196850393704" bottom="0.98425196850393704" header="0.51181102362204722" footer="0.51181102362204722"/>
  <pageSetup paperSize="9" scale="65" orientation="portrait" r:id="rId1"/>
  <headerFooter alignWithMargins="0">
    <oddHeader>&amp;L&amp;"Arial,Vet"&amp;F&amp;R&amp;"Arial,Vet"&amp;A</oddHeader>
    <oddFooter>&amp;L&amp;"Arial,Vet"PO-Raad&amp;C&amp;"Arial,Vet"&amp;D&amp;R&amp;"Arial,Vet"pagina &amp;P</oddFooter>
  </headerFooter>
  <colBreaks count="1" manualBreakCount="1">
    <brk id="21" min="3" max="63"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
  <dimension ref="B1:M90"/>
  <sheetViews>
    <sheetView showGridLines="0" zoomScale="85" zoomScaleNormal="85" zoomScaleSheetLayoutView="85" workbookViewId="0">
      <pane ySplit="9" topLeftCell="A10" activePane="bottomLeft" state="frozen"/>
      <selection activeCell="B2" sqref="B2"/>
      <selection pane="bottomLeft" activeCell="B2" sqref="B2"/>
    </sheetView>
  </sheetViews>
  <sheetFormatPr defaultColWidth="9.140625" defaultRowHeight="12.75" x14ac:dyDescent="0.2"/>
  <cols>
    <col min="1" max="1" width="3.7109375" style="68" customWidth="1"/>
    <col min="2" max="3" width="2.7109375" style="68" customWidth="1"/>
    <col min="4" max="4" width="45.7109375" style="280" customWidth="1"/>
    <col min="5" max="5" width="2.7109375" style="68" customWidth="1"/>
    <col min="6" max="6" width="14.85546875" style="174" customWidth="1"/>
    <col min="7" max="9" width="14.85546875" style="413" customWidth="1"/>
    <col min="10" max="10" width="2.7109375" style="287" customWidth="1"/>
    <col min="11" max="11" width="2.7109375" style="68" customWidth="1"/>
    <col min="12" max="13" width="14.7109375" style="68" customWidth="1"/>
    <col min="14" max="16384" width="9.140625" style="68"/>
  </cols>
  <sheetData>
    <row r="1" spans="2:13" ht="12.75" customHeight="1" x14ac:dyDescent="0.2"/>
    <row r="2" spans="2:13" x14ac:dyDescent="0.2">
      <c r="B2" s="63"/>
      <c r="C2" s="64"/>
      <c r="D2" s="289"/>
      <c r="E2" s="64"/>
      <c r="F2" s="175"/>
      <c r="G2" s="444"/>
      <c r="H2" s="444"/>
      <c r="I2" s="444"/>
      <c r="J2" s="295"/>
      <c r="K2" s="67"/>
    </row>
    <row r="3" spans="2:13" x14ac:dyDescent="0.2">
      <c r="B3" s="69"/>
      <c r="C3" s="70"/>
      <c r="D3" s="296"/>
      <c r="E3" s="70"/>
      <c r="F3" s="176"/>
      <c r="G3" s="448"/>
      <c r="H3" s="448"/>
      <c r="I3" s="448"/>
      <c r="J3" s="301"/>
      <c r="K3" s="73"/>
    </row>
    <row r="4" spans="2:13" s="608" customFormat="1" ht="18.75" x14ac:dyDescent="0.3">
      <c r="B4" s="80"/>
      <c r="C4" s="857" t="s">
        <v>185</v>
      </c>
      <c r="D4" s="724"/>
      <c r="E4" s="609"/>
      <c r="F4" s="725"/>
      <c r="G4" s="726"/>
      <c r="H4" s="726"/>
      <c r="I4" s="726"/>
      <c r="J4" s="727"/>
      <c r="K4" s="610"/>
    </row>
    <row r="5" spans="2:13" s="611" customFormat="1" ht="18.75" x14ac:dyDescent="0.3">
      <c r="B5" s="728"/>
      <c r="C5" s="81" t="str">
        <f>geg!G12</f>
        <v>Basisschool</v>
      </c>
      <c r="D5" s="729"/>
      <c r="E5" s="81"/>
      <c r="F5" s="730"/>
      <c r="G5" s="731"/>
      <c r="H5" s="731"/>
      <c r="I5" s="731"/>
      <c r="J5" s="732"/>
      <c r="K5" s="614"/>
    </row>
    <row r="6" spans="2:13" s="177" customFormat="1" x14ac:dyDescent="0.2">
      <c r="B6" s="83"/>
      <c r="C6" s="82"/>
      <c r="D6" s="733"/>
      <c r="E6" s="82"/>
      <c r="F6" s="178"/>
      <c r="G6" s="734"/>
      <c r="H6" s="734"/>
      <c r="I6" s="734"/>
      <c r="J6" s="735"/>
      <c r="K6" s="112"/>
    </row>
    <row r="7" spans="2:13" s="177" customFormat="1" x14ac:dyDescent="0.2">
      <c r="B7" s="83"/>
      <c r="C7" s="82"/>
      <c r="D7" s="733"/>
      <c r="E7" s="82"/>
      <c r="F7" s="178"/>
      <c r="G7" s="734"/>
      <c r="H7" s="734"/>
      <c r="I7" s="734"/>
      <c r="J7" s="735"/>
      <c r="K7" s="112"/>
    </row>
    <row r="8" spans="2:13" s="177" customFormat="1" x14ac:dyDescent="0.2">
      <c r="B8" s="83"/>
      <c r="C8" s="82"/>
      <c r="D8" s="736"/>
      <c r="E8" s="82"/>
      <c r="F8" s="880">
        <f>bal!H8</f>
        <v>2016</v>
      </c>
      <c r="G8" s="880">
        <f>bal!I8</f>
        <v>2017</v>
      </c>
      <c r="H8" s="880">
        <f>bal!J8</f>
        <v>2018</v>
      </c>
      <c r="I8" s="880">
        <f>bal!K8</f>
        <v>2019</v>
      </c>
      <c r="J8" s="735"/>
      <c r="K8" s="112"/>
      <c r="M8" s="106"/>
    </row>
    <row r="9" spans="2:13" s="177" customFormat="1" x14ac:dyDescent="0.2">
      <c r="B9" s="83"/>
      <c r="C9" s="82"/>
      <c r="D9" s="736"/>
      <c r="E9" s="82"/>
      <c r="F9" s="627"/>
      <c r="G9" s="627"/>
      <c r="H9" s="627"/>
      <c r="I9" s="627"/>
      <c r="J9" s="735"/>
      <c r="K9" s="112"/>
    </row>
    <row r="10" spans="2:13" x14ac:dyDescent="0.2">
      <c r="B10" s="69"/>
      <c r="C10" s="86"/>
      <c r="D10" s="354"/>
      <c r="E10" s="87"/>
      <c r="F10" s="179"/>
      <c r="G10" s="739"/>
      <c r="H10" s="739"/>
      <c r="I10" s="739"/>
      <c r="J10" s="737"/>
      <c r="K10" s="73"/>
    </row>
    <row r="11" spans="2:13" x14ac:dyDescent="0.2">
      <c r="B11" s="69"/>
      <c r="C11" s="90"/>
      <c r="D11" s="1026" t="s">
        <v>237</v>
      </c>
      <c r="E11" s="92"/>
      <c r="F11" s="928">
        <f>F8</f>
        <v>2016</v>
      </c>
      <c r="G11" s="928">
        <f>G8</f>
        <v>2017</v>
      </c>
      <c r="H11" s="928">
        <f>H8</f>
        <v>2018</v>
      </c>
      <c r="I11" s="928">
        <f>I8</f>
        <v>2019</v>
      </c>
      <c r="J11" s="740"/>
      <c r="K11" s="73"/>
    </row>
    <row r="12" spans="2:13" x14ac:dyDescent="0.2">
      <c r="B12" s="69"/>
      <c r="C12" s="90"/>
      <c r="D12" s="1233" t="s">
        <v>602</v>
      </c>
      <c r="E12" s="741"/>
      <c r="F12" s="1000">
        <f>bal!H25/F32</f>
        <v>0.80331614395623618</v>
      </c>
      <c r="G12" s="1000">
        <f>bal!I25/G32</f>
        <v>1.5986773658368463</v>
      </c>
      <c r="H12" s="1000">
        <f>bal!J25/H32</f>
        <v>2.3792474107744255</v>
      </c>
      <c r="I12" s="1000">
        <f>bal!K25/I32</f>
        <v>3.1494014399203927</v>
      </c>
      <c r="J12" s="740"/>
      <c r="K12" s="73"/>
    </row>
    <row r="13" spans="2:13" x14ac:dyDescent="0.2">
      <c r="B13" s="69"/>
      <c r="C13" s="90"/>
      <c r="D13" s="1058" t="s">
        <v>592</v>
      </c>
      <c r="E13" s="116"/>
      <c r="F13" s="1000">
        <f>bal!H36/bal!H25</f>
        <v>1</v>
      </c>
      <c r="G13" s="1000">
        <f>bal!I36/bal!I25</f>
        <v>1</v>
      </c>
      <c r="H13" s="1000">
        <f>bal!J36/bal!J25</f>
        <v>1</v>
      </c>
      <c r="I13" s="1000">
        <f>bal!K36/bal!K25</f>
        <v>1</v>
      </c>
      <c r="J13" s="740"/>
      <c r="K13" s="73"/>
    </row>
    <row r="14" spans="2:13" x14ac:dyDescent="0.2">
      <c r="B14" s="69"/>
      <c r="C14" s="90"/>
      <c r="D14" s="1058" t="s">
        <v>593</v>
      </c>
      <c r="E14" s="116"/>
      <c r="F14" s="1000">
        <f>(bal!H36+bal!H42)/bal!H25</f>
        <v>1</v>
      </c>
      <c r="G14" s="1000">
        <f>(bal!I36+bal!I42)/bal!I25</f>
        <v>1</v>
      </c>
      <c r="H14" s="1000">
        <f>(bal!J36+bal!J42)/bal!J25</f>
        <v>1</v>
      </c>
      <c r="I14" s="1000">
        <f>(bal!K36+bal!K42)/bal!K25</f>
        <v>1</v>
      </c>
      <c r="J14" s="740"/>
      <c r="K14" s="73"/>
    </row>
    <row r="15" spans="2:13" x14ac:dyDescent="0.2">
      <c r="B15" s="69"/>
      <c r="C15" s="90"/>
      <c r="D15" s="1058" t="s">
        <v>190</v>
      </c>
      <c r="E15" s="265"/>
      <c r="F15" s="938" t="e">
        <f>bal!H23/bal!H55</f>
        <v>#DIV/0!</v>
      </c>
      <c r="G15" s="938" t="e">
        <f>bal!I23/bal!I55</f>
        <v>#DIV/0!</v>
      </c>
      <c r="H15" s="938" t="e">
        <f>bal!J23/bal!J55</f>
        <v>#DIV/0!</v>
      </c>
      <c r="I15" s="938" t="e">
        <f>bal!K23/bal!K55</f>
        <v>#DIV/0!</v>
      </c>
      <c r="J15" s="740"/>
      <c r="K15" s="73"/>
    </row>
    <row r="16" spans="2:13" x14ac:dyDescent="0.2">
      <c r="B16" s="69"/>
      <c r="C16" s="90"/>
      <c r="D16" s="1059" t="s">
        <v>260</v>
      </c>
      <c r="E16" s="262"/>
      <c r="F16" s="999">
        <f>(bal!H36-bal!H15)/begr!G14</f>
        <v>0.80331614395623618</v>
      </c>
      <c r="G16" s="999">
        <f>(bal!I36-bal!I15)/begr!H14</f>
        <v>1.5986773658368463</v>
      </c>
      <c r="H16" s="999">
        <f>(bal!J36-bal!J15)/begr!I14</f>
        <v>2.3792474107744255</v>
      </c>
      <c r="I16" s="999">
        <f>(bal!K36-bal!K15)/begr!J14</f>
        <v>3.1494014399203927</v>
      </c>
      <c r="J16" s="740"/>
      <c r="K16" s="73"/>
    </row>
    <row r="17" spans="2:11" x14ac:dyDescent="0.2">
      <c r="B17" s="69"/>
      <c r="C17" s="90"/>
      <c r="D17" s="1058" t="s">
        <v>240</v>
      </c>
      <c r="E17" s="265"/>
      <c r="F17" s="1230">
        <f>begr!G29/begr!G19</f>
        <v>0.80331614395623618</v>
      </c>
      <c r="G17" s="1230">
        <f>begr!H29/begr!H19</f>
        <v>0.79822533489412251</v>
      </c>
      <c r="H17" s="1230">
        <f>begr!I29/begr!I19</f>
        <v>0.79413365612625109</v>
      </c>
      <c r="I17" s="1230">
        <f>begr!J29/begr!J19</f>
        <v>0.79017038356274716</v>
      </c>
      <c r="J17" s="740"/>
      <c r="K17" s="73"/>
    </row>
    <row r="18" spans="2:11" x14ac:dyDescent="0.2">
      <c r="B18" s="69"/>
      <c r="C18" s="90"/>
      <c r="D18" s="184"/>
      <c r="E18" s="92"/>
      <c r="F18" s="95"/>
      <c r="G18" s="222"/>
      <c r="H18" s="222"/>
      <c r="I18" s="222"/>
      <c r="J18" s="740"/>
      <c r="K18" s="73"/>
    </row>
    <row r="19" spans="2:11" x14ac:dyDescent="0.2">
      <c r="B19" s="69"/>
      <c r="C19" s="12"/>
      <c r="D19" s="1060"/>
      <c r="E19" s="70"/>
      <c r="F19" s="176"/>
      <c r="G19" s="176"/>
      <c r="H19" s="176"/>
      <c r="I19" s="176"/>
      <c r="J19" s="70"/>
      <c r="K19" s="73"/>
    </row>
    <row r="20" spans="2:11" x14ac:dyDescent="0.2">
      <c r="B20" s="69"/>
      <c r="C20" s="742"/>
      <c r="D20" s="1061"/>
      <c r="E20" s="87"/>
      <c r="F20" s="179"/>
      <c r="G20" s="179"/>
      <c r="H20" s="179"/>
      <c r="I20" s="179"/>
      <c r="J20" s="161"/>
      <c r="K20" s="73"/>
    </row>
    <row r="21" spans="2:11" x14ac:dyDescent="0.2">
      <c r="B21" s="69"/>
      <c r="C21" s="90"/>
      <c r="D21" s="1026" t="s">
        <v>398</v>
      </c>
      <c r="E21" s="997"/>
      <c r="F21" s="928">
        <f>F8</f>
        <v>2016</v>
      </c>
      <c r="G21" s="928">
        <f>G8</f>
        <v>2017</v>
      </c>
      <c r="H21" s="928">
        <f>H8</f>
        <v>2018</v>
      </c>
      <c r="I21" s="928">
        <f>I8</f>
        <v>2019</v>
      </c>
      <c r="J21" s="998"/>
      <c r="K21" s="73"/>
    </row>
    <row r="22" spans="2:11" x14ac:dyDescent="0.2">
      <c r="B22" s="69"/>
      <c r="C22" s="90"/>
      <c r="D22" s="1058" t="s">
        <v>28</v>
      </c>
      <c r="E22" s="92"/>
      <c r="F22" s="999">
        <f>begr!G14/F32</f>
        <v>1</v>
      </c>
      <c r="G22" s="999">
        <f>begr!H14/G32</f>
        <v>1</v>
      </c>
      <c r="H22" s="999">
        <f>begr!I14/H32</f>
        <v>1</v>
      </c>
      <c r="I22" s="999">
        <f>begr!J14/I32</f>
        <v>1</v>
      </c>
      <c r="J22" s="740"/>
      <c r="K22" s="73"/>
    </row>
    <row r="23" spans="2:11" x14ac:dyDescent="0.2">
      <c r="B23" s="69"/>
      <c r="C23" s="90"/>
      <c r="D23" s="1058" t="s">
        <v>29</v>
      </c>
      <c r="E23" s="92"/>
      <c r="F23" s="999">
        <f>begr!G15/F32</f>
        <v>0</v>
      </c>
      <c r="G23" s="999">
        <f>begr!H15/G32</f>
        <v>0</v>
      </c>
      <c r="H23" s="999">
        <f>begr!I15/H32</f>
        <v>0</v>
      </c>
      <c r="I23" s="999">
        <f>begr!J15/I32</f>
        <v>0</v>
      </c>
      <c r="J23" s="740"/>
      <c r="K23" s="73"/>
    </row>
    <row r="24" spans="2:11" x14ac:dyDescent="0.2">
      <c r="B24" s="69"/>
      <c r="C24" s="90"/>
      <c r="D24" s="1058" t="s">
        <v>30</v>
      </c>
      <c r="E24" s="92"/>
      <c r="F24" s="999">
        <f>(begr!G17+begr!G18)/F32</f>
        <v>0</v>
      </c>
      <c r="G24" s="999">
        <f>(begr!H17+begr!H18)/G32</f>
        <v>0</v>
      </c>
      <c r="H24" s="999">
        <f>(begr!I17+begr!I18)/H32</f>
        <v>0</v>
      </c>
      <c r="I24" s="999">
        <f>(begr!J17+begr!J18)/I32</f>
        <v>0</v>
      </c>
      <c r="J24" s="740"/>
      <c r="K24" s="73"/>
    </row>
    <row r="25" spans="2:11" x14ac:dyDescent="0.2">
      <c r="B25" s="69"/>
      <c r="C25" s="90"/>
      <c r="D25" s="1233" t="s">
        <v>587</v>
      </c>
      <c r="E25" s="92"/>
      <c r="F25" s="999">
        <f>begr!G23/F32</f>
        <v>0.19668385604376382</v>
      </c>
      <c r="G25" s="999">
        <f>begr!H23/G32</f>
        <v>0.20177466510587749</v>
      </c>
      <c r="H25" s="999">
        <f>begr!I23/H32</f>
        <v>0.20586634387374891</v>
      </c>
      <c r="I25" s="999">
        <f>begr!J23/I32</f>
        <v>0.20982961643725284</v>
      </c>
      <c r="J25" s="740"/>
      <c r="K25" s="73"/>
    </row>
    <row r="26" spans="2:11" x14ac:dyDescent="0.2">
      <c r="B26" s="69"/>
      <c r="C26" s="90"/>
      <c r="D26" s="1234" t="s">
        <v>586</v>
      </c>
      <c r="E26" s="92"/>
      <c r="F26" s="999">
        <f>begr!G19/begr!G14</f>
        <v>1</v>
      </c>
      <c r="G26" s="999">
        <f>begr!H19/begr!H14</f>
        <v>1</v>
      </c>
      <c r="H26" s="999">
        <f>begr!I19/begr!I14</f>
        <v>1</v>
      </c>
      <c r="I26" s="999">
        <f>begr!J19/begr!J14</f>
        <v>1</v>
      </c>
      <c r="J26" s="740"/>
      <c r="K26" s="73"/>
    </row>
    <row r="27" spans="2:11" x14ac:dyDescent="0.2">
      <c r="B27" s="69"/>
      <c r="C27" s="90"/>
      <c r="D27" s="1233" t="s">
        <v>588</v>
      </c>
      <c r="E27" s="92"/>
      <c r="F27" s="999">
        <f>begr!G27/begr!G14</f>
        <v>0.19668385604376382</v>
      </c>
      <c r="G27" s="999">
        <f>begr!H27/begr!H14</f>
        <v>0.20177466510587749</v>
      </c>
      <c r="H27" s="999">
        <f>begr!I27/begr!I14</f>
        <v>0.20586634387374891</v>
      </c>
      <c r="I27" s="999">
        <f>begr!J27/begr!J14</f>
        <v>0.20982961643725284</v>
      </c>
      <c r="J27" s="740"/>
      <c r="K27" s="73"/>
    </row>
    <row r="28" spans="2:11" x14ac:dyDescent="0.2">
      <c r="B28" s="69"/>
      <c r="C28" s="90"/>
      <c r="D28" s="1234" t="s">
        <v>589</v>
      </c>
      <c r="E28" s="92"/>
      <c r="F28" s="999">
        <f>begr!G23/begr!G14</f>
        <v>0.19668385604376382</v>
      </c>
      <c r="G28" s="999">
        <f>begr!H23/begr!H14</f>
        <v>0.20177466510587749</v>
      </c>
      <c r="H28" s="999">
        <f>begr!I23/begr!I14</f>
        <v>0.20586634387374891</v>
      </c>
      <c r="I28" s="999">
        <f>begr!J23/begr!J14</f>
        <v>0.20982961643725284</v>
      </c>
      <c r="J28" s="740"/>
      <c r="K28" s="73"/>
    </row>
    <row r="29" spans="2:11" x14ac:dyDescent="0.2">
      <c r="B29" s="69"/>
      <c r="C29" s="90"/>
      <c r="D29" s="1233" t="s">
        <v>590</v>
      </c>
      <c r="E29" s="92"/>
      <c r="F29" s="999">
        <f>SUM(begr!G24:G26)/begr!G14</f>
        <v>0</v>
      </c>
      <c r="G29" s="999">
        <f>SUM(begr!H24:H26)/begr!H14</f>
        <v>0</v>
      </c>
      <c r="H29" s="999">
        <f>SUM(begr!I24:I26)/begr!I14</f>
        <v>0</v>
      </c>
      <c r="I29" s="999">
        <f>SUM(begr!J24:J26)/begr!J14</f>
        <v>0</v>
      </c>
      <c r="J29" s="740"/>
      <c r="K29" s="73"/>
    </row>
    <row r="30" spans="2:11" x14ac:dyDescent="0.2">
      <c r="B30" s="69"/>
      <c r="C30" s="90"/>
      <c r="D30" s="1058" t="s">
        <v>31</v>
      </c>
      <c r="E30" s="262"/>
      <c r="F30" s="999">
        <f>act!G29/F32</f>
        <v>0</v>
      </c>
      <c r="G30" s="999">
        <f>act!H29/G32</f>
        <v>0</v>
      </c>
      <c r="H30" s="999">
        <f>act!I29/H32</f>
        <v>0</v>
      </c>
      <c r="I30" s="999">
        <f>act!J29/I32</f>
        <v>0</v>
      </c>
      <c r="J30" s="740"/>
      <c r="K30" s="73"/>
    </row>
    <row r="31" spans="2:11" x14ac:dyDescent="0.2">
      <c r="B31" s="69"/>
      <c r="C31" s="90"/>
      <c r="D31" s="1058"/>
      <c r="E31" s="92"/>
      <c r="F31" s="1058"/>
      <c r="G31" s="1058"/>
      <c r="H31" s="1058"/>
      <c r="I31" s="1058"/>
      <c r="J31" s="740"/>
      <c r="K31" s="73"/>
    </row>
    <row r="32" spans="2:11" x14ac:dyDescent="0.2">
      <c r="B32" s="69"/>
      <c r="C32" s="90"/>
      <c r="D32" s="92" t="s">
        <v>605</v>
      </c>
      <c r="E32" s="92"/>
      <c r="F32" s="878">
        <f>begr!G19+begr!G35</f>
        <v>1030280.4800000002</v>
      </c>
      <c r="G32" s="878">
        <f>begr!H19+begr!H35</f>
        <v>1033966.9466666668</v>
      </c>
      <c r="H32" s="878">
        <f>begr!I19+begr!I35</f>
        <v>1042814.4666666668</v>
      </c>
      <c r="I32" s="878">
        <f>begr!J19+begr!J35</f>
        <v>1051661.9866666668</v>
      </c>
      <c r="J32" s="740"/>
      <c r="K32" s="73"/>
    </row>
    <row r="33" spans="2:13" x14ac:dyDescent="0.2">
      <c r="B33" s="69"/>
      <c r="C33" s="90"/>
      <c r="D33" s="1039" t="s">
        <v>594</v>
      </c>
      <c r="E33" s="92"/>
      <c r="F33" s="878">
        <f>((5/12*pers!H19+7/12*pers!I19)+(5/12*pers!H20+7/12*pers!I20)+mat!I17)/geg!H$27</f>
        <v>56.607636363636367</v>
      </c>
      <c r="G33" s="878">
        <f>((5/12*pers!I19+7/12*pers!J19)+(5/12*pers!I20+7/12*pers!J20)+mat!J17)/geg!I$27</f>
        <v>57.025303030303043</v>
      </c>
      <c r="H33" s="878">
        <f>((5/12*pers!J19+7/12*pers!K19)+(5/12*pers!J20+7/12*pers!K20)+mat!K17)/geg!J$27</f>
        <v>57.741303030303037</v>
      </c>
      <c r="I33" s="878">
        <f>((5/12*pers!K19+7/12*pers!L19)+(5/12*pers!K20+7/12*pers!L20)+mat!L17)/geg!K$27</f>
        <v>58.457303030303045</v>
      </c>
      <c r="J33" s="740"/>
      <c r="K33" s="73"/>
      <c r="M33" s="106"/>
    </row>
    <row r="34" spans="2:13" x14ac:dyDescent="0.2">
      <c r="B34" s="69"/>
      <c r="C34" s="90"/>
      <c r="D34" s="1039" t="s">
        <v>591</v>
      </c>
      <c r="E34" s="92"/>
      <c r="F34" s="878">
        <f>(pers!I152+mat!I30)/geg!H$27</f>
        <v>0</v>
      </c>
      <c r="G34" s="878">
        <f>(pers!J152+mat!J30)/geg!I$27</f>
        <v>0</v>
      </c>
      <c r="H34" s="878">
        <f>(pers!K152+mat!K30)/geg!J$27</f>
        <v>0</v>
      </c>
      <c r="I34" s="878">
        <f>(pers!L152+mat!L30)/geg!K$27</f>
        <v>0</v>
      </c>
      <c r="J34" s="740"/>
      <c r="K34" s="73"/>
    </row>
    <row r="35" spans="2:13" x14ac:dyDescent="0.2">
      <c r="B35" s="69"/>
      <c r="C35" s="90"/>
      <c r="D35" s="1058" t="s">
        <v>386</v>
      </c>
      <c r="E35" s="92"/>
      <c r="F35" s="878">
        <f>pers!I162/ken!F62</f>
        <v>67546.512537673305</v>
      </c>
      <c r="G35" s="878">
        <f>pers!J162/ken!G62</f>
        <v>69542.77813140447</v>
      </c>
      <c r="H35" s="878">
        <f>pers!K162/ken!H62</f>
        <v>71560.133863773357</v>
      </c>
      <c r="I35" s="878">
        <f>pers!L162/ken!I62</f>
        <v>73556.61042796867</v>
      </c>
      <c r="J35" s="740"/>
      <c r="K35" s="73"/>
    </row>
    <row r="36" spans="2:13" x14ac:dyDescent="0.2">
      <c r="B36" s="69"/>
      <c r="C36" s="90"/>
      <c r="D36" s="1039" t="s">
        <v>550</v>
      </c>
      <c r="E36" s="92"/>
      <c r="F36" s="878">
        <f>7/12*(dir!S26+op!S71+obp!S36)+5/12*(dir!S48+op!S139+obp!S68)</f>
        <v>12840.918625678121</v>
      </c>
      <c r="G36" s="878">
        <f>7/12*(dir!S48+op!S139+obp!S68)+5/12*(dir!S72+op!S207+obp!S101)</f>
        <v>13242.841229656422</v>
      </c>
      <c r="H36" s="878">
        <f>7/12*(dir!S72+op!S207+obp!S101)+5/12*(dir!S95+op!S274+obp!S133)</f>
        <v>13646.084629294755</v>
      </c>
      <c r="I36" s="878">
        <f>7/12*(dir!S95+op!S274+obp!S133)+5/12*(dir!S117+op!S341+obp!S165)</f>
        <v>14046.589511754071</v>
      </c>
      <c r="J36" s="740"/>
      <c r="K36" s="73"/>
    </row>
    <row r="37" spans="2:13" x14ac:dyDescent="0.2">
      <c r="B37" s="69"/>
      <c r="C37" s="90"/>
      <c r="D37" s="92" t="s">
        <v>561</v>
      </c>
      <c r="E37" s="92"/>
      <c r="F37" s="876">
        <f>0.583333333333333*(dir!P26+op!P71+obp!P36)+0.416666666666667*(dir!P48+op!P139+obp!P68)</f>
        <v>420</v>
      </c>
      <c r="G37" s="876">
        <f>0.583333333333333*(dir!P48+op!P139+obp!P68)+0.416666666666667*(dir!P72+op!P207+obp!P101)</f>
        <v>420</v>
      </c>
      <c r="H37" s="876">
        <f>0.583333333333333*(dir!P72+op!P207+obp!P101)+0.416666666666667*(dir!P95+op!P274+obp!P133)</f>
        <v>420</v>
      </c>
      <c r="I37" s="876">
        <f>0.583333333333333*(dir!P95+op!P274+obp!P133)+0.416666666666667*(dir!P117+op!P341+obp!P165)</f>
        <v>420</v>
      </c>
      <c r="J37" s="740"/>
      <c r="K37" s="73"/>
      <c r="M37" s="106"/>
    </row>
    <row r="38" spans="2:13" x14ac:dyDescent="0.2">
      <c r="B38" s="69"/>
      <c r="C38" s="743"/>
      <c r="D38" s="1058"/>
      <c r="E38" s="92"/>
      <c r="F38" s="222"/>
      <c r="G38" s="222"/>
      <c r="H38" s="222"/>
      <c r="I38" s="222"/>
      <c r="J38" s="744"/>
      <c r="K38" s="73"/>
    </row>
    <row r="39" spans="2:13" x14ac:dyDescent="0.2">
      <c r="B39" s="69"/>
      <c r="C39" s="12"/>
      <c r="D39" s="1060"/>
      <c r="E39" s="70"/>
      <c r="F39" s="176"/>
      <c r="G39" s="176"/>
      <c r="H39" s="176"/>
      <c r="I39" s="176"/>
      <c r="J39" s="70"/>
      <c r="K39" s="73"/>
    </row>
    <row r="40" spans="2:13" x14ac:dyDescent="0.2">
      <c r="B40" s="69"/>
      <c r="C40" s="742"/>
      <c r="D40" s="1061"/>
      <c r="E40" s="87"/>
      <c r="F40" s="179"/>
      <c r="G40" s="179"/>
      <c r="H40" s="179"/>
      <c r="I40" s="179"/>
      <c r="J40" s="161"/>
      <c r="K40" s="73"/>
    </row>
    <row r="41" spans="2:13" x14ac:dyDescent="0.2">
      <c r="B41" s="69"/>
      <c r="C41" s="90"/>
      <c r="D41" s="1235" t="s">
        <v>601</v>
      </c>
      <c r="E41" s="997"/>
      <c r="F41" s="928">
        <f>F21</f>
        <v>2016</v>
      </c>
      <c r="G41" s="928">
        <f>G21</f>
        <v>2017</v>
      </c>
      <c r="H41" s="928">
        <f>H21</f>
        <v>2018</v>
      </c>
      <c r="I41" s="928">
        <f>I21</f>
        <v>2019</v>
      </c>
      <c r="J41" s="998"/>
      <c r="K41" s="73"/>
    </row>
    <row r="42" spans="2:13" x14ac:dyDescent="0.2">
      <c r="B42" s="69"/>
      <c r="C42" s="743"/>
      <c r="D42" s="1233" t="s">
        <v>595</v>
      </c>
      <c r="E42" s="92"/>
      <c r="F42" s="876">
        <f>geg!H27/ken!G62</f>
        <v>73.333333333333329</v>
      </c>
      <c r="G42" s="876">
        <f>geg!I27/ken!H62</f>
        <v>73.333333333333329</v>
      </c>
      <c r="H42" s="876">
        <f>geg!J27/ken!I62</f>
        <v>73.333333333333329</v>
      </c>
      <c r="I42" s="876">
        <f>H42</f>
        <v>73.333333333333329</v>
      </c>
      <c r="J42" s="740"/>
      <c r="K42" s="73"/>
    </row>
    <row r="43" spans="2:13" x14ac:dyDescent="0.2">
      <c r="B43" s="69"/>
      <c r="C43" s="743"/>
      <c r="D43" s="1233" t="s">
        <v>596</v>
      </c>
      <c r="E43" s="92"/>
      <c r="F43" s="876">
        <f>IF(ken!G59=0,0,geg!H27/ken!G59)</f>
        <v>220</v>
      </c>
      <c r="G43" s="876">
        <f>IF(ken!H59=0,0,geg!I27/ken!H59)</f>
        <v>220</v>
      </c>
      <c r="H43" s="876">
        <f>IF(ken!I59=0,0,geg!J27/ken!I59)</f>
        <v>220</v>
      </c>
      <c r="I43" s="876">
        <f>H43</f>
        <v>220</v>
      </c>
      <c r="J43" s="740"/>
      <c r="K43" s="73"/>
    </row>
    <row r="44" spans="2:13" x14ac:dyDescent="0.2">
      <c r="B44" s="69"/>
      <c r="C44" s="743"/>
      <c r="D44" s="1233" t="s">
        <v>597</v>
      </c>
      <c r="E44" s="92"/>
      <c r="F44" s="876">
        <f>IF(ken!G60=0,0,geg!H27/ken!G60)</f>
        <v>220</v>
      </c>
      <c r="G44" s="876">
        <f>IF(ken!H60=0,0,geg!I27/ken!H60)</f>
        <v>220</v>
      </c>
      <c r="H44" s="876">
        <f>IF(ken!I60=0,0,geg!J27/ken!I60)</f>
        <v>220</v>
      </c>
      <c r="I44" s="876">
        <f>H44</f>
        <v>220</v>
      </c>
      <c r="J44" s="740"/>
      <c r="K44" s="73"/>
    </row>
    <row r="45" spans="2:13" x14ac:dyDescent="0.2">
      <c r="B45" s="69"/>
      <c r="C45" s="743"/>
      <c r="D45" s="1234" t="s">
        <v>598</v>
      </c>
      <c r="E45" s="92"/>
      <c r="F45" s="876">
        <f>IF(ken!G61=0,0,geg!H27/ken!G61)</f>
        <v>220</v>
      </c>
      <c r="G45" s="876">
        <f>IF(ken!H61=0,0,geg!I27/ken!H61)</f>
        <v>220</v>
      </c>
      <c r="H45" s="876">
        <f>IF(ken!I61=0,0,geg!J27/ken!I61)</f>
        <v>220</v>
      </c>
      <c r="I45" s="876">
        <f>H45</f>
        <v>220</v>
      </c>
      <c r="J45" s="740"/>
      <c r="K45" s="73"/>
    </row>
    <row r="46" spans="2:13" x14ac:dyDescent="0.2">
      <c r="B46" s="69"/>
      <c r="C46" s="743"/>
      <c r="D46" s="1233" t="s">
        <v>599</v>
      </c>
      <c r="E46" s="92"/>
      <c r="F46" s="1238">
        <f>begr!G19/geg!H27</f>
        <v>4683.0930909090921</v>
      </c>
      <c r="G46" s="1238">
        <f>begr!H19/geg!I27</f>
        <v>4699.8497575757583</v>
      </c>
      <c r="H46" s="1238">
        <f>begr!I19/geg!J27</f>
        <v>4740.0657575757577</v>
      </c>
      <c r="I46" s="1238">
        <f>begr!J19/geg!K27</f>
        <v>4780.2817575757581</v>
      </c>
      <c r="J46" s="740"/>
      <c r="K46" s="73"/>
    </row>
    <row r="47" spans="2:13" x14ac:dyDescent="0.2">
      <c r="B47" s="69"/>
      <c r="C47" s="743"/>
      <c r="D47" s="1233" t="s">
        <v>600</v>
      </c>
      <c r="E47" s="92"/>
      <c r="F47" s="1238">
        <f>begr!G27/geg!H27</f>
        <v>921.08880733190881</v>
      </c>
      <c r="G47" s="1238">
        <f>begr!H27/geg!I27</f>
        <v>948.31061088278818</v>
      </c>
      <c r="H47" s="1238">
        <f>begr!I27/geg!J27</f>
        <v>975.82000723327315</v>
      </c>
      <c r="I47" s="1238">
        <f>begr!J27/geg!K27</f>
        <v>1003.0446876541182</v>
      </c>
      <c r="J47" s="740"/>
      <c r="K47" s="73"/>
    </row>
    <row r="48" spans="2:13" x14ac:dyDescent="0.2">
      <c r="B48" s="69"/>
      <c r="C48" s="90"/>
      <c r="D48" s="1058"/>
      <c r="E48" s="92"/>
      <c r="F48" s="95"/>
      <c r="G48" s="222"/>
      <c r="H48" s="222"/>
      <c r="I48" s="222"/>
      <c r="J48" s="740"/>
      <c r="K48" s="73"/>
    </row>
    <row r="49" spans="2:11" x14ac:dyDescent="0.2">
      <c r="B49" s="69"/>
      <c r="C49" s="90"/>
      <c r="D49" s="1058" t="s">
        <v>232</v>
      </c>
      <c r="E49" s="92"/>
      <c r="F49" s="1000">
        <f>IF(pers!I159=0,0,pers!I159/pers!I162)</f>
        <v>0.29332695047168722</v>
      </c>
      <c r="G49" s="1000">
        <f>IF(pers!J159=0,0,pers!J159/pers!J162)</f>
        <v>0.29413001149816687</v>
      </c>
      <c r="H49" s="1000">
        <f>IF(pers!K159=0,0,pers!K159/pers!K162)</f>
        <v>0.29479422025582269</v>
      </c>
      <c r="I49" s="1000">
        <f>IF(pers!L159=0,0,pers!L159/pers!L162)</f>
        <v>0.29546427304791789</v>
      </c>
      <c r="J49" s="740"/>
      <c r="K49" s="73"/>
    </row>
    <row r="50" spans="2:11" x14ac:dyDescent="0.2">
      <c r="B50" s="69"/>
      <c r="C50" s="90"/>
      <c r="D50" s="1058" t="s">
        <v>233</v>
      </c>
      <c r="E50" s="92"/>
      <c r="F50" s="1000">
        <f>pers!I160/pers!I162</f>
        <v>0.44679612412510145</v>
      </c>
      <c r="G50" s="1000">
        <f>pers!J160/pers!J162</f>
        <v>0.44817277706547903</v>
      </c>
      <c r="H50" s="1000">
        <f>pers!K160/pers!K162</f>
        <v>0.44939295475913021</v>
      </c>
      <c r="I50" s="1000">
        <f>pers!L160/pers!L162</f>
        <v>0.4505639915593273</v>
      </c>
      <c r="J50" s="740"/>
      <c r="K50" s="73"/>
    </row>
    <row r="51" spans="2:11" x14ac:dyDescent="0.2">
      <c r="B51" s="69"/>
      <c r="C51" s="90"/>
      <c r="D51" s="1058" t="s">
        <v>525</v>
      </c>
      <c r="E51" s="92"/>
      <c r="F51" s="1000">
        <f>IF(pers!I161=0,0,pers!I161/pers!I162)</f>
        <v>0.25987692540321128</v>
      </c>
      <c r="G51" s="1000">
        <f>IF(pers!J161=0,0,pers!J161/pers!J162)</f>
        <v>0.25769721143635416</v>
      </c>
      <c r="H51" s="1000">
        <f>IF(pers!K161=0,0,pers!K161/pers!K162)</f>
        <v>0.25581282498504715</v>
      </c>
      <c r="I51" s="1000">
        <f>IF(pers!L161=0,0,pers!L161/pers!L162)</f>
        <v>0.25397173539275475</v>
      </c>
      <c r="J51" s="740"/>
      <c r="K51" s="73"/>
    </row>
    <row r="52" spans="2:11" x14ac:dyDescent="0.2">
      <c r="B52" s="69"/>
      <c r="C52" s="90"/>
      <c r="D52" s="1058" t="s">
        <v>269</v>
      </c>
      <c r="E52" s="91"/>
      <c r="F52" s="999">
        <f>geg!H25/geg!H27</f>
        <v>0.5</v>
      </c>
      <c r="G52" s="999">
        <f>geg!I25/geg!I27</f>
        <v>0.5</v>
      </c>
      <c r="H52" s="999">
        <f>geg!J25/geg!J27</f>
        <v>0.5</v>
      </c>
      <c r="I52" s="999">
        <f>geg!K25/geg!K27</f>
        <v>0.5</v>
      </c>
      <c r="J52" s="740"/>
      <c r="K52" s="73"/>
    </row>
    <row r="53" spans="2:11" x14ac:dyDescent="0.2">
      <c r="B53" s="69"/>
      <c r="C53" s="90"/>
      <c r="D53" s="1058" t="s">
        <v>270</v>
      </c>
      <c r="E53" s="92"/>
      <c r="F53" s="999">
        <f>geg!H26/geg!H27</f>
        <v>0.5</v>
      </c>
      <c r="G53" s="999">
        <f>geg!I26/geg!I27</f>
        <v>0.5</v>
      </c>
      <c r="H53" s="999">
        <f>geg!J26/geg!J27</f>
        <v>0.5</v>
      </c>
      <c r="I53" s="999">
        <f>geg!K26/geg!K27</f>
        <v>0.5</v>
      </c>
      <c r="J53" s="740"/>
      <c r="K53" s="73"/>
    </row>
    <row r="54" spans="2:11" x14ac:dyDescent="0.2">
      <c r="B54" s="69"/>
      <c r="C54" s="90"/>
      <c r="D54" s="1058" t="s">
        <v>322</v>
      </c>
      <c r="E54" s="92"/>
      <c r="F54" s="878">
        <f>pers!I159/geg!H27</f>
        <v>270.18017096827225</v>
      </c>
      <c r="G54" s="878">
        <f>pers!J159/geg!I27</f>
        <v>278.92661088278817</v>
      </c>
      <c r="H54" s="878">
        <f>pers!K159/geg!J27</f>
        <v>287.66609814236404</v>
      </c>
      <c r="I54" s="878">
        <f>pers!L159/geg!K27</f>
        <v>296.36386947229994</v>
      </c>
      <c r="J54" s="740"/>
      <c r="K54" s="73"/>
    </row>
    <row r="55" spans="2:11" x14ac:dyDescent="0.2">
      <c r="B55" s="69"/>
      <c r="C55" s="90"/>
      <c r="D55" s="1058" t="s">
        <v>323</v>
      </c>
      <c r="E55" s="92"/>
      <c r="F55" s="878">
        <f>pers!I160/geg!H27</f>
        <v>411.53890909090916</v>
      </c>
      <c r="G55" s="878">
        <f>pers!J160/geg!I27</f>
        <v>425.00700000000006</v>
      </c>
      <c r="H55" s="878">
        <f>pers!K160/geg!J27</f>
        <v>438.52663636363644</v>
      </c>
      <c r="I55" s="878">
        <f>pers!L160/geg!K27</f>
        <v>451.93581818181821</v>
      </c>
      <c r="J55" s="740"/>
      <c r="K55" s="73"/>
    </row>
    <row r="56" spans="2:11" x14ac:dyDescent="0.2">
      <c r="B56" s="69"/>
      <c r="C56" s="90"/>
      <c r="D56" s="1058" t="s">
        <v>526</v>
      </c>
      <c r="E56" s="92"/>
      <c r="F56" s="878">
        <f>pers!I161/geg!H27</f>
        <v>239.36972727272732</v>
      </c>
      <c r="G56" s="878">
        <f>pers!J161/geg!I27</f>
        <v>244.37700000000001</v>
      </c>
      <c r="H56" s="878">
        <f>pers!K161/geg!J27</f>
        <v>249.62727272727273</v>
      </c>
      <c r="I56" s="878">
        <f>pers!L161/geg!K27</f>
        <v>254.74500000000003</v>
      </c>
      <c r="J56" s="740"/>
      <c r="K56" s="73"/>
    </row>
    <row r="57" spans="2:11" x14ac:dyDescent="0.2">
      <c r="B57" s="186"/>
      <c r="C57" s="90"/>
      <c r="D57" s="184"/>
      <c r="E57" s="92"/>
      <c r="F57" s="95"/>
      <c r="G57" s="222"/>
      <c r="H57" s="222"/>
      <c r="I57" s="222"/>
      <c r="J57" s="740"/>
      <c r="K57" s="73"/>
    </row>
    <row r="58" spans="2:11" s="287" customFormat="1" x14ac:dyDescent="0.2">
      <c r="B58" s="745"/>
      <c r="C58" s="90"/>
      <c r="D58" s="883" t="s">
        <v>564</v>
      </c>
      <c r="E58" s="897"/>
      <c r="F58" s="1030" t="str">
        <f>tab!D2</f>
        <v>2015/16</v>
      </c>
      <c r="G58" s="1030" t="str">
        <f>tab!E2</f>
        <v>2016/17</v>
      </c>
      <c r="H58" s="1030" t="str">
        <f>tab!F2</f>
        <v>2017/18</v>
      </c>
      <c r="I58" s="1030" t="str">
        <f>tab!G2</f>
        <v>2018/19</v>
      </c>
      <c r="J58" s="740"/>
      <c r="K58" s="746"/>
    </row>
    <row r="59" spans="2:11" s="287" customFormat="1" x14ac:dyDescent="0.2">
      <c r="B59" s="745"/>
      <c r="C59" s="90"/>
      <c r="D59" s="199" t="s">
        <v>183</v>
      </c>
      <c r="E59" s="199"/>
      <c r="F59" s="938">
        <f>dir!J26</f>
        <v>1</v>
      </c>
      <c r="G59" s="938">
        <f>dir!J48</f>
        <v>1</v>
      </c>
      <c r="H59" s="938">
        <f>dir!J72</f>
        <v>1</v>
      </c>
      <c r="I59" s="938">
        <f>dir!J95</f>
        <v>1</v>
      </c>
      <c r="J59" s="1237">
        <f>dir!J117</f>
        <v>1</v>
      </c>
      <c r="K59" s="746"/>
    </row>
    <row r="60" spans="2:11" s="287" customFormat="1" x14ac:dyDescent="0.2">
      <c r="B60" s="745"/>
      <c r="C60" s="90"/>
      <c r="D60" s="199" t="s">
        <v>202</v>
      </c>
      <c r="E60" s="199"/>
      <c r="F60" s="938">
        <f>op!J71</f>
        <v>1</v>
      </c>
      <c r="G60" s="938">
        <f>op!J139</f>
        <v>1</v>
      </c>
      <c r="H60" s="938">
        <f>op!J207</f>
        <v>1</v>
      </c>
      <c r="I60" s="938">
        <f>op!J274</f>
        <v>1</v>
      </c>
      <c r="J60" s="1237">
        <f>op!J341</f>
        <v>1</v>
      </c>
      <c r="K60" s="746"/>
    </row>
    <row r="61" spans="2:11" s="287" customFormat="1" x14ac:dyDescent="0.2">
      <c r="B61" s="745"/>
      <c r="C61" s="90"/>
      <c r="D61" s="199" t="s">
        <v>524</v>
      </c>
      <c r="E61" s="199"/>
      <c r="F61" s="938">
        <f>obp!J36</f>
        <v>1</v>
      </c>
      <c r="G61" s="938">
        <f>obp!J68</f>
        <v>1</v>
      </c>
      <c r="H61" s="938">
        <f>obp!J101</f>
        <v>1</v>
      </c>
      <c r="I61" s="938">
        <f>obp!J133</f>
        <v>1</v>
      </c>
      <c r="J61" s="1237">
        <f>obp!J165</f>
        <v>1</v>
      </c>
      <c r="K61" s="746"/>
    </row>
    <row r="62" spans="2:11" s="287" customFormat="1" x14ac:dyDescent="0.2">
      <c r="B62" s="745"/>
      <c r="C62" s="90"/>
      <c r="D62" s="1239" t="s">
        <v>193</v>
      </c>
      <c r="E62" s="1240"/>
      <c r="F62" s="1241">
        <f>SUM(F59:F61)</f>
        <v>3</v>
      </c>
      <c r="G62" s="1241">
        <f>SUM(G59:G61)</f>
        <v>3</v>
      </c>
      <c r="H62" s="1241">
        <f>SUM(H59:H61)</f>
        <v>3</v>
      </c>
      <c r="I62" s="1241">
        <f>SUM(I59:I61)</f>
        <v>3</v>
      </c>
      <c r="J62" s="1237">
        <f>SUM(J59:J61)</f>
        <v>3</v>
      </c>
      <c r="K62" s="746"/>
    </row>
    <row r="63" spans="2:11" s="287" customFormat="1" x14ac:dyDescent="0.2">
      <c r="B63" s="745"/>
      <c r="C63" s="90"/>
      <c r="D63" s="1058"/>
      <c r="E63" s="92"/>
      <c r="F63" s="95"/>
      <c r="G63" s="222"/>
      <c r="H63" s="222"/>
      <c r="I63" s="222"/>
      <c r="J63" s="740"/>
      <c r="K63" s="746"/>
    </row>
    <row r="64" spans="2:11" s="287" customFormat="1" x14ac:dyDescent="0.2">
      <c r="B64" s="745"/>
      <c r="C64" s="301"/>
      <c r="D64" s="747"/>
      <c r="E64" s="301"/>
      <c r="F64" s="448"/>
      <c r="G64" s="448"/>
      <c r="H64" s="448"/>
      <c r="I64" s="448"/>
      <c r="J64" s="301"/>
      <c r="K64" s="746"/>
    </row>
    <row r="65" spans="2:11" x14ac:dyDescent="0.2">
      <c r="B65" s="69"/>
      <c r="C65" s="748"/>
      <c r="D65" s="1027"/>
      <c r="E65" s="1028"/>
      <c r="F65" s="1029"/>
      <c r="G65" s="1029"/>
      <c r="H65" s="1029"/>
      <c r="I65" s="1029"/>
      <c r="J65" s="737"/>
      <c r="K65" s="73"/>
    </row>
    <row r="66" spans="2:11" x14ac:dyDescent="0.2">
      <c r="B66" s="69"/>
      <c r="C66" s="187"/>
      <c r="D66" s="1026" t="s">
        <v>238</v>
      </c>
      <c r="E66" s="1022"/>
      <c r="F66" s="928">
        <f>F41</f>
        <v>2016</v>
      </c>
      <c r="G66" s="928">
        <f>G41</f>
        <v>2017</v>
      </c>
      <c r="H66" s="928">
        <f>H41</f>
        <v>2018</v>
      </c>
      <c r="I66" s="928">
        <f>I41</f>
        <v>2019</v>
      </c>
      <c r="J66" s="740"/>
      <c r="K66" s="73"/>
    </row>
    <row r="67" spans="2:11" x14ac:dyDescent="0.2">
      <c r="B67" s="69"/>
      <c r="C67" s="90"/>
      <c r="D67" s="184" t="s">
        <v>603</v>
      </c>
      <c r="E67" s="92"/>
      <c r="F67" s="938">
        <f>IF(geg!$H27=0,0,geg!H27/geg!$H$27)</f>
        <v>1</v>
      </c>
      <c r="G67" s="938">
        <f>IF(geg!$H27=0,0,geg!I27/geg!$H$27)</f>
        <v>1</v>
      </c>
      <c r="H67" s="938">
        <f>IF(geg!$H27=0,0,geg!J27/geg!$H$27)</f>
        <v>1</v>
      </c>
      <c r="I67" s="938">
        <f>IF(geg!$H27=0,0,geg!K27/geg!$H$27)</f>
        <v>1</v>
      </c>
      <c r="J67" s="740"/>
      <c r="K67" s="73"/>
    </row>
    <row r="68" spans="2:11" x14ac:dyDescent="0.2">
      <c r="B68" s="69"/>
      <c r="C68" s="90"/>
      <c r="D68" s="184" t="s">
        <v>604</v>
      </c>
      <c r="E68" s="92"/>
      <c r="F68" s="938">
        <f>IF(ken!$F62=0,0,ken!F62/ken!$F$62)</f>
        <v>1</v>
      </c>
      <c r="G68" s="938">
        <f>IF(ken!$F62=0,0,ken!G62/ken!$F$62)</f>
        <v>1</v>
      </c>
      <c r="H68" s="938">
        <f>IF(ken!$F62=0,0,ken!H62/ken!$F$62)</f>
        <v>1</v>
      </c>
      <c r="I68" s="938">
        <f>IF(ken!$F62=0,0,ken!I62/ken!$F$62)</f>
        <v>1</v>
      </c>
      <c r="J68" s="740"/>
      <c r="K68" s="73"/>
    </row>
    <row r="69" spans="2:11" x14ac:dyDescent="0.2">
      <c r="B69" s="69"/>
      <c r="C69" s="90"/>
      <c r="D69" s="184" t="s">
        <v>306</v>
      </c>
      <c r="E69" s="92"/>
      <c r="F69" s="938">
        <f>IF(begr!$G19=0,0,begr!G19/begr!$G$19)</f>
        <v>1</v>
      </c>
      <c r="G69" s="938">
        <f>IF(begr!$G19=0,0,begr!H19/begr!$G$19)</f>
        <v>1.0035781194909823</v>
      </c>
      <c r="H69" s="938">
        <f>IF(begr!$G19=0,0,begr!I19/begr!$G$19)</f>
        <v>1.01216560626934</v>
      </c>
      <c r="I69" s="938">
        <f>IF(begr!$G19=0,0,begr!J19/begr!$G$19)</f>
        <v>1.0207530930476976</v>
      </c>
      <c r="J69" s="740"/>
      <c r="K69" s="73"/>
    </row>
    <row r="70" spans="2:11" x14ac:dyDescent="0.2">
      <c r="B70" s="69"/>
      <c r="C70" s="90"/>
      <c r="D70" s="184" t="s">
        <v>310</v>
      </c>
      <c r="E70" s="92"/>
      <c r="F70" s="938">
        <f>IF(begr!$G14=0,0,begr!G14/begr!$G$14)</f>
        <v>1</v>
      </c>
      <c r="G70" s="938">
        <f>IF(begr!$G14=0,0,begr!H14/begr!$G$14)</f>
        <v>1.0035781194909823</v>
      </c>
      <c r="H70" s="938">
        <f>IF(begr!$G14=0,0,begr!I14/begr!$G$14)</f>
        <v>1.01216560626934</v>
      </c>
      <c r="I70" s="938">
        <f>IF(begr!$G14=0,0,begr!J14/begr!$G$14)</f>
        <v>1.0207530930476976</v>
      </c>
      <c r="J70" s="740"/>
      <c r="K70" s="73"/>
    </row>
    <row r="71" spans="2:11" x14ac:dyDescent="0.2">
      <c r="B71" s="69"/>
      <c r="C71" s="90"/>
      <c r="D71" s="184" t="s">
        <v>311</v>
      </c>
      <c r="E71" s="92"/>
      <c r="F71" s="938">
        <f>IF(begr!$G15=0,0,begr!G15/begr!$G$15)</f>
        <v>0</v>
      </c>
      <c r="G71" s="938">
        <f>IF(begr!$G15=0,0,begr!H15/begr!$G$15)</f>
        <v>0</v>
      </c>
      <c r="H71" s="938">
        <f>IF(begr!$G15=0,0,begr!I15/begr!$G$15)</f>
        <v>0</v>
      </c>
      <c r="I71" s="938">
        <f>IF(begr!$G15=0,0,begr!J15/begr!$G$15)</f>
        <v>0</v>
      </c>
      <c r="J71" s="740"/>
      <c r="K71" s="73"/>
    </row>
    <row r="72" spans="2:11" x14ac:dyDescent="0.2">
      <c r="B72" s="69"/>
      <c r="C72" s="90"/>
      <c r="D72" s="184" t="s">
        <v>312</v>
      </c>
      <c r="E72" s="92"/>
      <c r="F72" s="938">
        <f>IF(begr!$G18=0,0,begr!G18/begr!$G$18)</f>
        <v>0</v>
      </c>
      <c r="G72" s="938">
        <f>IF(begr!$G18=0,0,begr!H18/begr!$G$18)</f>
        <v>0</v>
      </c>
      <c r="H72" s="938">
        <f>IF(begr!$G18=0,0,begr!I18/begr!$G$18)</f>
        <v>0</v>
      </c>
      <c r="I72" s="938">
        <f>IF(begr!$G18=0,0,begr!J18/begr!$G$18)</f>
        <v>0</v>
      </c>
      <c r="J72" s="740"/>
      <c r="K72" s="73"/>
    </row>
    <row r="73" spans="2:11" x14ac:dyDescent="0.2">
      <c r="B73" s="69"/>
      <c r="C73" s="90"/>
      <c r="D73" s="184" t="s">
        <v>307</v>
      </c>
      <c r="E73" s="92"/>
      <c r="F73" s="938">
        <f>IF(begr!$G27=0,0,begr!G27/begr!$G$27)</f>
        <v>1</v>
      </c>
      <c r="G73" s="938">
        <f>IF(begr!$G27=0,0,begr!H27/begr!$G$27)</f>
        <v>1.029553940221825</v>
      </c>
      <c r="H73" s="938">
        <f>IF(begr!$G27=0,0,begr!I27/begr!$G$27)</f>
        <v>1.059420111791286</v>
      </c>
      <c r="I73" s="938">
        <f>IF(begr!$G27=0,0,begr!J27/begr!$G$27)</f>
        <v>1.0889771753492572</v>
      </c>
      <c r="J73" s="740"/>
      <c r="K73" s="73"/>
    </row>
    <row r="74" spans="2:11" x14ac:dyDescent="0.2">
      <c r="B74" s="69"/>
      <c r="C74" s="90"/>
      <c r="D74" s="184" t="s">
        <v>170</v>
      </c>
      <c r="E74" s="92"/>
      <c r="F74" s="938">
        <f>IF(begr!$G21=0,0,begr!G21/begr!$G$21)</f>
        <v>1</v>
      </c>
      <c r="G74" s="938">
        <f>IF(begr!$G21=0,0,begr!H21/begr!$G$21)</f>
        <v>1.029553940221825</v>
      </c>
      <c r="H74" s="938">
        <f>IF(begr!$G21=0,0,begr!I21/begr!$G$21)</f>
        <v>1.059420111791286</v>
      </c>
      <c r="I74" s="938">
        <f>IF(begr!$G21=0,0,begr!J21/begr!$G$21)</f>
        <v>1.0889771753492572</v>
      </c>
      <c r="J74" s="740"/>
      <c r="K74" s="73"/>
    </row>
    <row r="75" spans="2:11" x14ac:dyDescent="0.2">
      <c r="B75" s="69"/>
      <c r="C75" s="90"/>
      <c r="D75" s="184" t="s">
        <v>171</v>
      </c>
      <c r="E75" s="92"/>
      <c r="F75" s="938">
        <f>IF(begr!$G22=0,0,begr!G22/begr!$G$22)</f>
        <v>0</v>
      </c>
      <c r="G75" s="938">
        <f>IF(begr!$G22=0,0,begr!H22/begr!$G$22)</f>
        <v>0</v>
      </c>
      <c r="H75" s="938">
        <f>IF(begr!$G22=0,0,begr!I22/begr!$G$22)</f>
        <v>0</v>
      </c>
      <c r="I75" s="938">
        <f>IF(begr!$G22=0,0,begr!J22/begr!$G$22)</f>
        <v>0</v>
      </c>
      <c r="J75" s="740"/>
      <c r="K75" s="73"/>
    </row>
    <row r="76" spans="2:11" x14ac:dyDescent="0.2">
      <c r="B76" s="69"/>
      <c r="C76" s="90"/>
      <c r="D76" s="184" t="s">
        <v>309</v>
      </c>
      <c r="E76" s="92"/>
      <c r="F76" s="938">
        <f>IF(begr!$G24=0,0,begr!G24/begr!$G$24)</f>
        <v>0</v>
      </c>
      <c r="G76" s="938">
        <f>IF(begr!$G24=0,0,begr!H24/begr!$G$24)</f>
        <v>0</v>
      </c>
      <c r="H76" s="938">
        <f>IF(begr!$G24=0,0,begr!I24/begr!$G$24)</f>
        <v>0</v>
      </c>
      <c r="I76" s="938">
        <f>IF(begr!$G24=0,0,begr!J24/begr!$G$24)</f>
        <v>0</v>
      </c>
      <c r="J76" s="740"/>
      <c r="K76" s="73"/>
    </row>
    <row r="77" spans="2:11" x14ac:dyDescent="0.2">
      <c r="B77" s="69"/>
      <c r="C77" s="90"/>
      <c r="D77" s="184" t="s">
        <v>308</v>
      </c>
      <c r="E77" s="92"/>
      <c r="F77" s="938">
        <f>IF(SUM(begr!$G24:$G26)=0,0,(SUM(begr!G24:G26)/SUM(begr!$G24:$G26)))</f>
        <v>0</v>
      </c>
      <c r="G77" s="938">
        <f>IF(SUM(begr!$G24:$G26)=0,0,(SUM(begr!H24:H26)/SUM(begr!$G24:$G26)))</f>
        <v>0</v>
      </c>
      <c r="H77" s="938">
        <f>IF(SUM(begr!$G24:$G26)=0,0,(SUM(begr!I24:I26)/SUM(begr!$G24:$G26)))</f>
        <v>0</v>
      </c>
      <c r="I77" s="938">
        <f>IF(SUM(begr!$G24:$G26)=0,0,(SUM(begr!J24:J26)/SUM(begr!$G24:$G26)))</f>
        <v>0</v>
      </c>
      <c r="J77" s="740"/>
      <c r="K77" s="73"/>
    </row>
    <row r="78" spans="2:11" x14ac:dyDescent="0.2">
      <c r="B78" s="69"/>
      <c r="C78" s="90"/>
      <c r="D78" s="91" t="s">
        <v>425</v>
      </c>
      <c r="E78" s="92"/>
      <c r="F78" s="938">
        <f>IF(begr!G26=0,0,begr!G26/begr!$G$26)</f>
        <v>0</v>
      </c>
      <c r="G78" s="938">
        <f>IF(begr!H26=0,0,begr!H26/begr!$G$26)</f>
        <v>0</v>
      </c>
      <c r="H78" s="938">
        <f>IF(begr!I26=0,0,begr!I26/begr!$G$26)</f>
        <v>0</v>
      </c>
      <c r="I78" s="938">
        <f>IF(begr!J26=0,0,begr!J26/begr!$G$26)</f>
        <v>0</v>
      </c>
      <c r="J78" s="740"/>
      <c r="K78" s="73"/>
    </row>
    <row r="79" spans="2:11" x14ac:dyDescent="0.2">
      <c r="B79" s="69"/>
      <c r="C79" s="98"/>
      <c r="D79" s="390"/>
      <c r="E79" s="99"/>
      <c r="F79" s="784"/>
      <c r="G79" s="784"/>
      <c r="H79" s="784"/>
      <c r="I79" s="784"/>
      <c r="J79" s="738"/>
      <c r="K79" s="73"/>
    </row>
    <row r="80" spans="2:11" x14ac:dyDescent="0.2">
      <c r="B80" s="69"/>
      <c r="C80" s="70"/>
      <c r="D80" s="296"/>
      <c r="E80" s="70"/>
      <c r="F80" s="785"/>
      <c r="G80" s="785"/>
      <c r="H80" s="785"/>
      <c r="I80" s="785"/>
      <c r="J80" s="301"/>
      <c r="K80" s="73"/>
    </row>
    <row r="81" spans="2:13" x14ac:dyDescent="0.2">
      <c r="B81" s="171"/>
      <c r="C81" s="172"/>
      <c r="D81" s="404"/>
      <c r="E81" s="172"/>
      <c r="F81" s="406"/>
      <c r="G81" s="412"/>
      <c r="H81" s="412"/>
      <c r="I81" s="412"/>
      <c r="J81" s="786"/>
      <c r="K81" s="173"/>
    </row>
    <row r="82" spans="2:13" x14ac:dyDescent="0.2">
      <c r="G82" s="174"/>
      <c r="H82" s="174"/>
      <c r="I82" s="174"/>
    </row>
    <row r="83" spans="2:13" x14ac:dyDescent="0.2">
      <c r="G83" s="174"/>
      <c r="H83" s="174"/>
      <c r="I83" s="174"/>
    </row>
    <row r="84" spans="2:13" x14ac:dyDescent="0.2">
      <c r="G84" s="174"/>
      <c r="H84" s="174"/>
      <c r="I84" s="174"/>
    </row>
    <row r="85" spans="2:13" x14ac:dyDescent="0.2">
      <c r="C85" s="90"/>
      <c r="D85" s="883"/>
      <c r="E85" s="92"/>
      <c r="F85" s="95"/>
      <c r="G85" s="95"/>
      <c r="H85" s="95"/>
      <c r="I85" s="95"/>
      <c r="J85" s="162"/>
      <c r="M85" s="106"/>
    </row>
    <row r="86" spans="2:13" x14ac:dyDescent="0.2">
      <c r="C86" s="90"/>
      <c r="D86" s="92"/>
      <c r="E86" s="92"/>
      <c r="F86" s="95"/>
      <c r="G86" s="95"/>
      <c r="H86" s="95"/>
      <c r="I86" s="95"/>
      <c r="J86" s="162"/>
    </row>
    <row r="87" spans="2:13" x14ac:dyDescent="0.2">
      <c r="C87" s="90"/>
      <c r="D87" s="68"/>
      <c r="F87" s="68"/>
      <c r="G87" s="68"/>
      <c r="H87" s="68"/>
      <c r="I87" s="68"/>
      <c r="J87" s="162"/>
    </row>
    <row r="88" spans="2:13" x14ac:dyDescent="0.2">
      <c r="C88" s="90"/>
      <c r="D88" s="1242"/>
      <c r="E88" s="1242"/>
      <c r="F88" s="1243"/>
      <c r="G88" s="1243"/>
      <c r="H88" s="1243"/>
      <c r="I88" s="1243"/>
      <c r="J88" s="162"/>
    </row>
    <row r="89" spans="2:13" x14ac:dyDescent="0.2">
      <c r="C89" s="90"/>
      <c r="D89" s="1242"/>
      <c r="E89" s="1242"/>
      <c r="F89" s="1243"/>
      <c r="G89" s="1243"/>
      <c r="H89" s="1243"/>
      <c r="I89" s="1243"/>
      <c r="J89" s="162"/>
    </row>
    <row r="90" spans="2:13" x14ac:dyDescent="0.2">
      <c r="C90" s="90"/>
      <c r="J90" s="162"/>
    </row>
  </sheetData>
  <sheetProtection algorithmName="SHA-512" hashValue="qY8nRdoDVOX6G08pPJOpWgEOWM8CVLebEAbWBRL+7QXTAm1pw4pW60IgzTEyJtnEL4x7AOxpN+8kBtazJwOIlA==" saltValue="8t490Q2lcBbJbi7RgLy4bQ==" spinCount="100000" sheet="1" objects="1" scenarios="1"/>
  <phoneticPr fontId="0" type="noConversion"/>
  <pageMargins left="0.74803149606299213" right="0.74803149606299213" top="0.98425196850393704" bottom="0.98425196850393704" header="0.51181102362204722" footer="0.51181102362204722"/>
  <pageSetup paperSize="9" scale="65" orientation="portrait" r:id="rId1"/>
  <headerFooter alignWithMargins="0">
    <oddHeader>&amp;L&amp;"Arial,Vet"&amp;F&amp;R&amp;"Arial,Vet"&amp;A</oddHeader>
    <oddFooter>&amp;L&amp;"Arial,Vet"PO-Raad&amp;C&amp;"Arial,Vet"&amp;D&amp;R&amp;"Arial,Vet"pagina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7"/>
  <dimension ref="B1:R265"/>
  <sheetViews>
    <sheetView zoomScale="85" zoomScaleNormal="85" zoomScaleSheetLayoutView="85" workbookViewId="0">
      <selection activeCell="B2" sqref="B2"/>
    </sheetView>
  </sheetViews>
  <sheetFormatPr defaultColWidth="9.140625" defaultRowHeight="12.75" x14ac:dyDescent="0.2"/>
  <cols>
    <col min="1" max="1" width="3.7109375" style="749" customWidth="1"/>
    <col min="2" max="2" width="2.7109375" style="749" customWidth="1"/>
    <col min="3" max="9" width="9.7109375" style="749" customWidth="1"/>
    <col min="10" max="10" width="2.7109375" style="749" customWidth="1"/>
    <col min="11" max="17" width="9.7109375" style="749" customWidth="1"/>
    <col min="18" max="18" width="2.7109375" style="749" customWidth="1"/>
    <col min="19" max="16384" width="9.140625" style="749"/>
  </cols>
  <sheetData>
    <row r="1" spans="2:18" ht="12.75" customHeight="1" x14ac:dyDescent="0.2"/>
    <row r="2" spans="2:18" x14ac:dyDescent="0.2">
      <c r="B2" s="750"/>
      <c r="C2" s="751"/>
      <c r="D2" s="751"/>
      <c r="E2" s="751"/>
      <c r="F2" s="751"/>
      <c r="G2" s="751"/>
      <c r="H2" s="751"/>
      <c r="I2" s="751"/>
      <c r="J2" s="751"/>
      <c r="K2" s="751"/>
      <c r="L2" s="751"/>
      <c r="M2" s="751"/>
      <c r="N2" s="751"/>
      <c r="O2" s="751"/>
      <c r="P2" s="751"/>
      <c r="Q2" s="751"/>
      <c r="R2" s="752"/>
    </row>
    <row r="3" spans="2:18" x14ac:dyDescent="0.2">
      <c r="B3" s="753"/>
      <c r="C3" s="754"/>
      <c r="D3" s="754"/>
      <c r="E3" s="754"/>
      <c r="F3" s="754"/>
      <c r="G3" s="754"/>
      <c r="H3" s="754"/>
      <c r="I3" s="754"/>
      <c r="J3" s="754"/>
      <c r="K3" s="754"/>
      <c r="L3" s="754"/>
      <c r="M3" s="754"/>
      <c r="N3" s="754"/>
      <c r="O3" s="754"/>
      <c r="P3" s="754"/>
      <c r="Q3" s="754"/>
      <c r="R3" s="755"/>
    </row>
    <row r="4" spans="2:18" s="756" customFormat="1" ht="18.75" x14ac:dyDescent="0.3">
      <c r="B4" s="757"/>
      <c r="C4" s="868" t="s">
        <v>241</v>
      </c>
      <c r="D4" s="758"/>
      <c r="E4" s="758"/>
      <c r="F4" s="758"/>
      <c r="G4" s="758"/>
      <c r="H4" s="758"/>
      <c r="I4" s="758"/>
      <c r="J4" s="758"/>
      <c r="K4" s="758"/>
      <c r="L4" s="758"/>
      <c r="M4" s="758"/>
      <c r="N4" s="758"/>
      <c r="O4" s="758"/>
      <c r="P4" s="758"/>
      <c r="Q4" s="758"/>
      <c r="R4" s="759"/>
    </row>
    <row r="5" spans="2:18" ht="18.75" x14ac:dyDescent="0.3">
      <c r="B5" s="760"/>
      <c r="C5" s="761" t="str">
        <f>geg!G12</f>
        <v>Basisschool</v>
      </c>
      <c r="D5" s="754"/>
      <c r="E5" s="754"/>
      <c r="F5" s="754"/>
      <c r="G5" s="754"/>
      <c r="H5" s="754"/>
      <c r="I5" s="754"/>
      <c r="J5" s="754"/>
      <c r="K5" s="754"/>
      <c r="L5" s="754"/>
      <c r="M5" s="754"/>
      <c r="N5" s="754"/>
      <c r="O5" s="754"/>
      <c r="P5" s="754"/>
      <c r="Q5" s="754"/>
      <c r="R5" s="755"/>
    </row>
    <row r="6" spans="2:18" x14ac:dyDescent="0.2">
      <c r="B6" s="753"/>
      <c r="C6" s="754"/>
      <c r="D6" s="754"/>
      <c r="E6" s="754"/>
      <c r="F6" s="754"/>
      <c r="G6" s="754"/>
      <c r="H6" s="754"/>
      <c r="I6" s="754"/>
      <c r="J6" s="754"/>
      <c r="K6" s="754"/>
      <c r="L6" s="754"/>
      <c r="M6" s="754"/>
      <c r="N6" s="754"/>
      <c r="O6" s="754"/>
      <c r="P6" s="754"/>
      <c r="Q6" s="754"/>
      <c r="R6" s="755"/>
    </row>
    <row r="7" spans="2:18" x14ac:dyDescent="0.2">
      <c r="B7" s="753"/>
      <c r="C7" s="754"/>
      <c r="D7" s="754"/>
      <c r="E7" s="754"/>
      <c r="F7" s="754"/>
      <c r="G7" s="754"/>
      <c r="H7" s="754"/>
      <c r="I7" s="754"/>
      <c r="J7" s="754"/>
      <c r="K7" s="754"/>
      <c r="L7" s="754"/>
      <c r="M7" s="754"/>
      <c r="N7" s="754"/>
      <c r="O7" s="754"/>
      <c r="P7" s="754"/>
      <c r="Q7" s="754"/>
      <c r="R7" s="755"/>
    </row>
    <row r="8" spans="2:18" x14ac:dyDescent="0.2">
      <c r="B8" s="753"/>
      <c r="C8" s="754"/>
      <c r="D8" s="754"/>
      <c r="E8" s="754"/>
      <c r="F8" s="754"/>
      <c r="G8" s="754"/>
      <c r="H8" s="754"/>
      <c r="I8" s="754"/>
      <c r="J8" s="754"/>
      <c r="K8" s="754"/>
      <c r="L8" s="754"/>
      <c r="M8" s="754"/>
      <c r="N8" s="754"/>
      <c r="O8" s="754"/>
      <c r="P8" s="754"/>
      <c r="Q8" s="754"/>
      <c r="R8" s="755"/>
    </row>
    <row r="9" spans="2:18" x14ac:dyDescent="0.2">
      <c r="B9" s="753"/>
      <c r="C9" s="754"/>
      <c r="D9" s="754"/>
      <c r="E9" s="754"/>
      <c r="F9" s="754"/>
      <c r="G9" s="754"/>
      <c r="H9" s="754"/>
      <c r="I9" s="754"/>
      <c r="J9" s="754"/>
      <c r="K9" s="754"/>
      <c r="L9" s="754"/>
      <c r="M9" s="754"/>
      <c r="N9" s="754"/>
      <c r="O9" s="754"/>
      <c r="P9" s="754"/>
      <c r="Q9" s="754"/>
      <c r="R9" s="755"/>
    </row>
    <row r="10" spans="2:18" x14ac:dyDescent="0.2">
      <c r="B10" s="753"/>
      <c r="C10" s="754"/>
      <c r="D10" s="754"/>
      <c r="E10" s="754"/>
      <c r="F10" s="754"/>
      <c r="G10" s="754"/>
      <c r="H10" s="754"/>
      <c r="I10" s="754"/>
      <c r="J10" s="754"/>
      <c r="K10" s="754"/>
      <c r="L10" s="754"/>
      <c r="M10" s="754"/>
      <c r="N10" s="754"/>
      <c r="O10" s="754"/>
      <c r="P10" s="754"/>
      <c r="Q10" s="754"/>
      <c r="R10" s="755"/>
    </row>
    <row r="11" spans="2:18" x14ac:dyDescent="0.2">
      <c r="B11" s="753"/>
      <c r="C11" s="754"/>
      <c r="D11" s="754"/>
      <c r="E11" s="754"/>
      <c r="F11" s="754"/>
      <c r="G11" s="754"/>
      <c r="H11" s="754"/>
      <c r="I11" s="754"/>
      <c r="J11" s="754"/>
      <c r="K11" s="754"/>
      <c r="L11" s="754"/>
      <c r="M11" s="754"/>
      <c r="N11" s="754"/>
      <c r="O11" s="754"/>
      <c r="P11" s="754"/>
      <c r="Q11" s="754"/>
      <c r="R11" s="755"/>
    </row>
    <row r="12" spans="2:18" x14ac:dyDescent="0.2">
      <c r="B12" s="753"/>
      <c r="C12" s="754"/>
      <c r="D12" s="754"/>
      <c r="E12" s="754"/>
      <c r="F12" s="754"/>
      <c r="G12" s="754"/>
      <c r="H12" s="754"/>
      <c r="I12" s="754"/>
      <c r="J12" s="754"/>
      <c r="K12" s="754"/>
      <c r="L12" s="754"/>
      <c r="M12" s="754"/>
      <c r="N12" s="754"/>
      <c r="O12" s="754"/>
      <c r="P12" s="754"/>
      <c r="Q12" s="754"/>
      <c r="R12" s="755"/>
    </row>
    <row r="13" spans="2:18" x14ac:dyDescent="0.2">
      <c r="B13" s="753"/>
      <c r="C13" s="754"/>
      <c r="D13" s="754"/>
      <c r="E13" s="754"/>
      <c r="F13" s="754"/>
      <c r="G13" s="754"/>
      <c r="H13" s="754"/>
      <c r="I13" s="754"/>
      <c r="J13" s="754"/>
      <c r="K13" s="754"/>
      <c r="L13" s="754"/>
      <c r="M13" s="754"/>
      <c r="N13" s="754"/>
      <c r="O13" s="754"/>
      <c r="P13" s="754"/>
      <c r="Q13" s="754"/>
      <c r="R13" s="755"/>
    </row>
    <row r="14" spans="2:18" x14ac:dyDescent="0.2">
      <c r="B14" s="753"/>
      <c r="C14" s="754"/>
      <c r="D14" s="754"/>
      <c r="E14" s="754"/>
      <c r="F14" s="754"/>
      <c r="G14" s="754"/>
      <c r="H14" s="754"/>
      <c r="I14" s="754"/>
      <c r="J14" s="754"/>
      <c r="K14" s="754"/>
      <c r="L14" s="754"/>
      <c r="M14" s="754"/>
      <c r="N14" s="754"/>
      <c r="O14" s="754"/>
      <c r="P14" s="754"/>
      <c r="Q14" s="754"/>
      <c r="R14" s="755"/>
    </row>
    <row r="15" spans="2:18" x14ac:dyDescent="0.2">
      <c r="B15" s="753"/>
      <c r="C15" s="754"/>
      <c r="D15" s="754"/>
      <c r="E15" s="754"/>
      <c r="F15" s="754"/>
      <c r="G15" s="754"/>
      <c r="H15" s="754"/>
      <c r="I15" s="754"/>
      <c r="J15" s="754"/>
      <c r="K15" s="754"/>
      <c r="L15" s="754"/>
      <c r="M15" s="754"/>
      <c r="N15" s="754"/>
      <c r="O15" s="754"/>
      <c r="P15" s="754"/>
      <c r="Q15" s="754"/>
      <c r="R15" s="755"/>
    </row>
    <row r="16" spans="2:18" x14ac:dyDescent="0.2">
      <c r="B16" s="753"/>
      <c r="C16" s="754"/>
      <c r="D16" s="754"/>
      <c r="E16" s="754"/>
      <c r="F16" s="754"/>
      <c r="G16" s="754"/>
      <c r="H16" s="754"/>
      <c r="I16" s="754"/>
      <c r="J16" s="754"/>
      <c r="K16" s="754"/>
      <c r="L16" s="754"/>
      <c r="M16" s="754"/>
      <c r="N16" s="754"/>
      <c r="O16" s="754"/>
      <c r="P16" s="754"/>
      <c r="Q16" s="754"/>
      <c r="R16" s="755"/>
    </row>
    <row r="17" spans="2:18" x14ac:dyDescent="0.2">
      <c r="B17" s="753"/>
      <c r="C17" s="754"/>
      <c r="D17" s="754"/>
      <c r="E17" s="754"/>
      <c r="F17" s="754"/>
      <c r="G17" s="754"/>
      <c r="H17" s="754"/>
      <c r="I17" s="754"/>
      <c r="J17" s="754"/>
      <c r="K17" s="754"/>
      <c r="L17" s="754"/>
      <c r="M17" s="754"/>
      <c r="N17" s="754"/>
      <c r="O17" s="754"/>
      <c r="P17" s="754"/>
      <c r="Q17" s="754"/>
      <c r="R17" s="755"/>
    </row>
    <row r="18" spans="2:18" x14ac:dyDescent="0.2">
      <c r="B18" s="753"/>
      <c r="C18" s="754"/>
      <c r="D18" s="754"/>
      <c r="E18" s="754"/>
      <c r="F18" s="754"/>
      <c r="G18" s="754"/>
      <c r="H18" s="754"/>
      <c r="I18" s="754"/>
      <c r="J18" s="754"/>
      <c r="K18" s="754"/>
      <c r="L18" s="754"/>
      <c r="M18" s="754"/>
      <c r="N18" s="754"/>
      <c r="O18" s="754"/>
      <c r="P18" s="754"/>
      <c r="Q18" s="754"/>
      <c r="R18" s="755"/>
    </row>
    <row r="19" spans="2:18" x14ac:dyDescent="0.2">
      <c r="B19" s="753"/>
      <c r="C19" s="754"/>
      <c r="D19" s="754"/>
      <c r="E19" s="754"/>
      <c r="F19" s="754"/>
      <c r="G19" s="754"/>
      <c r="H19" s="754"/>
      <c r="I19" s="754"/>
      <c r="J19" s="754"/>
      <c r="K19" s="754"/>
      <c r="L19" s="754"/>
      <c r="M19" s="754"/>
      <c r="N19" s="754"/>
      <c r="O19" s="754"/>
      <c r="P19" s="754"/>
      <c r="Q19" s="754"/>
      <c r="R19" s="755"/>
    </row>
    <row r="20" spans="2:18" x14ac:dyDescent="0.2">
      <c r="B20" s="753"/>
      <c r="C20" s="754"/>
      <c r="D20" s="754"/>
      <c r="E20" s="754"/>
      <c r="F20" s="754"/>
      <c r="G20" s="754"/>
      <c r="H20" s="754"/>
      <c r="I20" s="754"/>
      <c r="J20" s="754"/>
      <c r="K20" s="754"/>
      <c r="L20" s="754"/>
      <c r="M20" s="754"/>
      <c r="N20" s="754"/>
      <c r="O20" s="754"/>
      <c r="P20" s="754"/>
      <c r="Q20" s="754"/>
      <c r="R20" s="755"/>
    </row>
    <row r="21" spans="2:18" x14ac:dyDescent="0.2">
      <c r="B21" s="753"/>
      <c r="C21" s="754"/>
      <c r="D21" s="754"/>
      <c r="E21" s="754"/>
      <c r="F21" s="754"/>
      <c r="G21" s="754"/>
      <c r="H21" s="754"/>
      <c r="I21" s="754"/>
      <c r="J21" s="754"/>
      <c r="K21" s="754"/>
      <c r="L21" s="754"/>
      <c r="M21" s="754"/>
      <c r="N21" s="754"/>
      <c r="O21" s="754"/>
      <c r="P21" s="754"/>
      <c r="Q21" s="754"/>
      <c r="R21" s="755"/>
    </row>
    <row r="22" spans="2:18" x14ac:dyDescent="0.2">
      <c r="B22" s="753"/>
      <c r="C22" s="754"/>
      <c r="D22" s="754"/>
      <c r="E22" s="754"/>
      <c r="F22" s="754"/>
      <c r="G22" s="754"/>
      <c r="H22" s="754"/>
      <c r="I22" s="754"/>
      <c r="J22" s="754"/>
      <c r="K22" s="754"/>
      <c r="L22" s="754"/>
      <c r="M22" s="754"/>
      <c r="N22" s="754"/>
      <c r="O22" s="754"/>
      <c r="P22" s="754"/>
      <c r="Q22" s="754"/>
      <c r="R22" s="755"/>
    </row>
    <row r="23" spans="2:18" x14ac:dyDescent="0.2">
      <c r="B23" s="753"/>
      <c r="C23" s="754"/>
      <c r="D23" s="754"/>
      <c r="E23" s="754"/>
      <c r="F23" s="754"/>
      <c r="G23" s="754"/>
      <c r="H23" s="754"/>
      <c r="I23" s="754"/>
      <c r="J23" s="754"/>
      <c r="K23" s="754"/>
      <c r="L23" s="754"/>
      <c r="M23" s="754"/>
      <c r="N23" s="754"/>
      <c r="O23" s="754"/>
      <c r="P23" s="754"/>
      <c r="Q23" s="754"/>
      <c r="R23" s="755"/>
    </row>
    <row r="24" spans="2:18" x14ac:dyDescent="0.2">
      <c r="B24" s="753"/>
      <c r="C24" s="754"/>
      <c r="D24" s="754"/>
      <c r="E24" s="754"/>
      <c r="F24" s="754"/>
      <c r="G24" s="754"/>
      <c r="H24" s="754"/>
      <c r="I24" s="754"/>
      <c r="J24" s="754"/>
      <c r="K24" s="754"/>
      <c r="L24" s="754"/>
      <c r="M24" s="754"/>
      <c r="N24" s="754"/>
      <c r="O24" s="754"/>
      <c r="P24" s="754"/>
      <c r="Q24" s="754"/>
      <c r="R24" s="755"/>
    </row>
    <row r="25" spans="2:18" x14ac:dyDescent="0.2">
      <c r="B25" s="753"/>
      <c r="C25" s="754"/>
      <c r="D25" s="754"/>
      <c r="E25" s="754"/>
      <c r="F25" s="754"/>
      <c r="G25" s="754"/>
      <c r="H25" s="754"/>
      <c r="I25" s="754"/>
      <c r="J25" s="754"/>
      <c r="K25" s="754"/>
      <c r="L25" s="754"/>
      <c r="M25" s="754"/>
      <c r="N25" s="754"/>
      <c r="O25" s="754"/>
      <c r="P25" s="754"/>
      <c r="Q25" s="754"/>
      <c r="R25" s="755"/>
    </row>
    <row r="26" spans="2:18" x14ac:dyDescent="0.2">
      <c r="B26" s="753"/>
      <c r="C26" s="754"/>
      <c r="D26" s="754"/>
      <c r="E26" s="754"/>
      <c r="F26" s="754"/>
      <c r="G26" s="754"/>
      <c r="H26" s="754"/>
      <c r="I26" s="754"/>
      <c r="J26" s="754"/>
      <c r="K26" s="754"/>
      <c r="L26" s="754"/>
      <c r="M26" s="754"/>
      <c r="N26" s="754"/>
      <c r="O26" s="754"/>
      <c r="P26" s="754"/>
      <c r="Q26" s="754"/>
      <c r="R26" s="755"/>
    </row>
    <row r="27" spans="2:18" x14ac:dyDescent="0.2">
      <c r="B27" s="753"/>
      <c r="C27" s="754"/>
      <c r="D27" s="754"/>
      <c r="E27" s="754"/>
      <c r="F27" s="754"/>
      <c r="G27" s="754"/>
      <c r="H27" s="754"/>
      <c r="I27" s="754"/>
      <c r="J27" s="754"/>
      <c r="K27" s="754"/>
      <c r="L27" s="754"/>
      <c r="M27" s="754"/>
      <c r="N27" s="754"/>
      <c r="O27" s="754"/>
      <c r="P27" s="754"/>
      <c r="Q27" s="754"/>
      <c r="R27" s="755"/>
    </row>
    <row r="28" spans="2:18" x14ac:dyDescent="0.2">
      <c r="B28" s="753"/>
      <c r="C28" s="754"/>
      <c r="D28" s="754"/>
      <c r="E28" s="754"/>
      <c r="F28" s="754"/>
      <c r="G28" s="754"/>
      <c r="H28" s="754"/>
      <c r="I28" s="754"/>
      <c r="J28" s="754"/>
      <c r="K28" s="754"/>
      <c r="L28" s="754"/>
      <c r="M28" s="754"/>
      <c r="N28" s="754"/>
      <c r="O28" s="754"/>
      <c r="P28" s="754"/>
      <c r="Q28" s="754"/>
      <c r="R28" s="755"/>
    </row>
    <row r="29" spans="2:18" x14ac:dyDescent="0.2">
      <c r="B29" s="753"/>
      <c r="C29" s="754"/>
      <c r="D29" s="754"/>
      <c r="E29" s="754"/>
      <c r="F29" s="754"/>
      <c r="G29" s="754"/>
      <c r="H29" s="754"/>
      <c r="I29" s="754"/>
      <c r="J29" s="754"/>
      <c r="K29" s="754"/>
      <c r="L29" s="754"/>
      <c r="M29" s="754"/>
      <c r="N29" s="754"/>
      <c r="O29" s="754"/>
      <c r="P29" s="754"/>
      <c r="Q29" s="754"/>
      <c r="R29" s="755"/>
    </row>
    <row r="30" spans="2:18" x14ac:dyDescent="0.2">
      <c r="B30" s="753"/>
      <c r="C30" s="754"/>
      <c r="D30" s="754"/>
      <c r="E30" s="754"/>
      <c r="F30" s="754"/>
      <c r="G30" s="754"/>
      <c r="H30" s="754"/>
      <c r="I30" s="754"/>
      <c r="J30" s="754"/>
      <c r="K30" s="754"/>
      <c r="L30" s="754"/>
      <c r="M30" s="754"/>
      <c r="N30" s="754"/>
      <c r="O30" s="754"/>
      <c r="P30" s="754"/>
      <c r="Q30" s="754"/>
      <c r="R30" s="755"/>
    </row>
    <row r="31" spans="2:18" x14ac:dyDescent="0.2">
      <c r="B31" s="753"/>
      <c r="C31" s="754"/>
      <c r="D31" s="754"/>
      <c r="E31" s="754"/>
      <c r="F31" s="754"/>
      <c r="G31" s="754"/>
      <c r="H31" s="754"/>
      <c r="I31" s="754"/>
      <c r="J31" s="754"/>
      <c r="K31" s="754"/>
      <c r="L31" s="754"/>
      <c r="M31" s="754"/>
      <c r="N31" s="754"/>
      <c r="O31" s="754"/>
      <c r="P31" s="754"/>
      <c r="Q31" s="754"/>
      <c r="R31" s="755"/>
    </row>
    <row r="32" spans="2:18" x14ac:dyDescent="0.2">
      <c r="B32" s="753"/>
      <c r="C32" s="754"/>
      <c r="D32" s="754"/>
      <c r="E32" s="754"/>
      <c r="F32" s="754"/>
      <c r="G32" s="754"/>
      <c r="H32" s="754"/>
      <c r="I32" s="754"/>
      <c r="J32" s="754"/>
      <c r="K32" s="754"/>
      <c r="L32" s="754"/>
      <c r="M32" s="754"/>
      <c r="N32" s="754"/>
      <c r="O32" s="754"/>
      <c r="P32" s="754"/>
      <c r="Q32" s="754"/>
      <c r="R32" s="755"/>
    </row>
    <row r="33" spans="2:18" x14ac:dyDescent="0.2">
      <c r="B33" s="753"/>
      <c r="C33" s="754"/>
      <c r="D33" s="754"/>
      <c r="E33" s="754"/>
      <c r="F33" s="754"/>
      <c r="G33" s="754"/>
      <c r="H33" s="754"/>
      <c r="I33" s="754"/>
      <c r="J33" s="754"/>
      <c r="K33" s="754"/>
      <c r="L33" s="754"/>
      <c r="M33" s="754"/>
      <c r="N33" s="754"/>
      <c r="O33" s="754"/>
      <c r="P33" s="754"/>
      <c r="Q33" s="754"/>
      <c r="R33" s="755"/>
    </row>
    <row r="34" spans="2:18" x14ac:dyDescent="0.2">
      <c r="B34" s="753"/>
      <c r="C34" s="754"/>
      <c r="D34" s="754"/>
      <c r="E34" s="754"/>
      <c r="F34" s="754"/>
      <c r="G34" s="754"/>
      <c r="H34" s="754"/>
      <c r="I34" s="754"/>
      <c r="J34" s="754"/>
      <c r="K34" s="754"/>
      <c r="L34" s="754"/>
      <c r="M34" s="754"/>
      <c r="N34" s="754"/>
      <c r="O34" s="754"/>
      <c r="P34" s="754"/>
      <c r="Q34" s="754"/>
      <c r="R34" s="755"/>
    </row>
    <row r="35" spans="2:18" x14ac:dyDescent="0.2">
      <c r="B35" s="753"/>
      <c r="C35" s="754"/>
      <c r="D35" s="754"/>
      <c r="E35" s="754"/>
      <c r="F35" s="754"/>
      <c r="G35" s="754"/>
      <c r="H35" s="754"/>
      <c r="I35" s="754"/>
      <c r="J35" s="754"/>
      <c r="K35" s="754"/>
      <c r="L35" s="754"/>
      <c r="M35" s="754"/>
      <c r="N35" s="754"/>
      <c r="O35" s="754"/>
      <c r="P35" s="754"/>
      <c r="Q35" s="754"/>
      <c r="R35" s="755"/>
    </row>
    <row r="36" spans="2:18" x14ac:dyDescent="0.2">
      <c r="B36" s="753"/>
      <c r="C36" s="754"/>
      <c r="D36" s="754"/>
      <c r="E36" s="754"/>
      <c r="F36" s="754"/>
      <c r="G36" s="754"/>
      <c r="H36" s="754"/>
      <c r="I36" s="754"/>
      <c r="J36" s="754"/>
      <c r="K36" s="754"/>
      <c r="L36" s="754"/>
      <c r="M36" s="754"/>
      <c r="N36" s="754"/>
      <c r="O36" s="754"/>
      <c r="P36" s="754"/>
      <c r="Q36" s="754"/>
      <c r="R36" s="755"/>
    </row>
    <row r="37" spans="2:18" x14ac:dyDescent="0.2">
      <c r="B37" s="753"/>
      <c r="C37" s="754"/>
      <c r="D37" s="754"/>
      <c r="E37" s="754"/>
      <c r="F37" s="754"/>
      <c r="G37" s="754"/>
      <c r="H37" s="754"/>
      <c r="I37" s="754"/>
      <c r="J37" s="754"/>
      <c r="K37" s="754"/>
      <c r="L37" s="754"/>
      <c r="M37" s="754"/>
      <c r="N37" s="754"/>
      <c r="O37" s="754"/>
      <c r="P37" s="754"/>
      <c r="Q37" s="754"/>
      <c r="R37" s="755"/>
    </row>
    <row r="38" spans="2:18" x14ac:dyDescent="0.2">
      <c r="B38" s="753"/>
      <c r="C38" s="754"/>
      <c r="D38" s="754"/>
      <c r="E38" s="754"/>
      <c r="F38" s="754"/>
      <c r="G38" s="754"/>
      <c r="H38" s="754"/>
      <c r="I38" s="754"/>
      <c r="J38" s="754"/>
      <c r="K38" s="754"/>
      <c r="L38" s="754"/>
      <c r="M38" s="754"/>
      <c r="N38" s="754"/>
      <c r="O38" s="754"/>
      <c r="P38" s="754"/>
      <c r="Q38" s="754"/>
      <c r="R38" s="755"/>
    </row>
    <row r="39" spans="2:18" x14ac:dyDescent="0.2">
      <c r="B39" s="753"/>
      <c r="C39" s="754"/>
      <c r="D39" s="754"/>
      <c r="E39" s="754"/>
      <c r="F39" s="754"/>
      <c r="G39" s="754"/>
      <c r="H39" s="754"/>
      <c r="I39" s="754"/>
      <c r="J39" s="754"/>
      <c r="K39" s="754"/>
      <c r="L39" s="754"/>
      <c r="M39" s="754"/>
      <c r="N39" s="754"/>
      <c r="O39" s="754"/>
      <c r="P39" s="754"/>
      <c r="Q39" s="754"/>
      <c r="R39" s="755"/>
    </row>
    <row r="40" spans="2:18" x14ac:dyDescent="0.2">
      <c r="B40" s="753"/>
      <c r="C40" s="754"/>
      <c r="D40" s="754"/>
      <c r="E40" s="754"/>
      <c r="F40" s="754"/>
      <c r="G40" s="754"/>
      <c r="H40" s="754"/>
      <c r="I40" s="754"/>
      <c r="J40" s="754"/>
      <c r="K40" s="754"/>
      <c r="L40" s="754"/>
      <c r="M40" s="754"/>
      <c r="N40" s="754"/>
      <c r="O40" s="754"/>
      <c r="P40" s="754"/>
      <c r="Q40" s="754"/>
      <c r="R40" s="755"/>
    </row>
    <row r="41" spans="2:18" x14ac:dyDescent="0.2">
      <c r="B41" s="753"/>
      <c r="C41" s="754"/>
      <c r="D41" s="754"/>
      <c r="E41" s="754"/>
      <c r="F41" s="754"/>
      <c r="G41" s="754"/>
      <c r="H41" s="754"/>
      <c r="I41" s="754"/>
      <c r="J41" s="754"/>
      <c r="K41" s="754"/>
      <c r="L41" s="754"/>
      <c r="M41" s="754"/>
      <c r="N41" s="754"/>
      <c r="O41" s="754"/>
      <c r="P41" s="754"/>
      <c r="Q41" s="754"/>
      <c r="R41" s="755"/>
    </row>
    <row r="42" spans="2:18" x14ac:dyDescent="0.2">
      <c r="B42" s="753"/>
      <c r="C42" s="754"/>
      <c r="D42" s="754"/>
      <c r="E42" s="754"/>
      <c r="F42" s="754"/>
      <c r="G42" s="754"/>
      <c r="H42" s="754"/>
      <c r="I42" s="754"/>
      <c r="J42" s="754"/>
      <c r="K42" s="754"/>
      <c r="L42" s="754"/>
      <c r="M42" s="754"/>
      <c r="N42" s="754"/>
      <c r="O42" s="754"/>
      <c r="P42" s="754"/>
      <c r="Q42" s="754"/>
      <c r="R42" s="755"/>
    </row>
    <row r="43" spans="2:18" x14ac:dyDescent="0.2">
      <c r="B43" s="753"/>
      <c r="C43" s="754"/>
      <c r="D43" s="754"/>
      <c r="E43" s="754"/>
      <c r="F43" s="754"/>
      <c r="G43" s="754"/>
      <c r="H43" s="754"/>
      <c r="I43" s="754"/>
      <c r="J43" s="754"/>
      <c r="K43" s="754"/>
      <c r="L43" s="754"/>
      <c r="M43" s="754"/>
      <c r="N43" s="754"/>
      <c r="O43" s="754"/>
      <c r="P43" s="754"/>
      <c r="Q43" s="754"/>
      <c r="R43" s="755"/>
    </row>
    <row r="44" spans="2:18" x14ac:dyDescent="0.2">
      <c r="B44" s="753"/>
      <c r="C44" s="754"/>
      <c r="D44" s="754"/>
      <c r="E44" s="754"/>
      <c r="F44" s="754"/>
      <c r="G44" s="754"/>
      <c r="H44" s="754"/>
      <c r="I44" s="754"/>
      <c r="J44" s="754"/>
      <c r="K44" s="754"/>
      <c r="L44" s="754"/>
      <c r="M44" s="754"/>
      <c r="N44" s="754"/>
      <c r="O44" s="754"/>
      <c r="P44" s="754"/>
      <c r="Q44" s="754"/>
      <c r="R44" s="755"/>
    </row>
    <row r="45" spans="2:18" x14ac:dyDescent="0.2">
      <c r="B45" s="753"/>
      <c r="C45" s="754"/>
      <c r="D45" s="754"/>
      <c r="E45" s="754"/>
      <c r="F45" s="754"/>
      <c r="G45" s="754"/>
      <c r="H45" s="754"/>
      <c r="I45" s="754"/>
      <c r="J45" s="754"/>
      <c r="K45" s="754"/>
      <c r="L45" s="754"/>
      <c r="M45" s="754"/>
      <c r="N45" s="754"/>
      <c r="O45" s="754"/>
      <c r="P45" s="754"/>
      <c r="Q45" s="754"/>
      <c r="R45" s="755"/>
    </row>
    <row r="46" spans="2:18" x14ac:dyDescent="0.2">
      <c r="B46" s="753"/>
      <c r="C46" s="754"/>
      <c r="D46" s="754"/>
      <c r="E46" s="754"/>
      <c r="F46" s="754"/>
      <c r="G46" s="754"/>
      <c r="H46" s="754"/>
      <c r="I46" s="754"/>
      <c r="J46" s="754"/>
      <c r="K46" s="754"/>
      <c r="L46" s="754"/>
      <c r="M46" s="754"/>
      <c r="N46" s="754"/>
      <c r="O46" s="754"/>
      <c r="P46" s="754"/>
      <c r="Q46" s="754"/>
      <c r="R46" s="755"/>
    </row>
    <row r="47" spans="2:18" x14ac:dyDescent="0.2">
      <c r="B47" s="753"/>
      <c r="C47" s="754"/>
      <c r="D47" s="754"/>
      <c r="E47" s="754"/>
      <c r="F47" s="754"/>
      <c r="G47" s="754"/>
      <c r="H47" s="754"/>
      <c r="I47" s="754"/>
      <c r="J47" s="754"/>
      <c r="K47" s="754"/>
      <c r="L47" s="754"/>
      <c r="M47" s="754"/>
      <c r="N47" s="754"/>
      <c r="O47" s="754"/>
      <c r="P47" s="754"/>
      <c r="Q47" s="754"/>
      <c r="R47" s="755"/>
    </row>
    <row r="48" spans="2:18" x14ac:dyDescent="0.2">
      <c r="B48" s="753"/>
      <c r="C48" s="754"/>
      <c r="D48" s="754"/>
      <c r="E48" s="754"/>
      <c r="F48" s="754"/>
      <c r="G48" s="754"/>
      <c r="H48" s="754"/>
      <c r="I48" s="754"/>
      <c r="J48" s="754"/>
      <c r="K48" s="754"/>
      <c r="L48" s="754"/>
      <c r="M48" s="754"/>
      <c r="N48" s="754"/>
      <c r="O48" s="754"/>
      <c r="P48" s="754"/>
      <c r="Q48" s="754"/>
      <c r="R48" s="755"/>
    </row>
    <row r="49" spans="2:18" x14ac:dyDescent="0.2">
      <c r="B49" s="753"/>
      <c r="C49" s="754"/>
      <c r="D49" s="754"/>
      <c r="E49" s="754"/>
      <c r="F49" s="754"/>
      <c r="G49" s="754"/>
      <c r="H49" s="754"/>
      <c r="I49" s="754"/>
      <c r="J49" s="754"/>
      <c r="K49" s="754"/>
      <c r="L49" s="754"/>
      <c r="M49" s="754"/>
      <c r="N49" s="754"/>
      <c r="O49" s="754"/>
      <c r="P49" s="754"/>
      <c r="Q49" s="754"/>
      <c r="R49" s="755"/>
    </row>
    <row r="50" spans="2:18" x14ac:dyDescent="0.2">
      <c r="B50" s="753"/>
      <c r="C50" s="754"/>
      <c r="D50" s="754"/>
      <c r="E50" s="754"/>
      <c r="F50" s="754"/>
      <c r="G50" s="754"/>
      <c r="H50" s="754"/>
      <c r="I50" s="754"/>
      <c r="J50" s="754"/>
      <c r="K50" s="754"/>
      <c r="L50" s="754"/>
      <c r="M50" s="754"/>
      <c r="N50" s="754"/>
      <c r="O50" s="754"/>
      <c r="P50" s="754"/>
      <c r="Q50" s="754"/>
      <c r="R50" s="755"/>
    </row>
    <row r="51" spans="2:18" x14ac:dyDescent="0.2">
      <c r="B51" s="753"/>
      <c r="C51" s="754"/>
      <c r="D51" s="754"/>
      <c r="E51" s="754"/>
      <c r="F51" s="754"/>
      <c r="G51" s="754"/>
      <c r="H51" s="754"/>
      <c r="I51" s="754"/>
      <c r="J51" s="754"/>
      <c r="K51" s="754"/>
      <c r="L51" s="754"/>
      <c r="M51" s="754"/>
      <c r="N51" s="754"/>
      <c r="O51" s="754"/>
      <c r="P51" s="754"/>
      <c r="Q51" s="754"/>
      <c r="R51" s="755"/>
    </row>
    <row r="52" spans="2:18" x14ac:dyDescent="0.2">
      <c r="B52" s="753"/>
      <c r="C52" s="754"/>
      <c r="D52" s="754"/>
      <c r="E52" s="754"/>
      <c r="F52" s="754"/>
      <c r="G52" s="754"/>
      <c r="H52" s="754"/>
      <c r="I52" s="754"/>
      <c r="J52" s="754"/>
      <c r="K52" s="754"/>
      <c r="L52" s="754"/>
      <c r="M52" s="754"/>
      <c r="N52" s="754"/>
      <c r="O52" s="754"/>
      <c r="P52" s="754"/>
      <c r="Q52" s="754"/>
      <c r="R52" s="755"/>
    </row>
    <row r="53" spans="2:18" x14ac:dyDescent="0.2">
      <c r="B53" s="753"/>
      <c r="C53" s="754"/>
      <c r="D53" s="754"/>
      <c r="E53" s="754"/>
      <c r="F53" s="754"/>
      <c r="G53" s="754"/>
      <c r="H53" s="754"/>
      <c r="I53" s="754"/>
      <c r="J53" s="754"/>
      <c r="K53" s="754"/>
      <c r="L53" s="754"/>
      <c r="M53" s="754"/>
      <c r="N53" s="754"/>
      <c r="O53" s="754"/>
      <c r="P53" s="754"/>
      <c r="Q53" s="754"/>
      <c r="R53" s="755"/>
    </row>
    <row r="54" spans="2:18" x14ac:dyDescent="0.2">
      <c r="B54" s="753"/>
      <c r="C54" s="754"/>
      <c r="D54" s="754"/>
      <c r="E54" s="754"/>
      <c r="F54" s="754"/>
      <c r="G54" s="754"/>
      <c r="H54" s="754"/>
      <c r="I54" s="754"/>
      <c r="J54" s="754"/>
      <c r="K54" s="754"/>
      <c r="L54" s="754"/>
      <c r="M54" s="754"/>
      <c r="N54" s="754"/>
      <c r="O54" s="754"/>
      <c r="P54" s="754"/>
      <c r="Q54" s="754"/>
      <c r="R54" s="755"/>
    </row>
    <row r="55" spans="2:18" x14ac:dyDescent="0.2">
      <c r="B55" s="753"/>
      <c r="C55" s="754"/>
      <c r="D55" s="754"/>
      <c r="E55" s="754"/>
      <c r="F55" s="754"/>
      <c r="G55" s="754"/>
      <c r="H55" s="754"/>
      <c r="I55" s="754"/>
      <c r="J55" s="754"/>
      <c r="K55" s="754"/>
      <c r="L55" s="754"/>
      <c r="M55" s="754"/>
      <c r="N55" s="754"/>
      <c r="O55" s="754"/>
      <c r="P55" s="754"/>
      <c r="Q55" s="754"/>
      <c r="R55" s="755"/>
    </row>
    <row r="56" spans="2:18" x14ac:dyDescent="0.2">
      <c r="B56" s="753"/>
      <c r="C56" s="754"/>
      <c r="D56" s="754"/>
      <c r="E56" s="754"/>
      <c r="F56" s="754"/>
      <c r="G56" s="754"/>
      <c r="H56" s="754"/>
      <c r="I56" s="754"/>
      <c r="J56" s="754"/>
      <c r="K56" s="754"/>
      <c r="L56" s="754"/>
      <c r="M56" s="754"/>
      <c r="N56" s="754"/>
      <c r="O56" s="754"/>
      <c r="P56" s="754"/>
      <c r="Q56" s="754"/>
      <c r="R56" s="755"/>
    </row>
    <row r="57" spans="2:18" x14ac:dyDescent="0.2">
      <c r="B57" s="753"/>
      <c r="C57" s="754"/>
      <c r="D57" s="754"/>
      <c r="E57" s="754"/>
      <c r="F57" s="754"/>
      <c r="G57" s="754"/>
      <c r="H57" s="754"/>
      <c r="I57" s="754"/>
      <c r="J57" s="754"/>
      <c r="K57" s="754"/>
      <c r="L57" s="754"/>
      <c r="M57" s="754"/>
      <c r="N57" s="754"/>
      <c r="O57" s="754"/>
      <c r="P57" s="754"/>
      <c r="Q57" s="754"/>
      <c r="R57" s="755"/>
    </row>
    <row r="58" spans="2:18" x14ac:dyDescent="0.2">
      <c r="B58" s="753"/>
      <c r="C58" s="754"/>
      <c r="D58" s="754"/>
      <c r="E58" s="754"/>
      <c r="F58" s="754"/>
      <c r="G58" s="754"/>
      <c r="H58" s="754"/>
      <c r="I58" s="754"/>
      <c r="J58" s="754"/>
      <c r="K58" s="754"/>
      <c r="L58" s="754"/>
      <c r="M58" s="754"/>
      <c r="N58" s="754"/>
      <c r="O58" s="754"/>
      <c r="P58" s="754"/>
      <c r="Q58" s="754"/>
      <c r="R58" s="755"/>
    </row>
    <row r="59" spans="2:18" x14ac:dyDescent="0.2">
      <c r="B59" s="753"/>
      <c r="C59" s="754"/>
      <c r="D59" s="754"/>
      <c r="E59" s="754"/>
      <c r="F59" s="754"/>
      <c r="G59" s="754"/>
      <c r="H59" s="754"/>
      <c r="I59" s="754"/>
      <c r="J59" s="754"/>
      <c r="K59" s="754"/>
      <c r="L59" s="754"/>
      <c r="M59" s="754"/>
      <c r="N59" s="754"/>
      <c r="O59" s="754"/>
      <c r="P59" s="754"/>
      <c r="Q59" s="754"/>
      <c r="R59" s="755"/>
    </row>
    <row r="60" spans="2:18" x14ac:dyDescent="0.2">
      <c r="B60" s="753"/>
      <c r="C60" s="754"/>
      <c r="D60" s="754"/>
      <c r="E60" s="754"/>
      <c r="F60" s="754"/>
      <c r="G60" s="754"/>
      <c r="H60" s="754"/>
      <c r="I60" s="754"/>
      <c r="J60" s="754"/>
      <c r="K60" s="754"/>
      <c r="L60" s="754"/>
      <c r="M60" s="754"/>
      <c r="N60" s="754"/>
      <c r="O60" s="754"/>
      <c r="P60" s="754"/>
      <c r="Q60" s="754"/>
      <c r="R60" s="755"/>
    </row>
    <row r="61" spans="2:18" x14ac:dyDescent="0.2">
      <c r="B61" s="753"/>
      <c r="C61" s="754"/>
      <c r="D61" s="754"/>
      <c r="E61" s="754"/>
      <c r="F61" s="754"/>
      <c r="G61" s="754"/>
      <c r="H61" s="754"/>
      <c r="I61" s="754"/>
      <c r="J61" s="754"/>
      <c r="K61" s="754"/>
      <c r="L61" s="754"/>
      <c r="M61" s="754"/>
      <c r="N61" s="754"/>
      <c r="O61" s="754"/>
      <c r="P61" s="754"/>
      <c r="Q61" s="754"/>
      <c r="R61" s="755"/>
    </row>
    <row r="62" spans="2:18" x14ac:dyDescent="0.2">
      <c r="B62" s="753"/>
      <c r="C62" s="754"/>
      <c r="D62" s="754"/>
      <c r="E62" s="754"/>
      <c r="F62" s="754"/>
      <c r="G62" s="754"/>
      <c r="H62" s="754"/>
      <c r="I62" s="754"/>
      <c r="J62" s="754"/>
      <c r="K62" s="754"/>
      <c r="L62" s="754"/>
      <c r="M62" s="754"/>
      <c r="N62" s="754"/>
      <c r="O62" s="754"/>
      <c r="P62" s="754"/>
      <c r="Q62" s="754"/>
      <c r="R62" s="755"/>
    </row>
    <row r="63" spans="2:18" x14ac:dyDescent="0.2">
      <c r="B63" s="753"/>
      <c r="C63" s="754"/>
      <c r="D63" s="754"/>
      <c r="E63" s="754"/>
      <c r="F63" s="754"/>
      <c r="G63" s="754"/>
      <c r="H63" s="754"/>
      <c r="I63" s="754"/>
      <c r="J63" s="754"/>
      <c r="K63" s="754"/>
      <c r="L63" s="754"/>
      <c r="M63" s="754"/>
      <c r="N63" s="754"/>
      <c r="O63" s="754"/>
      <c r="P63" s="754"/>
      <c r="Q63" s="754"/>
      <c r="R63" s="755"/>
    </row>
    <row r="64" spans="2:18" x14ac:dyDescent="0.2">
      <c r="B64" s="753"/>
      <c r="C64" s="754"/>
      <c r="D64" s="754"/>
      <c r="E64" s="754"/>
      <c r="F64" s="754"/>
      <c r="G64" s="754"/>
      <c r="H64" s="754"/>
      <c r="I64" s="754"/>
      <c r="J64" s="754"/>
      <c r="K64" s="754"/>
      <c r="L64" s="754"/>
      <c r="M64" s="754"/>
      <c r="N64" s="754"/>
      <c r="O64" s="754"/>
      <c r="P64" s="754"/>
      <c r="Q64" s="754"/>
      <c r="R64" s="755"/>
    </row>
    <row r="65" spans="2:18" x14ac:dyDescent="0.2">
      <c r="B65" s="753"/>
      <c r="C65" s="754"/>
      <c r="D65" s="754"/>
      <c r="E65" s="754"/>
      <c r="F65" s="754"/>
      <c r="G65" s="754"/>
      <c r="H65" s="754"/>
      <c r="I65" s="754"/>
      <c r="J65" s="754"/>
      <c r="K65" s="754"/>
      <c r="L65" s="754"/>
      <c r="M65" s="754"/>
      <c r="N65" s="754"/>
      <c r="O65" s="754"/>
      <c r="P65" s="754"/>
      <c r="Q65" s="754"/>
      <c r="R65" s="755"/>
    </row>
    <row r="66" spans="2:18" x14ac:dyDescent="0.2">
      <c r="B66" s="753"/>
      <c r="C66" s="754"/>
      <c r="D66" s="754"/>
      <c r="E66" s="754"/>
      <c r="F66" s="754"/>
      <c r="G66" s="754"/>
      <c r="H66" s="754"/>
      <c r="I66" s="754"/>
      <c r="J66" s="754"/>
      <c r="K66" s="754"/>
      <c r="L66" s="754"/>
      <c r="M66" s="754"/>
      <c r="N66" s="754"/>
      <c r="O66" s="754"/>
      <c r="P66" s="754"/>
      <c r="Q66" s="754"/>
      <c r="R66" s="755"/>
    </row>
    <row r="67" spans="2:18" x14ac:dyDescent="0.2">
      <c r="B67" s="753"/>
      <c r="C67" s="754"/>
      <c r="D67" s="754"/>
      <c r="E67" s="754"/>
      <c r="F67" s="754"/>
      <c r="G67" s="754"/>
      <c r="H67" s="754"/>
      <c r="I67" s="754"/>
      <c r="J67" s="754"/>
      <c r="K67" s="754"/>
      <c r="L67" s="754"/>
      <c r="M67" s="754"/>
      <c r="N67" s="754"/>
      <c r="O67" s="754"/>
      <c r="P67" s="754"/>
      <c r="Q67" s="754"/>
      <c r="R67" s="755"/>
    </row>
    <row r="68" spans="2:18" x14ac:dyDescent="0.2">
      <c r="B68" s="753"/>
      <c r="C68" s="754"/>
      <c r="D68" s="754"/>
      <c r="E68" s="754"/>
      <c r="F68" s="754"/>
      <c r="G68" s="754"/>
      <c r="H68" s="754"/>
      <c r="I68" s="754"/>
      <c r="J68" s="754"/>
      <c r="K68" s="754"/>
      <c r="L68" s="754"/>
      <c r="M68" s="754"/>
      <c r="N68" s="754"/>
      <c r="O68" s="754"/>
      <c r="P68" s="754"/>
      <c r="Q68" s="754"/>
      <c r="R68" s="755"/>
    </row>
    <row r="69" spans="2:18" x14ac:dyDescent="0.2">
      <c r="B69" s="753"/>
      <c r="C69" s="754"/>
      <c r="D69" s="754"/>
      <c r="E69" s="754"/>
      <c r="F69" s="754"/>
      <c r="G69" s="754"/>
      <c r="H69" s="754"/>
      <c r="I69" s="754"/>
      <c r="J69" s="754"/>
      <c r="K69" s="754"/>
      <c r="L69" s="754"/>
      <c r="M69" s="754"/>
      <c r="N69" s="754"/>
      <c r="O69" s="754"/>
      <c r="P69" s="754"/>
      <c r="Q69" s="754"/>
      <c r="R69" s="755"/>
    </row>
    <row r="70" spans="2:18" x14ac:dyDescent="0.2">
      <c r="B70" s="753"/>
      <c r="C70" s="754"/>
      <c r="D70" s="754"/>
      <c r="E70" s="754"/>
      <c r="F70" s="754"/>
      <c r="G70" s="754"/>
      <c r="H70" s="754"/>
      <c r="I70" s="754"/>
      <c r="J70" s="754"/>
      <c r="K70" s="754"/>
      <c r="L70" s="754"/>
      <c r="M70" s="754"/>
      <c r="N70" s="754"/>
      <c r="O70" s="754"/>
      <c r="P70" s="754"/>
      <c r="Q70" s="754"/>
      <c r="R70" s="755"/>
    </row>
    <row r="71" spans="2:18" x14ac:dyDescent="0.2">
      <c r="B71" s="753"/>
      <c r="C71" s="754"/>
      <c r="D71" s="754"/>
      <c r="E71" s="754"/>
      <c r="F71" s="754"/>
      <c r="G71" s="754"/>
      <c r="H71" s="754"/>
      <c r="I71" s="754"/>
      <c r="J71" s="754"/>
      <c r="K71" s="754"/>
      <c r="L71" s="754"/>
      <c r="M71" s="754"/>
      <c r="N71" s="754"/>
      <c r="O71" s="754"/>
      <c r="P71" s="754"/>
      <c r="Q71" s="754"/>
      <c r="R71" s="755"/>
    </row>
    <row r="72" spans="2:18" x14ac:dyDescent="0.2">
      <c r="B72" s="753"/>
      <c r="C72" s="754"/>
      <c r="D72" s="754"/>
      <c r="E72" s="754"/>
      <c r="F72" s="754"/>
      <c r="G72" s="754"/>
      <c r="H72" s="754"/>
      <c r="I72" s="754"/>
      <c r="J72" s="754"/>
      <c r="K72" s="754"/>
      <c r="L72" s="754"/>
      <c r="M72" s="754"/>
      <c r="N72" s="754"/>
      <c r="O72" s="754"/>
      <c r="P72" s="754"/>
      <c r="Q72" s="754"/>
      <c r="R72" s="755"/>
    </row>
    <row r="73" spans="2:18" x14ac:dyDescent="0.2">
      <c r="B73" s="753"/>
      <c r="C73" s="754"/>
      <c r="D73" s="754"/>
      <c r="E73" s="754"/>
      <c r="F73" s="754"/>
      <c r="G73" s="754"/>
      <c r="H73" s="754"/>
      <c r="I73" s="754"/>
      <c r="J73" s="754"/>
      <c r="K73" s="754"/>
      <c r="L73" s="754"/>
      <c r="M73" s="754"/>
      <c r="N73" s="754"/>
      <c r="O73" s="754"/>
      <c r="P73" s="754"/>
      <c r="Q73" s="754"/>
      <c r="R73" s="755"/>
    </row>
    <row r="74" spans="2:18" x14ac:dyDescent="0.2">
      <c r="B74" s="753"/>
      <c r="C74" s="754"/>
      <c r="D74" s="754"/>
      <c r="E74" s="754"/>
      <c r="F74" s="754"/>
      <c r="G74" s="754"/>
      <c r="H74" s="754"/>
      <c r="I74" s="754"/>
      <c r="J74" s="754"/>
      <c r="K74" s="754"/>
      <c r="L74" s="754"/>
      <c r="M74" s="754"/>
      <c r="N74" s="754"/>
      <c r="O74" s="754"/>
      <c r="P74" s="754"/>
      <c r="Q74" s="754"/>
      <c r="R74" s="755"/>
    </row>
    <row r="75" spans="2:18" x14ac:dyDescent="0.2">
      <c r="B75" s="753"/>
      <c r="C75" s="754"/>
      <c r="D75" s="754"/>
      <c r="E75" s="754"/>
      <c r="F75" s="754"/>
      <c r="G75" s="754"/>
      <c r="H75" s="754"/>
      <c r="I75" s="754"/>
      <c r="J75" s="754"/>
      <c r="K75" s="754"/>
      <c r="L75" s="754"/>
      <c r="M75" s="754"/>
      <c r="N75" s="754"/>
      <c r="O75" s="754"/>
      <c r="P75" s="754"/>
      <c r="Q75" s="754"/>
      <c r="R75" s="755"/>
    </row>
    <row r="76" spans="2:18" x14ac:dyDescent="0.2">
      <c r="B76" s="753"/>
      <c r="C76" s="754"/>
      <c r="D76" s="754"/>
      <c r="E76" s="754"/>
      <c r="F76" s="754"/>
      <c r="G76" s="754"/>
      <c r="H76" s="754"/>
      <c r="I76" s="754"/>
      <c r="J76" s="754"/>
      <c r="K76" s="754"/>
      <c r="L76" s="754"/>
      <c r="M76" s="754"/>
      <c r="N76" s="754"/>
      <c r="O76" s="754"/>
      <c r="P76" s="754"/>
      <c r="Q76" s="754"/>
      <c r="R76" s="755"/>
    </row>
    <row r="77" spans="2:18" x14ac:dyDescent="0.2">
      <c r="B77" s="753"/>
      <c r="C77" s="754"/>
      <c r="D77" s="754"/>
      <c r="E77" s="754"/>
      <c r="F77" s="754"/>
      <c r="G77" s="754"/>
      <c r="H77" s="754"/>
      <c r="I77" s="754"/>
      <c r="J77" s="754"/>
      <c r="K77" s="754"/>
      <c r="L77" s="754"/>
      <c r="M77" s="754"/>
      <c r="N77" s="754"/>
      <c r="O77" s="754"/>
      <c r="P77" s="754"/>
      <c r="Q77" s="754"/>
      <c r="R77" s="755"/>
    </row>
    <row r="78" spans="2:18" x14ac:dyDescent="0.2">
      <c r="B78" s="753"/>
      <c r="C78" s="754"/>
      <c r="D78" s="754"/>
      <c r="E78" s="754"/>
      <c r="F78" s="754"/>
      <c r="G78" s="754"/>
      <c r="H78" s="754"/>
      <c r="I78" s="754"/>
      <c r="J78" s="754"/>
      <c r="K78" s="754"/>
      <c r="L78" s="754"/>
      <c r="M78" s="754"/>
      <c r="N78" s="754"/>
      <c r="O78" s="754"/>
      <c r="P78" s="754"/>
      <c r="Q78" s="754"/>
      <c r="R78" s="755"/>
    </row>
    <row r="79" spans="2:18" x14ac:dyDescent="0.2">
      <c r="B79" s="753"/>
      <c r="C79" s="754"/>
      <c r="D79" s="754"/>
      <c r="E79" s="754"/>
      <c r="F79" s="754"/>
      <c r="G79" s="754"/>
      <c r="H79" s="754"/>
      <c r="I79" s="754"/>
      <c r="J79" s="754"/>
      <c r="K79" s="754"/>
      <c r="L79" s="754"/>
      <c r="M79" s="754"/>
      <c r="N79" s="754"/>
      <c r="O79" s="754"/>
      <c r="P79" s="754"/>
      <c r="Q79" s="754"/>
      <c r="R79" s="755"/>
    </row>
    <row r="80" spans="2:18" x14ac:dyDescent="0.2">
      <c r="B80" s="753"/>
      <c r="C80" s="754"/>
      <c r="D80" s="754"/>
      <c r="E80" s="754"/>
      <c r="F80" s="754"/>
      <c r="G80" s="754"/>
      <c r="H80" s="754"/>
      <c r="I80" s="754"/>
      <c r="J80" s="754"/>
      <c r="K80" s="754"/>
      <c r="L80" s="754"/>
      <c r="M80" s="754"/>
      <c r="N80" s="754"/>
      <c r="O80" s="754"/>
      <c r="P80" s="754"/>
      <c r="Q80" s="754"/>
      <c r="R80" s="755"/>
    </row>
    <row r="81" spans="2:18" x14ac:dyDescent="0.2">
      <c r="B81" s="753"/>
      <c r="C81" s="754"/>
      <c r="D81" s="754"/>
      <c r="E81" s="754"/>
      <c r="F81" s="754"/>
      <c r="G81" s="754"/>
      <c r="H81" s="754"/>
      <c r="I81" s="754"/>
      <c r="J81" s="754"/>
      <c r="K81" s="754"/>
      <c r="L81" s="754"/>
      <c r="M81" s="754"/>
      <c r="N81" s="754"/>
      <c r="O81" s="754"/>
      <c r="P81" s="754"/>
      <c r="Q81" s="754"/>
      <c r="R81" s="755"/>
    </row>
    <row r="82" spans="2:18" x14ac:dyDescent="0.2">
      <c r="B82" s="753"/>
      <c r="C82" s="754"/>
      <c r="D82" s="754"/>
      <c r="E82" s="754"/>
      <c r="F82" s="754"/>
      <c r="G82" s="754"/>
      <c r="H82" s="754"/>
      <c r="I82" s="754"/>
      <c r="J82" s="754"/>
      <c r="K82" s="754"/>
      <c r="L82" s="754"/>
      <c r="M82" s="754"/>
      <c r="N82" s="754"/>
      <c r="O82" s="754"/>
      <c r="P82" s="754"/>
      <c r="Q82" s="754"/>
      <c r="R82" s="755"/>
    </row>
    <row r="83" spans="2:18" x14ac:dyDescent="0.2">
      <c r="B83" s="753"/>
      <c r="C83" s="754"/>
      <c r="D83" s="754"/>
      <c r="E83" s="754"/>
      <c r="F83" s="754"/>
      <c r="G83" s="754"/>
      <c r="H83" s="754"/>
      <c r="I83" s="754"/>
      <c r="J83" s="754"/>
      <c r="K83" s="754"/>
      <c r="L83" s="754"/>
      <c r="M83" s="754"/>
      <c r="N83" s="754"/>
      <c r="O83" s="754"/>
      <c r="P83" s="754"/>
      <c r="Q83" s="754"/>
      <c r="R83" s="755"/>
    </row>
    <row r="84" spans="2:18" x14ac:dyDescent="0.2">
      <c r="B84" s="753"/>
      <c r="C84" s="754"/>
      <c r="D84" s="754"/>
      <c r="E84" s="754"/>
      <c r="F84" s="754"/>
      <c r="G84" s="754"/>
      <c r="H84" s="754"/>
      <c r="I84" s="754"/>
      <c r="J84" s="754"/>
      <c r="K84" s="754"/>
      <c r="L84" s="754"/>
      <c r="M84" s="754"/>
      <c r="N84" s="754"/>
      <c r="O84" s="754"/>
      <c r="P84" s="754"/>
      <c r="Q84" s="754"/>
      <c r="R84" s="755"/>
    </row>
    <row r="85" spans="2:18" x14ac:dyDescent="0.2">
      <c r="B85" s="753"/>
      <c r="C85" s="754"/>
      <c r="D85" s="754"/>
      <c r="E85" s="754"/>
      <c r="F85" s="754"/>
      <c r="G85" s="754"/>
      <c r="H85" s="754"/>
      <c r="I85" s="754"/>
      <c r="J85" s="754"/>
      <c r="K85" s="754"/>
      <c r="L85" s="754"/>
      <c r="M85" s="754"/>
      <c r="N85" s="754"/>
      <c r="O85" s="754"/>
      <c r="P85" s="754"/>
      <c r="Q85" s="754"/>
      <c r="R85" s="755"/>
    </row>
    <row r="86" spans="2:18" x14ac:dyDescent="0.2">
      <c r="B86" s="753"/>
      <c r="C86" s="754"/>
      <c r="D86" s="754"/>
      <c r="E86" s="754"/>
      <c r="F86" s="754"/>
      <c r="G86" s="754"/>
      <c r="H86" s="754"/>
      <c r="I86" s="754"/>
      <c r="J86" s="754"/>
      <c r="K86" s="754"/>
      <c r="L86" s="754"/>
      <c r="M86" s="754"/>
      <c r="N86" s="754"/>
      <c r="O86" s="754"/>
      <c r="P86" s="754"/>
      <c r="Q86" s="754"/>
      <c r="R86" s="755"/>
    </row>
    <row r="87" spans="2:18" x14ac:dyDescent="0.2">
      <c r="B87" s="753"/>
      <c r="C87" s="754"/>
      <c r="D87" s="754"/>
      <c r="E87" s="754"/>
      <c r="F87" s="754"/>
      <c r="G87" s="754"/>
      <c r="H87" s="754"/>
      <c r="I87" s="754"/>
      <c r="J87" s="754"/>
      <c r="K87" s="754"/>
      <c r="L87" s="754"/>
      <c r="M87" s="754"/>
      <c r="N87" s="754"/>
      <c r="O87" s="754"/>
      <c r="P87" s="754"/>
      <c r="Q87" s="754"/>
      <c r="R87" s="755"/>
    </row>
    <row r="88" spans="2:18" x14ac:dyDescent="0.2">
      <c r="B88" s="753"/>
      <c r="C88" s="754"/>
      <c r="D88" s="754"/>
      <c r="E88" s="754"/>
      <c r="F88" s="754"/>
      <c r="G88" s="754"/>
      <c r="H88" s="754"/>
      <c r="I88" s="754"/>
      <c r="J88" s="754"/>
      <c r="K88" s="754"/>
      <c r="L88" s="754"/>
      <c r="M88" s="754"/>
      <c r="N88" s="754"/>
      <c r="O88" s="754"/>
      <c r="P88" s="754"/>
      <c r="Q88" s="754"/>
      <c r="R88" s="755"/>
    </row>
    <row r="89" spans="2:18" x14ac:dyDescent="0.2">
      <c r="B89" s="753"/>
      <c r="C89" s="754"/>
      <c r="D89" s="754"/>
      <c r="E89" s="754"/>
      <c r="F89" s="754"/>
      <c r="G89" s="754"/>
      <c r="H89" s="754"/>
      <c r="I89" s="754"/>
      <c r="J89" s="754"/>
      <c r="K89" s="754"/>
      <c r="L89" s="754"/>
      <c r="M89" s="754"/>
      <c r="N89" s="754"/>
      <c r="O89" s="754"/>
      <c r="P89" s="754"/>
      <c r="Q89" s="754"/>
      <c r="R89" s="755"/>
    </row>
    <row r="90" spans="2:18" x14ac:dyDescent="0.2">
      <c r="B90" s="753"/>
      <c r="C90" s="754"/>
      <c r="D90" s="754"/>
      <c r="E90" s="754"/>
      <c r="F90" s="754"/>
      <c r="G90" s="754"/>
      <c r="H90" s="754"/>
      <c r="I90" s="754"/>
      <c r="J90" s="754"/>
      <c r="K90" s="754"/>
      <c r="L90" s="754"/>
      <c r="M90" s="754"/>
      <c r="N90" s="754"/>
      <c r="O90" s="754"/>
      <c r="P90" s="754"/>
      <c r="Q90" s="754"/>
      <c r="R90" s="755"/>
    </row>
    <row r="91" spans="2:18" x14ac:dyDescent="0.2">
      <c r="B91" s="753"/>
      <c r="C91" s="754"/>
      <c r="D91" s="754"/>
      <c r="E91" s="754"/>
      <c r="F91" s="754"/>
      <c r="G91" s="754"/>
      <c r="H91" s="754"/>
      <c r="I91" s="754"/>
      <c r="J91" s="754"/>
      <c r="K91" s="754"/>
      <c r="L91" s="754"/>
      <c r="M91" s="754"/>
      <c r="N91" s="754"/>
      <c r="O91" s="754"/>
      <c r="P91" s="754"/>
      <c r="Q91" s="754"/>
      <c r="R91" s="755"/>
    </row>
    <row r="92" spans="2:18" x14ac:dyDescent="0.2">
      <c r="B92" s="753"/>
      <c r="C92" s="754"/>
      <c r="D92" s="754"/>
      <c r="E92" s="754"/>
      <c r="F92" s="754"/>
      <c r="G92" s="754"/>
      <c r="H92" s="754"/>
      <c r="I92" s="754"/>
      <c r="J92" s="754"/>
      <c r="K92" s="754"/>
      <c r="L92" s="754"/>
      <c r="M92" s="754"/>
      <c r="N92" s="754"/>
      <c r="O92" s="754"/>
      <c r="P92" s="754"/>
      <c r="Q92" s="754"/>
      <c r="R92" s="755"/>
    </row>
    <row r="93" spans="2:18" x14ac:dyDescent="0.2">
      <c r="B93" s="753"/>
      <c r="C93" s="754"/>
      <c r="D93" s="754"/>
      <c r="E93" s="754"/>
      <c r="F93" s="754"/>
      <c r="G93" s="754"/>
      <c r="H93" s="754"/>
      <c r="I93" s="754"/>
      <c r="J93" s="754"/>
      <c r="K93" s="754"/>
      <c r="L93" s="754"/>
      <c r="M93" s="754"/>
      <c r="N93" s="754"/>
      <c r="O93" s="754"/>
      <c r="P93" s="754"/>
      <c r="Q93" s="754"/>
      <c r="R93" s="755"/>
    </row>
    <row r="94" spans="2:18" x14ac:dyDescent="0.2">
      <c r="B94" s="753"/>
      <c r="C94" s="754"/>
      <c r="D94" s="754"/>
      <c r="E94" s="754"/>
      <c r="F94" s="754"/>
      <c r="G94" s="754"/>
      <c r="H94" s="754"/>
      <c r="I94" s="754"/>
      <c r="J94" s="754"/>
      <c r="K94" s="754"/>
      <c r="L94" s="754"/>
      <c r="M94" s="754"/>
      <c r="N94" s="754"/>
      <c r="O94" s="754"/>
      <c r="P94" s="754"/>
      <c r="Q94" s="754"/>
      <c r="R94" s="755"/>
    </row>
    <row r="95" spans="2:18" s="208" customFormat="1" ht="15" x14ac:dyDescent="0.25">
      <c r="B95" s="148"/>
      <c r="C95" s="149"/>
      <c r="D95" s="252"/>
      <c r="E95" s="252"/>
      <c r="F95" s="252"/>
      <c r="G95" s="252"/>
      <c r="H95" s="253"/>
      <c r="I95" s="253"/>
      <c r="J95" s="253"/>
      <c r="K95" s="253"/>
      <c r="L95" s="253"/>
      <c r="M95" s="253"/>
      <c r="N95" s="253"/>
      <c r="O95" s="253"/>
      <c r="P95" s="253"/>
      <c r="Q95" s="152" t="s">
        <v>435</v>
      </c>
      <c r="R95" s="153"/>
    </row>
    <row r="96" spans="2:18" x14ac:dyDescent="0.2">
      <c r="B96" s="750"/>
      <c r="C96" s="751"/>
      <c r="D96" s="751"/>
      <c r="E96" s="751"/>
      <c r="F96" s="751"/>
      <c r="G96" s="751"/>
      <c r="H96" s="751"/>
      <c r="I96" s="751"/>
      <c r="J96" s="751"/>
      <c r="K96" s="751"/>
      <c r="L96" s="751"/>
      <c r="M96" s="751"/>
      <c r="N96" s="751"/>
      <c r="O96" s="751"/>
      <c r="P96" s="751"/>
      <c r="Q96" s="751"/>
      <c r="R96" s="752"/>
    </row>
    <row r="97" spans="2:18" x14ac:dyDescent="0.2">
      <c r="B97" s="753"/>
      <c r="C97" s="754"/>
      <c r="D97" s="754"/>
      <c r="E97" s="754"/>
      <c r="F97" s="754"/>
      <c r="G97" s="754"/>
      <c r="H97" s="754"/>
      <c r="I97" s="754"/>
      <c r="J97" s="754"/>
      <c r="K97" s="754"/>
      <c r="L97" s="754"/>
      <c r="M97" s="754"/>
      <c r="N97" s="754"/>
      <c r="O97" s="754"/>
      <c r="P97" s="754"/>
      <c r="Q97" s="754"/>
      <c r="R97" s="755"/>
    </row>
    <row r="98" spans="2:18" x14ac:dyDescent="0.2">
      <c r="B98" s="753"/>
      <c r="C98" s="754"/>
      <c r="D98" s="754"/>
      <c r="E98" s="754"/>
      <c r="F98" s="754"/>
      <c r="G98" s="754"/>
      <c r="H98" s="754"/>
      <c r="I98" s="754"/>
      <c r="J98" s="754"/>
      <c r="K98" s="754"/>
      <c r="L98" s="754"/>
      <c r="M98" s="754"/>
      <c r="N98" s="754"/>
      <c r="O98" s="754"/>
      <c r="P98" s="754"/>
      <c r="Q98" s="754"/>
      <c r="R98" s="755"/>
    </row>
    <row r="99" spans="2:18" x14ac:dyDescent="0.2">
      <c r="B99" s="753"/>
      <c r="C99" s="754"/>
      <c r="D99" s="754"/>
      <c r="E99" s="754"/>
      <c r="F99" s="754"/>
      <c r="G99" s="754"/>
      <c r="H99" s="754"/>
      <c r="I99" s="754"/>
      <c r="J99" s="754"/>
      <c r="K99" s="754"/>
      <c r="L99" s="754"/>
      <c r="M99" s="754"/>
      <c r="N99" s="754"/>
      <c r="O99" s="754"/>
      <c r="P99" s="754"/>
      <c r="Q99" s="754"/>
      <c r="R99" s="755"/>
    </row>
    <row r="100" spans="2:18" x14ac:dyDescent="0.2">
      <c r="B100" s="753"/>
      <c r="C100" s="754"/>
      <c r="D100" s="754"/>
      <c r="E100" s="754"/>
      <c r="F100" s="754"/>
      <c r="G100" s="754"/>
      <c r="H100" s="754"/>
      <c r="I100" s="754"/>
      <c r="J100" s="754"/>
      <c r="K100" s="754"/>
      <c r="L100" s="754"/>
      <c r="M100" s="754"/>
      <c r="N100" s="754"/>
      <c r="O100" s="754"/>
      <c r="P100" s="754"/>
      <c r="Q100" s="754"/>
      <c r="R100" s="755"/>
    </row>
    <row r="101" spans="2:18" x14ac:dyDescent="0.2">
      <c r="B101" s="753"/>
      <c r="C101" s="754"/>
      <c r="D101" s="754"/>
      <c r="E101" s="754"/>
      <c r="F101" s="754"/>
      <c r="G101" s="754"/>
      <c r="H101" s="754"/>
      <c r="I101" s="754"/>
      <c r="J101" s="754"/>
      <c r="K101" s="754"/>
      <c r="L101" s="754"/>
      <c r="M101" s="754"/>
      <c r="N101" s="754"/>
      <c r="O101" s="754"/>
      <c r="P101" s="754"/>
      <c r="Q101" s="754"/>
      <c r="R101" s="755"/>
    </row>
    <row r="102" spans="2:18" x14ac:dyDescent="0.2">
      <c r="B102" s="753"/>
      <c r="C102" s="754"/>
      <c r="D102" s="754"/>
      <c r="E102" s="754"/>
      <c r="F102" s="754"/>
      <c r="G102" s="754"/>
      <c r="H102" s="754"/>
      <c r="I102" s="754"/>
      <c r="J102" s="754"/>
      <c r="K102" s="754"/>
      <c r="L102" s="754"/>
      <c r="M102" s="754"/>
      <c r="N102" s="754"/>
      <c r="O102" s="754"/>
      <c r="P102" s="754"/>
      <c r="Q102" s="754"/>
      <c r="R102" s="755"/>
    </row>
    <row r="103" spans="2:18" x14ac:dyDescent="0.2">
      <c r="B103" s="753"/>
      <c r="C103" s="754"/>
      <c r="D103" s="754"/>
      <c r="E103" s="754"/>
      <c r="F103" s="754"/>
      <c r="G103" s="754"/>
      <c r="H103" s="754"/>
      <c r="I103" s="754"/>
      <c r="J103" s="754"/>
      <c r="K103" s="754"/>
      <c r="L103" s="754"/>
      <c r="M103" s="754"/>
      <c r="N103" s="754"/>
      <c r="O103" s="754"/>
      <c r="P103" s="754"/>
      <c r="Q103" s="754"/>
      <c r="R103" s="755"/>
    </row>
    <row r="104" spans="2:18" x14ac:dyDescent="0.2">
      <c r="B104" s="753"/>
      <c r="C104" s="754"/>
      <c r="D104" s="754"/>
      <c r="E104" s="754"/>
      <c r="F104" s="754"/>
      <c r="G104" s="754"/>
      <c r="H104" s="754"/>
      <c r="I104" s="754"/>
      <c r="J104" s="754"/>
      <c r="K104" s="754"/>
      <c r="L104" s="754"/>
      <c r="M104" s="754"/>
      <c r="N104" s="754"/>
      <c r="O104" s="754"/>
      <c r="P104" s="754"/>
      <c r="Q104" s="754"/>
      <c r="R104" s="755"/>
    </row>
    <row r="105" spans="2:18" x14ac:dyDescent="0.2">
      <c r="B105" s="753"/>
      <c r="C105" s="754"/>
      <c r="D105" s="754"/>
      <c r="E105" s="754"/>
      <c r="F105" s="754"/>
      <c r="G105" s="754"/>
      <c r="H105" s="754"/>
      <c r="I105" s="754"/>
      <c r="J105" s="754"/>
      <c r="K105" s="754"/>
      <c r="L105" s="754"/>
      <c r="M105" s="754"/>
      <c r="N105" s="754"/>
      <c r="O105" s="754"/>
      <c r="P105" s="754"/>
      <c r="Q105" s="754"/>
      <c r="R105" s="755"/>
    </row>
    <row r="106" spans="2:18" x14ac:dyDescent="0.2">
      <c r="B106" s="753"/>
      <c r="C106" s="754"/>
      <c r="D106" s="754"/>
      <c r="E106" s="754"/>
      <c r="F106" s="754"/>
      <c r="G106" s="754"/>
      <c r="H106" s="754"/>
      <c r="I106" s="754"/>
      <c r="J106" s="754"/>
      <c r="K106" s="754"/>
      <c r="L106" s="754"/>
      <c r="M106" s="754"/>
      <c r="N106" s="754"/>
      <c r="O106" s="754"/>
      <c r="P106" s="754"/>
      <c r="Q106" s="754"/>
      <c r="R106" s="755"/>
    </row>
    <row r="107" spans="2:18" x14ac:dyDescent="0.2">
      <c r="B107" s="753"/>
      <c r="C107" s="754"/>
      <c r="D107" s="754"/>
      <c r="E107" s="754"/>
      <c r="F107" s="754"/>
      <c r="G107" s="754"/>
      <c r="H107" s="754"/>
      <c r="I107" s="754"/>
      <c r="J107" s="754"/>
      <c r="K107" s="754"/>
      <c r="L107" s="754"/>
      <c r="M107" s="754"/>
      <c r="N107" s="754"/>
      <c r="O107" s="754"/>
      <c r="P107" s="754"/>
      <c r="Q107" s="754"/>
      <c r="R107" s="755"/>
    </row>
    <row r="108" spans="2:18" x14ac:dyDescent="0.2">
      <c r="B108" s="753"/>
      <c r="C108" s="754"/>
      <c r="D108" s="754"/>
      <c r="E108" s="754"/>
      <c r="F108" s="754"/>
      <c r="G108" s="754"/>
      <c r="H108" s="754"/>
      <c r="I108" s="754"/>
      <c r="J108" s="754"/>
      <c r="K108" s="754"/>
      <c r="L108" s="754"/>
      <c r="M108" s="754"/>
      <c r="N108" s="754"/>
      <c r="O108" s="754"/>
      <c r="P108" s="754"/>
      <c r="Q108" s="754"/>
      <c r="R108" s="755"/>
    </row>
    <row r="109" spans="2:18" x14ac:dyDescent="0.2">
      <c r="B109" s="753"/>
      <c r="C109" s="754"/>
      <c r="D109" s="754"/>
      <c r="E109" s="754"/>
      <c r="F109" s="754"/>
      <c r="G109" s="754"/>
      <c r="H109" s="754"/>
      <c r="I109" s="754"/>
      <c r="J109" s="754"/>
      <c r="K109" s="754"/>
      <c r="L109" s="754"/>
      <c r="M109" s="754"/>
      <c r="N109" s="754"/>
      <c r="O109" s="754"/>
      <c r="P109" s="754"/>
      <c r="Q109" s="754"/>
      <c r="R109" s="755"/>
    </row>
    <row r="110" spans="2:18" x14ac:dyDescent="0.2">
      <c r="B110" s="753"/>
      <c r="C110" s="754"/>
      <c r="D110" s="754"/>
      <c r="E110" s="754"/>
      <c r="F110" s="754"/>
      <c r="G110" s="754"/>
      <c r="H110" s="754"/>
      <c r="I110" s="754"/>
      <c r="J110" s="754"/>
      <c r="K110" s="754"/>
      <c r="L110" s="754"/>
      <c r="M110" s="754"/>
      <c r="N110" s="754"/>
      <c r="O110" s="754"/>
      <c r="P110" s="754"/>
      <c r="Q110" s="754"/>
      <c r="R110" s="755"/>
    </row>
    <row r="111" spans="2:18" x14ac:dyDescent="0.2">
      <c r="B111" s="753"/>
      <c r="C111" s="754"/>
      <c r="D111" s="754"/>
      <c r="E111" s="754"/>
      <c r="F111" s="754"/>
      <c r="G111" s="754"/>
      <c r="H111" s="754"/>
      <c r="I111" s="754"/>
      <c r="J111" s="754"/>
      <c r="K111" s="754"/>
      <c r="L111" s="754"/>
      <c r="M111" s="754"/>
      <c r="N111" s="754"/>
      <c r="O111" s="754"/>
      <c r="P111" s="754"/>
      <c r="Q111" s="754"/>
      <c r="R111" s="755"/>
    </row>
    <row r="112" spans="2:18" x14ac:dyDescent="0.2">
      <c r="B112" s="753"/>
      <c r="C112" s="754"/>
      <c r="D112" s="754"/>
      <c r="E112" s="754"/>
      <c r="F112" s="754"/>
      <c r="G112" s="754"/>
      <c r="H112" s="754"/>
      <c r="I112" s="754"/>
      <c r="J112" s="754"/>
      <c r="K112" s="754"/>
      <c r="L112" s="754"/>
      <c r="M112" s="754"/>
      <c r="N112" s="754"/>
      <c r="O112" s="754"/>
      <c r="P112" s="754"/>
      <c r="Q112" s="754"/>
      <c r="R112" s="755"/>
    </row>
    <row r="113" spans="2:18" x14ac:dyDescent="0.2">
      <c r="B113" s="753"/>
      <c r="C113" s="754"/>
      <c r="D113" s="754"/>
      <c r="E113" s="754"/>
      <c r="F113" s="754"/>
      <c r="G113" s="754"/>
      <c r="H113" s="754"/>
      <c r="I113" s="754"/>
      <c r="J113" s="754"/>
      <c r="K113" s="754"/>
      <c r="L113" s="754"/>
      <c r="M113" s="754"/>
      <c r="N113" s="754"/>
      <c r="O113" s="754"/>
      <c r="P113" s="754"/>
      <c r="Q113" s="754"/>
      <c r="R113" s="755"/>
    </row>
    <row r="114" spans="2:18" x14ac:dyDescent="0.2">
      <c r="B114" s="753"/>
      <c r="C114" s="754"/>
      <c r="D114" s="754"/>
      <c r="E114" s="754"/>
      <c r="F114" s="754"/>
      <c r="G114" s="754"/>
      <c r="H114" s="754"/>
      <c r="I114" s="754"/>
      <c r="J114" s="754"/>
      <c r="K114" s="754"/>
      <c r="L114" s="754"/>
      <c r="M114" s="754"/>
      <c r="N114" s="754"/>
      <c r="O114" s="754"/>
      <c r="P114" s="754"/>
      <c r="Q114" s="754"/>
      <c r="R114" s="755"/>
    </row>
    <row r="115" spans="2:18" x14ac:dyDescent="0.2">
      <c r="B115" s="753"/>
      <c r="C115" s="754"/>
      <c r="D115" s="754"/>
      <c r="E115" s="754"/>
      <c r="F115" s="754"/>
      <c r="G115" s="754"/>
      <c r="H115" s="754"/>
      <c r="I115" s="754"/>
      <c r="J115" s="754"/>
      <c r="K115" s="754"/>
      <c r="L115" s="754"/>
      <c r="M115" s="754"/>
      <c r="N115" s="754"/>
      <c r="O115" s="754"/>
      <c r="P115" s="754"/>
      <c r="Q115" s="754"/>
      <c r="R115" s="755"/>
    </row>
    <row r="116" spans="2:18" x14ac:dyDescent="0.2">
      <c r="B116" s="753"/>
      <c r="C116" s="754"/>
      <c r="D116" s="754"/>
      <c r="E116" s="754"/>
      <c r="F116" s="754"/>
      <c r="G116" s="754"/>
      <c r="H116" s="754"/>
      <c r="I116" s="754"/>
      <c r="J116" s="754"/>
      <c r="K116" s="754"/>
      <c r="L116" s="754"/>
      <c r="M116" s="754"/>
      <c r="N116" s="754"/>
      <c r="O116" s="754"/>
      <c r="P116" s="754"/>
      <c r="Q116" s="754"/>
      <c r="R116" s="755"/>
    </row>
    <row r="117" spans="2:18" x14ac:dyDescent="0.2">
      <c r="B117" s="753"/>
      <c r="C117" s="754"/>
      <c r="D117" s="754"/>
      <c r="E117" s="754"/>
      <c r="F117" s="754"/>
      <c r="G117" s="754"/>
      <c r="H117" s="754"/>
      <c r="I117" s="754"/>
      <c r="J117" s="754"/>
      <c r="K117" s="754"/>
      <c r="L117" s="754"/>
      <c r="M117" s="754"/>
      <c r="N117" s="754"/>
      <c r="O117" s="754"/>
      <c r="P117" s="754"/>
      <c r="Q117" s="754"/>
      <c r="R117" s="755"/>
    </row>
    <row r="118" spans="2:18" x14ac:dyDescent="0.2">
      <c r="B118" s="753"/>
      <c r="C118" s="754"/>
      <c r="D118" s="754"/>
      <c r="E118" s="754"/>
      <c r="F118" s="754"/>
      <c r="G118" s="754"/>
      <c r="H118" s="754"/>
      <c r="I118" s="754"/>
      <c r="J118" s="754"/>
      <c r="K118" s="754"/>
      <c r="L118" s="754"/>
      <c r="M118" s="754"/>
      <c r="N118" s="754"/>
      <c r="O118" s="754"/>
      <c r="P118" s="754"/>
      <c r="Q118" s="754"/>
      <c r="R118" s="755"/>
    </row>
    <row r="119" spans="2:18" x14ac:dyDescent="0.2">
      <c r="B119" s="753"/>
      <c r="C119" s="754"/>
      <c r="D119" s="754"/>
      <c r="E119" s="754"/>
      <c r="F119" s="754"/>
      <c r="G119" s="754"/>
      <c r="H119" s="754"/>
      <c r="I119" s="754"/>
      <c r="J119" s="754"/>
      <c r="K119" s="754"/>
      <c r="L119" s="754"/>
      <c r="M119" s="754"/>
      <c r="N119" s="754"/>
      <c r="O119" s="754"/>
      <c r="P119" s="754"/>
      <c r="Q119" s="754"/>
      <c r="R119" s="755"/>
    </row>
    <row r="120" spans="2:18" s="762" customFormat="1" ht="12.75" customHeight="1" x14ac:dyDescent="0.3">
      <c r="B120" s="763"/>
      <c r="C120" s="761"/>
      <c r="D120" s="761"/>
      <c r="E120" s="761"/>
      <c r="F120" s="761"/>
      <c r="G120" s="761"/>
      <c r="H120" s="761"/>
      <c r="I120" s="761"/>
      <c r="J120" s="761"/>
      <c r="K120" s="761"/>
      <c r="L120" s="761"/>
      <c r="M120" s="761"/>
      <c r="N120" s="761"/>
      <c r="O120" s="761"/>
      <c r="P120" s="761"/>
      <c r="Q120" s="761"/>
      <c r="R120" s="764"/>
    </row>
    <row r="121" spans="2:18" x14ac:dyDescent="0.2">
      <c r="B121" s="753"/>
      <c r="C121" s="754"/>
      <c r="D121" s="754"/>
      <c r="E121" s="754"/>
      <c r="F121" s="754"/>
      <c r="G121" s="754"/>
      <c r="H121" s="754"/>
      <c r="I121" s="754"/>
      <c r="J121" s="754"/>
      <c r="K121" s="754"/>
      <c r="L121" s="754"/>
      <c r="M121" s="754"/>
      <c r="N121" s="754"/>
      <c r="O121" s="754"/>
      <c r="P121" s="754"/>
      <c r="Q121" s="754"/>
      <c r="R121" s="755"/>
    </row>
    <row r="122" spans="2:18" x14ac:dyDescent="0.2">
      <c r="B122" s="753"/>
      <c r="C122" s="754"/>
      <c r="D122" s="754"/>
      <c r="E122" s="754"/>
      <c r="F122" s="754"/>
      <c r="G122" s="754"/>
      <c r="H122" s="754"/>
      <c r="I122" s="754"/>
      <c r="J122" s="754"/>
      <c r="K122" s="754"/>
      <c r="L122" s="754"/>
      <c r="M122" s="754"/>
      <c r="N122" s="754"/>
      <c r="O122" s="754"/>
      <c r="P122" s="754"/>
      <c r="Q122" s="754"/>
      <c r="R122" s="755"/>
    </row>
    <row r="123" spans="2:18" x14ac:dyDescent="0.2">
      <c r="B123" s="753"/>
      <c r="C123" s="754"/>
      <c r="D123" s="754"/>
      <c r="E123" s="754"/>
      <c r="F123" s="754"/>
      <c r="G123" s="754"/>
      <c r="H123" s="754"/>
      <c r="I123" s="754"/>
      <c r="J123" s="754"/>
      <c r="K123" s="754"/>
      <c r="L123" s="754"/>
      <c r="M123" s="754"/>
      <c r="N123" s="754"/>
      <c r="O123" s="754"/>
      <c r="P123" s="754"/>
      <c r="Q123" s="754"/>
      <c r="R123" s="755"/>
    </row>
    <row r="124" spans="2:18" x14ac:dyDescent="0.2">
      <c r="B124" s="753"/>
      <c r="C124" s="754"/>
      <c r="D124" s="754"/>
      <c r="E124" s="754"/>
      <c r="F124" s="754"/>
      <c r="G124" s="754"/>
      <c r="H124" s="754"/>
      <c r="I124" s="754"/>
      <c r="J124" s="754"/>
      <c r="K124" s="754"/>
      <c r="L124" s="754"/>
      <c r="M124" s="754"/>
      <c r="N124" s="754"/>
      <c r="O124" s="754"/>
      <c r="P124" s="754"/>
      <c r="Q124" s="754"/>
      <c r="R124" s="755"/>
    </row>
    <row r="125" spans="2:18" x14ac:dyDescent="0.2">
      <c r="B125" s="753"/>
      <c r="C125" s="754"/>
      <c r="D125" s="754"/>
      <c r="E125" s="754"/>
      <c r="F125" s="754"/>
      <c r="G125" s="754"/>
      <c r="H125" s="754"/>
      <c r="I125" s="754"/>
      <c r="J125" s="754"/>
      <c r="K125" s="754"/>
      <c r="L125" s="754"/>
      <c r="M125" s="754"/>
      <c r="N125" s="754"/>
      <c r="O125" s="754"/>
      <c r="P125" s="754"/>
      <c r="Q125" s="754"/>
      <c r="R125" s="755"/>
    </row>
    <row r="126" spans="2:18" x14ac:dyDescent="0.2">
      <c r="B126" s="753"/>
      <c r="C126" s="754"/>
      <c r="D126" s="754"/>
      <c r="E126" s="754"/>
      <c r="F126" s="754"/>
      <c r="G126" s="754"/>
      <c r="H126" s="754"/>
      <c r="I126" s="754"/>
      <c r="J126" s="754"/>
      <c r="K126" s="754"/>
      <c r="L126" s="754"/>
      <c r="M126" s="754"/>
      <c r="N126" s="754"/>
      <c r="O126" s="754"/>
      <c r="P126" s="754"/>
      <c r="Q126" s="754"/>
      <c r="R126" s="755"/>
    </row>
    <row r="127" spans="2:18" x14ac:dyDescent="0.2">
      <c r="B127" s="753"/>
      <c r="C127" s="754"/>
      <c r="D127" s="754"/>
      <c r="E127" s="754"/>
      <c r="F127" s="754"/>
      <c r="G127" s="754"/>
      <c r="H127" s="754"/>
      <c r="I127" s="754"/>
      <c r="J127" s="754"/>
      <c r="K127" s="754"/>
      <c r="L127" s="754"/>
      <c r="M127" s="754"/>
      <c r="N127" s="754"/>
      <c r="O127" s="754"/>
      <c r="P127" s="754"/>
      <c r="Q127" s="754"/>
      <c r="R127" s="755"/>
    </row>
    <row r="128" spans="2:18" x14ac:dyDescent="0.2">
      <c r="B128" s="753"/>
      <c r="C128" s="754"/>
      <c r="D128" s="754"/>
      <c r="E128" s="754"/>
      <c r="F128" s="754"/>
      <c r="G128" s="754"/>
      <c r="H128" s="754"/>
      <c r="I128" s="754"/>
      <c r="J128" s="754"/>
      <c r="K128" s="754"/>
      <c r="L128" s="754"/>
      <c r="M128" s="754"/>
      <c r="N128" s="754"/>
      <c r="O128" s="754"/>
      <c r="P128" s="754"/>
      <c r="Q128" s="754"/>
      <c r="R128" s="755"/>
    </row>
    <row r="129" spans="2:18" x14ac:dyDescent="0.2">
      <c r="B129" s="753"/>
      <c r="C129" s="754"/>
      <c r="D129" s="754"/>
      <c r="E129" s="754"/>
      <c r="F129" s="754"/>
      <c r="G129" s="754"/>
      <c r="H129" s="754"/>
      <c r="I129" s="754"/>
      <c r="J129" s="754"/>
      <c r="K129" s="754"/>
      <c r="L129" s="754"/>
      <c r="M129" s="754"/>
      <c r="N129" s="754"/>
      <c r="O129" s="754"/>
      <c r="P129" s="754"/>
      <c r="Q129" s="754"/>
      <c r="R129" s="755"/>
    </row>
    <row r="130" spans="2:18" x14ac:dyDescent="0.2">
      <c r="B130" s="753"/>
      <c r="C130" s="754"/>
      <c r="D130" s="754"/>
      <c r="E130" s="754"/>
      <c r="F130" s="754"/>
      <c r="G130" s="754"/>
      <c r="H130" s="754"/>
      <c r="I130" s="754"/>
      <c r="J130" s="754"/>
      <c r="K130" s="754"/>
      <c r="L130" s="754"/>
      <c r="M130" s="754"/>
      <c r="N130" s="754"/>
      <c r="O130" s="754"/>
      <c r="P130" s="754"/>
      <c r="Q130" s="754"/>
      <c r="R130" s="755"/>
    </row>
    <row r="131" spans="2:18" x14ac:dyDescent="0.2">
      <c r="B131" s="753"/>
      <c r="C131" s="754"/>
      <c r="D131" s="754"/>
      <c r="E131" s="754"/>
      <c r="F131" s="754"/>
      <c r="G131" s="754"/>
      <c r="H131" s="754"/>
      <c r="I131" s="754"/>
      <c r="J131" s="754"/>
      <c r="K131" s="754"/>
      <c r="L131" s="754"/>
      <c r="M131" s="754"/>
      <c r="N131" s="754"/>
      <c r="O131" s="754"/>
      <c r="P131" s="754"/>
      <c r="Q131" s="754"/>
      <c r="R131" s="755"/>
    </row>
    <row r="132" spans="2:18" x14ac:dyDescent="0.2">
      <c r="B132" s="753"/>
      <c r="C132" s="754"/>
      <c r="D132" s="754"/>
      <c r="E132" s="754"/>
      <c r="F132" s="754"/>
      <c r="G132" s="754"/>
      <c r="H132" s="754"/>
      <c r="I132" s="754"/>
      <c r="J132" s="754"/>
      <c r="K132" s="754"/>
      <c r="L132" s="754"/>
      <c r="M132" s="754"/>
      <c r="N132" s="754"/>
      <c r="O132" s="754"/>
      <c r="P132" s="754"/>
      <c r="Q132" s="754"/>
      <c r="R132" s="755"/>
    </row>
    <row r="133" spans="2:18" x14ac:dyDescent="0.2">
      <c r="B133" s="753"/>
      <c r="C133" s="754"/>
      <c r="D133" s="754"/>
      <c r="E133" s="754"/>
      <c r="F133" s="754"/>
      <c r="G133" s="754"/>
      <c r="H133" s="754"/>
      <c r="I133" s="754"/>
      <c r="J133" s="754"/>
      <c r="K133" s="754"/>
      <c r="L133" s="754"/>
      <c r="M133" s="754"/>
      <c r="N133" s="754"/>
      <c r="O133" s="754"/>
      <c r="P133" s="754"/>
      <c r="Q133" s="754"/>
      <c r="R133" s="755"/>
    </row>
    <row r="134" spans="2:18" x14ac:dyDescent="0.2">
      <c r="B134" s="753"/>
      <c r="C134" s="754"/>
      <c r="D134" s="754"/>
      <c r="E134" s="754"/>
      <c r="F134" s="754"/>
      <c r="G134" s="754"/>
      <c r="H134" s="754"/>
      <c r="I134" s="754"/>
      <c r="J134" s="754"/>
      <c r="K134" s="754"/>
      <c r="L134" s="754"/>
      <c r="M134" s="754"/>
      <c r="N134" s="754"/>
      <c r="O134" s="754"/>
      <c r="P134" s="754"/>
      <c r="Q134" s="754"/>
      <c r="R134" s="755"/>
    </row>
    <row r="135" spans="2:18" x14ac:dyDescent="0.2">
      <c r="B135" s="753"/>
      <c r="C135" s="754"/>
      <c r="D135" s="754"/>
      <c r="E135" s="754"/>
      <c r="F135" s="754"/>
      <c r="G135" s="754"/>
      <c r="H135" s="754"/>
      <c r="I135" s="754"/>
      <c r="J135" s="754"/>
      <c r="K135" s="754"/>
      <c r="L135" s="754"/>
      <c r="M135" s="754"/>
      <c r="N135" s="754"/>
      <c r="O135" s="754"/>
      <c r="P135" s="754"/>
      <c r="Q135" s="754"/>
      <c r="R135" s="755"/>
    </row>
    <row r="136" spans="2:18" x14ac:dyDescent="0.2">
      <c r="B136" s="753"/>
      <c r="C136" s="754"/>
      <c r="D136" s="754"/>
      <c r="E136" s="754"/>
      <c r="F136" s="754"/>
      <c r="G136" s="754"/>
      <c r="H136" s="754"/>
      <c r="I136" s="754"/>
      <c r="J136" s="754"/>
      <c r="K136" s="754"/>
      <c r="L136" s="754"/>
      <c r="M136" s="754"/>
      <c r="N136" s="754"/>
      <c r="O136" s="754"/>
      <c r="P136" s="754"/>
      <c r="Q136" s="754"/>
      <c r="R136" s="755"/>
    </row>
    <row r="137" spans="2:18" x14ac:dyDescent="0.2">
      <c r="B137" s="753"/>
      <c r="C137" s="754"/>
      <c r="D137" s="754"/>
      <c r="E137" s="754"/>
      <c r="F137" s="754"/>
      <c r="G137" s="754"/>
      <c r="H137" s="754"/>
      <c r="I137" s="754"/>
      <c r="J137" s="754"/>
      <c r="K137" s="754"/>
      <c r="L137" s="754"/>
      <c r="M137" s="754"/>
      <c r="N137" s="754"/>
      <c r="O137" s="754"/>
      <c r="P137" s="754"/>
      <c r="Q137" s="754"/>
      <c r="R137" s="755"/>
    </row>
    <row r="138" spans="2:18" x14ac:dyDescent="0.2">
      <c r="B138" s="753"/>
      <c r="C138" s="754"/>
      <c r="D138" s="754"/>
      <c r="E138" s="754"/>
      <c r="F138" s="754"/>
      <c r="G138" s="754"/>
      <c r="H138" s="754"/>
      <c r="I138" s="754"/>
      <c r="J138" s="754"/>
      <c r="K138" s="754"/>
      <c r="L138" s="754"/>
      <c r="M138" s="754"/>
      <c r="N138" s="754"/>
      <c r="O138" s="754"/>
      <c r="P138" s="754"/>
      <c r="Q138" s="754"/>
      <c r="R138" s="755"/>
    </row>
    <row r="139" spans="2:18" x14ac:dyDescent="0.2">
      <c r="B139" s="753"/>
      <c r="C139" s="754"/>
      <c r="D139" s="754"/>
      <c r="E139" s="754"/>
      <c r="F139" s="754"/>
      <c r="G139" s="754"/>
      <c r="H139" s="754"/>
      <c r="I139" s="754"/>
      <c r="J139" s="754"/>
      <c r="K139" s="754"/>
      <c r="L139" s="754"/>
      <c r="M139" s="754"/>
      <c r="N139" s="754"/>
      <c r="O139" s="754"/>
      <c r="P139" s="754"/>
      <c r="Q139" s="754"/>
      <c r="R139" s="755"/>
    </row>
    <row r="140" spans="2:18" x14ac:dyDescent="0.2">
      <c r="B140" s="753"/>
      <c r="C140" s="754"/>
      <c r="D140" s="754"/>
      <c r="E140" s="754"/>
      <c r="F140" s="754"/>
      <c r="G140" s="754"/>
      <c r="H140" s="754"/>
      <c r="I140" s="754"/>
      <c r="J140" s="754"/>
      <c r="K140" s="754"/>
      <c r="L140" s="754"/>
      <c r="M140" s="754"/>
      <c r="N140" s="754"/>
      <c r="O140" s="754"/>
      <c r="P140" s="754"/>
      <c r="Q140" s="754"/>
      <c r="R140" s="755"/>
    </row>
    <row r="141" spans="2:18" x14ac:dyDescent="0.2">
      <c r="B141" s="753"/>
      <c r="C141" s="754"/>
      <c r="D141" s="754"/>
      <c r="E141" s="754"/>
      <c r="F141" s="754"/>
      <c r="G141" s="754"/>
      <c r="H141" s="754"/>
      <c r="I141" s="754"/>
      <c r="J141" s="754"/>
      <c r="K141" s="754"/>
      <c r="L141" s="754"/>
      <c r="M141" s="754"/>
      <c r="N141" s="754"/>
      <c r="O141" s="754"/>
      <c r="P141" s="754"/>
      <c r="Q141" s="754"/>
      <c r="R141" s="755"/>
    </row>
    <row r="142" spans="2:18" x14ac:dyDescent="0.2">
      <c r="B142" s="753"/>
      <c r="C142" s="754"/>
      <c r="D142" s="754"/>
      <c r="E142" s="754"/>
      <c r="F142" s="754"/>
      <c r="G142" s="754"/>
      <c r="H142" s="754"/>
      <c r="I142" s="754"/>
      <c r="J142" s="754"/>
      <c r="K142" s="754"/>
      <c r="L142" s="754"/>
      <c r="M142" s="754"/>
      <c r="N142" s="754"/>
      <c r="O142" s="754"/>
      <c r="P142" s="754"/>
      <c r="Q142" s="754"/>
      <c r="R142" s="755"/>
    </row>
    <row r="143" spans="2:18" x14ac:dyDescent="0.2">
      <c r="B143" s="753"/>
      <c r="C143" s="754"/>
      <c r="D143" s="754"/>
      <c r="E143" s="754"/>
      <c r="F143" s="754"/>
      <c r="G143" s="754"/>
      <c r="H143" s="754"/>
      <c r="I143" s="754"/>
      <c r="J143" s="754"/>
      <c r="K143" s="754"/>
      <c r="L143" s="754"/>
      <c r="M143" s="754"/>
      <c r="N143" s="754"/>
      <c r="O143" s="754"/>
      <c r="P143" s="754"/>
      <c r="Q143" s="754"/>
      <c r="R143" s="755"/>
    </row>
    <row r="144" spans="2:18" x14ac:dyDescent="0.2">
      <c r="B144" s="753"/>
      <c r="C144" s="754"/>
      <c r="D144" s="754"/>
      <c r="E144" s="754"/>
      <c r="F144" s="754"/>
      <c r="G144" s="754"/>
      <c r="H144" s="754"/>
      <c r="I144" s="754"/>
      <c r="J144" s="754"/>
      <c r="K144" s="754"/>
      <c r="L144" s="754"/>
      <c r="M144" s="754"/>
      <c r="N144" s="754"/>
      <c r="O144" s="754"/>
      <c r="P144" s="754"/>
      <c r="Q144" s="754"/>
      <c r="R144" s="755"/>
    </row>
    <row r="145" spans="2:18" x14ac:dyDescent="0.2">
      <c r="B145" s="753"/>
      <c r="C145" s="754"/>
      <c r="D145" s="754"/>
      <c r="E145" s="754"/>
      <c r="F145" s="754"/>
      <c r="G145" s="754"/>
      <c r="H145" s="754"/>
      <c r="I145" s="754"/>
      <c r="J145" s="754"/>
      <c r="K145" s="754"/>
      <c r="L145" s="754"/>
      <c r="M145" s="754"/>
      <c r="N145" s="754"/>
      <c r="O145" s="754"/>
      <c r="P145" s="754"/>
      <c r="Q145" s="754"/>
      <c r="R145" s="755"/>
    </row>
    <row r="146" spans="2:18" x14ac:dyDescent="0.2">
      <c r="B146" s="753"/>
      <c r="C146" s="754"/>
      <c r="D146" s="754"/>
      <c r="E146" s="754"/>
      <c r="F146" s="754"/>
      <c r="G146" s="754"/>
      <c r="H146" s="754"/>
      <c r="I146" s="754"/>
      <c r="J146" s="754"/>
      <c r="K146" s="754"/>
      <c r="L146" s="754"/>
      <c r="M146" s="754"/>
      <c r="N146" s="754"/>
      <c r="O146" s="754"/>
      <c r="P146" s="754"/>
      <c r="Q146" s="754"/>
      <c r="R146" s="755"/>
    </row>
    <row r="147" spans="2:18" x14ac:dyDescent="0.2">
      <c r="B147" s="753"/>
      <c r="C147" s="754"/>
      <c r="D147" s="754"/>
      <c r="E147" s="754"/>
      <c r="F147" s="754"/>
      <c r="G147" s="754"/>
      <c r="H147" s="754"/>
      <c r="I147" s="754"/>
      <c r="J147" s="754"/>
      <c r="K147" s="754"/>
      <c r="L147" s="754"/>
      <c r="M147" s="754"/>
      <c r="N147" s="754"/>
      <c r="O147" s="754"/>
      <c r="P147" s="754"/>
      <c r="Q147" s="754"/>
      <c r="R147" s="755"/>
    </row>
    <row r="148" spans="2:18" x14ac:dyDescent="0.2">
      <c r="B148" s="753"/>
      <c r="C148" s="754"/>
      <c r="D148" s="754"/>
      <c r="E148" s="754"/>
      <c r="F148" s="754"/>
      <c r="G148" s="754"/>
      <c r="H148" s="754"/>
      <c r="I148" s="754"/>
      <c r="J148" s="754"/>
      <c r="K148" s="754"/>
      <c r="L148" s="754"/>
      <c r="M148" s="754"/>
      <c r="N148" s="754"/>
      <c r="O148" s="754"/>
      <c r="P148" s="754"/>
      <c r="Q148" s="754"/>
      <c r="R148" s="755"/>
    </row>
    <row r="149" spans="2:18" x14ac:dyDescent="0.2">
      <c r="B149" s="753"/>
      <c r="C149" s="754"/>
      <c r="D149" s="754"/>
      <c r="E149" s="754"/>
      <c r="F149" s="754"/>
      <c r="G149" s="754"/>
      <c r="H149" s="754"/>
      <c r="I149" s="754"/>
      <c r="J149" s="754"/>
      <c r="K149" s="754"/>
      <c r="L149" s="754"/>
      <c r="M149" s="754"/>
      <c r="N149" s="754"/>
      <c r="O149" s="754"/>
      <c r="P149" s="754"/>
      <c r="Q149" s="754"/>
      <c r="R149" s="755"/>
    </row>
    <row r="150" spans="2:18" x14ac:dyDescent="0.2">
      <c r="B150" s="753"/>
      <c r="C150" s="754"/>
      <c r="D150" s="754"/>
      <c r="E150" s="754"/>
      <c r="F150" s="754"/>
      <c r="G150" s="754"/>
      <c r="H150" s="754"/>
      <c r="I150" s="754"/>
      <c r="J150" s="754"/>
      <c r="K150" s="754"/>
      <c r="L150" s="754"/>
      <c r="M150" s="754"/>
      <c r="N150" s="754"/>
      <c r="O150" s="754"/>
      <c r="P150" s="754"/>
      <c r="Q150" s="754"/>
      <c r="R150" s="755"/>
    </row>
    <row r="151" spans="2:18" x14ac:dyDescent="0.2">
      <c r="B151" s="753"/>
      <c r="C151" s="754"/>
      <c r="D151" s="754"/>
      <c r="E151" s="754"/>
      <c r="F151" s="754"/>
      <c r="G151" s="754"/>
      <c r="H151" s="754"/>
      <c r="I151" s="754"/>
      <c r="J151" s="754"/>
      <c r="K151" s="754"/>
      <c r="L151" s="754"/>
      <c r="M151" s="754"/>
      <c r="N151" s="754"/>
      <c r="O151" s="754"/>
      <c r="P151" s="754"/>
      <c r="Q151" s="754"/>
      <c r="R151" s="755"/>
    </row>
    <row r="152" spans="2:18" x14ac:dyDescent="0.2">
      <c r="B152" s="753"/>
      <c r="C152" s="754"/>
      <c r="D152" s="754"/>
      <c r="E152" s="754"/>
      <c r="F152" s="754"/>
      <c r="G152" s="754"/>
      <c r="H152" s="754"/>
      <c r="I152" s="754"/>
      <c r="J152" s="754"/>
      <c r="K152" s="754"/>
      <c r="L152" s="754"/>
      <c r="M152" s="754"/>
      <c r="N152" s="754"/>
      <c r="O152" s="754"/>
      <c r="P152" s="754"/>
      <c r="Q152" s="754"/>
      <c r="R152" s="755"/>
    </row>
    <row r="153" spans="2:18" x14ac:dyDescent="0.2">
      <c r="B153" s="753"/>
      <c r="C153" s="754"/>
      <c r="D153" s="754"/>
      <c r="E153" s="754"/>
      <c r="F153" s="754"/>
      <c r="G153" s="754"/>
      <c r="H153" s="754"/>
      <c r="I153" s="754"/>
      <c r="J153" s="754"/>
      <c r="K153" s="754"/>
      <c r="L153" s="754"/>
      <c r="M153" s="754"/>
      <c r="N153" s="754"/>
      <c r="O153" s="754"/>
      <c r="P153" s="754"/>
      <c r="Q153" s="754"/>
      <c r="R153" s="755"/>
    </row>
    <row r="154" spans="2:18" x14ac:dyDescent="0.2">
      <c r="B154" s="753"/>
      <c r="C154" s="754"/>
      <c r="D154" s="754"/>
      <c r="E154" s="754"/>
      <c r="F154" s="754"/>
      <c r="G154" s="754"/>
      <c r="H154" s="754"/>
      <c r="I154" s="754"/>
      <c r="J154" s="754"/>
      <c r="K154" s="754"/>
      <c r="L154" s="754"/>
      <c r="M154" s="754"/>
      <c r="N154" s="754"/>
      <c r="O154" s="754"/>
      <c r="P154" s="754"/>
      <c r="Q154" s="754"/>
      <c r="R154" s="755"/>
    </row>
    <row r="155" spans="2:18" x14ac:dyDescent="0.2">
      <c r="B155" s="753"/>
      <c r="C155" s="754"/>
      <c r="D155" s="754"/>
      <c r="E155" s="754"/>
      <c r="F155" s="754"/>
      <c r="G155" s="754"/>
      <c r="H155" s="754"/>
      <c r="I155" s="754"/>
      <c r="J155" s="754"/>
      <c r="K155" s="754"/>
      <c r="L155" s="754"/>
      <c r="M155" s="754"/>
      <c r="N155" s="754"/>
      <c r="O155" s="754"/>
      <c r="P155" s="754"/>
      <c r="Q155" s="754"/>
      <c r="R155" s="755"/>
    </row>
    <row r="156" spans="2:18" x14ac:dyDescent="0.2">
      <c r="B156" s="753"/>
      <c r="C156" s="754"/>
      <c r="D156" s="754"/>
      <c r="E156" s="754"/>
      <c r="F156" s="754"/>
      <c r="G156" s="754"/>
      <c r="H156" s="754"/>
      <c r="I156" s="754"/>
      <c r="J156" s="754"/>
      <c r="K156" s="754"/>
      <c r="L156" s="754"/>
      <c r="M156" s="754"/>
      <c r="N156" s="754"/>
      <c r="O156" s="754"/>
      <c r="P156" s="754"/>
      <c r="Q156" s="754"/>
      <c r="R156" s="755"/>
    </row>
    <row r="157" spans="2:18" x14ac:dyDescent="0.2">
      <c r="B157" s="753"/>
      <c r="C157" s="754"/>
      <c r="D157" s="754"/>
      <c r="E157" s="754"/>
      <c r="F157" s="754"/>
      <c r="G157" s="754"/>
      <c r="H157" s="754"/>
      <c r="I157" s="754"/>
      <c r="J157" s="754"/>
      <c r="K157" s="754"/>
      <c r="L157" s="754"/>
      <c r="M157" s="754"/>
      <c r="N157" s="754"/>
      <c r="O157" s="754"/>
      <c r="P157" s="754"/>
      <c r="Q157" s="754"/>
      <c r="R157" s="755"/>
    </row>
    <row r="158" spans="2:18" x14ac:dyDescent="0.2">
      <c r="B158" s="753"/>
      <c r="C158" s="754"/>
      <c r="D158" s="754"/>
      <c r="E158" s="754"/>
      <c r="F158" s="754"/>
      <c r="G158" s="754"/>
      <c r="H158" s="754"/>
      <c r="I158" s="754"/>
      <c r="J158" s="754"/>
      <c r="K158" s="754"/>
      <c r="L158" s="754"/>
      <c r="M158" s="754"/>
      <c r="N158" s="754"/>
      <c r="O158" s="754"/>
      <c r="P158" s="754"/>
      <c r="Q158" s="754"/>
      <c r="R158" s="755"/>
    </row>
    <row r="159" spans="2:18" x14ac:dyDescent="0.2">
      <c r="B159" s="753"/>
      <c r="C159" s="754"/>
      <c r="D159" s="754"/>
      <c r="E159" s="754"/>
      <c r="F159" s="754"/>
      <c r="G159" s="754"/>
      <c r="H159" s="754"/>
      <c r="I159" s="754"/>
      <c r="J159" s="754"/>
      <c r="K159" s="754"/>
      <c r="L159" s="754"/>
      <c r="M159" s="754"/>
      <c r="N159" s="754"/>
      <c r="O159" s="754"/>
      <c r="P159" s="754"/>
      <c r="Q159" s="754"/>
      <c r="R159" s="755"/>
    </row>
    <row r="160" spans="2:18" x14ac:dyDescent="0.2">
      <c r="B160" s="753"/>
      <c r="C160" s="754"/>
      <c r="D160" s="754"/>
      <c r="E160" s="754"/>
      <c r="F160" s="754"/>
      <c r="G160" s="754"/>
      <c r="H160" s="754"/>
      <c r="I160" s="754"/>
      <c r="J160" s="754"/>
      <c r="K160" s="754"/>
      <c r="L160" s="754"/>
      <c r="M160" s="754"/>
      <c r="N160" s="754"/>
      <c r="O160" s="754"/>
      <c r="P160" s="754"/>
      <c r="Q160" s="754"/>
      <c r="R160" s="755"/>
    </row>
    <row r="161" spans="2:18" x14ac:dyDescent="0.2">
      <c r="B161" s="753"/>
      <c r="C161" s="754"/>
      <c r="D161" s="754"/>
      <c r="E161" s="754"/>
      <c r="F161" s="754"/>
      <c r="G161" s="754"/>
      <c r="H161" s="754"/>
      <c r="I161" s="754"/>
      <c r="J161" s="754"/>
      <c r="K161" s="754"/>
      <c r="L161" s="754"/>
      <c r="M161" s="754"/>
      <c r="N161" s="754"/>
      <c r="O161" s="754"/>
      <c r="P161" s="754"/>
      <c r="Q161" s="754"/>
      <c r="R161" s="755"/>
    </row>
    <row r="162" spans="2:18" x14ac:dyDescent="0.2">
      <c r="B162" s="753"/>
      <c r="C162" s="754"/>
      <c r="D162" s="754"/>
      <c r="E162" s="754"/>
      <c r="F162" s="754"/>
      <c r="G162" s="754"/>
      <c r="H162" s="754"/>
      <c r="I162" s="754"/>
      <c r="J162" s="754"/>
      <c r="K162" s="754"/>
      <c r="L162" s="754"/>
      <c r="M162" s="754"/>
      <c r="N162" s="754"/>
      <c r="O162" s="754"/>
      <c r="P162" s="754"/>
      <c r="Q162" s="754"/>
      <c r="R162" s="755"/>
    </row>
    <row r="163" spans="2:18" x14ac:dyDescent="0.2">
      <c r="B163" s="753"/>
      <c r="C163" s="754"/>
      <c r="D163" s="754"/>
      <c r="E163" s="754"/>
      <c r="F163" s="754"/>
      <c r="G163" s="754"/>
      <c r="H163" s="754"/>
      <c r="I163" s="754"/>
      <c r="J163" s="754"/>
      <c r="K163" s="754"/>
      <c r="L163" s="754"/>
      <c r="M163" s="754"/>
      <c r="N163" s="754"/>
      <c r="O163" s="754"/>
      <c r="P163" s="754"/>
      <c r="Q163" s="754"/>
      <c r="R163" s="755"/>
    </row>
    <row r="164" spans="2:18" x14ac:dyDescent="0.2">
      <c r="B164" s="753"/>
      <c r="C164" s="754"/>
      <c r="D164" s="754"/>
      <c r="E164" s="754"/>
      <c r="F164" s="754"/>
      <c r="G164" s="754"/>
      <c r="H164" s="754"/>
      <c r="I164" s="754"/>
      <c r="J164" s="754"/>
      <c r="K164" s="754"/>
      <c r="L164" s="754"/>
      <c r="M164" s="754"/>
      <c r="N164" s="754"/>
      <c r="O164" s="754"/>
      <c r="P164" s="754"/>
      <c r="Q164" s="754"/>
      <c r="R164" s="755"/>
    </row>
    <row r="165" spans="2:18" x14ac:dyDescent="0.2">
      <c r="B165" s="753"/>
      <c r="C165" s="754"/>
      <c r="D165" s="754"/>
      <c r="E165" s="754"/>
      <c r="F165" s="754"/>
      <c r="G165" s="754"/>
      <c r="H165" s="754"/>
      <c r="I165" s="754"/>
      <c r="J165" s="754"/>
      <c r="K165" s="754"/>
      <c r="L165" s="754"/>
      <c r="M165" s="754"/>
      <c r="N165" s="754"/>
      <c r="O165" s="754"/>
      <c r="P165" s="754"/>
      <c r="Q165" s="754"/>
      <c r="R165" s="755"/>
    </row>
    <row r="166" spans="2:18" x14ac:dyDescent="0.2">
      <c r="B166" s="753"/>
      <c r="C166" s="754"/>
      <c r="D166" s="754"/>
      <c r="E166" s="754"/>
      <c r="F166" s="754"/>
      <c r="G166" s="754"/>
      <c r="H166" s="754"/>
      <c r="I166" s="754"/>
      <c r="J166" s="754"/>
      <c r="K166" s="754"/>
      <c r="L166" s="754"/>
      <c r="M166" s="754"/>
      <c r="N166" s="754"/>
      <c r="O166" s="754"/>
      <c r="P166" s="754"/>
      <c r="Q166" s="754"/>
      <c r="R166" s="755"/>
    </row>
    <row r="167" spans="2:18" x14ac:dyDescent="0.2">
      <c r="B167" s="753"/>
      <c r="C167" s="754"/>
      <c r="D167" s="754"/>
      <c r="E167" s="754"/>
      <c r="F167" s="754"/>
      <c r="G167" s="754"/>
      <c r="H167" s="754"/>
      <c r="I167" s="754"/>
      <c r="J167" s="754"/>
      <c r="K167" s="754"/>
      <c r="L167" s="754"/>
      <c r="M167" s="754"/>
      <c r="N167" s="754"/>
      <c r="O167" s="754"/>
      <c r="P167" s="754"/>
      <c r="Q167" s="754"/>
      <c r="R167" s="755"/>
    </row>
    <row r="168" spans="2:18" x14ac:dyDescent="0.2">
      <c r="B168" s="753"/>
      <c r="C168" s="754"/>
      <c r="D168" s="754"/>
      <c r="E168" s="754"/>
      <c r="F168" s="754"/>
      <c r="G168" s="754"/>
      <c r="H168" s="754"/>
      <c r="I168" s="754"/>
      <c r="J168" s="754"/>
      <c r="K168" s="754"/>
      <c r="L168" s="754"/>
      <c r="M168" s="754"/>
      <c r="N168" s="754"/>
      <c r="O168" s="754"/>
      <c r="P168" s="754"/>
      <c r="Q168" s="754"/>
      <c r="R168" s="755"/>
    </row>
    <row r="169" spans="2:18" x14ac:dyDescent="0.2">
      <c r="B169" s="753"/>
      <c r="C169" s="754"/>
      <c r="D169" s="754"/>
      <c r="E169" s="754"/>
      <c r="F169" s="754"/>
      <c r="G169" s="754"/>
      <c r="H169" s="754"/>
      <c r="I169" s="754"/>
      <c r="J169" s="754"/>
      <c r="K169" s="754"/>
      <c r="L169" s="754"/>
      <c r="M169" s="754"/>
      <c r="N169" s="754"/>
      <c r="O169" s="754"/>
      <c r="P169" s="754"/>
      <c r="Q169" s="754"/>
      <c r="R169" s="755"/>
    </row>
    <row r="170" spans="2:18" x14ac:dyDescent="0.2">
      <c r="B170" s="753"/>
      <c r="C170" s="754"/>
      <c r="D170" s="754"/>
      <c r="E170" s="754"/>
      <c r="F170" s="754"/>
      <c r="G170" s="754"/>
      <c r="H170" s="754"/>
      <c r="I170" s="754"/>
      <c r="J170" s="754"/>
      <c r="K170" s="754"/>
      <c r="L170" s="754"/>
      <c r="M170" s="754"/>
      <c r="N170" s="754"/>
      <c r="O170" s="754"/>
      <c r="P170" s="754"/>
      <c r="Q170" s="754"/>
      <c r="R170" s="755"/>
    </row>
    <row r="171" spans="2:18" x14ac:dyDescent="0.2">
      <c r="B171" s="753"/>
      <c r="C171" s="754"/>
      <c r="D171" s="754"/>
      <c r="E171" s="754"/>
      <c r="F171" s="754"/>
      <c r="G171" s="754"/>
      <c r="H171" s="754"/>
      <c r="I171" s="754"/>
      <c r="J171" s="754"/>
      <c r="K171" s="754"/>
      <c r="L171" s="754"/>
      <c r="M171" s="754"/>
      <c r="N171" s="754"/>
      <c r="O171" s="754"/>
      <c r="P171" s="754"/>
      <c r="Q171" s="754"/>
      <c r="R171" s="755"/>
    </row>
    <row r="172" spans="2:18" x14ac:dyDescent="0.2">
      <c r="B172" s="753"/>
      <c r="C172" s="754"/>
      <c r="D172" s="754"/>
      <c r="E172" s="754"/>
      <c r="F172" s="754"/>
      <c r="G172" s="754"/>
      <c r="H172" s="754"/>
      <c r="I172" s="754"/>
      <c r="J172" s="754"/>
      <c r="K172" s="754"/>
      <c r="L172" s="754"/>
      <c r="M172" s="754"/>
      <c r="N172" s="754"/>
      <c r="O172" s="754"/>
      <c r="P172" s="754"/>
      <c r="Q172" s="754"/>
      <c r="R172" s="755"/>
    </row>
    <row r="173" spans="2:18" x14ac:dyDescent="0.2">
      <c r="B173" s="753"/>
      <c r="C173" s="754"/>
      <c r="D173" s="754"/>
      <c r="E173" s="754"/>
      <c r="F173" s="754"/>
      <c r="G173" s="754"/>
      <c r="H173" s="754"/>
      <c r="I173" s="754"/>
      <c r="J173" s="754"/>
      <c r="K173" s="754"/>
      <c r="L173" s="754"/>
      <c r="M173" s="754"/>
      <c r="N173" s="754"/>
      <c r="O173" s="754"/>
      <c r="P173" s="754"/>
      <c r="Q173" s="754"/>
      <c r="R173" s="755"/>
    </row>
    <row r="174" spans="2:18" x14ac:dyDescent="0.2">
      <c r="B174" s="753"/>
      <c r="C174" s="754"/>
      <c r="D174" s="754"/>
      <c r="E174" s="754"/>
      <c r="F174" s="754"/>
      <c r="G174" s="754"/>
      <c r="H174" s="754"/>
      <c r="I174" s="754"/>
      <c r="J174" s="754"/>
      <c r="K174" s="754"/>
      <c r="L174" s="754"/>
      <c r="M174" s="754"/>
      <c r="N174" s="754"/>
      <c r="O174" s="754"/>
      <c r="P174" s="754"/>
      <c r="Q174" s="754"/>
      <c r="R174" s="755"/>
    </row>
    <row r="175" spans="2:18" x14ac:dyDescent="0.2">
      <c r="B175" s="753"/>
      <c r="C175" s="754"/>
      <c r="D175" s="754"/>
      <c r="E175" s="754"/>
      <c r="F175" s="754"/>
      <c r="G175" s="754"/>
      <c r="H175" s="754"/>
      <c r="I175" s="754"/>
      <c r="J175" s="754"/>
      <c r="K175" s="754"/>
      <c r="L175" s="754"/>
      <c r="M175" s="754"/>
      <c r="N175" s="754"/>
      <c r="O175" s="754"/>
      <c r="P175" s="754"/>
      <c r="Q175" s="754"/>
      <c r="R175" s="755"/>
    </row>
    <row r="176" spans="2:18" x14ac:dyDescent="0.2">
      <c r="B176" s="753"/>
      <c r="C176" s="754"/>
      <c r="D176" s="754"/>
      <c r="E176" s="754"/>
      <c r="F176" s="754"/>
      <c r="G176" s="754"/>
      <c r="H176" s="754"/>
      <c r="I176" s="754"/>
      <c r="J176" s="754"/>
      <c r="K176" s="754"/>
      <c r="L176" s="754"/>
      <c r="M176" s="754"/>
      <c r="N176" s="754"/>
      <c r="O176" s="754"/>
      <c r="P176" s="754"/>
      <c r="Q176" s="754"/>
      <c r="R176" s="755"/>
    </row>
    <row r="177" spans="2:18" x14ac:dyDescent="0.2">
      <c r="B177" s="753"/>
      <c r="C177" s="754"/>
      <c r="D177" s="754"/>
      <c r="E177" s="754"/>
      <c r="F177" s="754"/>
      <c r="G177" s="754"/>
      <c r="H177" s="754"/>
      <c r="I177" s="754"/>
      <c r="J177" s="754"/>
      <c r="K177" s="754"/>
      <c r="L177" s="754"/>
      <c r="M177" s="754"/>
      <c r="N177" s="754"/>
      <c r="O177" s="754"/>
      <c r="P177" s="754"/>
      <c r="Q177" s="754"/>
      <c r="R177" s="755"/>
    </row>
    <row r="178" spans="2:18" x14ac:dyDescent="0.2">
      <c r="B178" s="753"/>
      <c r="C178" s="754"/>
      <c r="D178" s="754"/>
      <c r="E178" s="754"/>
      <c r="F178" s="754"/>
      <c r="G178" s="754"/>
      <c r="H178" s="754"/>
      <c r="I178" s="754"/>
      <c r="J178" s="754"/>
      <c r="K178" s="754"/>
      <c r="L178" s="754"/>
      <c r="M178" s="754"/>
      <c r="N178" s="754"/>
      <c r="O178" s="754"/>
      <c r="P178" s="754"/>
      <c r="Q178" s="754"/>
      <c r="R178" s="755"/>
    </row>
    <row r="179" spans="2:18" x14ac:dyDescent="0.2">
      <c r="B179" s="753"/>
      <c r="C179" s="754"/>
      <c r="D179" s="754"/>
      <c r="E179" s="754"/>
      <c r="F179" s="754"/>
      <c r="G179" s="754"/>
      <c r="H179" s="754"/>
      <c r="I179" s="754"/>
      <c r="J179" s="754"/>
      <c r="K179" s="754"/>
      <c r="L179" s="754"/>
      <c r="M179" s="754"/>
      <c r="N179" s="754"/>
      <c r="O179" s="754"/>
      <c r="P179" s="754"/>
      <c r="Q179" s="754"/>
      <c r="R179" s="755"/>
    </row>
    <row r="180" spans="2:18" x14ac:dyDescent="0.2">
      <c r="B180" s="753"/>
      <c r="C180" s="754"/>
      <c r="D180" s="754"/>
      <c r="E180" s="754"/>
      <c r="F180" s="754"/>
      <c r="G180" s="754"/>
      <c r="H180" s="754"/>
      <c r="I180" s="754"/>
      <c r="J180" s="754"/>
      <c r="K180" s="754"/>
      <c r="L180" s="754"/>
      <c r="M180" s="754"/>
      <c r="N180" s="754"/>
      <c r="O180" s="754"/>
      <c r="P180" s="754"/>
      <c r="Q180" s="754"/>
      <c r="R180" s="755"/>
    </row>
    <row r="181" spans="2:18" x14ac:dyDescent="0.2">
      <c r="B181" s="753"/>
      <c r="C181" s="754"/>
      <c r="D181" s="754"/>
      <c r="E181" s="754"/>
      <c r="F181" s="754"/>
      <c r="G181" s="754"/>
      <c r="H181" s="754"/>
      <c r="I181" s="754"/>
      <c r="J181" s="754"/>
      <c r="K181" s="754"/>
      <c r="L181" s="754"/>
      <c r="M181" s="754"/>
      <c r="N181" s="754"/>
      <c r="O181" s="754"/>
      <c r="P181" s="754"/>
      <c r="Q181" s="754"/>
      <c r="R181" s="755"/>
    </row>
    <row r="182" spans="2:18" x14ac:dyDescent="0.2">
      <c r="B182" s="753"/>
      <c r="C182" s="754"/>
      <c r="D182" s="754"/>
      <c r="E182" s="754"/>
      <c r="F182" s="754"/>
      <c r="G182" s="754"/>
      <c r="H182" s="754"/>
      <c r="I182" s="754"/>
      <c r="J182" s="754"/>
      <c r="K182" s="754"/>
      <c r="L182" s="754"/>
      <c r="M182" s="754"/>
      <c r="N182" s="754"/>
      <c r="O182" s="754"/>
      <c r="P182" s="754"/>
      <c r="Q182" s="754"/>
      <c r="R182" s="755"/>
    </row>
    <row r="183" spans="2:18" x14ac:dyDescent="0.2">
      <c r="B183" s="753"/>
      <c r="C183" s="754"/>
      <c r="D183" s="754"/>
      <c r="E183" s="754"/>
      <c r="F183" s="754"/>
      <c r="G183" s="754"/>
      <c r="H183" s="754"/>
      <c r="I183" s="754"/>
      <c r="J183" s="754"/>
      <c r="K183" s="754"/>
      <c r="L183" s="754"/>
      <c r="M183" s="754"/>
      <c r="N183" s="754"/>
      <c r="O183" s="754"/>
      <c r="P183" s="754"/>
      <c r="Q183" s="754"/>
      <c r="R183" s="755"/>
    </row>
    <row r="184" spans="2:18" x14ac:dyDescent="0.2">
      <c r="B184" s="753"/>
      <c r="C184" s="754"/>
      <c r="D184" s="754"/>
      <c r="E184" s="754"/>
      <c r="F184" s="754"/>
      <c r="G184" s="754"/>
      <c r="H184" s="754"/>
      <c r="I184" s="754"/>
      <c r="J184" s="754"/>
      <c r="K184" s="754"/>
      <c r="L184" s="754"/>
      <c r="M184" s="754"/>
      <c r="N184" s="754"/>
      <c r="O184" s="754"/>
      <c r="P184" s="754"/>
      <c r="Q184" s="754"/>
      <c r="R184" s="755"/>
    </row>
    <row r="185" spans="2:18" x14ac:dyDescent="0.2">
      <c r="B185" s="753"/>
      <c r="C185" s="754"/>
      <c r="D185" s="754"/>
      <c r="E185" s="754"/>
      <c r="F185" s="754"/>
      <c r="G185" s="754"/>
      <c r="H185" s="754"/>
      <c r="I185" s="754"/>
      <c r="J185" s="754"/>
      <c r="K185" s="754"/>
      <c r="L185" s="754"/>
      <c r="M185" s="754"/>
      <c r="N185" s="754"/>
      <c r="O185" s="754"/>
      <c r="P185" s="754"/>
      <c r="Q185" s="754"/>
      <c r="R185" s="755"/>
    </row>
    <row r="186" spans="2:18" s="208" customFormat="1" ht="15" x14ac:dyDescent="0.25">
      <c r="B186" s="148"/>
      <c r="C186" s="149"/>
      <c r="D186" s="252"/>
      <c r="E186" s="252"/>
      <c r="F186" s="252"/>
      <c r="G186" s="252"/>
      <c r="H186" s="253"/>
      <c r="I186" s="253"/>
      <c r="J186" s="253"/>
      <c r="K186" s="253"/>
      <c r="L186" s="253"/>
      <c r="M186" s="253"/>
      <c r="N186" s="253"/>
      <c r="O186" s="253"/>
      <c r="P186" s="253"/>
      <c r="Q186" s="152" t="s">
        <v>435</v>
      </c>
      <c r="R186" s="153"/>
    </row>
    <row r="265" spans="2:3" ht="13.5" customHeight="1" x14ac:dyDescent="0.3">
      <c r="B265" s="765"/>
      <c r="C265" s="765"/>
    </row>
  </sheetData>
  <sheetProtection algorithmName="SHA-512" hashValue="hDbp5LtdUAGOt2Qngpvs1/xGQ5wf+XqfWdHgCmIVhfkSb93K4zeD9rThqm2cJxAepwy6of6mrk/33rlToV4Mzw==" saltValue="EfhPpN64JvQkWuw/ctHh4A==" spinCount="100000" sheet="1" objects="1" scenarios="1"/>
  <phoneticPr fontId="0" type="noConversion"/>
  <pageMargins left="0.74803149606299213" right="0.74803149606299213" top="0.98425196850393704" bottom="0.98425196850393704" header="0.51181102362204722" footer="0.51181102362204722"/>
  <pageSetup paperSize="9" scale="56" orientation="portrait" r:id="rId1"/>
  <headerFooter alignWithMargins="0">
    <oddHeader>&amp;L&amp;"Arial,Vet"&amp;F&amp;R&amp;"Arial,Vet"&amp;A</oddHeader>
    <oddFooter>&amp;L&amp;"Arial,Vet"PO-Raad&amp;C&amp;"Arial,Vet"&amp;D&amp;R&amp;"Arial,Vet"pagina &amp;P</oddFooter>
  </headerFooter>
  <rowBreaks count="1" manualBreakCount="1">
    <brk id="95" min="1" max="18" man="1"/>
  </rowBreaks>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1"/>
  <dimension ref="A2:N110"/>
  <sheetViews>
    <sheetView zoomScale="85" zoomScaleNormal="85" workbookViewId="0">
      <selection activeCell="B2" sqref="B2"/>
    </sheetView>
  </sheetViews>
  <sheetFormatPr defaultColWidth="9.140625" defaultRowHeight="12.75" x14ac:dyDescent="0.2"/>
  <cols>
    <col min="1" max="1" width="3.7109375" style="68" customWidth="1"/>
    <col min="2" max="2" width="2.7109375" style="68" customWidth="1"/>
    <col min="3" max="3" width="2.85546875" style="68" customWidth="1"/>
    <col min="4" max="4" width="40.7109375" style="68" customWidth="1"/>
    <col min="5" max="5" width="2.7109375" style="68" customWidth="1"/>
    <col min="6" max="9" width="16.85546875" style="68" customWidth="1"/>
    <col min="10" max="11" width="2.7109375" style="68" customWidth="1"/>
    <col min="12" max="16384" width="9.140625" style="68"/>
  </cols>
  <sheetData>
    <row r="2" spans="2:11" x14ac:dyDescent="0.2">
      <c r="B2" s="63"/>
      <c r="C2" s="64"/>
      <c r="D2" s="64"/>
      <c r="E2" s="64"/>
      <c r="F2" s="64"/>
      <c r="G2" s="64"/>
      <c r="H2" s="64"/>
      <c r="I2" s="64"/>
      <c r="J2" s="64"/>
      <c r="K2" s="67"/>
    </row>
    <row r="3" spans="2:11" x14ac:dyDescent="0.2">
      <c r="B3" s="69"/>
      <c r="C3" s="70"/>
      <c r="D3" s="70"/>
      <c r="E3" s="70"/>
      <c r="F3" s="70"/>
      <c r="G3" s="70"/>
      <c r="H3" s="70"/>
      <c r="I3" s="70"/>
      <c r="J3" s="70"/>
      <c r="K3" s="73"/>
    </row>
    <row r="4" spans="2:11" s="177" customFormat="1" ht="18.75" x14ac:dyDescent="0.3">
      <c r="B4" s="80"/>
      <c r="C4" s="857" t="s">
        <v>47</v>
      </c>
      <c r="D4" s="196"/>
      <c r="E4" s="82"/>
      <c r="F4" s="650"/>
      <c r="G4" s="82"/>
      <c r="H4" s="82"/>
      <c r="I4" s="82"/>
      <c r="J4" s="82"/>
      <c r="K4" s="112"/>
    </row>
    <row r="5" spans="2:11" ht="18.75" x14ac:dyDescent="0.3">
      <c r="B5" s="612"/>
      <c r="C5" s="81" t="str">
        <f>geg!G12</f>
        <v>Basisschool</v>
      </c>
      <c r="D5" s="616"/>
      <c r="E5" s="70"/>
      <c r="F5" s="668"/>
      <c r="G5" s="70"/>
      <c r="H5" s="70"/>
      <c r="I5" s="70"/>
      <c r="J5" s="70"/>
      <c r="K5" s="73"/>
    </row>
    <row r="6" spans="2:11" x14ac:dyDescent="0.2">
      <c r="B6" s="69"/>
      <c r="C6" s="70"/>
      <c r="D6" s="70"/>
      <c r="E6" s="70"/>
      <c r="F6" s="70"/>
      <c r="G6" s="70"/>
      <c r="H6" s="70"/>
      <c r="I6" s="70"/>
      <c r="J6" s="70"/>
      <c r="K6" s="73"/>
    </row>
    <row r="7" spans="2:11" x14ac:dyDescent="0.2">
      <c r="B7" s="69"/>
      <c r="C7" s="70"/>
      <c r="D7" s="879"/>
      <c r="E7" s="879"/>
      <c r="F7" s="879"/>
      <c r="G7" s="879"/>
      <c r="H7" s="879"/>
      <c r="I7" s="879"/>
      <c r="J7" s="70"/>
      <c r="K7" s="73"/>
    </row>
    <row r="8" spans="2:11" x14ac:dyDescent="0.2">
      <c r="B8" s="69"/>
      <c r="C8" s="70"/>
      <c r="D8" s="1001" t="s">
        <v>379</v>
      </c>
      <c r="E8" s="879"/>
      <c r="F8" s="879"/>
      <c r="G8" s="879"/>
      <c r="H8" s="879"/>
      <c r="I8" s="879"/>
      <c r="J8" s="70"/>
      <c r="K8" s="73"/>
    </row>
    <row r="9" spans="2:11" x14ac:dyDescent="0.2">
      <c r="B9" s="69"/>
      <c r="C9" s="70"/>
      <c r="D9" s="1002" t="s">
        <v>616</v>
      </c>
      <c r="E9" s="879"/>
      <c r="F9" s="1259"/>
      <c r="G9" s="1259"/>
      <c r="H9" s="1259"/>
      <c r="I9" s="1004"/>
      <c r="J9" s="70"/>
      <c r="K9" s="73"/>
    </row>
    <row r="10" spans="2:11" x14ac:dyDescent="0.2">
      <c r="B10" s="69"/>
      <c r="C10" s="70"/>
      <c r="D10" s="1002" t="s">
        <v>48</v>
      </c>
      <c r="E10" s="879"/>
      <c r="F10" s="1003"/>
      <c r="G10" s="1003"/>
      <c r="H10" s="1003"/>
      <c r="I10" s="1004"/>
      <c r="J10" s="70"/>
      <c r="K10" s="73"/>
    </row>
    <row r="11" spans="2:11" x14ac:dyDescent="0.2">
      <c r="B11" s="69"/>
      <c r="C11" s="70"/>
      <c r="D11" s="1005" t="s">
        <v>39</v>
      </c>
      <c r="E11" s="879"/>
      <c r="F11" s="1003"/>
      <c r="G11" s="1003"/>
      <c r="H11" s="1003"/>
      <c r="I11" s="1004"/>
      <c r="J11" s="70"/>
      <c r="K11" s="73"/>
    </row>
    <row r="12" spans="2:11" x14ac:dyDescent="0.2">
      <c r="B12" s="69"/>
      <c r="C12" s="70"/>
      <c r="D12" s="1005" t="s">
        <v>146</v>
      </c>
      <c r="E12" s="879"/>
      <c r="F12" s="1003"/>
      <c r="G12" s="1003"/>
      <c r="H12" s="1003"/>
      <c r="I12" s="1004"/>
      <c r="J12" s="70"/>
      <c r="K12" s="73"/>
    </row>
    <row r="13" spans="2:11" x14ac:dyDescent="0.2">
      <c r="B13" s="69"/>
      <c r="C13" s="70"/>
      <c r="D13" s="1005" t="s">
        <v>442</v>
      </c>
      <c r="E13" s="879"/>
      <c r="F13" s="1003"/>
      <c r="G13" s="1003"/>
      <c r="H13" s="1003"/>
      <c r="I13" s="1004"/>
      <c r="J13" s="70"/>
      <c r="K13" s="73"/>
    </row>
    <row r="14" spans="2:11" x14ac:dyDescent="0.2">
      <c r="B14" s="69"/>
      <c r="C14" s="70"/>
      <c r="D14" s="1005"/>
      <c r="E14" s="1006"/>
      <c r="F14" s="880"/>
      <c r="G14" s="880"/>
      <c r="H14" s="880"/>
      <c r="I14" s="880"/>
      <c r="J14" s="672"/>
      <c r="K14" s="673"/>
    </row>
    <row r="15" spans="2:11" x14ac:dyDescent="0.2">
      <c r="B15" s="69"/>
      <c r="C15" s="70"/>
      <c r="D15" s="1005"/>
      <c r="E15" s="1006"/>
      <c r="F15" s="880"/>
      <c r="G15" s="880"/>
      <c r="H15" s="880"/>
      <c r="I15" s="880"/>
      <c r="J15" s="672"/>
      <c r="K15" s="673"/>
    </row>
    <row r="16" spans="2:11" s="177" customFormat="1" x14ac:dyDescent="0.2">
      <c r="B16" s="83"/>
      <c r="C16" s="82"/>
      <c r="D16" s="1007"/>
      <c r="E16" s="1006"/>
      <c r="F16" s="880">
        <f>tab!E4</f>
        <v>2016</v>
      </c>
      <c r="G16" s="880">
        <f>F16+1</f>
        <v>2017</v>
      </c>
      <c r="H16" s="880">
        <f>G16+1</f>
        <v>2018</v>
      </c>
      <c r="I16" s="880">
        <f>H16+1</f>
        <v>2019</v>
      </c>
      <c r="J16" s="767"/>
      <c r="K16" s="768"/>
    </row>
    <row r="17" spans="1:14" x14ac:dyDescent="0.2">
      <c r="B17" s="69"/>
      <c r="C17" s="70"/>
      <c r="D17" s="70"/>
      <c r="E17" s="613"/>
      <c r="F17" s="70"/>
      <c r="G17" s="70"/>
      <c r="H17" s="70"/>
      <c r="I17" s="70"/>
      <c r="J17" s="672"/>
      <c r="K17" s="673"/>
    </row>
    <row r="18" spans="1:14" x14ac:dyDescent="0.2">
      <c r="B18" s="69"/>
      <c r="C18" s="86"/>
      <c r="D18" s="636"/>
      <c r="E18" s="87"/>
      <c r="F18" s="637"/>
      <c r="G18" s="360"/>
      <c r="H18" s="360"/>
      <c r="I18" s="87"/>
      <c r="J18" s="161"/>
      <c r="K18" s="73"/>
    </row>
    <row r="19" spans="1:14" x14ac:dyDescent="0.2">
      <c r="B19" s="69"/>
      <c r="C19" s="90"/>
      <c r="D19" s="91" t="s">
        <v>4</v>
      </c>
      <c r="E19" s="92"/>
      <c r="F19" s="870" t="str">
        <f>geg!G12</f>
        <v>Basisschool</v>
      </c>
      <c r="G19" s="871"/>
      <c r="H19" s="871"/>
      <c r="I19" s="872"/>
      <c r="J19" s="162"/>
      <c r="K19" s="73"/>
      <c r="N19" s="91"/>
    </row>
    <row r="20" spans="1:14" x14ac:dyDescent="0.2">
      <c r="B20" s="69"/>
      <c r="C20" s="90"/>
      <c r="D20" s="91" t="s">
        <v>5</v>
      </c>
      <c r="E20" s="92"/>
      <c r="F20" s="870" t="str">
        <f>geg!G13</f>
        <v>99ZZ</v>
      </c>
      <c r="G20" s="871"/>
      <c r="H20" s="871"/>
      <c r="I20" s="872"/>
      <c r="J20" s="162"/>
      <c r="K20" s="73"/>
      <c r="N20" s="91"/>
    </row>
    <row r="21" spans="1:14" x14ac:dyDescent="0.2">
      <c r="B21" s="69"/>
      <c r="C21" s="90"/>
      <c r="D21" s="91" t="s">
        <v>6</v>
      </c>
      <c r="E21" s="92"/>
      <c r="F21" s="873">
        <f ca="1">TODAY()</f>
        <v>42332</v>
      </c>
      <c r="G21" s="871"/>
      <c r="H21" s="871"/>
      <c r="I21" s="872"/>
      <c r="J21" s="162"/>
      <c r="K21" s="73"/>
      <c r="N21" s="91"/>
    </row>
    <row r="22" spans="1:14" x14ac:dyDescent="0.2">
      <c r="A22" s="185"/>
      <c r="B22" s="186"/>
      <c r="C22" s="187"/>
      <c r="D22" s="91" t="s">
        <v>286</v>
      </c>
      <c r="E22" s="92"/>
      <c r="F22" s="874">
        <f>begr!G14</f>
        <v>1030280.4800000002</v>
      </c>
      <c r="G22" s="874">
        <f>begr!H14</f>
        <v>1033966.9466666668</v>
      </c>
      <c r="H22" s="874">
        <f>begr!I14</f>
        <v>1042814.4666666668</v>
      </c>
      <c r="I22" s="874">
        <f>begr!J14</f>
        <v>1051661.9866666668</v>
      </c>
      <c r="J22" s="769"/>
      <c r="K22" s="189"/>
      <c r="N22" s="91"/>
    </row>
    <row r="23" spans="1:14" x14ac:dyDescent="0.2">
      <c r="A23" s="185"/>
      <c r="B23" s="186"/>
      <c r="C23" s="187"/>
      <c r="D23" s="91" t="s">
        <v>413</v>
      </c>
      <c r="E23" s="188"/>
      <c r="F23" s="874">
        <f>begr!G15</f>
        <v>0</v>
      </c>
      <c r="G23" s="874">
        <f>begr!H15</f>
        <v>0</v>
      </c>
      <c r="H23" s="874">
        <f>begr!I15</f>
        <v>0</v>
      </c>
      <c r="I23" s="874">
        <f>begr!J15</f>
        <v>0</v>
      </c>
      <c r="J23" s="769"/>
      <c r="K23" s="189"/>
      <c r="N23" s="91"/>
    </row>
    <row r="24" spans="1:14" x14ac:dyDescent="0.2">
      <c r="A24" s="185"/>
      <c r="B24" s="186"/>
      <c r="C24" s="187"/>
      <c r="D24" s="91" t="s">
        <v>419</v>
      </c>
      <c r="E24" s="188"/>
      <c r="F24" s="874">
        <f>begr!G16</f>
        <v>0</v>
      </c>
      <c r="G24" s="874">
        <f>begr!H16</f>
        <v>0</v>
      </c>
      <c r="H24" s="874">
        <f>begr!I16</f>
        <v>0</v>
      </c>
      <c r="I24" s="874">
        <f>begr!J16</f>
        <v>0</v>
      </c>
      <c r="J24" s="769"/>
      <c r="K24" s="189"/>
      <c r="N24" s="91"/>
    </row>
    <row r="25" spans="1:14" x14ac:dyDescent="0.2">
      <c r="A25" s="185"/>
      <c r="B25" s="186"/>
      <c r="C25" s="187"/>
      <c r="D25" s="91" t="s">
        <v>420</v>
      </c>
      <c r="E25" s="188"/>
      <c r="F25" s="874">
        <f>begr!G17</f>
        <v>0</v>
      </c>
      <c r="G25" s="874">
        <f>begr!H17</f>
        <v>0</v>
      </c>
      <c r="H25" s="874">
        <f>begr!I17</f>
        <v>0</v>
      </c>
      <c r="I25" s="874">
        <f>begr!J17</f>
        <v>0</v>
      </c>
      <c r="J25" s="769"/>
      <c r="K25" s="189"/>
      <c r="N25" s="91"/>
    </row>
    <row r="26" spans="1:14" x14ac:dyDescent="0.2">
      <c r="B26" s="69"/>
      <c r="C26" s="90"/>
      <c r="D26" s="92" t="s">
        <v>282</v>
      </c>
      <c r="E26" s="92"/>
      <c r="F26" s="874">
        <f>begr!G18</f>
        <v>0</v>
      </c>
      <c r="G26" s="874">
        <f>begr!H18</f>
        <v>0</v>
      </c>
      <c r="H26" s="874">
        <f>begr!I18</f>
        <v>0</v>
      </c>
      <c r="I26" s="874">
        <f>begr!J18</f>
        <v>0</v>
      </c>
      <c r="J26" s="162"/>
      <c r="K26" s="73"/>
      <c r="N26" s="92"/>
    </row>
    <row r="27" spans="1:14" x14ac:dyDescent="0.2">
      <c r="B27" s="69"/>
      <c r="C27" s="90"/>
      <c r="D27" s="199" t="s">
        <v>354</v>
      </c>
      <c r="E27" s="92"/>
      <c r="F27" s="874">
        <f>begr!G21</f>
        <v>202639.53761301993</v>
      </c>
      <c r="G27" s="874">
        <f>begr!H21</f>
        <v>208628.33439421339</v>
      </c>
      <c r="H27" s="874">
        <f>begr!I21</f>
        <v>214680.40159132009</v>
      </c>
      <c r="I27" s="874">
        <f>begr!J21</f>
        <v>220669.83128390601</v>
      </c>
      <c r="J27" s="162"/>
      <c r="K27" s="73"/>
      <c r="N27" s="199"/>
    </row>
    <row r="28" spans="1:14" x14ac:dyDescent="0.2">
      <c r="B28" s="69"/>
      <c r="C28" s="90"/>
      <c r="D28" s="199" t="s">
        <v>378</v>
      </c>
      <c r="E28" s="92"/>
      <c r="F28" s="874">
        <f>begr!G22</f>
        <v>0</v>
      </c>
      <c r="G28" s="874">
        <f>begr!H22</f>
        <v>0</v>
      </c>
      <c r="H28" s="874">
        <f>begr!I22</f>
        <v>0</v>
      </c>
      <c r="I28" s="874">
        <f>begr!J22</f>
        <v>0</v>
      </c>
      <c r="J28" s="162"/>
      <c r="K28" s="73"/>
      <c r="N28" s="199"/>
    </row>
    <row r="29" spans="1:14" x14ac:dyDescent="0.2">
      <c r="B29" s="69"/>
      <c r="C29" s="90"/>
      <c r="D29" s="92" t="s">
        <v>284</v>
      </c>
      <c r="E29" s="92"/>
      <c r="F29" s="874">
        <f>begr!G24</f>
        <v>0</v>
      </c>
      <c r="G29" s="874">
        <f>begr!H24</f>
        <v>0</v>
      </c>
      <c r="H29" s="874">
        <f>begr!I24</f>
        <v>0</v>
      </c>
      <c r="I29" s="874">
        <f>begr!J24</f>
        <v>0</v>
      </c>
      <c r="J29" s="162"/>
      <c r="K29" s="73"/>
      <c r="N29" s="92"/>
    </row>
    <row r="30" spans="1:14" x14ac:dyDescent="0.2">
      <c r="B30" s="69"/>
      <c r="C30" s="90"/>
      <c r="D30" s="92" t="s">
        <v>285</v>
      </c>
      <c r="E30" s="92"/>
      <c r="F30" s="874">
        <f>begr!G25</f>
        <v>0</v>
      </c>
      <c r="G30" s="874">
        <f>begr!H25</f>
        <v>0</v>
      </c>
      <c r="H30" s="874">
        <f>begr!I25</f>
        <v>0</v>
      </c>
      <c r="I30" s="874">
        <f>begr!J25</f>
        <v>0</v>
      </c>
      <c r="J30" s="162"/>
      <c r="K30" s="73"/>
      <c r="N30" s="92"/>
    </row>
    <row r="31" spans="1:14" x14ac:dyDescent="0.2">
      <c r="B31" s="69"/>
      <c r="C31" s="90"/>
      <c r="D31" s="92" t="s">
        <v>404</v>
      </c>
      <c r="E31" s="92"/>
      <c r="F31" s="874">
        <f>begr!G26</f>
        <v>0</v>
      </c>
      <c r="G31" s="874">
        <f>begr!H26</f>
        <v>0</v>
      </c>
      <c r="H31" s="874">
        <f>begr!I26</f>
        <v>0</v>
      </c>
      <c r="I31" s="874">
        <f>begr!J26</f>
        <v>0</v>
      </c>
      <c r="J31" s="162"/>
      <c r="K31" s="73"/>
      <c r="N31" s="92"/>
    </row>
    <row r="32" spans="1:14" x14ac:dyDescent="0.2">
      <c r="B32" s="69"/>
      <c r="C32" s="90"/>
      <c r="D32" s="91" t="s">
        <v>267</v>
      </c>
      <c r="E32" s="204"/>
      <c r="F32" s="874">
        <f>begr!G35</f>
        <v>0</v>
      </c>
      <c r="G32" s="874">
        <f>begr!H35</f>
        <v>0</v>
      </c>
      <c r="H32" s="874">
        <f>begr!I35</f>
        <v>0</v>
      </c>
      <c r="I32" s="874">
        <f>begr!J35</f>
        <v>0</v>
      </c>
      <c r="J32" s="162"/>
      <c r="K32" s="73"/>
      <c r="N32" s="91"/>
    </row>
    <row r="33" spans="2:14" x14ac:dyDescent="0.2">
      <c r="B33" s="69"/>
      <c r="C33" s="90"/>
      <c r="D33" s="91" t="s">
        <v>268</v>
      </c>
      <c r="E33" s="204"/>
      <c r="F33" s="874">
        <f>begr!G36</f>
        <v>0</v>
      </c>
      <c r="G33" s="874">
        <f>begr!H36</f>
        <v>0</v>
      </c>
      <c r="H33" s="874">
        <f>begr!I36</f>
        <v>0</v>
      </c>
      <c r="I33" s="874">
        <f>begr!J36</f>
        <v>0</v>
      </c>
      <c r="J33" s="162"/>
      <c r="K33" s="73"/>
      <c r="N33" s="91"/>
    </row>
    <row r="34" spans="2:14" x14ac:dyDescent="0.2">
      <c r="B34" s="69"/>
      <c r="C34" s="90"/>
      <c r="D34" s="91" t="s">
        <v>418</v>
      </c>
      <c r="E34" s="204"/>
      <c r="F34" s="874">
        <f>begr!G42</f>
        <v>827640.94238698028</v>
      </c>
      <c r="G34" s="874">
        <f>begr!H42</f>
        <v>825338.61227245338</v>
      </c>
      <c r="H34" s="874">
        <f>begr!I42</f>
        <v>828134.06507534673</v>
      </c>
      <c r="I34" s="874">
        <f>begr!J42</f>
        <v>830992.1553827608</v>
      </c>
      <c r="J34" s="162"/>
      <c r="K34" s="73"/>
      <c r="N34" s="91"/>
    </row>
    <row r="35" spans="2:14" x14ac:dyDescent="0.2">
      <c r="B35" s="69"/>
      <c r="C35" s="90"/>
      <c r="D35" s="92" t="s">
        <v>439</v>
      </c>
      <c r="E35" s="92"/>
      <c r="F35" s="874">
        <f>bal!H17</f>
        <v>0</v>
      </c>
      <c r="G35" s="874">
        <f>bal!I17</f>
        <v>0</v>
      </c>
      <c r="H35" s="874">
        <f>bal!J17</f>
        <v>0</v>
      </c>
      <c r="I35" s="874">
        <f>bal!K17</f>
        <v>0</v>
      </c>
      <c r="J35" s="162"/>
      <c r="K35" s="73"/>
      <c r="N35" s="92"/>
    </row>
    <row r="36" spans="2:14" x14ac:dyDescent="0.2">
      <c r="B36" s="69"/>
      <c r="C36" s="90"/>
      <c r="D36" s="92" t="s">
        <v>186</v>
      </c>
      <c r="E36" s="92"/>
      <c r="F36" s="874">
        <f>bal!H23</f>
        <v>827640.94238698028</v>
      </c>
      <c r="G36" s="874">
        <f>bal!I23</f>
        <v>1652979.5546594337</v>
      </c>
      <c r="H36" s="874">
        <f>bal!J23</f>
        <v>2481113.6197347804</v>
      </c>
      <c r="I36" s="874">
        <f>bal!K23</f>
        <v>3312105.7751175412</v>
      </c>
      <c r="J36" s="162"/>
      <c r="K36" s="73"/>
      <c r="N36" s="92"/>
    </row>
    <row r="37" spans="2:14" x14ac:dyDescent="0.2">
      <c r="B37" s="69"/>
      <c r="C37" s="90"/>
      <c r="D37" s="92" t="s">
        <v>145</v>
      </c>
      <c r="E37" s="92"/>
      <c r="F37" s="874">
        <f>bal!H36</f>
        <v>827640.94238698028</v>
      </c>
      <c r="G37" s="874">
        <f>bal!I36</f>
        <v>1652979.5546594337</v>
      </c>
      <c r="H37" s="874">
        <f>bal!J36</f>
        <v>2481113.6197347804</v>
      </c>
      <c r="I37" s="874">
        <f>bal!K36</f>
        <v>3312105.7751175412</v>
      </c>
      <c r="J37" s="162"/>
      <c r="K37" s="73"/>
      <c r="N37" s="92"/>
    </row>
    <row r="38" spans="2:14" x14ac:dyDescent="0.2">
      <c r="B38" s="69"/>
      <c r="C38" s="90"/>
      <c r="D38" s="92" t="s">
        <v>230</v>
      </c>
      <c r="E38" s="92"/>
      <c r="F38" s="874">
        <f>bal!H42</f>
        <v>0</v>
      </c>
      <c r="G38" s="874">
        <f>bal!I42</f>
        <v>0</v>
      </c>
      <c r="H38" s="874">
        <f>bal!J42</f>
        <v>0</v>
      </c>
      <c r="I38" s="874">
        <f>bal!K42</f>
        <v>0</v>
      </c>
      <c r="J38" s="162"/>
      <c r="K38" s="73"/>
      <c r="N38" s="92"/>
    </row>
    <row r="39" spans="2:14" x14ac:dyDescent="0.2">
      <c r="B39" s="69"/>
      <c r="C39" s="90"/>
      <c r="D39" s="92" t="s">
        <v>188</v>
      </c>
      <c r="E39" s="92"/>
      <c r="F39" s="874">
        <f>bal!H46</f>
        <v>0</v>
      </c>
      <c r="G39" s="874">
        <f>bal!I46</f>
        <v>0</v>
      </c>
      <c r="H39" s="874">
        <f>bal!J46</f>
        <v>0</v>
      </c>
      <c r="I39" s="874">
        <f>bal!K46</f>
        <v>0</v>
      </c>
      <c r="J39" s="162"/>
      <c r="K39" s="73"/>
      <c r="N39" s="92"/>
    </row>
    <row r="40" spans="2:14" x14ac:dyDescent="0.2">
      <c r="B40" s="69"/>
      <c r="C40" s="90"/>
      <c r="D40" s="92" t="s">
        <v>189</v>
      </c>
      <c r="E40" s="92"/>
      <c r="F40" s="874">
        <f>bal!H55</f>
        <v>0</v>
      </c>
      <c r="G40" s="874">
        <f>bal!I55</f>
        <v>0</v>
      </c>
      <c r="H40" s="874">
        <f>bal!J55</f>
        <v>0</v>
      </c>
      <c r="I40" s="874">
        <f>bal!K55</f>
        <v>0</v>
      </c>
      <c r="J40" s="162"/>
      <c r="K40" s="73"/>
      <c r="N40" s="92"/>
    </row>
    <row r="41" spans="2:14" x14ac:dyDescent="0.2">
      <c r="B41" s="69"/>
      <c r="C41" s="90"/>
      <c r="D41" s="92" t="s">
        <v>8</v>
      </c>
      <c r="E41" s="92"/>
      <c r="F41" s="876">
        <f>geg!H25</f>
        <v>110</v>
      </c>
      <c r="G41" s="876">
        <f>geg!I25</f>
        <v>110</v>
      </c>
      <c r="H41" s="876">
        <f>geg!J25</f>
        <v>110</v>
      </c>
      <c r="I41" s="876">
        <f>geg!K25</f>
        <v>110</v>
      </c>
      <c r="J41" s="162"/>
      <c r="K41" s="73"/>
      <c r="N41" s="92"/>
    </row>
    <row r="42" spans="2:14" x14ac:dyDescent="0.2">
      <c r="B42" s="69"/>
      <c r="C42" s="90"/>
      <c r="D42" s="92" t="s">
        <v>9</v>
      </c>
      <c r="E42" s="92"/>
      <c r="F42" s="876">
        <f>geg!H26</f>
        <v>110</v>
      </c>
      <c r="G42" s="876">
        <f>geg!I26</f>
        <v>110</v>
      </c>
      <c r="H42" s="876">
        <f>geg!J26</f>
        <v>110</v>
      </c>
      <c r="I42" s="876">
        <f>geg!K26</f>
        <v>110</v>
      </c>
      <c r="J42" s="162"/>
      <c r="K42" s="73"/>
      <c r="N42" s="92"/>
    </row>
    <row r="43" spans="2:14" x14ac:dyDescent="0.2">
      <c r="B43" s="69"/>
      <c r="C43" s="90"/>
      <c r="D43" s="91" t="s">
        <v>10</v>
      </c>
      <c r="E43" s="92"/>
      <c r="F43" s="876">
        <f>geg!H31</f>
        <v>4</v>
      </c>
      <c r="G43" s="876">
        <f>geg!I31</f>
        <v>4</v>
      </c>
      <c r="H43" s="876">
        <f>geg!J31</f>
        <v>4</v>
      </c>
      <c r="I43" s="876">
        <f>geg!K31</f>
        <v>4</v>
      </c>
      <c r="J43" s="162"/>
      <c r="K43" s="73"/>
      <c r="N43" s="91"/>
    </row>
    <row r="44" spans="2:14" x14ac:dyDescent="0.2">
      <c r="B44" s="69"/>
      <c r="C44" s="90"/>
      <c r="D44" s="91" t="s">
        <v>11</v>
      </c>
      <c r="E44" s="92"/>
      <c r="F44" s="876">
        <f>geg!H27</f>
        <v>220</v>
      </c>
      <c r="G44" s="876">
        <f>geg!I27</f>
        <v>220</v>
      </c>
      <c r="H44" s="876">
        <f>geg!J27</f>
        <v>220</v>
      </c>
      <c r="I44" s="876">
        <f>geg!K27</f>
        <v>220</v>
      </c>
      <c r="J44" s="162"/>
      <c r="K44" s="73"/>
      <c r="N44" s="91"/>
    </row>
    <row r="45" spans="2:14" x14ac:dyDescent="0.2">
      <c r="B45" s="69"/>
      <c r="C45" s="90"/>
      <c r="D45" s="91" t="s">
        <v>12</v>
      </c>
      <c r="E45" s="92"/>
      <c r="F45" s="876"/>
      <c r="G45" s="876"/>
      <c r="H45" s="876"/>
      <c r="I45" s="876"/>
      <c r="J45" s="162"/>
      <c r="K45" s="73"/>
      <c r="N45" s="91"/>
    </row>
    <row r="46" spans="2:14" x14ac:dyDescent="0.2">
      <c r="B46" s="69"/>
      <c r="C46" s="90"/>
      <c r="D46" s="91" t="s">
        <v>609</v>
      </c>
      <c r="E46" s="92"/>
      <c r="F46" s="876"/>
      <c r="G46" s="876"/>
      <c r="H46" s="876"/>
      <c r="I46" s="876"/>
      <c r="J46" s="162"/>
      <c r="K46" s="73"/>
      <c r="N46" s="91"/>
    </row>
    <row r="47" spans="2:14" x14ac:dyDescent="0.2">
      <c r="B47" s="69"/>
      <c r="C47" s="90"/>
      <c r="D47" s="91" t="s">
        <v>610</v>
      </c>
      <c r="E47" s="92"/>
      <c r="F47" s="876"/>
      <c r="G47" s="876"/>
      <c r="H47" s="876"/>
      <c r="I47" s="876"/>
      <c r="J47" s="162"/>
      <c r="K47" s="73"/>
      <c r="N47" s="91"/>
    </row>
    <row r="48" spans="2:14" x14ac:dyDescent="0.2">
      <c r="B48" s="69"/>
      <c r="C48" s="90"/>
      <c r="D48" s="91" t="s">
        <v>611</v>
      </c>
      <c r="E48" s="92"/>
      <c r="F48" s="876"/>
      <c r="G48" s="876"/>
      <c r="H48" s="876"/>
      <c r="I48" s="876"/>
      <c r="J48" s="162"/>
      <c r="K48" s="73"/>
      <c r="N48" s="91"/>
    </row>
    <row r="49" spans="2:14" x14ac:dyDescent="0.2">
      <c r="B49" s="69"/>
      <c r="C49" s="90"/>
      <c r="D49" s="91" t="s">
        <v>612</v>
      </c>
      <c r="E49" s="92"/>
      <c r="F49" s="876"/>
      <c r="G49" s="876"/>
      <c r="H49" s="876"/>
      <c r="I49" s="876"/>
      <c r="J49" s="162"/>
      <c r="K49" s="73"/>
      <c r="N49" s="91"/>
    </row>
    <row r="50" spans="2:14" x14ac:dyDescent="0.2">
      <c r="B50" s="69"/>
      <c r="C50" s="90"/>
      <c r="D50" s="91" t="s">
        <v>393</v>
      </c>
      <c r="E50" s="92"/>
      <c r="F50" s="876"/>
      <c r="G50" s="876"/>
      <c r="H50" s="876"/>
      <c r="I50" s="876"/>
      <c r="J50" s="162"/>
      <c r="K50" s="73"/>
      <c r="N50" s="91"/>
    </row>
    <row r="51" spans="2:14" x14ac:dyDescent="0.2">
      <c r="B51" s="69"/>
      <c r="C51" s="90"/>
      <c r="D51" s="770" t="s">
        <v>394</v>
      </c>
      <c r="E51" s="92"/>
      <c r="F51" s="876"/>
      <c r="G51" s="876"/>
      <c r="H51" s="876"/>
      <c r="I51" s="876"/>
      <c r="J51" s="162"/>
      <c r="K51" s="73"/>
      <c r="N51" s="770"/>
    </row>
    <row r="52" spans="2:14" x14ac:dyDescent="0.2">
      <c r="B52" s="69"/>
      <c r="C52" s="90"/>
      <c r="D52" s="770" t="s">
        <v>395</v>
      </c>
      <c r="E52" s="92"/>
      <c r="F52" s="876"/>
      <c r="G52" s="876"/>
      <c r="H52" s="876"/>
      <c r="I52" s="876"/>
      <c r="J52" s="162"/>
      <c r="K52" s="73"/>
      <c r="N52" s="770"/>
    </row>
    <row r="53" spans="2:14" x14ac:dyDescent="0.2">
      <c r="B53" s="69"/>
      <c r="C53" s="90"/>
      <c r="D53" s="770" t="s">
        <v>585</v>
      </c>
      <c r="E53" s="92"/>
      <c r="F53" s="876"/>
      <c r="G53" s="876"/>
      <c r="H53" s="876"/>
      <c r="I53" s="876"/>
      <c r="J53" s="162"/>
      <c r="K53" s="73"/>
      <c r="M53" s="417"/>
      <c r="N53" s="770"/>
    </row>
    <row r="54" spans="2:14" x14ac:dyDescent="0.2">
      <c r="B54" s="69"/>
      <c r="C54" s="90"/>
      <c r="D54" s="1244" t="s">
        <v>613</v>
      </c>
      <c r="E54" s="92"/>
      <c r="F54" s="876"/>
      <c r="G54" s="876"/>
      <c r="H54" s="876"/>
      <c r="I54" s="876"/>
      <c r="J54" s="162"/>
      <c r="K54" s="73"/>
      <c r="M54" s="417"/>
      <c r="N54" s="770"/>
    </row>
    <row r="55" spans="2:14" x14ac:dyDescent="0.2">
      <c r="B55" s="69"/>
      <c r="C55" s="90"/>
      <c r="D55" s="1244" t="s">
        <v>614</v>
      </c>
      <c r="E55" s="92"/>
      <c r="F55" s="876"/>
      <c r="G55" s="876"/>
      <c r="H55" s="876"/>
      <c r="I55" s="876"/>
      <c r="J55" s="162"/>
      <c r="K55" s="73"/>
      <c r="M55" s="417"/>
      <c r="N55" s="770"/>
    </row>
    <row r="56" spans="2:14" x14ac:dyDescent="0.2">
      <c r="B56" s="69"/>
      <c r="C56" s="90"/>
      <c r="D56" s="91" t="s">
        <v>617</v>
      </c>
      <c r="E56" s="92"/>
      <c r="F56" s="869">
        <f>+ken!F36</f>
        <v>12840.918625678121</v>
      </c>
      <c r="G56" s="869">
        <f>+ken!G36</f>
        <v>13242.841229656422</v>
      </c>
      <c r="H56" s="869">
        <f>+ken!H36</f>
        <v>13646.084629294755</v>
      </c>
      <c r="I56" s="869">
        <f>+ken!I36</f>
        <v>14046.589511754071</v>
      </c>
      <c r="J56" s="162"/>
      <c r="K56" s="73"/>
      <c r="N56" s="91"/>
    </row>
    <row r="57" spans="2:14" x14ac:dyDescent="0.2">
      <c r="B57" s="69"/>
      <c r="C57" s="90"/>
      <c r="D57" s="91" t="s">
        <v>119</v>
      </c>
      <c r="E57" s="92"/>
      <c r="F57" s="869">
        <f>pers!I164</f>
        <v>3139.2900000000004</v>
      </c>
      <c r="G57" s="869">
        <f>pers!J164</f>
        <v>0</v>
      </c>
      <c r="H57" s="869">
        <f>pers!K164</f>
        <v>0</v>
      </c>
      <c r="I57" s="869">
        <f>pers!L164</f>
        <v>0</v>
      </c>
      <c r="J57" s="162"/>
      <c r="K57" s="73"/>
      <c r="N57" s="91"/>
    </row>
    <row r="58" spans="2:14" x14ac:dyDescent="0.2">
      <c r="B58" s="69"/>
      <c r="C58" s="90"/>
      <c r="D58" s="92" t="s">
        <v>120</v>
      </c>
      <c r="E58" s="92"/>
      <c r="F58" s="869">
        <f>pers!I165</f>
        <v>0</v>
      </c>
      <c r="G58" s="869">
        <f>pers!J165</f>
        <v>0</v>
      </c>
      <c r="H58" s="869">
        <f>pers!K165</f>
        <v>0</v>
      </c>
      <c r="I58" s="869">
        <f>pers!L165</f>
        <v>0</v>
      </c>
      <c r="J58" s="162"/>
      <c r="K58" s="73"/>
      <c r="N58" s="92"/>
    </row>
    <row r="59" spans="2:14" x14ac:dyDescent="0.2">
      <c r="B59" s="69"/>
      <c r="C59" s="90"/>
      <c r="D59" s="199" t="s">
        <v>14</v>
      </c>
      <c r="E59" s="92"/>
      <c r="F59" s="877">
        <f>7/12*ken!F59+5/12*ken!G59</f>
        <v>1</v>
      </c>
      <c r="G59" s="877">
        <f>7/12*ken!G59+5/12*ken!H59</f>
        <v>1</v>
      </c>
      <c r="H59" s="877">
        <f>7/12*ken!H59+5/12*ken!I59</f>
        <v>1</v>
      </c>
      <c r="I59" s="877">
        <f>7/12*ken!I59+5/12*ken!J59</f>
        <v>1</v>
      </c>
      <c r="J59" s="162"/>
      <c r="K59" s="73"/>
      <c r="N59" s="199"/>
    </row>
    <row r="60" spans="2:14" x14ac:dyDescent="0.2">
      <c r="B60" s="69"/>
      <c r="C60" s="90"/>
      <c r="D60" s="199" t="s">
        <v>22</v>
      </c>
      <c r="E60" s="92"/>
      <c r="F60" s="877">
        <f>7/12*ken!F60+5/12*ken!G60</f>
        <v>1</v>
      </c>
      <c r="G60" s="877">
        <f>7/12*ken!G60+5/12*ken!H60</f>
        <v>1</v>
      </c>
      <c r="H60" s="877">
        <f>7/12*ken!H60+5/12*ken!I60</f>
        <v>1</v>
      </c>
      <c r="I60" s="877">
        <f>7/12*ken!I60+5/12*ken!J60</f>
        <v>1</v>
      </c>
      <c r="J60" s="162"/>
      <c r="K60" s="73"/>
      <c r="N60" s="199"/>
    </row>
    <row r="61" spans="2:14" x14ac:dyDescent="0.2">
      <c r="B61" s="69"/>
      <c r="C61" s="90"/>
      <c r="D61" s="199" t="s">
        <v>615</v>
      </c>
      <c r="E61" s="92"/>
      <c r="F61" s="877">
        <f>7/12*ken!F61+5/12*ken!G61</f>
        <v>1</v>
      </c>
      <c r="G61" s="877">
        <f>7/12*ken!G61+5/12*ken!H61</f>
        <v>1</v>
      </c>
      <c r="H61" s="877">
        <f>7/12*ken!H61+5/12*ken!I61</f>
        <v>1</v>
      </c>
      <c r="I61" s="877">
        <f>7/12*ken!I61+5/12*ken!J61</f>
        <v>1</v>
      </c>
      <c r="J61" s="162"/>
      <c r="K61" s="73"/>
      <c r="N61" s="199"/>
    </row>
    <row r="62" spans="2:14" x14ac:dyDescent="0.2">
      <c r="B62" s="69"/>
      <c r="C62" s="90"/>
      <c r="D62" s="92" t="s">
        <v>2</v>
      </c>
      <c r="E62" s="92"/>
      <c r="F62" s="869">
        <f>begr!G49</f>
        <v>0</v>
      </c>
      <c r="G62" s="869">
        <f>begr!H49</f>
        <v>0</v>
      </c>
      <c r="H62" s="869">
        <f>begr!I49</f>
        <v>0</v>
      </c>
      <c r="I62" s="869">
        <f>begr!J49</f>
        <v>0</v>
      </c>
      <c r="J62" s="162"/>
      <c r="K62" s="73"/>
      <c r="N62" s="92"/>
    </row>
    <row r="63" spans="2:14" x14ac:dyDescent="0.2">
      <c r="B63" s="69"/>
      <c r="C63" s="90"/>
      <c r="D63" s="92" t="s">
        <v>3</v>
      </c>
      <c r="E63" s="92"/>
      <c r="F63" s="869">
        <f>begr!G50</f>
        <v>0</v>
      </c>
      <c r="G63" s="869">
        <f>begr!H50</f>
        <v>0</v>
      </c>
      <c r="H63" s="869">
        <f>begr!I50</f>
        <v>0</v>
      </c>
      <c r="I63" s="869">
        <f>begr!J50</f>
        <v>0</v>
      </c>
      <c r="J63" s="162"/>
      <c r="K63" s="73"/>
      <c r="N63" s="92"/>
    </row>
    <row r="64" spans="2:14" x14ac:dyDescent="0.2">
      <c r="B64" s="69"/>
      <c r="C64" s="90"/>
      <c r="D64" s="91" t="s">
        <v>137</v>
      </c>
      <c r="E64" s="92"/>
      <c r="F64" s="869">
        <f>act!G29</f>
        <v>0</v>
      </c>
      <c r="G64" s="869">
        <f>act!H29</f>
        <v>0</v>
      </c>
      <c r="H64" s="869">
        <f>act!I29</f>
        <v>0</v>
      </c>
      <c r="I64" s="869">
        <f>act!J29</f>
        <v>0</v>
      </c>
      <c r="J64" s="162"/>
      <c r="K64" s="73"/>
      <c r="N64" s="91"/>
    </row>
    <row r="65" spans="2:14" x14ac:dyDescent="0.2">
      <c r="B65" s="69"/>
      <c r="C65" s="90"/>
      <c r="D65" s="91" t="s">
        <v>138</v>
      </c>
      <c r="E65" s="92"/>
      <c r="F65" s="869">
        <f>mop!G18</f>
        <v>0</v>
      </c>
      <c r="G65" s="869">
        <f>mop!H18</f>
        <v>0</v>
      </c>
      <c r="H65" s="869">
        <f>mop!I18</f>
        <v>0</v>
      </c>
      <c r="I65" s="869">
        <f>mop!J18</f>
        <v>0</v>
      </c>
      <c r="J65" s="162"/>
      <c r="K65" s="73"/>
      <c r="N65" s="91"/>
    </row>
    <row r="66" spans="2:14" x14ac:dyDescent="0.2">
      <c r="B66" s="69"/>
      <c r="C66" s="90"/>
      <c r="D66" s="91" t="s">
        <v>331</v>
      </c>
      <c r="E66" s="92"/>
      <c r="F66" s="869">
        <f>ken!F32</f>
        <v>1030280.4800000002</v>
      </c>
      <c r="G66" s="869">
        <f>ken!G32</f>
        <v>1033966.9466666668</v>
      </c>
      <c r="H66" s="869">
        <f>ken!H32</f>
        <v>1042814.4666666668</v>
      </c>
      <c r="I66" s="869">
        <f>ken!I32</f>
        <v>1051661.9866666668</v>
      </c>
      <c r="J66" s="162"/>
      <c r="K66" s="73"/>
      <c r="N66" s="91"/>
    </row>
    <row r="67" spans="2:14" x14ac:dyDescent="0.2">
      <c r="B67" s="69"/>
      <c r="C67" s="90"/>
      <c r="D67" s="91" t="s">
        <v>530</v>
      </c>
      <c r="E67" s="92"/>
      <c r="F67" s="869">
        <f>pers!I152+mat!I30</f>
        <v>0</v>
      </c>
      <c r="G67" s="869">
        <f>pers!J152+mat!J30</f>
        <v>0</v>
      </c>
      <c r="H67" s="869">
        <f>pers!K152+mat!K30</f>
        <v>0</v>
      </c>
      <c r="I67" s="869">
        <f>pers!L152+mat!L30</f>
        <v>0</v>
      </c>
      <c r="J67" s="162"/>
      <c r="K67" s="73"/>
      <c r="N67" s="92"/>
    </row>
    <row r="68" spans="2:14" x14ac:dyDescent="0.2">
      <c r="B68" s="69"/>
      <c r="C68" s="98"/>
      <c r="D68" s="144"/>
      <c r="E68" s="99"/>
      <c r="F68" s="99"/>
      <c r="G68" s="99"/>
      <c r="H68" s="771"/>
      <c r="I68" s="99"/>
      <c r="J68" s="130"/>
      <c r="K68" s="73"/>
      <c r="N68" s="92"/>
    </row>
    <row r="69" spans="2:14" x14ac:dyDescent="0.2">
      <c r="B69" s="69"/>
      <c r="C69" s="70"/>
      <c r="D69" s="70"/>
      <c r="E69" s="70"/>
      <c r="F69" s="70"/>
      <c r="G69" s="70"/>
      <c r="H69" s="772"/>
      <c r="I69" s="70"/>
      <c r="J69" s="70"/>
      <c r="K69" s="73"/>
    </row>
    <row r="70" spans="2:14" ht="15" x14ac:dyDescent="0.25">
      <c r="B70" s="171"/>
      <c r="C70" s="172"/>
      <c r="D70" s="172"/>
      <c r="E70" s="172"/>
      <c r="F70" s="172"/>
      <c r="G70" s="172"/>
      <c r="H70" s="773"/>
      <c r="I70" s="172"/>
      <c r="J70" s="152" t="s">
        <v>435</v>
      </c>
      <c r="K70" s="173"/>
    </row>
    <row r="71" spans="2:14" x14ac:dyDescent="0.2">
      <c r="H71" s="288"/>
    </row>
    <row r="72" spans="2:14" x14ac:dyDescent="0.2">
      <c r="H72" s="288"/>
    </row>
    <row r="73" spans="2:14" x14ac:dyDescent="0.2">
      <c r="H73" s="288"/>
    </row>
    <row r="74" spans="2:14" x14ac:dyDescent="0.2">
      <c r="H74" s="288"/>
    </row>
    <row r="75" spans="2:14" x14ac:dyDescent="0.2">
      <c r="H75" s="288"/>
    </row>
    <row r="76" spans="2:14" x14ac:dyDescent="0.2">
      <c r="H76" s="288"/>
    </row>
    <row r="77" spans="2:14" x14ac:dyDescent="0.2">
      <c r="H77" s="288"/>
    </row>
    <row r="78" spans="2:14" x14ac:dyDescent="0.2">
      <c r="H78" s="288"/>
    </row>
    <row r="79" spans="2:14" x14ac:dyDescent="0.2">
      <c r="H79" s="288"/>
    </row>
    <row r="80" spans="2:14" x14ac:dyDescent="0.2">
      <c r="H80" s="288"/>
    </row>
    <row r="81" spans="8:8" x14ac:dyDescent="0.2">
      <c r="H81" s="288"/>
    </row>
    <row r="82" spans="8:8" x14ac:dyDescent="0.2">
      <c r="H82" s="288"/>
    </row>
    <row r="83" spans="8:8" x14ac:dyDescent="0.2">
      <c r="H83" s="288"/>
    </row>
    <row r="84" spans="8:8" x14ac:dyDescent="0.2">
      <c r="H84" s="288"/>
    </row>
    <row r="85" spans="8:8" x14ac:dyDescent="0.2">
      <c r="H85" s="288"/>
    </row>
    <row r="86" spans="8:8" x14ac:dyDescent="0.2">
      <c r="H86" s="288"/>
    </row>
    <row r="87" spans="8:8" x14ac:dyDescent="0.2">
      <c r="H87" s="288"/>
    </row>
    <row r="88" spans="8:8" x14ac:dyDescent="0.2">
      <c r="H88" s="288"/>
    </row>
    <row r="89" spans="8:8" x14ac:dyDescent="0.2">
      <c r="H89" s="288"/>
    </row>
    <row r="90" spans="8:8" x14ac:dyDescent="0.2">
      <c r="H90" s="288"/>
    </row>
    <row r="91" spans="8:8" x14ac:dyDescent="0.2">
      <c r="H91" s="288"/>
    </row>
    <row r="92" spans="8:8" x14ac:dyDescent="0.2">
      <c r="H92" s="288"/>
    </row>
    <row r="93" spans="8:8" x14ac:dyDescent="0.2">
      <c r="H93" s="288"/>
    </row>
    <row r="94" spans="8:8" x14ac:dyDescent="0.2">
      <c r="H94" s="288"/>
    </row>
    <row r="95" spans="8:8" x14ac:dyDescent="0.2">
      <c r="H95" s="288"/>
    </row>
    <row r="96" spans="8:8" x14ac:dyDescent="0.2">
      <c r="H96" s="288"/>
    </row>
    <row r="97" spans="8:8" x14ac:dyDescent="0.2">
      <c r="H97" s="288"/>
    </row>
    <row r="98" spans="8:8" x14ac:dyDescent="0.2">
      <c r="H98" s="288"/>
    </row>
    <row r="99" spans="8:8" x14ac:dyDescent="0.2">
      <c r="H99" s="288"/>
    </row>
    <row r="100" spans="8:8" x14ac:dyDescent="0.2">
      <c r="H100" s="288"/>
    </row>
    <row r="101" spans="8:8" x14ac:dyDescent="0.2">
      <c r="H101" s="288"/>
    </row>
    <row r="102" spans="8:8" x14ac:dyDescent="0.2">
      <c r="H102" s="288"/>
    </row>
    <row r="103" spans="8:8" x14ac:dyDescent="0.2">
      <c r="H103" s="288"/>
    </row>
    <row r="104" spans="8:8" x14ac:dyDescent="0.2">
      <c r="H104" s="288"/>
    </row>
    <row r="105" spans="8:8" x14ac:dyDescent="0.2">
      <c r="H105" s="288"/>
    </row>
    <row r="106" spans="8:8" x14ac:dyDescent="0.2">
      <c r="H106" s="288"/>
    </row>
    <row r="107" spans="8:8" x14ac:dyDescent="0.2">
      <c r="H107" s="288"/>
    </row>
    <row r="108" spans="8:8" x14ac:dyDescent="0.2">
      <c r="H108" s="288"/>
    </row>
    <row r="109" spans="8:8" x14ac:dyDescent="0.2">
      <c r="H109" s="288"/>
    </row>
    <row r="110" spans="8:8" x14ac:dyDescent="0.2">
      <c r="H110" s="288"/>
    </row>
  </sheetData>
  <sheetProtection algorithmName="SHA-512" hashValue="AqvtGveJpXLm1YiIU3Ca5gs6nwdjvdkHjmPvIOygt7/zJqVpuRuFdxfjXtNhVfpkk05z4IvkyIHOvnVOKzF1Gw==" saltValue="lOaOIfNpIf+kLqNBUIBI/w==" spinCount="100000" sheet="1" objects="1" scenarios="1"/>
  <mergeCells count="1">
    <mergeCell ref="F9:H9"/>
  </mergeCells>
  <phoneticPr fontId="0" type="noConversion"/>
  <pageMargins left="0.74803149606299213" right="0.74803149606299213" top="0.98425196850393704" bottom="0.98425196850393704" header="0.51181102362204722" footer="0.51181102362204722"/>
  <pageSetup paperSize="9" scale="59" orientation="portrait" r:id="rId1"/>
  <headerFooter alignWithMargins="0">
    <oddHeader>&amp;L&amp;"Arial,Vet"&amp;F&amp;R&amp;"Arial,Vet"&amp;A</oddHeader>
    <oddFooter>&amp;L&amp;"Arial,Vet"PO-Raad&amp;C&amp;"Arial,Vet"&amp;D&amp;R&amp;"Arial,Vet"pagina &amp;P</oddFooter>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198"/>
  <sheetViews>
    <sheetView zoomScale="85" zoomScaleNormal="85" workbookViewId="0">
      <pane ySplit="5" topLeftCell="A6" activePane="bottomLeft" state="frozen"/>
      <selection activeCell="D57" sqref="D57"/>
      <selection pane="bottomLeft"/>
    </sheetView>
  </sheetViews>
  <sheetFormatPr defaultColWidth="9.140625" defaultRowHeight="12.75" x14ac:dyDescent="0.2"/>
  <cols>
    <col min="1" max="1" width="45.7109375" style="7" customWidth="1"/>
    <col min="2" max="2" width="14.85546875" style="10" customWidth="1"/>
    <col min="3" max="29" width="14.85546875" style="7" customWidth="1"/>
    <col min="30" max="16384" width="9.140625" style="7"/>
  </cols>
  <sheetData>
    <row r="1" spans="1:9" x14ac:dyDescent="0.2">
      <c r="B1" s="1031"/>
    </row>
    <row r="2" spans="1:9" s="1" customFormat="1" x14ac:dyDescent="0.2">
      <c r="A2" s="2" t="s">
        <v>195</v>
      </c>
      <c r="B2" s="1032"/>
      <c r="C2" s="4" t="s">
        <v>299</v>
      </c>
      <c r="D2" s="4" t="s">
        <v>441</v>
      </c>
      <c r="E2" s="4" t="s">
        <v>0</v>
      </c>
      <c r="F2" s="4" t="s">
        <v>480</v>
      </c>
      <c r="G2" s="4" t="s">
        <v>513</v>
      </c>
      <c r="H2" s="4" t="s">
        <v>527</v>
      </c>
      <c r="I2" s="4" t="s">
        <v>575</v>
      </c>
    </row>
    <row r="3" spans="1:9" s="1" customFormat="1" x14ac:dyDescent="0.2">
      <c r="A3" s="2" t="s">
        <v>265</v>
      </c>
      <c r="B3" s="1032"/>
      <c r="C3" s="11">
        <v>41548</v>
      </c>
      <c r="D3" s="11">
        <v>41913</v>
      </c>
      <c r="E3" s="11">
        <v>42278</v>
      </c>
      <c r="F3" s="11">
        <v>42644</v>
      </c>
      <c r="G3" s="11">
        <v>43009</v>
      </c>
      <c r="H3" s="11">
        <v>43374</v>
      </c>
      <c r="I3" s="11">
        <v>43739</v>
      </c>
    </row>
    <row r="4" spans="1:9" s="1" customFormat="1" x14ac:dyDescent="0.2">
      <c r="A4" s="2" t="s">
        <v>281</v>
      </c>
      <c r="B4" s="1032"/>
      <c r="C4" s="4">
        <v>2014</v>
      </c>
      <c r="D4" s="4">
        <v>2015</v>
      </c>
      <c r="E4" s="4">
        <v>2016</v>
      </c>
      <c r="F4" s="4">
        <v>2017</v>
      </c>
      <c r="G4" s="4">
        <v>2018</v>
      </c>
      <c r="H4" s="4">
        <f>G4+1</f>
        <v>2019</v>
      </c>
      <c r="I4" s="4">
        <f>H4+1</f>
        <v>2020</v>
      </c>
    </row>
    <row r="5" spans="1:9" x14ac:dyDescent="0.2">
      <c r="B5" s="1031"/>
    </row>
    <row r="6" spans="1:9" x14ac:dyDescent="0.2">
      <c r="B6" s="1031"/>
    </row>
    <row r="7" spans="1:9" s="1" customFormat="1" x14ac:dyDescent="0.2">
      <c r="A7" s="13" t="s">
        <v>359</v>
      </c>
      <c r="B7" s="1032"/>
      <c r="C7" s="14"/>
      <c r="D7" s="13"/>
      <c r="E7" s="14"/>
    </row>
    <row r="8" spans="1:9" s="1" customFormat="1" x14ac:dyDescent="0.2">
      <c r="A8" s="2" t="s">
        <v>208</v>
      </c>
      <c r="B8" s="1032"/>
      <c r="C8" s="859">
        <v>5.9499999999999997E-2</v>
      </c>
      <c r="D8" s="2">
        <v>5.9499999999999997E-2</v>
      </c>
      <c r="E8" s="2">
        <v>5.9499999999999997E-2</v>
      </c>
    </row>
    <row r="9" spans="1:9" s="1" customFormat="1" x14ac:dyDescent="0.2">
      <c r="A9" s="2" t="s">
        <v>209</v>
      </c>
      <c r="B9" s="1032"/>
      <c r="C9" s="859">
        <v>4.1399999999999999E-2</v>
      </c>
      <c r="D9" s="2">
        <v>4.1399999999999999E-2</v>
      </c>
      <c r="E9" s="2">
        <v>4.1399999999999999E-2</v>
      </c>
    </row>
    <row r="10" spans="1:9" s="1" customFormat="1" x14ac:dyDescent="0.2">
      <c r="A10" s="2" t="s">
        <v>212</v>
      </c>
      <c r="B10" s="1033"/>
      <c r="C10" s="859">
        <v>5.0299999999999997E-2</v>
      </c>
      <c r="D10" s="2">
        <v>5.0299999999999997E-2</v>
      </c>
      <c r="E10" s="2">
        <v>5.0299999999999997E-2</v>
      </c>
    </row>
    <row r="11" spans="1:9" s="1" customFormat="1" x14ac:dyDescent="0.2">
      <c r="A11" s="15" t="s">
        <v>106</v>
      </c>
      <c r="B11" s="1033"/>
      <c r="C11" s="859">
        <v>9.4000000000000004E-3</v>
      </c>
      <c r="D11" s="15">
        <v>9.4000000000000004E-3</v>
      </c>
      <c r="E11" s="15">
        <v>9.4000000000000004E-3</v>
      </c>
    </row>
    <row r="12" spans="1:9" s="1" customFormat="1" x14ac:dyDescent="0.2">
      <c r="A12" s="2" t="s">
        <v>215</v>
      </c>
      <c r="B12" s="1033"/>
      <c r="C12" s="859">
        <v>145</v>
      </c>
      <c r="D12" s="2">
        <v>145</v>
      </c>
      <c r="E12" s="2">
        <v>145</v>
      </c>
    </row>
    <row r="13" spans="1:9" s="1" customFormat="1" x14ac:dyDescent="0.2">
      <c r="A13" s="2" t="s">
        <v>210</v>
      </c>
      <c r="B13" s="1033"/>
      <c r="C13" s="859">
        <v>2.1507999999999998</v>
      </c>
      <c r="D13" s="2">
        <v>2.1507999999999998</v>
      </c>
      <c r="E13" s="2">
        <v>2.1507999999999998</v>
      </c>
    </row>
    <row r="14" spans="1:9" s="1" customFormat="1" x14ac:dyDescent="0.2">
      <c r="A14" s="2" t="s">
        <v>211</v>
      </c>
      <c r="B14" s="1033"/>
      <c r="C14" s="859">
        <v>1.49E-2</v>
      </c>
      <c r="D14" s="2">
        <v>1.49E-2</v>
      </c>
      <c r="E14" s="2">
        <v>1.49E-2</v>
      </c>
    </row>
    <row r="15" spans="1:9" s="1" customFormat="1" x14ac:dyDescent="0.2">
      <c r="A15" s="2" t="s">
        <v>213</v>
      </c>
      <c r="B15" s="1032"/>
      <c r="C15" s="859">
        <v>4.87E-2</v>
      </c>
      <c r="D15" s="2">
        <v>4.87E-2</v>
      </c>
      <c r="E15" s="2">
        <v>4.87E-2</v>
      </c>
    </row>
    <row r="16" spans="1:9" s="1" customFormat="1" x14ac:dyDescent="0.2">
      <c r="A16" s="2" t="s">
        <v>362</v>
      </c>
      <c r="B16" s="1032"/>
      <c r="C16" s="859">
        <v>1.4500000000000001E-2</v>
      </c>
      <c r="D16" s="2">
        <v>1.4500000000000001E-2</v>
      </c>
      <c r="E16" s="2">
        <v>1.4500000000000001E-2</v>
      </c>
    </row>
    <row r="17" spans="1:10" s="1" customFormat="1" x14ac:dyDescent="0.2">
      <c r="A17" s="16" t="s">
        <v>428</v>
      </c>
      <c r="B17" s="1032"/>
      <c r="C17" s="859">
        <v>2.6926999999999999</v>
      </c>
      <c r="D17" s="2">
        <v>2.6926999999999999</v>
      </c>
      <c r="E17" s="2">
        <v>2.6926999999999999</v>
      </c>
    </row>
    <row r="18" spans="1:10" s="1" customFormat="1" x14ac:dyDescent="0.2">
      <c r="A18" s="2" t="s">
        <v>474</v>
      </c>
      <c r="B18" s="1033"/>
      <c r="C18" s="859">
        <v>13</v>
      </c>
      <c r="D18" s="2">
        <v>13</v>
      </c>
      <c r="E18" s="2">
        <v>13</v>
      </c>
    </row>
    <row r="19" spans="1:10" s="1" customFormat="1" x14ac:dyDescent="0.2">
      <c r="A19" s="2" t="s">
        <v>373</v>
      </c>
      <c r="B19" s="1032"/>
      <c r="C19" s="859">
        <v>6.54E-2</v>
      </c>
      <c r="D19" s="2">
        <v>6.54E-2</v>
      </c>
      <c r="E19" s="2">
        <v>6.54E-2</v>
      </c>
    </row>
    <row r="20" spans="1:10" x14ac:dyDescent="0.2">
      <c r="A20" s="8"/>
      <c r="B20" s="1034"/>
      <c r="C20" s="859"/>
      <c r="D20" s="8"/>
      <c r="E20" s="8"/>
      <c r="F20" s="8"/>
      <c r="G20" s="840"/>
      <c r="H20" s="8"/>
      <c r="I20" s="8"/>
    </row>
    <row r="21" spans="1:10" s="22" customFormat="1" x14ac:dyDescent="0.2">
      <c r="A21" s="17" t="s">
        <v>367</v>
      </c>
      <c r="B21" s="1033"/>
      <c r="C21" s="860"/>
      <c r="D21" s="20">
        <v>40.57</v>
      </c>
      <c r="E21" s="1255">
        <f t="shared" ref="E21:E29" si="0">D21</f>
        <v>40.57</v>
      </c>
      <c r="F21" s="21"/>
      <c r="G21" s="840"/>
      <c r="H21" s="844"/>
      <c r="I21" s="845"/>
      <c r="J21" s="845"/>
    </row>
    <row r="22" spans="1:10" s="22" customFormat="1" x14ac:dyDescent="0.2">
      <c r="A22" s="17" t="s">
        <v>364</v>
      </c>
      <c r="B22" s="1033"/>
      <c r="C22" s="861"/>
      <c r="D22" s="23">
        <v>60780.35</v>
      </c>
      <c r="E22" s="1255">
        <f t="shared" si="0"/>
        <v>60780.35</v>
      </c>
      <c r="F22" s="21"/>
      <c r="G22" s="840"/>
      <c r="H22" s="845"/>
      <c r="I22" s="845"/>
      <c r="J22" s="845"/>
    </row>
    <row r="23" spans="1:10" s="22" customFormat="1" x14ac:dyDescent="0.2">
      <c r="A23" s="24" t="s">
        <v>363</v>
      </c>
      <c r="B23" s="1033"/>
      <c r="C23" s="861"/>
      <c r="D23" s="23">
        <v>77561.34</v>
      </c>
      <c r="E23" s="1255">
        <f t="shared" si="0"/>
        <v>77561.34</v>
      </c>
      <c r="F23" s="25"/>
      <c r="G23" s="840"/>
      <c r="H23" s="845"/>
      <c r="I23" s="845"/>
      <c r="J23" s="845"/>
    </row>
    <row r="24" spans="1:10" s="22" customFormat="1" x14ac:dyDescent="0.2">
      <c r="A24" s="17" t="s">
        <v>365</v>
      </c>
      <c r="B24" s="1032"/>
      <c r="C24" s="861"/>
      <c r="D24" s="23">
        <v>29015.17</v>
      </c>
      <c r="E24" s="1255">
        <f t="shared" si="0"/>
        <v>29015.17</v>
      </c>
      <c r="F24" s="25"/>
      <c r="G24" s="840"/>
      <c r="H24" s="846"/>
      <c r="I24" s="844"/>
      <c r="J24" s="845"/>
    </row>
    <row r="25" spans="1:10" s="22" customFormat="1" x14ac:dyDescent="0.2">
      <c r="A25" s="17" t="s">
        <v>366</v>
      </c>
      <c r="B25" s="1032"/>
      <c r="C25" s="861"/>
      <c r="D25" s="23">
        <v>782.97</v>
      </c>
      <c r="E25" s="1255">
        <f t="shared" si="0"/>
        <v>782.97</v>
      </c>
      <c r="F25" s="25"/>
      <c r="G25" s="840"/>
      <c r="H25" s="847"/>
      <c r="I25" s="844"/>
      <c r="J25" s="844"/>
    </row>
    <row r="26" spans="1:10" s="22" customFormat="1" x14ac:dyDescent="0.2">
      <c r="A26" s="27" t="s">
        <v>34</v>
      </c>
      <c r="B26" s="1033"/>
      <c r="C26" s="861"/>
      <c r="D26" s="23">
        <v>19434.990000000002</v>
      </c>
      <c r="E26" s="1255">
        <f t="shared" si="0"/>
        <v>19434.990000000002</v>
      </c>
      <c r="F26" s="25"/>
      <c r="G26" s="840"/>
      <c r="H26" s="843"/>
      <c r="I26" s="842"/>
    </row>
    <row r="27" spans="1:10" s="22" customFormat="1" x14ac:dyDescent="0.2">
      <c r="A27" s="27" t="s">
        <v>35</v>
      </c>
      <c r="B27" s="1035"/>
      <c r="C27" s="861"/>
      <c r="D27" s="23">
        <v>36215.980000000003</v>
      </c>
      <c r="E27" s="1255">
        <f t="shared" si="0"/>
        <v>36215.980000000003</v>
      </c>
      <c r="F27" s="25"/>
      <c r="G27" s="840"/>
      <c r="H27" s="24"/>
      <c r="I27" s="21"/>
    </row>
    <row r="28" spans="1:10" s="22" customFormat="1" x14ac:dyDescent="0.2">
      <c r="A28" s="24" t="s">
        <v>401</v>
      </c>
      <c r="B28" s="1032"/>
      <c r="C28" s="862"/>
      <c r="D28" s="28">
        <v>0.06</v>
      </c>
      <c r="E28" s="28">
        <f t="shared" si="0"/>
        <v>0.06</v>
      </c>
      <c r="F28" s="25"/>
      <c r="G28" s="840"/>
      <c r="H28" s="25"/>
      <c r="I28" s="21"/>
    </row>
    <row r="29" spans="1:10" s="22" customFormat="1" x14ac:dyDescent="0.2">
      <c r="A29" s="21" t="s">
        <v>102</v>
      </c>
      <c r="B29" s="1034"/>
      <c r="C29" s="861"/>
      <c r="D29" s="23">
        <v>1775</v>
      </c>
      <c r="E29" s="1255">
        <f t="shared" si="0"/>
        <v>1775</v>
      </c>
      <c r="F29" s="25"/>
      <c r="G29" s="841"/>
      <c r="H29" s="841"/>
      <c r="I29" s="1223"/>
    </row>
    <row r="30" spans="1:10" s="22" customFormat="1" x14ac:dyDescent="0.2">
      <c r="A30" s="19"/>
      <c r="B30" s="1033"/>
      <c r="C30" s="861"/>
      <c r="D30" s="24"/>
      <c r="E30" s="24"/>
      <c r="F30" s="24"/>
      <c r="G30" s="24"/>
      <c r="H30" s="24"/>
      <c r="I30" s="21"/>
    </row>
    <row r="31" spans="1:10" s="22" customFormat="1" x14ac:dyDescent="0.2">
      <c r="A31" s="24" t="s">
        <v>108</v>
      </c>
      <c r="B31" s="1033"/>
      <c r="C31" s="861"/>
      <c r="D31" s="25">
        <f>ROUND(D24*tab!D8,2)</f>
        <v>1726.4</v>
      </c>
      <c r="E31" s="25">
        <f>ROUND(E24*tab!E8,2)</f>
        <v>1726.4</v>
      </c>
      <c r="F31" s="25"/>
      <c r="G31" s="25"/>
      <c r="H31" s="25"/>
      <c r="I31" s="21"/>
    </row>
    <row r="32" spans="1:10" s="22" customFormat="1" x14ac:dyDescent="0.2">
      <c r="A32" s="24" t="s">
        <v>110</v>
      </c>
      <c r="B32" s="1033"/>
      <c r="C32" s="861"/>
      <c r="D32" s="25">
        <f>ROUND(tab!D8*D25,2)</f>
        <v>46.59</v>
      </c>
      <c r="E32" s="25">
        <f>ROUND(tab!E8*E25,2)</f>
        <v>46.59</v>
      </c>
      <c r="F32" s="25"/>
      <c r="G32" s="25"/>
      <c r="H32" s="25"/>
      <c r="I32" s="21"/>
    </row>
    <row r="33" spans="1:9" s="22" customFormat="1" x14ac:dyDescent="0.2">
      <c r="A33" s="24" t="s">
        <v>109</v>
      </c>
      <c r="B33" s="1033"/>
      <c r="C33" s="861"/>
      <c r="D33" s="25">
        <f>ROUND(D24*tab!D9,2)</f>
        <v>1201.23</v>
      </c>
      <c r="E33" s="25">
        <f>ROUND(E24*tab!E9,2)</f>
        <v>1201.23</v>
      </c>
      <c r="F33" s="25"/>
      <c r="G33" s="25"/>
      <c r="H33" s="25"/>
      <c r="I33" s="21"/>
    </row>
    <row r="34" spans="1:9" s="22" customFormat="1" x14ac:dyDescent="0.2">
      <c r="A34" s="24" t="s">
        <v>111</v>
      </c>
      <c r="B34" s="1033"/>
      <c r="C34" s="861"/>
      <c r="D34" s="25">
        <f>ROUND(tab!D9*D25,2)</f>
        <v>32.409999999999997</v>
      </c>
      <c r="E34" s="25">
        <f>ROUND(tab!E9*E25,2)</f>
        <v>32.409999999999997</v>
      </c>
      <c r="F34" s="25"/>
      <c r="G34" s="25"/>
      <c r="H34" s="25"/>
      <c r="I34" s="21"/>
    </row>
    <row r="35" spans="1:9" s="22" customFormat="1" x14ac:dyDescent="0.2">
      <c r="A35" s="24" t="s">
        <v>112</v>
      </c>
      <c r="B35" s="1032"/>
      <c r="C35" s="861"/>
      <c r="D35" s="25">
        <f>ROUND(D24*tab!D10,2)</f>
        <v>1459.46</v>
      </c>
      <c r="E35" s="25">
        <f>ROUND(E24*tab!E10,2)</f>
        <v>1459.46</v>
      </c>
      <c r="F35" s="25"/>
      <c r="G35" s="25"/>
      <c r="H35" s="25"/>
      <c r="I35" s="21"/>
    </row>
    <row r="36" spans="1:9" s="22" customFormat="1" x14ac:dyDescent="0.2">
      <c r="A36" s="24" t="s">
        <v>113</v>
      </c>
      <c r="B36" s="1032"/>
      <c r="C36" s="861"/>
      <c r="D36" s="25">
        <f>ROUND(tab!D10*D25,2)</f>
        <v>39.380000000000003</v>
      </c>
      <c r="E36" s="25">
        <f>ROUND(tab!E10*E25,2)</f>
        <v>39.380000000000003</v>
      </c>
      <c r="F36" s="25"/>
      <c r="G36" s="25"/>
      <c r="H36" s="25"/>
      <c r="I36" s="21"/>
    </row>
    <row r="37" spans="1:9" s="33" customFormat="1" x14ac:dyDescent="0.2">
      <c r="A37" s="30" t="s">
        <v>114</v>
      </c>
      <c r="B37" s="1032"/>
      <c r="C37" s="861"/>
      <c r="D37" s="31">
        <f>ROUND(D11*D24,2)</f>
        <v>272.74</v>
      </c>
      <c r="E37" s="31">
        <f>ROUND(E11*E24,2)</f>
        <v>272.74</v>
      </c>
      <c r="F37" s="31"/>
      <c r="G37" s="31"/>
      <c r="H37" s="31"/>
      <c r="I37" s="32"/>
    </row>
    <row r="38" spans="1:9" s="33" customFormat="1" x14ac:dyDescent="0.2">
      <c r="A38" s="30" t="s">
        <v>107</v>
      </c>
      <c r="B38" s="1032"/>
      <c r="C38" s="861"/>
      <c r="D38" s="31">
        <f>ROUND(D11*D25,2)</f>
        <v>7.36</v>
      </c>
      <c r="E38" s="31">
        <f>ROUND(E11*E25,2)</f>
        <v>7.36</v>
      </c>
      <c r="F38" s="31"/>
      <c r="G38" s="31"/>
      <c r="H38" s="31"/>
      <c r="I38" s="32"/>
    </row>
    <row r="39" spans="1:9" s="22" customFormat="1" x14ac:dyDescent="0.2">
      <c r="A39" s="24" t="s">
        <v>243</v>
      </c>
      <c r="B39" s="1032"/>
      <c r="C39" s="861"/>
      <c r="D39" s="25">
        <f>ROUND(D24*tab!D13,2)</f>
        <v>62405.83</v>
      </c>
      <c r="E39" s="25">
        <f>ROUND(E24*tab!E13,2)</f>
        <v>62405.83</v>
      </c>
      <c r="F39" s="25"/>
      <c r="G39" s="25"/>
      <c r="H39" s="25"/>
      <c r="I39" s="21"/>
    </row>
    <row r="40" spans="1:9" s="22" customFormat="1" x14ac:dyDescent="0.2">
      <c r="A40" s="24" t="s">
        <v>244</v>
      </c>
      <c r="B40" s="1032"/>
      <c r="C40" s="861"/>
      <c r="D40" s="25">
        <f>ROUND(tab!D13*D25,2)</f>
        <v>1684.01</v>
      </c>
      <c r="E40" s="25">
        <f>ROUND(tab!E13*E25,2)</f>
        <v>1684.01</v>
      </c>
      <c r="F40" s="25"/>
      <c r="G40" s="25"/>
      <c r="H40" s="25"/>
      <c r="I40" s="21"/>
    </row>
    <row r="41" spans="1:9" s="22" customFormat="1" x14ac:dyDescent="0.2">
      <c r="A41" s="24" t="s">
        <v>245</v>
      </c>
      <c r="B41" s="1032"/>
      <c r="C41" s="861"/>
      <c r="D41" s="25">
        <f>ROUND(D24*tab!D14,2)</f>
        <v>432.33</v>
      </c>
      <c r="E41" s="25">
        <f>ROUND(E24*tab!E14,2)</f>
        <v>432.33</v>
      </c>
      <c r="F41" s="25"/>
      <c r="G41" s="25"/>
      <c r="H41" s="25"/>
      <c r="I41" s="21"/>
    </row>
    <row r="42" spans="1:9" s="22" customFormat="1" x14ac:dyDescent="0.2">
      <c r="A42" s="24" t="s">
        <v>246</v>
      </c>
      <c r="B42" s="1033"/>
      <c r="C42" s="861"/>
      <c r="D42" s="25">
        <f>ROUND(tab!D14*D25,2)</f>
        <v>11.67</v>
      </c>
      <c r="E42" s="25">
        <f>ROUND(tab!E14*E25,2)</f>
        <v>11.67</v>
      </c>
      <c r="F42" s="25"/>
      <c r="G42" s="25"/>
      <c r="H42" s="25"/>
      <c r="I42" s="21"/>
    </row>
    <row r="43" spans="1:9" s="22" customFormat="1" x14ac:dyDescent="0.2">
      <c r="A43" s="24" t="s">
        <v>247</v>
      </c>
      <c r="B43" s="1032"/>
      <c r="C43" s="861"/>
      <c r="D43" s="25">
        <f>ROUND(D24*tab!D17+D26,2)</f>
        <v>97564.14</v>
      </c>
      <c r="E43" s="25">
        <f>ROUND(E24*tab!E17+E26,2)</f>
        <v>97564.14</v>
      </c>
      <c r="F43" s="25"/>
      <c r="G43" s="25"/>
      <c r="H43" s="25"/>
      <c r="I43" s="21"/>
    </row>
    <row r="44" spans="1:9" s="22" customFormat="1" x14ac:dyDescent="0.2">
      <c r="A44" s="24" t="s">
        <v>248</v>
      </c>
      <c r="B44" s="1032"/>
      <c r="C44" s="861"/>
      <c r="D44" s="25">
        <f>ROUND(D25*tab!D17,2)</f>
        <v>2108.3000000000002</v>
      </c>
      <c r="E44" s="25">
        <f>ROUND(E25*tab!E17,2)</f>
        <v>2108.3000000000002</v>
      </c>
      <c r="F44" s="25"/>
      <c r="G44" s="25"/>
      <c r="H44" s="25"/>
      <c r="I44" s="21"/>
    </row>
    <row r="45" spans="1:9" s="22" customFormat="1" x14ac:dyDescent="0.2">
      <c r="A45" s="24" t="s">
        <v>242</v>
      </c>
      <c r="B45" s="1032"/>
      <c r="C45" s="861"/>
      <c r="D45" s="34">
        <v>98</v>
      </c>
      <c r="E45" s="34">
        <v>98</v>
      </c>
      <c r="F45" s="35"/>
      <c r="G45" s="35"/>
      <c r="H45" s="35"/>
      <c r="I45" s="21"/>
    </row>
    <row r="46" spans="1:9" s="22" customFormat="1" x14ac:dyDescent="0.2">
      <c r="A46" s="24" t="s">
        <v>214</v>
      </c>
      <c r="B46" s="1032"/>
      <c r="C46" s="861"/>
      <c r="D46" s="36">
        <f>D26</f>
        <v>19434.990000000002</v>
      </c>
      <c r="E46" s="25">
        <f>E26</f>
        <v>19434.990000000002</v>
      </c>
      <c r="F46" s="25"/>
      <c r="G46" s="25"/>
      <c r="H46" s="25"/>
      <c r="I46" s="1223"/>
    </row>
    <row r="47" spans="1:9" x14ac:dyDescent="0.2">
      <c r="A47" s="8"/>
      <c r="B47" s="1034"/>
      <c r="C47" s="859"/>
      <c r="D47" s="8"/>
      <c r="E47" s="8"/>
      <c r="F47" s="8"/>
      <c r="G47" s="8"/>
      <c r="H47" s="8"/>
      <c r="I47" s="8"/>
    </row>
    <row r="48" spans="1:9" x14ac:dyDescent="0.2">
      <c r="A48" s="8"/>
      <c r="B48" s="1034"/>
      <c r="C48" s="859"/>
      <c r="D48" s="8"/>
      <c r="E48" s="8"/>
      <c r="F48" s="8"/>
      <c r="G48" s="8"/>
      <c r="H48" s="8"/>
      <c r="I48" s="8"/>
    </row>
    <row r="49" spans="1:9" s="22" customFormat="1" x14ac:dyDescent="0.2">
      <c r="A49" s="42" t="s">
        <v>103</v>
      </c>
      <c r="B49" s="1034"/>
      <c r="C49" s="21"/>
      <c r="D49" s="21"/>
      <c r="E49" s="21"/>
      <c r="F49" s="21"/>
      <c r="G49" s="21"/>
      <c r="H49" s="21"/>
      <c r="I49" s="21"/>
    </row>
    <row r="50" spans="1:9" s="22" customFormat="1" x14ac:dyDescent="0.2">
      <c r="A50" s="34" t="s">
        <v>122</v>
      </c>
      <c r="B50" s="1036"/>
      <c r="C50" s="866"/>
      <c r="D50" s="23">
        <v>16245.75</v>
      </c>
      <c r="E50" s="23">
        <f t="shared" ref="E50:E55" si="1">D50</f>
        <v>16245.75</v>
      </c>
      <c r="F50" s="25"/>
    </row>
    <row r="51" spans="1:9" s="1" customFormat="1" x14ac:dyDescent="0.2">
      <c r="A51" s="45" t="s">
        <v>123</v>
      </c>
      <c r="B51" s="1032"/>
      <c r="C51" s="866"/>
      <c r="D51" s="23">
        <v>5266</v>
      </c>
      <c r="E51" s="23">
        <f t="shared" si="1"/>
        <v>5266</v>
      </c>
      <c r="F51" s="46"/>
    </row>
    <row r="52" spans="1:9" s="22" customFormat="1" x14ac:dyDescent="0.2">
      <c r="A52" s="34" t="s">
        <v>124</v>
      </c>
      <c r="B52" s="1033"/>
      <c r="C52" s="866"/>
      <c r="D52" s="23">
        <v>451.94</v>
      </c>
      <c r="E52" s="23">
        <f t="shared" si="1"/>
        <v>451.94</v>
      </c>
      <c r="F52" s="25"/>
    </row>
    <row r="53" spans="1:9" s="22" customFormat="1" x14ac:dyDescent="0.2">
      <c r="A53" s="34" t="s">
        <v>125</v>
      </c>
      <c r="B53" s="1033"/>
      <c r="C53" s="866"/>
      <c r="D53" s="23">
        <v>279.58</v>
      </c>
      <c r="E53" s="23">
        <f t="shared" si="1"/>
        <v>279.58</v>
      </c>
      <c r="F53" s="25"/>
    </row>
    <row r="54" spans="1:9" s="22" customFormat="1" x14ac:dyDescent="0.2">
      <c r="A54" s="34" t="s">
        <v>126</v>
      </c>
      <c r="B54" s="1033"/>
      <c r="C54" s="866"/>
      <c r="D54" s="23">
        <v>11886.9</v>
      </c>
      <c r="E54" s="23">
        <f t="shared" si="1"/>
        <v>11886.9</v>
      </c>
      <c r="F54" s="25"/>
    </row>
    <row r="55" spans="1:9" s="22" customFormat="1" x14ac:dyDescent="0.2">
      <c r="A55" s="34" t="s">
        <v>127</v>
      </c>
      <c r="B55" s="1033"/>
      <c r="C55" s="866"/>
      <c r="D55" s="23">
        <v>81.99</v>
      </c>
      <c r="E55" s="23">
        <f t="shared" si="1"/>
        <v>81.99</v>
      </c>
      <c r="F55" s="25"/>
    </row>
    <row r="56" spans="1:9" s="22" customFormat="1" x14ac:dyDescent="0.2">
      <c r="A56" s="34" t="s">
        <v>215</v>
      </c>
      <c r="B56" s="1033"/>
      <c r="C56" s="867"/>
      <c r="D56" s="43">
        <f>D12</f>
        <v>145</v>
      </c>
      <c r="E56" s="43">
        <f t="shared" ref="E56" si="2">D56</f>
        <v>145</v>
      </c>
      <c r="F56" s="34"/>
    </row>
    <row r="57" spans="1:9" x14ac:dyDescent="0.2">
      <c r="A57" s="8"/>
      <c r="B57" s="1034"/>
      <c r="C57" s="859"/>
      <c r="D57" s="8"/>
      <c r="E57" s="8"/>
      <c r="F57" s="8"/>
      <c r="G57" s="8"/>
      <c r="H57" s="8"/>
      <c r="I57" s="8"/>
    </row>
    <row r="58" spans="1:9" x14ac:dyDescent="0.2">
      <c r="A58" s="8"/>
      <c r="B58" s="1034"/>
      <c r="C58" s="859"/>
      <c r="D58" s="8"/>
      <c r="E58" s="8"/>
      <c r="F58" s="8"/>
      <c r="G58" s="8"/>
      <c r="H58" s="8"/>
      <c r="I58" s="8"/>
    </row>
    <row r="59" spans="1:9" x14ac:dyDescent="0.2">
      <c r="A59" s="53" t="s">
        <v>490</v>
      </c>
      <c r="B59" s="1034"/>
      <c r="C59" s="859"/>
      <c r="D59" s="8"/>
      <c r="E59" s="8"/>
      <c r="F59" s="8"/>
      <c r="G59" s="8"/>
      <c r="H59" s="8"/>
      <c r="I59" s="8"/>
    </row>
    <row r="60" spans="1:9" s="22" customFormat="1" x14ac:dyDescent="0.2">
      <c r="A60" s="795" t="s">
        <v>491</v>
      </c>
      <c r="B60" s="29"/>
      <c r="C60" s="863"/>
      <c r="D60" s="807">
        <v>81.319999999999993</v>
      </c>
      <c r="E60" s="807">
        <v>81.319999999999993</v>
      </c>
      <c r="F60" s="21"/>
      <c r="G60" s="808"/>
      <c r="H60" s="21"/>
      <c r="I60" s="21"/>
    </row>
    <row r="61" spans="1:9" x14ac:dyDescent="0.2">
      <c r="A61" s="2" t="s">
        <v>492</v>
      </c>
      <c r="B61" s="6"/>
      <c r="C61" s="863"/>
      <c r="D61" s="807">
        <v>0</v>
      </c>
      <c r="E61" s="807">
        <v>0</v>
      </c>
      <c r="F61" s="5"/>
      <c r="G61" s="1224"/>
      <c r="H61" s="1224"/>
      <c r="I61" s="8"/>
    </row>
    <row r="62" spans="1:9" x14ac:dyDescent="0.2">
      <c r="C62" s="859"/>
      <c r="F62" s="8"/>
      <c r="G62" s="8"/>
      <c r="H62" s="8"/>
      <c r="I62" s="8"/>
    </row>
    <row r="63" spans="1:9" x14ac:dyDescent="0.2">
      <c r="C63" s="859"/>
      <c r="F63" s="8"/>
      <c r="G63" s="8"/>
      <c r="H63" s="8"/>
      <c r="I63" s="8"/>
    </row>
    <row r="64" spans="1:9" s="22" customFormat="1" x14ac:dyDescent="0.2">
      <c r="A64" s="2" t="s">
        <v>336</v>
      </c>
      <c r="B64" s="29"/>
      <c r="C64" s="864"/>
      <c r="D64" s="1220">
        <v>0.62</v>
      </c>
      <c r="E64" s="1220">
        <f>D64</f>
        <v>0.62</v>
      </c>
      <c r="F64" s="21"/>
      <c r="G64" s="795" t="s">
        <v>531</v>
      </c>
      <c r="H64" s="918" t="s">
        <v>532</v>
      </c>
      <c r="I64" s="21"/>
    </row>
    <row r="65" spans="1:24" s="22" customFormat="1" x14ac:dyDescent="0.2">
      <c r="A65" s="2" t="s">
        <v>578</v>
      </c>
      <c r="B65" s="29"/>
      <c r="C65" s="864"/>
      <c r="D65" s="1221">
        <v>0.5</v>
      </c>
      <c r="E65" s="1222">
        <f>D65</f>
        <v>0.5</v>
      </c>
      <c r="H65" s="21"/>
      <c r="I65" s="29"/>
      <c r="K65" s="1225"/>
    </row>
    <row r="66" spans="1:24" s="22" customFormat="1" x14ac:dyDescent="0.2">
      <c r="A66" s="2" t="s">
        <v>553</v>
      </c>
      <c r="B66" s="29"/>
      <c r="C66" s="864"/>
      <c r="D66" s="1222">
        <f>D64-D65</f>
        <v>0.12</v>
      </c>
      <c r="E66" s="1222">
        <f>D66</f>
        <v>0.12</v>
      </c>
      <c r="F66" s="37">
        <f>(1+$D$64-E65)/(1+$D$64)</f>
        <v>0.6913580246913581</v>
      </c>
      <c r="G66" s="21"/>
      <c r="H66" s="21"/>
      <c r="I66" s="29"/>
      <c r="J66" s="37"/>
      <c r="K66" s="1225"/>
    </row>
    <row r="67" spans="1:24" s="22" customFormat="1" x14ac:dyDescent="0.2">
      <c r="A67" s="2" t="s">
        <v>579</v>
      </c>
      <c r="B67" s="29"/>
      <c r="C67" s="864"/>
      <c r="D67" s="1221">
        <v>0.4</v>
      </c>
      <c r="E67" s="1222">
        <f>D67</f>
        <v>0.4</v>
      </c>
      <c r="G67" s="21"/>
      <c r="H67" s="21"/>
      <c r="I67" s="21"/>
      <c r="K67" s="1225"/>
    </row>
    <row r="68" spans="1:24" s="22" customFormat="1" x14ac:dyDescent="0.2">
      <c r="A68" s="2" t="s">
        <v>553</v>
      </c>
      <c r="B68" s="29"/>
      <c r="C68" s="864"/>
      <c r="D68" s="1222">
        <f>D64-D67</f>
        <v>0.21999999999999997</v>
      </c>
      <c r="E68" s="1222">
        <f>D68</f>
        <v>0.21999999999999997</v>
      </c>
      <c r="F68" s="37">
        <f>(1+$D$64-E67)/(1+$D$64)</f>
        <v>0.75308641975308654</v>
      </c>
      <c r="G68" s="21"/>
      <c r="H68" s="21"/>
      <c r="I68" s="21"/>
    </row>
    <row r="69" spans="1:24" x14ac:dyDescent="0.2">
      <c r="A69" s="8"/>
      <c r="B69" s="9"/>
      <c r="C69" s="8"/>
      <c r="D69" s="8"/>
      <c r="E69" s="8"/>
      <c r="F69" s="8"/>
      <c r="G69" s="8"/>
      <c r="H69" s="8"/>
      <c r="I69" s="8"/>
    </row>
    <row r="70" spans="1:24" x14ac:dyDescent="0.2">
      <c r="A70" s="8"/>
      <c r="B70" s="9"/>
      <c r="C70" s="8"/>
      <c r="D70" s="8"/>
      <c r="E70" s="8"/>
      <c r="F70" s="8"/>
      <c r="G70" s="8"/>
      <c r="H70" s="8"/>
      <c r="I70" s="8"/>
    </row>
    <row r="71" spans="1:24" s="22" customFormat="1" x14ac:dyDescent="0.2">
      <c r="A71" s="806" t="s">
        <v>60</v>
      </c>
      <c r="B71" s="18"/>
      <c r="C71" s="1256">
        <v>42248</v>
      </c>
      <c r="E71" s="19"/>
      <c r="F71" s="24"/>
      <c r="G71" s="24"/>
      <c r="H71" s="24"/>
      <c r="I71" s="24"/>
      <c r="J71" s="24"/>
      <c r="K71" s="24"/>
      <c r="L71" s="24"/>
      <c r="M71" s="24"/>
      <c r="N71" s="24"/>
      <c r="O71" s="24"/>
      <c r="P71" s="24"/>
      <c r="Q71" s="24"/>
      <c r="R71" s="24"/>
      <c r="S71" s="24"/>
      <c r="T71" s="24"/>
      <c r="U71" s="24"/>
      <c r="V71" s="24"/>
      <c r="W71" s="24"/>
      <c r="X71" s="24"/>
    </row>
    <row r="72" spans="1:24" s="22" customFormat="1" x14ac:dyDescent="0.2">
      <c r="A72" s="19" t="s">
        <v>174</v>
      </c>
      <c r="B72" s="18"/>
      <c r="C72" s="38">
        <v>1</v>
      </c>
      <c r="D72" s="38">
        <v>2</v>
      </c>
      <c r="E72" s="38">
        <v>3</v>
      </c>
      <c r="F72" s="38">
        <v>4</v>
      </c>
      <c r="G72" s="38">
        <v>5</v>
      </c>
      <c r="H72" s="38">
        <v>6</v>
      </c>
      <c r="I72" s="38">
        <v>7</v>
      </c>
      <c r="J72" s="38">
        <v>8</v>
      </c>
      <c r="K72" s="38">
        <v>9</v>
      </c>
      <c r="L72" s="38">
        <v>10</v>
      </c>
      <c r="M72" s="38">
        <v>11</v>
      </c>
      <c r="N72" s="38">
        <v>12</v>
      </c>
      <c r="O72" s="38">
        <v>13</v>
      </c>
      <c r="P72" s="38">
        <v>14</v>
      </c>
      <c r="Q72" s="38">
        <v>15</v>
      </c>
      <c r="R72" s="38">
        <v>16</v>
      </c>
      <c r="S72" s="38">
        <v>17</v>
      </c>
      <c r="T72" s="38">
        <v>18</v>
      </c>
      <c r="U72" s="38">
        <v>19</v>
      </c>
      <c r="V72" s="38">
        <v>20</v>
      </c>
      <c r="W72" s="38" t="s">
        <v>175</v>
      </c>
    </row>
    <row r="73" spans="1:24" s="22" customFormat="1" x14ac:dyDescent="0.2">
      <c r="A73" s="39" t="s">
        <v>158</v>
      </c>
      <c r="B73" s="40"/>
      <c r="C73" s="865">
        <v>2444</v>
      </c>
      <c r="D73" s="865">
        <v>2554</v>
      </c>
      <c r="E73" s="865">
        <v>2675</v>
      </c>
      <c r="F73" s="865">
        <v>2809</v>
      </c>
      <c r="G73" s="865">
        <v>2922</v>
      </c>
      <c r="H73" s="865">
        <v>3039</v>
      </c>
      <c r="I73" s="865">
        <v>3148</v>
      </c>
      <c r="J73" s="865">
        <v>3257</v>
      </c>
      <c r="K73" s="865">
        <v>3375</v>
      </c>
      <c r="L73" s="865">
        <v>3484</v>
      </c>
      <c r="M73" s="865">
        <v>3589</v>
      </c>
      <c r="N73" s="865">
        <v>3697</v>
      </c>
      <c r="O73" s="865">
        <v>3879</v>
      </c>
      <c r="P73" s="865"/>
      <c r="Q73" s="865"/>
      <c r="R73" s="865"/>
      <c r="S73" s="865"/>
      <c r="T73" s="865"/>
      <c r="U73" s="865"/>
      <c r="V73" s="865"/>
      <c r="W73" s="41">
        <f t="shared" ref="W73:W114" si="3">COUNTA(C73:V73)</f>
        <v>13</v>
      </c>
    </row>
    <row r="74" spans="1:24" s="22" customFormat="1" x14ac:dyDescent="0.2">
      <c r="A74" s="39" t="s">
        <v>159</v>
      </c>
      <c r="B74" s="40"/>
      <c r="C74" s="865">
        <v>2496</v>
      </c>
      <c r="D74" s="865">
        <v>2619</v>
      </c>
      <c r="E74" s="865">
        <v>2749</v>
      </c>
      <c r="F74" s="865">
        <v>2866</v>
      </c>
      <c r="G74" s="865">
        <v>2981</v>
      </c>
      <c r="H74" s="865">
        <v>3092</v>
      </c>
      <c r="I74" s="865">
        <v>3200</v>
      </c>
      <c r="J74" s="865">
        <v>3320</v>
      </c>
      <c r="K74" s="865">
        <v>3426</v>
      </c>
      <c r="L74" s="865">
        <v>3534</v>
      </c>
      <c r="M74" s="865">
        <v>3642</v>
      </c>
      <c r="N74" s="865">
        <v>3759</v>
      </c>
      <c r="O74" s="865">
        <v>3879</v>
      </c>
      <c r="P74" s="865">
        <v>3993</v>
      </c>
      <c r="Q74" s="865">
        <v>4105</v>
      </c>
      <c r="R74" s="865">
        <v>4215</v>
      </c>
      <c r="S74" s="865">
        <v>4324</v>
      </c>
      <c r="T74" s="865">
        <v>4380</v>
      </c>
      <c r="U74" s="865"/>
      <c r="V74" s="865"/>
      <c r="W74" s="41">
        <f t="shared" si="3"/>
        <v>18</v>
      </c>
    </row>
    <row r="75" spans="1:24" s="22" customFormat="1" x14ac:dyDescent="0.2">
      <c r="A75" s="39" t="s">
        <v>160</v>
      </c>
      <c r="B75" s="40"/>
      <c r="C75" s="865">
        <v>2619</v>
      </c>
      <c r="D75" s="865">
        <v>2749</v>
      </c>
      <c r="E75" s="865">
        <v>2981</v>
      </c>
      <c r="F75" s="865">
        <v>3200</v>
      </c>
      <c r="G75" s="865">
        <v>3320</v>
      </c>
      <c r="H75" s="865">
        <v>3426</v>
      </c>
      <c r="I75" s="865">
        <v>3534</v>
      </c>
      <c r="J75" s="865">
        <v>3642</v>
      </c>
      <c r="K75" s="865">
        <v>3759</v>
      </c>
      <c r="L75" s="865">
        <v>3879</v>
      </c>
      <c r="M75" s="865">
        <v>3993</v>
      </c>
      <c r="N75" s="865">
        <v>4105</v>
      </c>
      <c r="O75" s="865">
        <v>4215</v>
      </c>
      <c r="P75" s="865">
        <v>4324</v>
      </c>
      <c r="Q75" s="865">
        <v>4438</v>
      </c>
      <c r="R75" s="865">
        <v>4550</v>
      </c>
      <c r="S75" s="865">
        <v>4657</v>
      </c>
      <c r="T75" s="865">
        <v>4770</v>
      </c>
      <c r="U75" s="865">
        <v>4910</v>
      </c>
      <c r="V75" s="865">
        <v>4979</v>
      </c>
      <c r="W75" s="41">
        <f t="shared" si="3"/>
        <v>20</v>
      </c>
    </row>
    <row r="76" spans="1:24" s="22" customFormat="1" x14ac:dyDescent="0.2">
      <c r="A76" s="39" t="s">
        <v>163</v>
      </c>
      <c r="B76" s="40"/>
      <c r="C76" s="865">
        <v>2749</v>
      </c>
      <c r="D76" s="865">
        <v>2981</v>
      </c>
      <c r="E76" s="865">
        <v>3200</v>
      </c>
      <c r="F76" s="865">
        <v>3426</v>
      </c>
      <c r="G76" s="865">
        <v>3642</v>
      </c>
      <c r="H76" s="865">
        <v>3879</v>
      </c>
      <c r="I76" s="865">
        <v>3993</v>
      </c>
      <c r="J76" s="865">
        <v>4105</v>
      </c>
      <c r="K76" s="865">
        <v>4215</v>
      </c>
      <c r="L76" s="865">
        <v>4324</v>
      </c>
      <c r="M76" s="865">
        <v>4438</v>
      </c>
      <c r="N76" s="865">
        <v>4550</v>
      </c>
      <c r="O76" s="865">
        <v>4657</v>
      </c>
      <c r="P76" s="865">
        <v>4770</v>
      </c>
      <c r="Q76" s="865">
        <v>4910</v>
      </c>
      <c r="R76" s="865">
        <v>5048</v>
      </c>
      <c r="S76" s="865">
        <v>5189</v>
      </c>
      <c r="T76" s="865">
        <v>5239</v>
      </c>
      <c r="U76" s="865">
        <v>5396</v>
      </c>
      <c r="V76" s="1212"/>
      <c r="W76" s="41">
        <f t="shared" si="3"/>
        <v>19</v>
      </c>
    </row>
    <row r="77" spans="1:24" s="22" customFormat="1" x14ac:dyDescent="0.2">
      <c r="A77" s="39" t="s">
        <v>151</v>
      </c>
      <c r="B77" s="40"/>
      <c r="C77" s="865">
        <v>2669</v>
      </c>
      <c r="D77" s="865">
        <v>2774</v>
      </c>
      <c r="E77" s="865">
        <v>2880</v>
      </c>
      <c r="F77" s="865">
        <v>2984</v>
      </c>
      <c r="G77" s="865">
        <v>3088</v>
      </c>
      <c r="H77" s="865">
        <v>3195</v>
      </c>
      <c r="I77" s="865">
        <v>3299</v>
      </c>
      <c r="J77" s="865">
        <v>3405</v>
      </c>
      <c r="K77" s="865">
        <v>3508</v>
      </c>
      <c r="L77" s="865">
        <v>3614</v>
      </c>
      <c r="M77" s="865">
        <v>3721</v>
      </c>
      <c r="N77" s="865">
        <v>3825</v>
      </c>
      <c r="O77" s="865">
        <v>3932</v>
      </c>
      <c r="P77" s="865"/>
      <c r="Q77" s="865"/>
      <c r="R77" s="865"/>
      <c r="S77" s="865"/>
      <c r="T77" s="865"/>
      <c r="U77" s="1252"/>
      <c r="V77" s="1252"/>
      <c r="W77" s="41">
        <f t="shared" si="3"/>
        <v>13</v>
      </c>
    </row>
    <row r="78" spans="1:24" s="22" customFormat="1" x14ac:dyDescent="0.2">
      <c r="A78" s="39" t="s">
        <v>152</v>
      </c>
      <c r="B78" s="40"/>
      <c r="C78" s="865">
        <v>2774</v>
      </c>
      <c r="D78" s="865">
        <v>2984</v>
      </c>
      <c r="E78" s="865">
        <v>3195</v>
      </c>
      <c r="F78" s="865">
        <v>3299</v>
      </c>
      <c r="G78" s="865">
        <v>3405</v>
      </c>
      <c r="H78" s="865">
        <v>3508</v>
      </c>
      <c r="I78" s="865">
        <v>3614</v>
      </c>
      <c r="J78" s="865">
        <v>3721</v>
      </c>
      <c r="K78" s="865">
        <v>3825</v>
      </c>
      <c r="L78" s="865">
        <v>3932</v>
      </c>
      <c r="M78" s="865">
        <v>4037</v>
      </c>
      <c r="N78" s="865">
        <v>4141</v>
      </c>
      <c r="O78" s="865">
        <v>4246</v>
      </c>
      <c r="P78" s="865">
        <v>4350</v>
      </c>
      <c r="Q78" s="865">
        <v>4457</v>
      </c>
      <c r="R78" s="865"/>
      <c r="S78" s="865"/>
      <c r="T78" s="865"/>
      <c r="U78" s="1252"/>
      <c r="V78" s="1252"/>
      <c r="W78" s="41">
        <f t="shared" si="3"/>
        <v>15</v>
      </c>
    </row>
    <row r="79" spans="1:24" s="22" customFormat="1" x14ac:dyDescent="0.2">
      <c r="A79" s="39" t="s">
        <v>176</v>
      </c>
      <c r="B79" s="40"/>
      <c r="C79" s="865">
        <v>2774</v>
      </c>
      <c r="D79" s="865">
        <v>2984</v>
      </c>
      <c r="E79" s="865">
        <v>3195</v>
      </c>
      <c r="F79" s="865">
        <v>3299</v>
      </c>
      <c r="G79" s="865">
        <v>3405</v>
      </c>
      <c r="H79" s="865">
        <v>3508</v>
      </c>
      <c r="I79" s="865">
        <v>3614</v>
      </c>
      <c r="J79" s="865">
        <v>3721</v>
      </c>
      <c r="K79" s="865">
        <v>3825</v>
      </c>
      <c r="L79" s="865">
        <v>3932</v>
      </c>
      <c r="M79" s="865">
        <v>4037</v>
      </c>
      <c r="N79" s="865">
        <v>4141</v>
      </c>
      <c r="O79" s="865">
        <v>4246</v>
      </c>
      <c r="P79" s="865">
        <v>4350</v>
      </c>
      <c r="Q79" s="865">
        <v>4457</v>
      </c>
      <c r="R79" s="865">
        <v>4562</v>
      </c>
      <c r="S79" s="865">
        <v>4667</v>
      </c>
      <c r="T79" s="865"/>
      <c r="U79" s="1252"/>
      <c r="V79" s="1252"/>
      <c r="W79" s="41">
        <f t="shared" si="3"/>
        <v>17</v>
      </c>
    </row>
    <row r="80" spans="1:24" s="22" customFormat="1" x14ac:dyDescent="0.2">
      <c r="A80" s="39" t="s">
        <v>153</v>
      </c>
      <c r="B80" s="40"/>
      <c r="C80" s="865">
        <v>2880</v>
      </c>
      <c r="D80" s="865">
        <v>3195</v>
      </c>
      <c r="E80" s="865">
        <v>3405</v>
      </c>
      <c r="F80" s="865">
        <v>3614</v>
      </c>
      <c r="G80" s="865">
        <v>3825</v>
      </c>
      <c r="H80" s="865">
        <v>3932</v>
      </c>
      <c r="I80" s="865">
        <v>4037</v>
      </c>
      <c r="J80" s="865">
        <v>4141</v>
      </c>
      <c r="K80" s="865">
        <v>4246</v>
      </c>
      <c r="L80" s="865">
        <v>4350</v>
      </c>
      <c r="M80" s="865">
        <v>4457</v>
      </c>
      <c r="N80" s="865">
        <v>4562</v>
      </c>
      <c r="O80" s="865">
        <v>4667</v>
      </c>
      <c r="P80" s="865">
        <v>4771</v>
      </c>
      <c r="Q80" s="865">
        <v>4876</v>
      </c>
      <c r="R80" s="865">
        <v>4983</v>
      </c>
      <c r="S80" s="865"/>
      <c r="T80" s="865"/>
      <c r="U80" s="1252"/>
      <c r="V80" s="1252"/>
      <c r="W80" s="41">
        <f t="shared" si="3"/>
        <v>16</v>
      </c>
    </row>
    <row r="81" spans="1:23" s="22" customFormat="1" x14ac:dyDescent="0.2">
      <c r="A81" s="39" t="s">
        <v>177</v>
      </c>
      <c r="B81" s="40"/>
      <c r="C81" s="865">
        <v>2880</v>
      </c>
      <c r="D81" s="865">
        <v>3195</v>
      </c>
      <c r="E81" s="865">
        <v>3405</v>
      </c>
      <c r="F81" s="865">
        <v>3614</v>
      </c>
      <c r="G81" s="865">
        <v>3825</v>
      </c>
      <c r="H81" s="865">
        <v>3932</v>
      </c>
      <c r="I81" s="865">
        <v>4037</v>
      </c>
      <c r="J81" s="865">
        <v>4141</v>
      </c>
      <c r="K81" s="865">
        <v>4246</v>
      </c>
      <c r="L81" s="865">
        <v>4350</v>
      </c>
      <c r="M81" s="865">
        <v>4457</v>
      </c>
      <c r="N81" s="865">
        <v>4562</v>
      </c>
      <c r="O81" s="865">
        <v>4667</v>
      </c>
      <c r="P81" s="865">
        <v>4771</v>
      </c>
      <c r="Q81" s="865">
        <v>4876</v>
      </c>
      <c r="R81" s="865">
        <v>4983</v>
      </c>
      <c r="S81" s="865">
        <v>5087</v>
      </c>
      <c r="T81" s="865">
        <v>5192</v>
      </c>
      <c r="U81" s="1252"/>
      <c r="V81" s="1252"/>
      <c r="W81" s="41">
        <f t="shared" si="3"/>
        <v>18</v>
      </c>
    </row>
    <row r="82" spans="1:23" s="22" customFormat="1" x14ac:dyDescent="0.2">
      <c r="A82" s="39" t="s">
        <v>161</v>
      </c>
      <c r="B82" s="40"/>
      <c r="C82" s="865">
        <v>2924</v>
      </c>
      <c r="D82" s="865">
        <v>3143</v>
      </c>
      <c r="E82" s="865">
        <v>3366</v>
      </c>
      <c r="F82" s="865">
        <v>3580</v>
      </c>
      <c r="G82" s="865">
        <v>3817</v>
      </c>
      <c r="H82" s="865">
        <v>3932</v>
      </c>
      <c r="I82" s="865">
        <v>4041</v>
      </c>
      <c r="J82" s="865">
        <v>4153</v>
      </c>
      <c r="K82" s="865">
        <v>4259</v>
      </c>
      <c r="L82" s="865">
        <v>4374</v>
      </c>
      <c r="M82" s="865">
        <v>4485</v>
      </c>
      <c r="N82" s="865">
        <v>4592</v>
      </c>
      <c r="O82" s="865">
        <v>4703</v>
      </c>
      <c r="P82" s="865">
        <v>4842</v>
      </c>
      <c r="Q82" s="865">
        <v>4982</v>
      </c>
      <c r="R82" s="865">
        <v>5120</v>
      </c>
      <c r="S82" s="865">
        <v>5260</v>
      </c>
      <c r="T82" s="865">
        <v>5326</v>
      </c>
      <c r="U82" s="1252"/>
      <c r="V82" s="1252"/>
      <c r="W82" s="41">
        <f t="shared" si="3"/>
        <v>18</v>
      </c>
    </row>
    <row r="83" spans="1:23" s="22" customFormat="1" x14ac:dyDescent="0.2">
      <c r="A83" s="39" t="s">
        <v>162</v>
      </c>
      <c r="B83" s="40"/>
      <c r="C83" s="865">
        <v>3034</v>
      </c>
      <c r="D83" s="865">
        <v>3260</v>
      </c>
      <c r="E83" s="865">
        <v>3474</v>
      </c>
      <c r="F83" s="865">
        <v>3698</v>
      </c>
      <c r="G83" s="865">
        <v>3932</v>
      </c>
      <c r="H83" s="865">
        <v>4153</v>
      </c>
      <c r="I83" s="865">
        <v>4374</v>
      </c>
      <c r="J83" s="865">
        <v>4485</v>
      </c>
      <c r="K83" s="865">
        <v>4592</v>
      </c>
      <c r="L83" s="865">
        <v>4703</v>
      </c>
      <c r="M83" s="865">
        <v>4842</v>
      </c>
      <c r="N83" s="865">
        <v>4982</v>
      </c>
      <c r="O83" s="865">
        <v>5120</v>
      </c>
      <c r="P83" s="865">
        <v>5260</v>
      </c>
      <c r="Q83" s="865">
        <v>5400</v>
      </c>
      <c r="R83" s="865">
        <v>5547</v>
      </c>
      <c r="S83" s="865">
        <v>5698</v>
      </c>
      <c r="T83" s="865">
        <v>5854</v>
      </c>
      <c r="U83" s="1252"/>
      <c r="V83" s="1252"/>
      <c r="W83" s="41">
        <f t="shared" si="3"/>
        <v>18</v>
      </c>
    </row>
    <row r="84" spans="1:23" s="22" customFormat="1" x14ac:dyDescent="0.2">
      <c r="A84" s="24" t="s">
        <v>180</v>
      </c>
      <c r="B84" s="26"/>
      <c r="C84" s="1252">
        <v>1507.8</v>
      </c>
      <c r="D84" s="1252">
        <v>1513</v>
      </c>
      <c r="E84" s="1252">
        <v>1576</v>
      </c>
      <c r="F84" s="1252">
        <v>1605</v>
      </c>
      <c r="G84" s="1252">
        <v>1637</v>
      </c>
      <c r="H84" s="1252">
        <v>1671</v>
      </c>
      <c r="I84" s="1252">
        <v>1715</v>
      </c>
      <c r="J84" s="1252"/>
      <c r="K84" s="1252"/>
      <c r="L84" s="1252"/>
      <c r="M84" s="1252"/>
      <c r="N84" s="1252"/>
      <c r="O84" s="1252"/>
      <c r="P84" s="1252"/>
      <c r="Q84" s="1252"/>
      <c r="R84" s="1252"/>
      <c r="S84" s="1252"/>
      <c r="T84" s="1252"/>
      <c r="U84" s="1252"/>
      <c r="V84" s="1252"/>
      <c r="W84" s="41">
        <f t="shared" si="3"/>
        <v>7</v>
      </c>
    </row>
    <row r="85" spans="1:23" s="22" customFormat="1" x14ac:dyDescent="0.2">
      <c r="A85" s="24" t="s">
        <v>192</v>
      </c>
      <c r="B85" s="26"/>
      <c r="C85" s="1252">
        <v>1507.8</v>
      </c>
      <c r="D85" s="1252">
        <v>1545</v>
      </c>
      <c r="E85" s="1252">
        <v>1605</v>
      </c>
      <c r="F85" s="1252">
        <v>1671</v>
      </c>
      <c r="G85" s="1252">
        <v>1715</v>
      </c>
      <c r="H85" s="1252">
        <v>1765</v>
      </c>
      <c r="I85" s="1252">
        <v>1827</v>
      </c>
      <c r="J85" s="1252">
        <v>1885</v>
      </c>
      <c r="K85" s="1252"/>
      <c r="L85" s="1252"/>
      <c r="M85" s="1252"/>
      <c r="N85" s="1252"/>
      <c r="O85" s="1252"/>
      <c r="P85" s="1252"/>
      <c r="Q85" s="1252"/>
      <c r="R85" s="1252"/>
      <c r="S85" s="1252"/>
      <c r="T85" s="1252"/>
      <c r="U85" s="1252"/>
      <c r="V85" s="1252"/>
      <c r="W85" s="41">
        <f t="shared" si="3"/>
        <v>8</v>
      </c>
    </row>
    <row r="86" spans="1:23" s="22" customFormat="1" x14ac:dyDescent="0.2">
      <c r="A86" s="24" t="s">
        <v>181</v>
      </c>
      <c r="B86" s="26"/>
      <c r="C86" s="1252">
        <v>1507.8</v>
      </c>
      <c r="D86" s="1252">
        <v>1605</v>
      </c>
      <c r="E86" s="1252">
        <v>1671</v>
      </c>
      <c r="F86" s="1252">
        <v>1765</v>
      </c>
      <c r="G86" s="1252">
        <v>1827</v>
      </c>
      <c r="H86" s="1252">
        <v>1885</v>
      </c>
      <c r="I86" s="1252">
        <v>1943</v>
      </c>
      <c r="J86" s="1252"/>
      <c r="K86" s="1252"/>
      <c r="L86" s="1252"/>
      <c r="M86" s="1252"/>
      <c r="N86" s="1252"/>
      <c r="O86" s="1252"/>
      <c r="P86" s="1252"/>
      <c r="Q86" s="1252"/>
      <c r="R86" s="1252"/>
      <c r="S86" s="1252"/>
      <c r="T86" s="1252"/>
      <c r="U86" s="1252"/>
      <c r="V86" s="1252"/>
      <c r="W86" s="41">
        <f t="shared" si="3"/>
        <v>7</v>
      </c>
    </row>
    <row r="87" spans="1:23" s="22" customFormat="1" x14ac:dyDescent="0.2">
      <c r="A87" s="39" t="s">
        <v>154</v>
      </c>
      <c r="B87" s="40"/>
      <c r="C87" s="865">
        <v>2346</v>
      </c>
      <c r="D87" s="865">
        <v>2394</v>
      </c>
      <c r="E87" s="865">
        <v>2446</v>
      </c>
      <c r="F87" s="865">
        <v>2498</v>
      </c>
      <c r="G87" s="865">
        <v>2550</v>
      </c>
      <c r="H87" s="865">
        <v>2611</v>
      </c>
      <c r="I87" s="865">
        <v>2674</v>
      </c>
      <c r="J87" s="865">
        <v>2743</v>
      </c>
      <c r="K87" s="865">
        <v>2820</v>
      </c>
      <c r="L87" s="865">
        <v>2899</v>
      </c>
      <c r="M87" s="865">
        <v>2986</v>
      </c>
      <c r="N87" s="865">
        <v>3077</v>
      </c>
      <c r="O87" s="865">
        <v>3175</v>
      </c>
      <c r="P87" s="865">
        <v>3277</v>
      </c>
      <c r="Q87" s="865">
        <v>3355</v>
      </c>
      <c r="R87" s="1252"/>
      <c r="S87" s="1252"/>
      <c r="T87" s="1252"/>
      <c r="U87" s="1252"/>
      <c r="V87" s="1252"/>
      <c r="W87" s="41">
        <f t="shared" si="3"/>
        <v>15</v>
      </c>
    </row>
    <row r="88" spans="1:23" s="22" customFormat="1" x14ac:dyDescent="0.2">
      <c r="A88" s="39" t="s">
        <v>155</v>
      </c>
      <c r="B88" s="40"/>
      <c r="C88" s="865">
        <v>2433</v>
      </c>
      <c r="D88" s="865">
        <v>2491</v>
      </c>
      <c r="E88" s="865">
        <v>2558</v>
      </c>
      <c r="F88" s="865">
        <v>2622</v>
      </c>
      <c r="G88" s="865">
        <v>2687</v>
      </c>
      <c r="H88" s="865">
        <v>2760</v>
      </c>
      <c r="I88" s="865">
        <v>2839</v>
      </c>
      <c r="J88" s="865">
        <v>2925</v>
      </c>
      <c r="K88" s="865">
        <v>3026</v>
      </c>
      <c r="L88" s="865">
        <v>3127</v>
      </c>
      <c r="M88" s="865">
        <v>3237</v>
      </c>
      <c r="N88" s="865">
        <v>3350</v>
      </c>
      <c r="O88" s="865">
        <v>3467</v>
      </c>
      <c r="P88" s="865">
        <v>3590</v>
      </c>
      <c r="Q88" s="865">
        <v>3686</v>
      </c>
      <c r="R88" s="1252"/>
      <c r="S88" s="1252"/>
      <c r="T88" s="1252"/>
      <c r="U88" s="1252"/>
      <c r="V88" s="1252"/>
      <c r="W88" s="41">
        <f t="shared" si="3"/>
        <v>15</v>
      </c>
    </row>
    <row r="89" spans="1:23" s="22" customFormat="1" x14ac:dyDescent="0.2">
      <c r="A89" s="39" t="s">
        <v>156</v>
      </c>
      <c r="B89" s="40"/>
      <c r="C89" s="865">
        <v>2446</v>
      </c>
      <c r="D89" s="865">
        <v>2565</v>
      </c>
      <c r="E89" s="865">
        <v>2686</v>
      </c>
      <c r="F89" s="865">
        <v>2809</v>
      </c>
      <c r="G89" s="865">
        <v>2929</v>
      </c>
      <c r="H89" s="865">
        <v>3054</v>
      </c>
      <c r="I89" s="865">
        <v>3183</v>
      </c>
      <c r="J89" s="865">
        <v>3314</v>
      </c>
      <c r="K89" s="865">
        <v>3451</v>
      </c>
      <c r="L89" s="865">
        <v>3591</v>
      </c>
      <c r="M89" s="865">
        <v>3732</v>
      </c>
      <c r="N89" s="865">
        <v>3879</v>
      </c>
      <c r="O89" s="865">
        <v>4030</v>
      </c>
      <c r="P89" s="865">
        <v>4183</v>
      </c>
      <c r="Q89" s="865">
        <v>4300</v>
      </c>
      <c r="R89" s="1252"/>
      <c r="S89" s="1252"/>
      <c r="T89" s="1252"/>
      <c r="U89" s="1252"/>
      <c r="V89" s="1252"/>
      <c r="W89" s="41">
        <f t="shared" si="3"/>
        <v>15</v>
      </c>
    </row>
    <row r="90" spans="1:23" s="22" customFormat="1" x14ac:dyDescent="0.2">
      <c r="A90" s="39" t="s">
        <v>164</v>
      </c>
      <c r="B90" s="40"/>
      <c r="C90" s="865">
        <v>2455</v>
      </c>
      <c r="D90" s="865">
        <v>2603</v>
      </c>
      <c r="E90" s="865">
        <v>2754</v>
      </c>
      <c r="F90" s="865">
        <v>2908</v>
      </c>
      <c r="G90" s="865">
        <v>3062</v>
      </c>
      <c r="H90" s="865">
        <v>3223</v>
      </c>
      <c r="I90" s="865">
        <v>3390</v>
      </c>
      <c r="J90" s="865">
        <v>3559</v>
      </c>
      <c r="K90" s="865">
        <v>3737</v>
      </c>
      <c r="L90" s="865">
        <v>3922</v>
      </c>
      <c r="M90" s="865">
        <v>4113</v>
      </c>
      <c r="N90" s="865">
        <v>4310</v>
      </c>
      <c r="O90" s="865">
        <v>4514</v>
      </c>
      <c r="P90" s="865">
        <v>4723</v>
      </c>
      <c r="Q90" s="865">
        <v>4893</v>
      </c>
      <c r="R90" s="1252"/>
      <c r="S90" s="1252"/>
      <c r="T90" s="1252"/>
      <c r="U90" s="1252"/>
      <c r="V90" s="1252"/>
      <c r="W90" s="41">
        <f t="shared" si="3"/>
        <v>15</v>
      </c>
    </row>
    <row r="91" spans="1:23" s="22" customFormat="1" x14ac:dyDescent="0.2">
      <c r="A91" s="1257" t="s">
        <v>165</v>
      </c>
      <c r="B91" s="40"/>
      <c r="C91" s="865">
        <v>3159</v>
      </c>
      <c r="D91" s="865">
        <v>3279</v>
      </c>
      <c r="E91" s="865">
        <v>3385</v>
      </c>
      <c r="F91" s="865">
        <v>3601</v>
      </c>
      <c r="G91" s="865">
        <v>3838</v>
      </c>
      <c r="H91" s="865">
        <v>3988</v>
      </c>
      <c r="I91" s="865">
        <v>4140</v>
      </c>
      <c r="J91" s="865">
        <v>4291</v>
      </c>
      <c r="K91" s="865">
        <v>4443</v>
      </c>
      <c r="L91" s="865">
        <v>4594</v>
      </c>
      <c r="M91" s="865">
        <v>4746</v>
      </c>
      <c r="N91" s="865">
        <v>4899</v>
      </c>
      <c r="O91" s="865">
        <v>5052</v>
      </c>
      <c r="P91" s="865">
        <v>5202</v>
      </c>
      <c r="Q91" s="865">
        <v>5306</v>
      </c>
      <c r="R91" s="1252"/>
      <c r="S91" s="1252"/>
      <c r="T91" s="1252"/>
      <c r="U91" s="1252"/>
      <c r="V91" s="1252"/>
      <c r="W91" s="1258">
        <f t="shared" si="3"/>
        <v>15</v>
      </c>
    </row>
    <row r="92" spans="1:23" s="22" customFormat="1" x14ac:dyDescent="0.2">
      <c r="A92" s="24" t="s">
        <v>178</v>
      </c>
      <c r="B92" s="26"/>
      <c r="C92" s="1252">
        <f>+C87/2</f>
        <v>1173</v>
      </c>
      <c r="D92" s="1253"/>
      <c r="E92" s="1253"/>
      <c r="F92" s="1253"/>
      <c r="G92" s="1253"/>
      <c r="H92" s="1253"/>
      <c r="I92" s="1253"/>
      <c r="J92" s="1253"/>
      <c r="K92" s="1253"/>
      <c r="L92" s="1253"/>
      <c r="M92" s="1253"/>
      <c r="N92" s="1253"/>
      <c r="O92" s="1253"/>
      <c r="P92" s="1253"/>
      <c r="Q92" s="1253"/>
      <c r="R92" s="1252"/>
      <c r="S92" s="1253"/>
      <c r="T92" s="1253"/>
      <c r="U92" s="1253"/>
      <c r="V92" s="1253"/>
      <c r="W92" s="41">
        <f t="shared" si="3"/>
        <v>1</v>
      </c>
    </row>
    <row r="93" spans="1:23" s="22" customFormat="1" x14ac:dyDescent="0.2">
      <c r="A93" s="24" t="s">
        <v>179</v>
      </c>
      <c r="B93" s="26"/>
      <c r="C93" s="1252">
        <f>+C88/2</f>
        <v>1216.5</v>
      </c>
      <c r="D93" s="1253"/>
      <c r="E93" s="1253"/>
      <c r="F93" s="1253"/>
      <c r="G93" s="1253"/>
      <c r="H93" s="1253"/>
      <c r="I93" s="1253"/>
      <c r="J93" s="1253"/>
      <c r="K93" s="1253"/>
      <c r="L93" s="1253"/>
      <c r="M93" s="1253"/>
      <c r="N93" s="1253"/>
      <c r="O93" s="1253"/>
      <c r="P93" s="1253"/>
      <c r="Q93" s="1253"/>
      <c r="R93" s="1252"/>
      <c r="S93" s="1253"/>
      <c r="T93" s="1253"/>
      <c r="U93" s="1253"/>
      <c r="V93" s="1253"/>
      <c r="W93" s="41">
        <f t="shared" si="3"/>
        <v>1</v>
      </c>
    </row>
    <row r="94" spans="1:23" s="22" customFormat="1" x14ac:dyDescent="0.2">
      <c r="A94" s="21" t="s">
        <v>374</v>
      </c>
      <c r="B94" s="18"/>
      <c r="C94" s="865">
        <v>2669</v>
      </c>
      <c r="D94" s="865">
        <v>2774</v>
      </c>
      <c r="E94" s="865">
        <v>2880</v>
      </c>
      <c r="F94" s="865">
        <v>2984</v>
      </c>
      <c r="G94" s="865">
        <v>3088</v>
      </c>
      <c r="H94" s="865">
        <v>3195</v>
      </c>
      <c r="I94" s="865">
        <v>3299</v>
      </c>
      <c r="J94" s="865">
        <v>3405</v>
      </c>
      <c r="K94" s="865">
        <v>3508</v>
      </c>
      <c r="L94" s="865">
        <v>3614</v>
      </c>
      <c r="M94" s="865">
        <v>3721</v>
      </c>
      <c r="N94" s="865"/>
      <c r="O94" s="865"/>
      <c r="P94" s="865"/>
      <c r="Q94" s="865"/>
      <c r="R94" s="1252"/>
      <c r="S94" s="1252"/>
      <c r="T94" s="1252"/>
      <c r="U94" s="1252"/>
      <c r="V94" s="1252"/>
      <c r="W94" s="41">
        <f t="shared" si="3"/>
        <v>11</v>
      </c>
    </row>
    <row r="95" spans="1:23" s="22" customFormat="1" x14ac:dyDescent="0.2">
      <c r="A95" s="21" t="s">
        <v>368</v>
      </c>
      <c r="B95" s="18"/>
      <c r="C95" s="865">
        <v>2774</v>
      </c>
      <c r="D95" s="865">
        <v>2984</v>
      </c>
      <c r="E95" s="865">
        <v>3195</v>
      </c>
      <c r="F95" s="865">
        <v>3299</v>
      </c>
      <c r="G95" s="865">
        <v>3405</v>
      </c>
      <c r="H95" s="865">
        <v>3508</v>
      </c>
      <c r="I95" s="865">
        <v>3614</v>
      </c>
      <c r="J95" s="865">
        <v>3721</v>
      </c>
      <c r="K95" s="865">
        <v>3825</v>
      </c>
      <c r="L95" s="865">
        <v>3932</v>
      </c>
      <c r="M95" s="865"/>
      <c r="N95" s="865"/>
      <c r="O95" s="865"/>
      <c r="P95" s="865"/>
      <c r="Q95" s="865"/>
      <c r="R95" s="1252"/>
      <c r="S95" s="1252"/>
      <c r="T95" s="1252"/>
      <c r="U95" s="1252"/>
      <c r="V95" s="1252"/>
      <c r="W95" s="41">
        <f t="shared" si="3"/>
        <v>10</v>
      </c>
    </row>
    <row r="96" spans="1:23" s="22" customFormat="1" x14ac:dyDescent="0.2">
      <c r="A96" s="21" t="s">
        <v>369</v>
      </c>
      <c r="B96" s="18"/>
      <c r="C96" s="865">
        <v>2774</v>
      </c>
      <c r="D96" s="865">
        <v>2984</v>
      </c>
      <c r="E96" s="865">
        <v>3195</v>
      </c>
      <c r="F96" s="865">
        <v>3299</v>
      </c>
      <c r="G96" s="865">
        <v>3405</v>
      </c>
      <c r="H96" s="865">
        <v>3508</v>
      </c>
      <c r="I96" s="865">
        <v>3614</v>
      </c>
      <c r="J96" s="865">
        <v>3721</v>
      </c>
      <c r="K96" s="865">
        <v>3825</v>
      </c>
      <c r="L96" s="865">
        <v>3932</v>
      </c>
      <c r="M96" s="865">
        <v>4037</v>
      </c>
      <c r="N96" s="865"/>
      <c r="O96" s="865"/>
      <c r="P96" s="865"/>
      <c r="Q96" s="865"/>
      <c r="R96" s="1252"/>
      <c r="S96" s="1252"/>
      <c r="T96" s="1252"/>
      <c r="U96" s="1252"/>
      <c r="V96" s="1252"/>
      <c r="W96" s="41">
        <f t="shared" si="3"/>
        <v>11</v>
      </c>
    </row>
    <row r="97" spans="1:23" s="22" customFormat="1" x14ac:dyDescent="0.2">
      <c r="A97" s="21" t="s">
        <v>371</v>
      </c>
      <c r="B97" s="18"/>
      <c r="C97" s="865">
        <v>2880</v>
      </c>
      <c r="D97" s="865">
        <v>3195</v>
      </c>
      <c r="E97" s="865">
        <v>3405</v>
      </c>
      <c r="F97" s="865">
        <v>3614</v>
      </c>
      <c r="G97" s="865">
        <v>3825</v>
      </c>
      <c r="H97" s="865">
        <v>3932</v>
      </c>
      <c r="I97" s="865">
        <v>4037</v>
      </c>
      <c r="J97" s="865">
        <v>4141</v>
      </c>
      <c r="K97" s="865">
        <v>4246</v>
      </c>
      <c r="L97" s="865">
        <v>4350</v>
      </c>
      <c r="M97" s="865">
        <v>4457</v>
      </c>
      <c r="N97" s="865">
        <v>4562</v>
      </c>
      <c r="O97" s="865">
        <v>4667</v>
      </c>
      <c r="P97" s="865"/>
      <c r="Q97" s="865"/>
      <c r="R97" s="1252"/>
      <c r="S97" s="1252"/>
      <c r="T97" s="1252"/>
      <c r="U97" s="1252"/>
      <c r="V97" s="1252"/>
      <c r="W97" s="41">
        <f t="shared" si="3"/>
        <v>13</v>
      </c>
    </row>
    <row r="98" spans="1:23" s="22" customFormat="1" x14ac:dyDescent="0.2">
      <c r="A98" s="21" t="s">
        <v>370</v>
      </c>
      <c r="B98" s="18"/>
      <c r="C98" s="1252">
        <v>2880</v>
      </c>
      <c r="D98" s="865">
        <v>3195</v>
      </c>
      <c r="E98" s="865">
        <v>3405</v>
      </c>
      <c r="F98" s="865">
        <v>3614</v>
      </c>
      <c r="G98" s="865">
        <v>3825</v>
      </c>
      <c r="H98" s="865">
        <v>3932</v>
      </c>
      <c r="I98" s="865">
        <v>4037</v>
      </c>
      <c r="J98" s="865">
        <v>4141</v>
      </c>
      <c r="K98" s="865">
        <v>4246</v>
      </c>
      <c r="L98" s="865">
        <v>4350</v>
      </c>
      <c r="M98" s="865">
        <v>4457</v>
      </c>
      <c r="N98" s="865">
        <v>4562</v>
      </c>
      <c r="O98" s="865">
        <v>4667</v>
      </c>
      <c r="P98" s="865">
        <v>4771</v>
      </c>
      <c r="Q98" s="865">
        <v>4876</v>
      </c>
      <c r="R98" s="1252"/>
      <c r="S98" s="1252"/>
      <c r="T98" s="1252"/>
      <c r="U98" s="1252"/>
      <c r="V98" s="1252"/>
      <c r="W98" s="41">
        <f t="shared" si="3"/>
        <v>15</v>
      </c>
    </row>
    <row r="99" spans="1:23" s="22" customFormat="1" x14ac:dyDescent="0.2">
      <c r="A99" s="24">
        <v>1</v>
      </c>
      <c r="B99" s="26"/>
      <c r="C99" s="1252">
        <v>1507.8</v>
      </c>
      <c r="D99" s="1252">
        <v>1513</v>
      </c>
      <c r="E99" s="865">
        <v>1576</v>
      </c>
      <c r="F99" s="865">
        <v>1605</v>
      </c>
      <c r="G99" s="865">
        <v>1637</v>
      </c>
      <c r="H99" s="865">
        <v>1671</v>
      </c>
      <c r="I99" s="865">
        <v>1715</v>
      </c>
      <c r="J99" s="1212"/>
      <c r="K99" s="1212"/>
      <c r="L99" s="1212"/>
      <c r="M99" s="1212"/>
      <c r="N99" s="1212"/>
      <c r="O99" s="1212"/>
      <c r="P99" s="1212"/>
      <c r="Q99" s="1212"/>
      <c r="R99" s="1212"/>
      <c r="S99" s="1212"/>
      <c r="T99" s="1212"/>
      <c r="U99" s="1252"/>
      <c r="V99" s="1252"/>
      <c r="W99" s="41">
        <f t="shared" si="3"/>
        <v>7</v>
      </c>
    </row>
    <row r="100" spans="1:23" s="22" customFormat="1" x14ac:dyDescent="0.2">
      <c r="A100" s="24">
        <v>2</v>
      </c>
      <c r="B100" s="26"/>
      <c r="C100" s="1252">
        <f>C99</f>
        <v>1507.8</v>
      </c>
      <c r="D100" s="865">
        <v>1545</v>
      </c>
      <c r="E100" s="865">
        <v>1605</v>
      </c>
      <c r="F100" s="865">
        <v>1671</v>
      </c>
      <c r="G100" s="865">
        <v>1715</v>
      </c>
      <c r="H100" s="865">
        <v>1765</v>
      </c>
      <c r="I100" s="865">
        <v>1827</v>
      </c>
      <c r="J100" s="865">
        <v>1885</v>
      </c>
      <c r="K100" s="865"/>
      <c r="L100" s="865"/>
      <c r="M100" s="865"/>
      <c r="N100" s="865"/>
      <c r="O100" s="865"/>
      <c r="P100" s="865"/>
      <c r="Q100" s="865"/>
      <c r="R100" s="865"/>
      <c r="S100" s="865"/>
      <c r="T100" s="865"/>
      <c r="U100" s="1252"/>
      <c r="V100" s="1252"/>
      <c r="W100" s="41">
        <f t="shared" si="3"/>
        <v>8</v>
      </c>
    </row>
    <row r="101" spans="1:23" s="22" customFormat="1" x14ac:dyDescent="0.2">
      <c r="A101" s="24">
        <v>3</v>
      </c>
      <c r="B101" s="26"/>
      <c r="C101" s="1252">
        <f>C99</f>
        <v>1507.8</v>
      </c>
      <c r="D101" s="865">
        <v>1605</v>
      </c>
      <c r="E101" s="865">
        <v>1671</v>
      </c>
      <c r="F101" s="865">
        <v>1765</v>
      </c>
      <c r="G101" s="865">
        <v>1827</v>
      </c>
      <c r="H101" s="865">
        <v>1885</v>
      </c>
      <c r="I101" s="865">
        <v>1943</v>
      </c>
      <c r="J101" s="865">
        <v>1998</v>
      </c>
      <c r="K101" s="865">
        <v>2053</v>
      </c>
      <c r="L101" s="865"/>
      <c r="M101" s="865"/>
      <c r="N101" s="865"/>
      <c r="O101" s="865"/>
      <c r="P101" s="865"/>
      <c r="Q101" s="865"/>
      <c r="R101" s="865"/>
      <c r="S101" s="865"/>
      <c r="T101" s="865"/>
      <c r="U101" s="1252"/>
      <c r="V101" s="1252"/>
      <c r="W101" s="41">
        <f t="shared" si="3"/>
        <v>9</v>
      </c>
    </row>
    <row r="102" spans="1:23" s="22" customFormat="1" x14ac:dyDescent="0.2">
      <c r="A102" s="24">
        <v>4</v>
      </c>
      <c r="B102" s="26"/>
      <c r="C102" s="1252">
        <v>1513</v>
      </c>
      <c r="D102" s="865">
        <v>1576</v>
      </c>
      <c r="E102" s="865">
        <v>1637</v>
      </c>
      <c r="F102" s="865">
        <v>1715</v>
      </c>
      <c r="G102" s="865">
        <v>1827</v>
      </c>
      <c r="H102" s="865">
        <v>1885</v>
      </c>
      <c r="I102" s="865">
        <v>1943</v>
      </c>
      <c r="J102" s="865">
        <v>1998</v>
      </c>
      <c r="K102" s="865">
        <v>2053</v>
      </c>
      <c r="L102" s="865">
        <v>2107</v>
      </c>
      <c r="M102" s="865">
        <v>2160</v>
      </c>
      <c r="N102" s="1212"/>
      <c r="O102" s="1212"/>
      <c r="P102" s="1212"/>
      <c r="Q102" s="1212"/>
      <c r="R102" s="1212"/>
      <c r="S102" s="1212"/>
      <c r="T102" s="1212"/>
      <c r="U102" s="1252"/>
      <c r="V102" s="1252"/>
      <c r="W102" s="41">
        <f t="shared" si="3"/>
        <v>11</v>
      </c>
    </row>
    <row r="103" spans="1:23" s="22" customFormat="1" x14ac:dyDescent="0.2">
      <c r="A103" s="24">
        <v>5</v>
      </c>
      <c r="B103" s="26"/>
      <c r="C103" s="865">
        <v>1545</v>
      </c>
      <c r="D103" s="865">
        <v>1576</v>
      </c>
      <c r="E103" s="865">
        <v>1671</v>
      </c>
      <c r="F103" s="865">
        <v>1765</v>
      </c>
      <c r="G103" s="865">
        <v>1885</v>
      </c>
      <c r="H103" s="865">
        <v>1943</v>
      </c>
      <c r="I103" s="865">
        <v>1998</v>
      </c>
      <c r="J103" s="865">
        <v>2053</v>
      </c>
      <c r="K103" s="865">
        <v>2107</v>
      </c>
      <c r="L103" s="865">
        <v>2160</v>
      </c>
      <c r="M103" s="865">
        <v>2211</v>
      </c>
      <c r="N103" s="865">
        <v>2271</v>
      </c>
      <c r="O103" s="1212"/>
      <c r="P103" s="1212"/>
      <c r="Q103" s="1212"/>
      <c r="R103" s="1212"/>
      <c r="S103" s="1212"/>
      <c r="T103" s="1212"/>
      <c r="U103" s="1252"/>
      <c r="V103" s="1252"/>
      <c r="W103" s="41">
        <f t="shared" si="3"/>
        <v>12</v>
      </c>
    </row>
    <row r="104" spans="1:23" s="22" customFormat="1" x14ac:dyDescent="0.2">
      <c r="A104" s="24">
        <v>6</v>
      </c>
      <c r="B104" s="26"/>
      <c r="C104" s="865">
        <v>1605</v>
      </c>
      <c r="D104" s="865">
        <v>1671</v>
      </c>
      <c r="E104" s="865">
        <v>1885</v>
      </c>
      <c r="F104" s="865">
        <v>1998</v>
      </c>
      <c r="G104" s="865">
        <v>2053</v>
      </c>
      <c r="H104" s="865">
        <v>2107</v>
      </c>
      <c r="I104" s="865">
        <v>2160</v>
      </c>
      <c r="J104" s="865">
        <v>2211</v>
      </c>
      <c r="K104" s="865">
        <v>2271</v>
      </c>
      <c r="L104" s="865">
        <v>2326</v>
      </c>
      <c r="M104" s="865">
        <v>2379</v>
      </c>
      <c r="N104" s="865"/>
      <c r="O104" s="865"/>
      <c r="P104" s="865"/>
      <c r="Q104" s="865"/>
      <c r="R104" s="865"/>
      <c r="S104" s="865"/>
      <c r="T104" s="865"/>
      <c r="U104" s="1252"/>
      <c r="V104" s="1252"/>
      <c r="W104" s="41">
        <f t="shared" si="3"/>
        <v>11</v>
      </c>
    </row>
    <row r="105" spans="1:23" s="22" customFormat="1" x14ac:dyDescent="0.2">
      <c r="A105" s="24">
        <v>7</v>
      </c>
      <c r="B105" s="26"/>
      <c r="C105" s="865">
        <v>1715</v>
      </c>
      <c r="D105" s="865">
        <v>1765</v>
      </c>
      <c r="E105" s="865">
        <v>1885</v>
      </c>
      <c r="F105" s="865">
        <v>2107</v>
      </c>
      <c r="G105" s="865">
        <v>2211</v>
      </c>
      <c r="H105" s="865">
        <v>2271</v>
      </c>
      <c r="I105" s="865">
        <v>2326</v>
      </c>
      <c r="J105" s="865">
        <v>2379</v>
      </c>
      <c r="K105" s="865">
        <v>2435</v>
      </c>
      <c r="L105" s="865">
        <v>2494</v>
      </c>
      <c r="M105" s="865">
        <v>2555</v>
      </c>
      <c r="N105" s="865">
        <v>2623</v>
      </c>
      <c r="O105" s="865"/>
      <c r="P105" s="865"/>
      <c r="Q105" s="865"/>
      <c r="R105" s="865"/>
      <c r="S105" s="865"/>
      <c r="T105" s="865"/>
      <c r="U105" s="1252"/>
      <c r="V105" s="1252"/>
      <c r="W105" s="41">
        <f t="shared" si="3"/>
        <v>12</v>
      </c>
    </row>
    <row r="106" spans="1:23" s="22" customFormat="1" x14ac:dyDescent="0.2">
      <c r="A106" s="24">
        <v>8</v>
      </c>
      <c r="B106" s="26"/>
      <c r="C106" s="865">
        <v>1943</v>
      </c>
      <c r="D106" s="865">
        <v>1998</v>
      </c>
      <c r="E106" s="865">
        <v>2107</v>
      </c>
      <c r="F106" s="865">
        <v>2326</v>
      </c>
      <c r="G106" s="865">
        <v>2435</v>
      </c>
      <c r="H106" s="865">
        <v>2555</v>
      </c>
      <c r="I106" s="865">
        <v>2623</v>
      </c>
      <c r="J106" s="865">
        <v>2686</v>
      </c>
      <c r="K106" s="865">
        <v>2741</v>
      </c>
      <c r="L106" s="865">
        <v>2800</v>
      </c>
      <c r="M106" s="865">
        <v>2860</v>
      </c>
      <c r="N106" s="865">
        <v>2915</v>
      </c>
      <c r="O106" s="865">
        <v>2967</v>
      </c>
      <c r="P106" s="865"/>
      <c r="Q106" s="865"/>
      <c r="R106" s="865"/>
      <c r="S106" s="865"/>
      <c r="T106" s="865"/>
      <c r="U106" s="1252"/>
      <c r="V106" s="1252"/>
      <c r="W106" s="41">
        <f t="shared" si="3"/>
        <v>13</v>
      </c>
    </row>
    <row r="107" spans="1:23" s="22" customFormat="1" x14ac:dyDescent="0.2">
      <c r="A107" s="24">
        <v>9</v>
      </c>
      <c r="B107" s="26"/>
      <c r="C107" s="865">
        <v>2234</v>
      </c>
      <c r="D107" s="865">
        <v>2348</v>
      </c>
      <c r="E107" s="865">
        <v>2580</v>
      </c>
      <c r="F107" s="865">
        <v>2712</v>
      </c>
      <c r="G107" s="865">
        <v>2827</v>
      </c>
      <c r="H107" s="865">
        <v>2944</v>
      </c>
      <c r="I107" s="865">
        <v>3053</v>
      </c>
      <c r="J107" s="865">
        <v>3163</v>
      </c>
      <c r="K107" s="865">
        <v>3283</v>
      </c>
      <c r="L107" s="865">
        <v>3387</v>
      </c>
      <c r="M107" s="865"/>
      <c r="N107" s="865"/>
      <c r="O107" s="865"/>
      <c r="P107" s="865"/>
      <c r="Q107" s="865"/>
      <c r="R107" s="865"/>
      <c r="S107" s="865"/>
      <c r="T107" s="865"/>
      <c r="U107" s="1252"/>
      <c r="V107" s="1252"/>
      <c r="W107" s="41">
        <f t="shared" si="3"/>
        <v>10</v>
      </c>
    </row>
    <row r="108" spans="1:23" s="22" customFormat="1" x14ac:dyDescent="0.2">
      <c r="A108" s="24">
        <v>10</v>
      </c>
      <c r="B108" s="26"/>
      <c r="C108" s="865">
        <v>2234</v>
      </c>
      <c r="D108" s="865">
        <v>2459</v>
      </c>
      <c r="E108" s="865">
        <v>2580</v>
      </c>
      <c r="F108" s="865">
        <v>2712</v>
      </c>
      <c r="G108" s="865">
        <v>2827</v>
      </c>
      <c r="H108" s="865">
        <v>2944</v>
      </c>
      <c r="I108" s="865">
        <v>3053</v>
      </c>
      <c r="J108" s="865">
        <v>3163</v>
      </c>
      <c r="K108" s="865">
        <v>3283</v>
      </c>
      <c r="L108" s="865">
        <v>3387</v>
      </c>
      <c r="M108" s="865">
        <v>3497</v>
      </c>
      <c r="N108" s="865">
        <v>3603</v>
      </c>
      <c r="O108" s="865">
        <v>3723</v>
      </c>
      <c r="P108" s="865"/>
      <c r="Q108" s="865"/>
      <c r="R108" s="865"/>
      <c r="S108" s="865"/>
      <c r="T108" s="865"/>
      <c r="U108" s="1252"/>
      <c r="V108" s="1252"/>
      <c r="W108" s="41">
        <f t="shared" si="3"/>
        <v>13</v>
      </c>
    </row>
    <row r="109" spans="1:23" s="22" customFormat="1" x14ac:dyDescent="0.2">
      <c r="A109" s="24">
        <v>11</v>
      </c>
      <c r="B109" s="26"/>
      <c r="C109" s="865">
        <v>2348</v>
      </c>
      <c r="D109" s="865">
        <v>2459</v>
      </c>
      <c r="E109" s="865">
        <v>2580</v>
      </c>
      <c r="F109" s="865">
        <v>2712</v>
      </c>
      <c r="G109" s="865">
        <v>2827</v>
      </c>
      <c r="H109" s="865">
        <v>2944</v>
      </c>
      <c r="I109" s="865">
        <v>3053</v>
      </c>
      <c r="J109" s="865">
        <v>3283</v>
      </c>
      <c r="K109" s="865">
        <v>3397</v>
      </c>
      <c r="L109" s="865">
        <v>3497</v>
      </c>
      <c r="M109" s="865">
        <v>3603</v>
      </c>
      <c r="N109" s="865">
        <v>3723</v>
      </c>
      <c r="O109" s="865">
        <v>3840</v>
      </c>
      <c r="P109" s="865">
        <v>3956</v>
      </c>
      <c r="Q109" s="865">
        <v>4066</v>
      </c>
      <c r="R109" s="865">
        <v>4179</v>
      </c>
      <c r="S109" s="865">
        <v>4285</v>
      </c>
      <c r="T109" s="865">
        <v>4343</v>
      </c>
      <c r="U109" s="1252"/>
      <c r="V109" s="1252"/>
      <c r="W109" s="41">
        <f t="shared" si="3"/>
        <v>18</v>
      </c>
    </row>
    <row r="110" spans="1:23" s="22" customFormat="1" x14ac:dyDescent="0.2">
      <c r="A110" s="24">
        <v>12</v>
      </c>
      <c r="B110" s="26"/>
      <c r="C110" s="865">
        <v>3163</v>
      </c>
      <c r="D110" s="865">
        <v>3283</v>
      </c>
      <c r="E110" s="865">
        <v>3387</v>
      </c>
      <c r="F110" s="865">
        <v>3497</v>
      </c>
      <c r="G110" s="865">
        <v>3603</v>
      </c>
      <c r="H110" s="865">
        <v>3723</v>
      </c>
      <c r="I110" s="865">
        <v>3965</v>
      </c>
      <c r="J110" s="865">
        <v>4066</v>
      </c>
      <c r="K110" s="865">
        <v>4179</v>
      </c>
      <c r="L110" s="865">
        <v>4285</v>
      </c>
      <c r="M110" s="865">
        <v>4401</v>
      </c>
      <c r="N110" s="865">
        <v>4514</v>
      </c>
      <c r="O110" s="865">
        <v>4620</v>
      </c>
      <c r="P110" s="865">
        <v>4733</v>
      </c>
      <c r="Q110" s="865">
        <v>4871</v>
      </c>
      <c r="R110" s="865">
        <v>4942</v>
      </c>
      <c r="S110" s="865"/>
      <c r="T110" s="1212"/>
      <c r="U110" s="1252"/>
      <c r="V110" s="1252"/>
      <c r="W110" s="41">
        <f t="shared" si="3"/>
        <v>16</v>
      </c>
    </row>
    <row r="111" spans="1:23" s="22" customFormat="1" x14ac:dyDescent="0.2">
      <c r="A111" s="24">
        <v>13</v>
      </c>
      <c r="B111" s="26"/>
      <c r="C111" s="865">
        <v>3840</v>
      </c>
      <c r="D111" s="865">
        <v>3956</v>
      </c>
      <c r="E111" s="865">
        <v>4066</v>
      </c>
      <c r="F111" s="865">
        <v>4179</v>
      </c>
      <c r="G111" s="865">
        <v>4285</v>
      </c>
      <c r="H111" s="865">
        <v>4514</v>
      </c>
      <c r="I111" s="865">
        <v>4620</v>
      </c>
      <c r="J111" s="865">
        <v>4733</v>
      </c>
      <c r="K111" s="865">
        <v>4871</v>
      </c>
      <c r="L111" s="865">
        <v>5012</v>
      </c>
      <c r="M111" s="865">
        <v>5152</v>
      </c>
      <c r="N111" s="865">
        <v>5290</v>
      </c>
      <c r="O111" s="865">
        <v>5359</v>
      </c>
      <c r="P111" s="865"/>
      <c r="Q111" s="865"/>
      <c r="R111" s="865"/>
      <c r="S111" s="865"/>
      <c r="T111" s="1212"/>
      <c r="U111" s="1252"/>
      <c r="V111" s="1252"/>
      <c r="W111" s="41">
        <f t="shared" si="3"/>
        <v>13</v>
      </c>
    </row>
    <row r="112" spans="1:23" s="22" customFormat="1" x14ac:dyDescent="0.2">
      <c r="A112" s="24">
        <v>14</v>
      </c>
      <c r="B112" s="26"/>
      <c r="C112" s="865">
        <v>4401</v>
      </c>
      <c r="D112" s="865">
        <v>4514</v>
      </c>
      <c r="E112" s="865">
        <v>4733</v>
      </c>
      <c r="F112" s="865">
        <v>4871</v>
      </c>
      <c r="G112" s="865">
        <v>5012</v>
      </c>
      <c r="H112" s="865">
        <v>5152</v>
      </c>
      <c r="I112" s="865">
        <v>5290</v>
      </c>
      <c r="J112" s="865">
        <v>5432</v>
      </c>
      <c r="K112" s="865">
        <v>5581</v>
      </c>
      <c r="L112" s="865">
        <v>5731</v>
      </c>
      <c r="M112" s="865">
        <v>5888</v>
      </c>
      <c r="N112" s="865"/>
      <c r="O112" s="865"/>
      <c r="P112" s="865"/>
      <c r="Q112" s="865"/>
      <c r="R112" s="865"/>
      <c r="S112" s="865"/>
      <c r="T112" s="1212"/>
      <c r="U112" s="1252"/>
      <c r="V112" s="1252"/>
      <c r="W112" s="41">
        <f t="shared" si="3"/>
        <v>11</v>
      </c>
    </row>
    <row r="113" spans="1:24" s="22" customFormat="1" x14ac:dyDescent="0.2">
      <c r="A113" s="24">
        <v>15</v>
      </c>
      <c r="B113" s="26"/>
      <c r="C113" s="865">
        <v>4620</v>
      </c>
      <c r="D113" s="865">
        <v>4733</v>
      </c>
      <c r="E113" s="865">
        <v>4871</v>
      </c>
      <c r="F113" s="865">
        <v>5152</v>
      </c>
      <c r="G113" s="865">
        <v>5290</v>
      </c>
      <c r="H113" s="865">
        <v>5432</v>
      </c>
      <c r="I113" s="865">
        <v>5581</v>
      </c>
      <c r="J113" s="865">
        <v>5731</v>
      </c>
      <c r="K113" s="865">
        <v>5888</v>
      </c>
      <c r="L113" s="865">
        <v>6074</v>
      </c>
      <c r="M113" s="865">
        <v>6270</v>
      </c>
      <c r="N113" s="865">
        <v>6470</v>
      </c>
      <c r="O113" s="865"/>
      <c r="P113" s="865"/>
      <c r="Q113" s="865"/>
      <c r="R113" s="865"/>
      <c r="S113" s="865"/>
      <c r="T113" s="1212"/>
      <c r="U113" s="1254"/>
      <c r="V113" s="1254"/>
      <c r="W113" s="41">
        <f t="shared" si="3"/>
        <v>12</v>
      </c>
    </row>
    <row r="114" spans="1:24" x14ac:dyDescent="0.2">
      <c r="A114" s="14">
        <v>16</v>
      </c>
      <c r="B114" s="9"/>
      <c r="C114" s="865">
        <v>5012</v>
      </c>
      <c r="D114" s="865">
        <v>5152</v>
      </c>
      <c r="E114" s="865">
        <v>5290</v>
      </c>
      <c r="F114" s="865">
        <v>5581</v>
      </c>
      <c r="G114" s="865">
        <v>5731</v>
      </c>
      <c r="H114" s="865">
        <v>5888</v>
      </c>
      <c r="I114" s="865">
        <v>6074</v>
      </c>
      <c r="J114" s="865">
        <v>6270</v>
      </c>
      <c r="K114" s="865">
        <v>6470</v>
      </c>
      <c r="L114" s="865">
        <v>6677</v>
      </c>
      <c r="M114" s="865">
        <v>6887</v>
      </c>
      <c r="N114" s="865">
        <v>7107</v>
      </c>
      <c r="O114" s="865"/>
      <c r="P114" s="865"/>
      <c r="Q114" s="865"/>
      <c r="R114" s="865"/>
      <c r="S114" s="865"/>
      <c r="T114" s="1212"/>
      <c r="U114" s="1254"/>
      <c r="V114" s="1254"/>
      <c r="W114" s="41">
        <f t="shared" si="3"/>
        <v>12</v>
      </c>
    </row>
    <row r="115" spans="1:24" x14ac:dyDescent="0.2">
      <c r="A115" s="8"/>
      <c r="B115" s="9"/>
      <c r="C115" s="8"/>
      <c r="D115" s="8"/>
      <c r="E115" s="8"/>
      <c r="F115" s="8"/>
      <c r="G115" s="8"/>
      <c r="H115" s="8"/>
      <c r="I115" s="8"/>
    </row>
    <row r="116" spans="1:24" s="22" customFormat="1" hidden="1" x14ac:dyDescent="0.2">
      <c r="A116" s="806" t="s">
        <v>60</v>
      </c>
      <c r="B116" s="18"/>
      <c r="C116" s="1256">
        <v>42248</v>
      </c>
      <c r="E116" s="19"/>
      <c r="F116" s="24"/>
      <c r="G116" s="24"/>
      <c r="H116" s="24"/>
      <c r="I116" s="24"/>
      <c r="J116" s="24"/>
      <c r="K116" s="24"/>
      <c r="L116" s="24"/>
      <c r="M116" s="24"/>
      <c r="N116" s="24"/>
      <c r="O116" s="24"/>
      <c r="P116" s="24"/>
      <c r="Q116" s="24"/>
      <c r="R116" s="24"/>
      <c r="S116" s="24"/>
      <c r="T116" s="24"/>
      <c r="U116" s="24"/>
      <c r="V116" s="24"/>
      <c r="W116" s="24"/>
      <c r="X116" s="24"/>
    </row>
    <row r="117" spans="1:24" s="22" customFormat="1" hidden="1" x14ac:dyDescent="0.2">
      <c r="A117" s="19" t="s">
        <v>174</v>
      </c>
      <c r="B117" s="18"/>
      <c r="C117" s="38">
        <v>1</v>
      </c>
      <c r="D117" s="38">
        <v>2</v>
      </c>
      <c r="E117" s="38">
        <v>3</v>
      </c>
      <c r="F117" s="38">
        <v>4</v>
      </c>
      <c r="G117" s="38">
        <v>5</v>
      </c>
      <c r="H117" s="38">
        <v>6</v>
      </c>
      <c r="I117" s="38">
        <v>7</v>
      </c>
      <c r="J117" s="38">
        <v>8</v>
      </c>
      <c r="K117" s="38">
        <v>9</v>
      </c>
      <c r="L117" s="38">
        <v>10</v>
      </c>
      <c r="M117" s="38">
        <v>11</v>
      </c>
      <c r="N117" s="38">
        <v>12</v>
      </c>
      <c r="O117" s="38">
        <v>13</v>
      </c>
      <c r="P117" s="38">
        <v>14</v>
      </c>
      <c r="Q117" s="38">
        <v>15</v>
      </c>
      <c r="R117" s="38">
        <v>16</v>
      </c>
      <c r="S117" s="38">
        <v>17</v>
      </c>
      <c r="T117" s="38">
        <v>18</v>
      </c>
      <c r="U117" s="38">
        <v>19</v>
      </c>
      <c r="V117" s="38">
        <v>20</v>
      </c>
      <c r="W117" s="38" t="s">
        <v>175</v>
      </c>
    </row>
    <row r="118" spans="1:24" s="22" customFormat="1" hidden="1" x14ac:dyDescent="0.2">
      <c r="A118" s="39" t="s">
        <v>158</v>
      </c>
      <c r="B118" s="40"/>
      <c r="C118" s="865">
        <v>2444</v>
      </c>
      <c r="D118" s="865">
        <v>2554</v>
      </c>
      <c r="E118" s="865">
        <v>2675</v>
      </c>
      <c r="F118" s="865">
        <v>2809</v>
      </c>
      <c r="G118" s="865">
        <v>2922</v>
      </c>
      <c r="H118" s="865">
        <v>3039</v>
      </c>
      <c r="I118" s="865">
        <v>3148</v>
      </c>
      <c r="J118" s="865">
        <v>3257</v>
      </c>
      <c r="K118" s="865">
        <v>3375</v>
      </c>
      <c r="L118" s="865">
        <v>3484</v>
      </c>
      <c r="M118" s="865">
        <v>3589</v>
      </c>
      <c r="N118" s="865">
        <v>3697</v>
      </c>
      <c r="O118" s="865">
        <v>3879</v>
      </c>
      <c r="P118" s="865"/>
      <c r="Q118" s="865"/>
      <c r="R118" s="865"/>
      <c r="S118" s="865"/>
      <c r="T118" s="865"/>
      <c r="U118" s="865"/>
      <c r="V118" s="865"/>
      <c r="W118" s="41">
        <f t="shared" ref="W118:W159" si="4">COUNTA(C118:V118)</f>
        <v>13</v>
      </c>
    </row>
    <row r="119" spans="1:24" s="22" customFormat="1" hidden="1" x14ac:dyDescent="0.2">
      <c r="A119" s="39" t="s">
        <v>159</v>
      </c>
      <c r="B119" s="40"/>
      <c r="C119" s="865">
        <v>2496</v>
      </c>
      <c r="D119" s="865">
        <v>2619</v>
      </c>
      <c r="E119" s="865">
        <v>2749</v>
      </c>
      <c r="F119" s="865">
        <v>2866</v>
      </c>
      <c r="G119" s="865">
        <v>2981</v>
      </c>
      <c r="H119" s="865">
        <v>3092</v>
      </c>
      <c r="I119" s="865">
        <v>3200</v>
      </c>
      <c r="J119" s="865">
        <v>3320</v>
      </c>
      <c r="K119" s="865">
        <v>3426</v>
      </c>
      <c r="L119" s="865">
        <v>3534</v>
      </c>
      <c r="M119" s="865">
        <v>3642</v>
      </c>
      <c r="N119" s="865">
        <v>3759</v>
      </c>
      <c r="O119" s="865">
        <v>3879</v>
      </c>
      <c r="P119" s="865">
        <v>3993</v>
      </c>
      <c r="Q119" s="865">
        <v>4105</v>
      </c>
      <c r="R119" s="865">
        <v>4215</v>
      </c>
      <c r="S119" s="865">
        <v>4324</v>
      </c>
      <c r="T119" s="865">
        <v>4380</v>
      </c>
      <c r="U119" s="865"/>
      <c r="V119" s="865"/>
      <c r="W119" s="41">
        <f t="shared" si="4"/>
        <v>18</v>
      </c>
    </row>
    <row r="120" spans="1:24" s="22" customFormat="1" hidden="1" x14ac:dyDescent="0.2">
      <c r="A120" s="39" t="s">
        <v>160</v>
      </c>
      <c r="B120" s="40"/>
      <c r="C120" s="865">
        <v>2619</v>
      </c>
      <c r="D120" s="865">
        <v>2749</v>
      </c>
      <c r="E120" s="865">
        <v>2981</v>
      </c>
      <c r="F120" s="865">
        <v>3200</v>
      </c>
      <c r="G120" s="865">
        <v>3320</v>
      </c>
      <c r="H120" s="865">
        <v>3426</v>
      </c>
      <c r="I120" s="865">
        <v>3534</v>
      </c>
      <c r="J120" s="865">
        <v>3642</v>
      </c>
      <c r="K120" s="865">
        <v>3759</v>
      </c>
      <c r="L120" s="865">
        <v>3879</v>
      </c>
      <c r="M120" s="865">
        <v>3993</v>
      </c>
      <c r="N120" s="865">
        <v>4105</v>
      </c>
      <c r="O120" s="865">
        <v>4215</v>
      </c>
      <c r="P120" s="865">
        <v>4324</v>
      </c>
      <c r="Q120" s="865">
        <v>4438</v>
      </c>
      <c r="R120" s="865">
        <v>4550</v>
      </c>
      <c r="S120" s="865">
        <v>4657</v>
      </c>
      <c r="T120" s="865">
        <v>4770</v>
      </c>
      <c r="U120" s="865">
        <v>4910</v>
      </c>
      <c r="V120" s="865">
        <v>4979</v>
      </c>
      <c r="W120" s="41">
        <f t="shared" si="4"/>
        <v>20</v>
      </c>
    </row>
    <row r="121" spans="1:24" s="22" customFormat="1" hidden="1" x14ac:dyDescent="0.2">
      <c r="A121" s="39" t="s">
        <v>163</v>
      </c>
      <c r="B121" s="40"/>
      <c r="C121" s="865">
        <v>2749</v>
      </c>
      <c r="D121" s="865">
        <v>2981</v>
      </c>
      <c r="E121" s="865">
        <v>3200</v>
      </c>
      <c r="F121" s="865">
        <v>3426</v>
      </c>
      <c r="G121" s="865">
        <v>3642</v>
      </c>
      <c r="H121" s="865">
        <v>3879</v>
      </c>
      <c r="I121" s="865">
        <v>3993</v>
      </c>
      <c r="J121" s="865">
        <v>4105</v>
      </c>
      <c r="K121" s="865">
        <v>4215</v>
      </c>
      <c r="L121" s="865">
        <v>4324</v>
      </c>
      <c r="M121" s="865">
        <v>4438</v>
      </c>
      <c r="N121" s="865">
        <v>4550</v>
      </c>
      <c r="O121" s="865">
        <v>4657</v>
      </c>
      <c r="P121" s="865">
        <v>4770</v>
      </c>
      <c r="Q121" s="865">
        <v>4910</v>
      </c>
      <c r="R121" s="865">
        <v>5048</v>
      </c>
      <c r="S121" s="865">
        <v>5189</v>
      </c>
      <c r="T121" s="865">
        <v>5239</v>
      </c>
      <c r="U121" s="865">
        <v>5396</v>
      </c>
      <c r="V121" s="1212"/>
      <c r="W121" s="41">
        <f t="shared" si="4"/>
        <v>19</v>
      </c>
    </row>
    <row r="122" spans="1:24" s="22" customFormat="1" hidden="1" x14ac:dyDescent="0.2">
      <c r="A122" s="39" t="s">
        <v>151</v>
      </c>
      <c r="B122" s="40"/>
      <c r="C122" s="865">
        <v>2669</v>
      </c>
      <c r="D122" s="865">
        <v>2774</v>
      </c>
      <c r="E122" s="865">
        <v>2880</v>
      </c>
      <c r="F122" s="865">
        <v>2984</v>
      </c>
      <c r="G122" s="865">
        <v>3088</v>
      </c>
      <c r="H122" s="865">
        <v>3195</v>
      </c>
      <c r="I122" s="865">
        <v>3299</v>
      </c>
      <c r="J122" s="865">
        <v>3405</v>
      </c>
      <c r="K122" s="865">
        <v>3508</v>
      </c>
      <c r="L122" s="865">
        <v>3614</v>
      </c>
      <c r="M122" s="865">
        <v>3721</v>
      </c>
      <c r="N122" s="865">
        <v>3825</v>
      </c>
      <c r="O122" s="865">
        <v>3932</v>
      </c>
      <c r="P122" s="865"/>
      <c r="Q122" s="865"/>
      <c r="R122" s="865"/>
      <c r="S122" s="865"/>
      <c r="T122" s="865"/>
      <c r="U122" s="1252"/>
      <c r="V122" s="1252"/>
      <c r="W122" s="41">
        <f t="shared" si="4"/>
        <v>13</v>
      </c>
    </row>
    <row r="123" spans="1:24" s="22" customFormat="1" hidden="1" x14ac:dyDescent="0.2">
      <c r="A123" s="39" t="s">
        <v>152</v>
      </c>
      <c r="B123" s="40"/>
      <c r="C123" s="865">
        <v>2774</v>
      </c>
      <c r="D123" s="865">
        <v>2984</v>
      </c>
      <c r="E123" s="865">
        <v>3195</v>
      </c>
      <c r="F123" s="865">
        <v>3299</v>
      </c>
      <c r="G123" s="865">
        <v>3405</v>
      </c>
      <c r="H123" s="865">
        <v>3508</v>
      </c>
      <c r="I123" s="865">
        <v>3614</v>
      </c>
      <c r="J123" s="865">
        <v>3721</v>
      </c>
      <c r="K123" s="865">
        <v>3825</v>
      </c>
      <c r="L123" s="865">
        <v>3932</v>
      </c>
      <c r="M123" s="865">
        <v>4037</v>
      </c>
      <c r="N123" s="865">
        <v>4141</v>
      </c>
      <c r="O123" s="865">
        <v>4246</v>
      </c>
      <c r="P123" s="865">
        <v>4350</v>
      </c>
      <c r="Q123" s="865">
        <v>4457</v>
      </c>
      <c r="R123" s="865"/>
      <c r="S123" s="865"/>
      <c r="T123" s="865"/>
      <c r="U123" s="1252"/>
      <c r="V123" s="1252"/>
      <c r="W123" s="41">
        <f t="shared" si="4"/>
        <v>15</v>
      </c>
    </row>
    <row r="124" spans="1:24" s="22" customFormat="1" hidden="1" x14ac:dyDescent="0.2">
      <c r="A124" s="39" t="s">
        <v>176</v>
      </c>
      <c r="B124" s="40"/>
      <c r="C124" s="865">
        <v>2774</v>
      </c>
      <c r="D124" s="865">
        <v>2984</v>
      </c>
      <c r="E124" s="865">
        <v>3195</v>
      </c>
      <c r="F124" s="865">
        <v>3299</v>
      </c>
      <c r="G124" s="865">
        <v>3405</v>
      </c>
      <c r="H124" s="865">
        <v>3508</v>
      </c>
      <c r="I124" s="865">
        <v>3614</v>
      </c>
      <c r="J124" s="865">
        <v>3721</v>
      </c>
      <c r="K124" s="865">
        <v>3825</v>
      </c>
      <c r="L124" s="865">
        <v>3932</v>
      </c>
      <c r="M124" s="865">
        <v>4037</v>
      </c>
      <c r="N124" s="865">
        <v>4141</v>
      </c>
      <c r="O124" s="865">
        <v>4246</v>
      </c>
      <c r="P124" s="865">
        <v>4350</v>
      </c>
      <c r="Q124" s="865">
        <v>4457</v>
      </c>
      <c r="R124" s="865">
        <v>4562</v>
      </c>
      <c r="S124" s="865">
        <v>4667</v>
      </c>
      <c r="T124" s="865"/>
      <c r="U124" s="1252"/>
      <c r="V124" s="1252"/>
      <c r="W124" s="41">
        <f t="shared" si="4"/>
        <v>17</v>
      </c>
    </row>
    <row r="125" spans="1:24" s="22" customFormat="1" hidden="1" x14ac:dyDescent="0.2">
      <c r="A125" s="39" t="s">
        <v>153</v>
      </c>
      <c r="B125" s="40"/>
      <c r="C125" s="865">
        <v>2880</v>
      </c>
      <c r="D125" s="865">
        <v>3195</v>
      </c>
      <c r="E125" s="865">
        <v>3405</v>
      </c>
      <c r="F125" s="865">
        <v>3614</v>
      </c>
      <c r="G125" s="865">
        <v>3825</v>
      </c>
      <c r="H125" s="865">
        <v>3932</v>
      </c>
      <c r="I125" s="865">
        <v>4037</v>
      </c>
      <c r="J125" s="865">
        <v>4141</v>
      </c>
      <c r="K125" s="865">
        <v>4246</v>
      </c>
      <c r="L125" s="865">
        <v>4350</v>
      </c>
      <c r="M125" s="865">
        <v>4457</v>
      </c>
      <c r="N125" s="865">
        <v>4562</v>
      </c>
      <c r="O125" s="865">
        <v>4667</v>
      </c>
      <c r="P125" s="865">
        <v>4771</v>
      </c>
      <c r="Q125" s="865">
        <v>4876</v>
      </c>
      <c r="R125" s="865">
        <v>4983</v>
      </c>
      <c r="S125" s="865"/>
      <c r="T125" s="865"/>
      <c r="U125" s="1252"/>
      <c r="V125" s="1252"/>
      <c r="W125" s="41">
        <f t="shared" si="4"/>
        <v>16</v>
      </c>
    </row>
    <row r="126" spans="1:24" s="22" customFormat="1" hidden="1" x14ac:dyDescent="0.2">
      <c r="A126" s="39" t="s">
        <v>177</v>
      </c>
      <c r="B126" s="40"/>
      <c r="C126" s="865">
        <v>2880</v>
      </c>
      <c r="D126" s="865">
        <v>3195</v>
      </c>
      <c r="E126" s="865">
        <v>3405</v>
      </c>
      <c r="F126" s="865">
        <v>3614</v>
      </c>
      <c r="G126" s="865">
        <v>3825</v>
      </c>
      <c r="H126" s="865">
        <v>3932</v>
      </c>
      <c r="I126" s="865">
        <v>4037</v>
      </c>
      <c r="J126" s="865">
        <v>4141</v>
      </c>
      <c r="K126" s="865">
        <v>4246</v>
      </c>
      <c r="L126" s="865">
        <v>4350</v>
      </c>
      <c r="M126" s="865">
        <v>4457</v>
      </c>
      <c r="N126" s="865">
        <v>4562</v>
      </c>
      <c r="O126" s="865">
        <v>4667</v>
      </c>
      <c r="P126" s="865">
        <v>4771</v>
      </c>
      <c r="Q126" s="865">
        <v>4876</v>
      </c>
      <c r="R126" s="865">
        <v>4983</v>
      </c>
      <c r="S126" s="865">
        <v>5087</v>
      </c>
      <c r="T126" s="865">
        <v>5192</v>
      </c>
      <c r="U126" s="1252"/>
      <c r="V126" s="1252"/>
      <c r="W126" s="41">
        <f t="shared" si="4"/>
        <v>18</v>
      </c>
    </row>
    <row r="127" spans="1:24" s="22" customFormat="1" hidden="1" x14ac:dyDescent="0.2">
      <c r="A127" s="39" t="s">
        <v>161</v>
      </c>
      <c r="B127" s="40"/>
      <c r="C127" s="865">
        <v>2924</v>
      </c>
      <c r="D127" s="865">
        <v>3143</v>
      </c>
      <c r="E127" s="865">
        <v>3366</v>
      </c>
      <c r="F127" s="865">
        <v>3580</v>
      </c>
      <c r="G127" s="865">
        <v>3817</v>
      </c>
      <c r="H127" s="865">
        <v>3932</v>
      </c>
      <c r="I127" s="865">
        <v>4041</v>
      </c>
      <c r="J127" s="865">
        <v>4153</v>
      </c>
      <c r="K127" s="865">
        <v>4259</v>
      </c>
      <c r="L127" s="865">
        <v>4374</v>
      </c>
      <c r="M127" s="865">
        <v>4485</v>
      </c>
      <c r="N127" s="865">
        <v>4592</v>
      </c>
      <c r="O127" s="865">
        <v>4703</v>
      </c>
      <c r="P127" s="865">
        <v>4842</v>
      </c>
      <c r="Q127" s="865">
        <v>4982</v>
      </c>
      <c r="R127" s="865">
        <v>5120</v>
      </c>
      <c r="S127" s="865">
        <v>5260</v>
      </c>
      <c r="T127" s="865">
        <v>5326</v>
      </c>
      <c r="U127" s="1252"/>
      <c r="V127" s="1252"/>
      <c r="W127" s="41">
        <f t="shared" si="4"/>
        <v>18</v>
      </c>
    </row>
    <row r="128" spans="1:24" s="22" customFormat="1" hidden="1" x14ac:dyDescent="0.2">
      <c r="A128" s="39" t="s">
        <v>162</v>
      </c>
      <c r="B128" s="40"/>
      <c r="C128" s="865">
        <v>3034</v>
      </c>
      <c r="D128" s="865">
        <v>3260</v>
      </c>
      <c r="E128" s="865">
        <v>3474</v>
      </c>
      <c r="F128" s="865">
        <v>3698</v>
      </c>
      <c r="G128" s="865">
        <v>3932</v>
      </c>
      <c r="H128" s="865">
        <v>4153</v>
      </c>
      <c r="I128" s="865">
        <v>4374</v>
      </c>
      <c r="J128" s="865">
        <v>4485</v>
      </c>
      <c r="K128" s="865">
        <v>4592</v>
      </c>
      <c r="L128" s="865">
        <v>4703</v>
      </c>
      <c r="M128" s="865">
        <v>4842</v>
      </c>
      <c r="N128" s="865">
        <v>4982</v>
      </c>
      <c r="O128" s="865">
        <v>5120</v>
      </c>
      <c r="P128" s="865">
        <v>5260</v>
      </c>
      <c r="Q128" s="865">
        <v>5400</v>
      </c>
      <c r="R128" s="865">
        <v>5547</v>
      </c>
      <c r="S128" s="865">
        <v>5698</v>
      </c>
      <c r="T128" s="865">
        <v>5854</v>
      </c>
      <c r="U128" s="1252"/>
      <c r="V128" s="1252"/>
      <c r="W128" s="41">
        <f t="shared" si="4"/>
        <v>18</v>
      </c>
    </row>
    <row r="129" spans="1:23" s="22" customFormat="1" hidden="1" x14ac:dyDescent="0.2">
      <c r="A129" s="24" t="s">
        <v>180</v>
      </c>
      <c r="B129" s="26"/>
      <c r="C129" s="1252">
        <v>1507.8</v>
      </c>
      <c r="D129" s="1252">
        <v>1513</v>
      </c>
      <c r="E129" s="1252">
        <v>1576</v>
      </c>
      <c r="F129" s="1252">
        <v>1605</v>
      </c>
      <c r="G129" s="1252">
        <v>1637</v>
      </c>
      <c r="H129" s="1252">
        <v>1671</v>
      </c>
      <c r="I129" s="1252">
        <v>1715</v>
      </c>
      <c r="J129" s="1252"/>
      <c r="K129" s="1252"/>
      <c r="L129" s="1252"/>
      <c r="M129" s="1252"/>
      <c r="N129" s="1252"/>
      <c r="O129" s="1252"/>
      <c r="P129" s="1252"/>
      <c r="Q129" s="1252"/>
      <c r="R129" s="1252"/>
      <c r="S129" s="1252"/>
      <c r="T129" s="1252"/>
      <c r="U129" s="1252"/>
      <c r="V129" s="1252"/>
      <c r="W129" s="41">
        <f t="shared" si="4"/>
        <v>7</v>
      </c>
    </row>
    <row r="130" spans="1:23" s="22" customFormat="1" hidden="1" x14ac:dyDescent="0.2">
      <c r="A130" s="24" t="s">
        <v>192</v>
      </c>
      <c r="B130" s="26"/>
      <c r="C130" s="1252">
        <v>1507.8</v>
      </c>
      <c r="D130" s="1252">
        <v>1545</v>
      </c>
      <c r="E130" s="1252">
        <v>1605</v>
      </c>
      <c r="F130" s="1252">
        <v>1671</v>
      </c>
      <c r="G130" s="1252">
        <v>1715</v>
      </c>
      <c r="H130" s="1252">
        <v>1765</v>
      </c>
      <c r="I130" s="1252">
        <v>1827</v>
      </c>
      <c r="J130" s="1252">
        <v>1885</v>
      </c>
      <c r="K130" s="1252"/>
      <c r="L130" s="1252"/>
      <c r="M130" s="1252"/>
      <c r="N130" s="1252"/>
      <c r="O130" s="1252"/>
      <c r="P130" s="1252"/>
      <c r="Q130" s="1252"/>
      <c r="R130" s="1252"/>
      <c r="S130" s="1252"/>
      <c r="T130" s="1252"/>
      <c r="U130" s="1252"/>
      <c r="V130" s="1252"/>
      <c r="W130" s="41">
        <f t="shared" si="4"/>
        <v>8</v>
      </c>
    </row>
    <row r="131" spans="1:23" s="22" customFormat="1" hidden="1" x14ac:dyDescent="0.2">
      <c r="A131" s="24" t="s">
        <v>181</v>
      </c>
      <c r="B131" s="26"/>
      <c r="C131" s="1252">
        <v>1507.8</v>
      </c>
      <c r="D131" s="1252">
        <v>1605</v>
      </c>
      <c r="E131" s="1252">
        <v>1671</v>
      </c>
      <c r="F131" s="1252">
        <v>1765</v>
      </c>
      <c r="G131" s="1252">
        <v>1827</v>
      </c>
      <c r="H131" s="1252">
        <v>1885</v>
      </c>
      <c r="I131" s="1252">
        <v>1943</v>
      </c>
      <c r="J131" s="1252"/>
      <c r="K131" s="1252"/>
      <c r="L131" s="1252"/>
      <c r="M131" s="1252"/>
      <c r="N131" s="1252"/>
      <c r="O131" s="1252"/>
      <c r="P131" s="1252"/>
      <c r="Q131" s="1252"/>
      <c r="R131" s="1252"/>
      <c r="S131" s="1252"/>
      <c r="T131" s="1252"/>
      <c r="U131" s="1252"/>
      <c r="V131" s="1252"/>
      <c r="W131" s="41">
        <f t="shared" si="4"/>
        <v>7</v>
      </c>
    </row>
    <row r="132" spans="1:23" s="22" customFormat="1" hidden="1" x14ac:dyDescent="0.2">
      <c r="A132" s="39" t="s">
        <v>154</v>
      </c>
      <c r="B132" s="40"/>
      <c r="C132" s="865">
        <v>2346</v>
      </c>
      <c r="D132" s="865">
        <v>2394</v>
      </c>
      <c r="E132" s="865">
        <v>2446</v>
      </c>
      <c r="F132" s="865">
        <v>2498</v>
      </c>
      <c r="G132" s="865">
        <v>2550</v>
      </c>
      <c r="H132" s="865">
        <v>2611</v>
      </c>
      <c r="I132" s="865">
        <v>2674</v>
      </c>
      <c r="J132" s="865">
        <v>2743</v>
      </c>
      <c r="K132" s="865">
        <v>2820</v>
      </c>
      <c r="L132" s="865">
        <v>2899</v>
      </c>
      <c r="M132" s="865">
        <v>2986</v>
      </c>
      <c r="N132" s="865">
        <v>3077</v>
      </c>
      <c r="O132" s="865">
        <v>3175</v>
      </c>
      <c r="P132" s="865">
        <v>3277</v>
      </c>
      <c r="Q132" s="865">
        <v>3355</v>
      </c>
      <c r="R132" s="1252"/>
      <c r="S132" s="1252"/>
      <c r="T132" s="1252"/>
      <c r="U132" s="1252"/>
      <c r="V132" s="1252"/>
      <c r="W132" s="41">
        <f t="shared" si="4"/>
        <v>15</v>
      </c>
    </row>
    <row r="133" spans="1:23" s="22" customFormat="1" hidden="1" x14ac:dyDescent="0.2">
      <c r="A133" s="39" t="s">
        <v>155</v>
      </c>
      <c r="B133" s="40"/>
      <c r="C133" s="865">
        <v>2433</v>
      </c>
      <c r="D133" s="865">
        <v>2491</v>
      </c>
      <c r="E133" s="865">
        <v>2558</v>
      </c>
      <c r="F133" s="865">
        <v>2622</v>
      </c>
      <c r="G133" s="865">
        <v>2687</v>
      </c>
      <c r="H133" s="865">
        <v>2760</v>
      </c>
      <c r="I133" s="865">
        <v>2839</v>
      </c>
      <c r="J133" s="865">
        <v>2925</v>
      </c>
      <c r="K133" s="865">
        <v>3026</v>
      </c>
      <c r="L133" s="865">
        <v>3127</v>
      </c>
      <c r="M133" s="865">
        <v>3237</v>
      </c>
      <c r="N133" s="865">
        <v>3350</v>
      </c>
      <c r="O133" s="865">
        <v>3467</v>
      </c>
      <c r="P133" s="865">
        <v>3590</v>
      </c>
      <c r="Q133" s="865">
        <v>3686</v>
      </c>
      <c r="R133" s="1252"/>
      <c r="S133" s="1252"/>
      <c r="T133" s="1252"/>
      <c r="U133" s="1252"/>
      <c r="V133" s="1252"/>
      <c r="W133" s="41">
        <f t="shared" si="4"/>
        <v>15</v>
      </c>
    </row>
    <row r="134" spans="1:23" s="22" customFormat="1" hidden="1" x14ac:dyDescent="0.2">
      <c r="A134" s="39" t="s">
        <v>156</v>
      </c>
      <c r="B134" s="40"/>
      <c r="C134" s="865">
        <v>2446</v>
      </c>
      <c r="D134" s="865">
        <v>2565</v>
      </c>
      <c r="E134" s="865">
        <v>2686</v>
      </c>
      <c r="F134" s="865">
        <v>2809</v>
      </c>
      <c r="G134" s="865">
        <v>2929</v>
      </c>
      <c r="H134" s="865">
        <v>3054</v>
      </c>
      <c r="I134" s="865">
        <v>3183</v>
      </c>
      <c r="J134" s="865">
        <v>3314</v>
      </c>
      <c r="K134" s="865">
        <v>3451</v>
      </c>
      <c r="L134" s="865">
        <v>3591</v>
      </c>
      <c r="M134" s="865">
        <v>3732</v>
      </c>
      <c r="N134" s="865">
        <v>3879</v>
      </c>
      <c r="O134" s="865">
        <v>4030</v>
      </c>
      <c r="P134" s="865">
        <v>4183</v>
      </c>
      <c r="Q134" s="865">
        <v>4300</v>
      </c>
      <c r="R134" s="1252"/>
      <c r="S134" s="1252"/>
      <c r="T134" s="1252"/>
      <c r="U134" s="1252"/>
      <c r="V134" s="1252"/>
      <c r="W134" s="41">
        <f t="shared" si="4"/>
        <v>15</v>
      </c>
    </row>
    <row r="135" spans="1:23" s="22" customFormat="1" hidden="1" x14ac:dyDescent="0.2">
      <c r="A135" s="39" t="s">
        <v>164</v>
      </c>
      <c r="B135" s="40"/>
      <c r="C135" s="865">
        <v>2455</v>
      </c>
      <c r="D135" s="865">
        <v>2603</v>
      </c>
      <c r="E135" s="865">
        <v>2754</v>
      </c>
      <c r="F135" s="865">
        <v>2908</v>
      </c>
      <c r="G135" s="865">
        <v>3062</v>
      </c>
      <c r="H135" s="865">
        <v>3223</v>
      </c>
      <c r="I135" s="865">
        <v>3390</v>
      </c>
      <c r="J135" s="865">
        <v>3559</v>
      </c>
      <c r="K135" s="865">
        <v>3737</v>
      </c>
      <c r="L135" s="865">
        <v>3922</v>
      </c>
      <c r="M135" s="865">
        <v>4113</v>
      </c>
      <c r="N135" s="865">
        <v>4310</v>
      </c>
      <c r="O135" s="865">
        <v>4514</v>
      </c>
      <c r="P135" s="865">
        <v>4723</v>
      </c>
      <c r="Q135" s="865">
        <v>4893</v>
      </c>
      <c r="R135" s="1252"/>
      <c r="S135" s="1252"/>
      <c r="T135" s="1252"/>
      <c r="U135" s="1252"/>
      <c r="V135" s="1252"/>
      <c r="W135" s="41">
        <f t="shared" si="4"/>
        <v>15</v>
      </c>
    </row>
    <row r="136" spans="1:23" s="22" customFormat="1" hidden="1" x14ac:dyDescent="0.2">
      <c r="A136" s="1257" t="s">
        <v>165</v>
      </c>
      <c r="B136" s="40"/>
      <c r="C136" s="865">
        <v>3159</v>
      </c>
      <c r="D136" s="865">
        <v>3279</v>
      </c>
      <c r="E136" s="865">
        <v>3385</v>
      </c>
      <c r="F136" s="865">
        <v>3601</v>
      </c>
      <c r="G136" s="865">
        <v>3838</v>
      </c>
      <c r="H136" s="865">
        <v>3988</v>
      </c>
      <c r="I136" s="865">
        <v>4140</v>
      </c>
      <c r="J136" s="865">
        <v>4291</v>
      </c>
      <c r="K136" s="865">
        <v>4443</v>
      </c>
      <c r="L136" s="865">
        <v>4594</v>
      </c>
      <c r="M136" s="865">
        <v>4746</v>
      </c>
      <c r="N136" s="865">
        <v>4899</v>
      </c>
      <c r="O136" s="865">
        <v>5052</v>
      </c>
      <c r="P136" s="865">
        <v>5202</v>
      </c>
      <c r="Q136" s="865">
        <v>5306</v>
      </c>
      <c r="R136" s="1252"/>
      <c r="S136" s="1252"/>
      <c r="T136" s="1252"/>
      <c r="U136" s="1252"/>
      <c r="V136" s="1252"/>
      <c r="W136" s="1258">
        <f t="shared" si="4"/>
        <v>15</v>
      </c>
    </row>
    <row r="137" spans="1:23" s="22" customFormat="1" hidden="1" x14ac:dyDescent="0.2">
      <c r="A137" s="24" t="s">
        <v>178</v>
      </c>
      <c r="B137" s="26"/>
      <c r="C137" s="1252">
        <f>+C132/2</f>
        <v>1173</v>
      </c>
      <c r="D137" s="1253"/>
      <c r="E137" s="1253"/>
      <c r="F137" s="1253"/>
      <c r="G137" s="1253"/>
      <c r="H137" s="1253"/>
      <c r="I137" s="1253"/>
      <c r="J137" s="1253"/>
      <c r="K137" s="1253"/>
      <c r="L137" s="1253"/>
      <c r="M137" s="1253"/>
      <c r="N137" s="1253"/>
      <c r="O137" s="1253"/>
      <c r="P137" s="1253"/>
      <c r="Q137" s="1253"/>
      <c r="R137" s="1252"/>
      <c r="S137" s="1253"/>
      <c r="T137" s="1253"/>
      <c r="U137" s="1253"/>
      <c r="V137" s="1253"/>
      <c r="W137" s="41">
        <f t="shared" si="4"/>
        <v>1</v>
      </c>
    </row>
    <row r="138" spans="1:23" s="22" customFormat="1" hidden="1" x14ac:dyDescent="0.2">
      <c r="A138" s="24" t="s">
        <v>179</v>
      </c>
      <c r="B138" s="26"/>
      <c r="C138" s="1252">
        <f>+C133/2</f>
        <v>1216.5</v>
      </c>
      <c r="D138" s="1253"/>
      <c r="E138" s="1253"/>
      <c r="F138" s="1253"/>
      <c r="G138" s="1253"/>
      <c r="H138" s="1253"/>
      <c r="I138" s="1253"/>
      <c r="J138" s="1253"/>
      <c r="K138" s="1253"/>
      <c r="L138" s="1253"/>
      <c r="M138" s="1253"/>
      <c r="N138" s="1253"/>
      <c r="O138" s="1253"/>
      <c r="P138" s="1253"/>
      <c r="Q138" s="1253"/>
      <c r="R138" s="1252"/>
      <c r="S138" s="1253"/>
      <c r="T138" s="1253"/>
      <c r="U138" s="1253"/>
      <c r="V138" s="1253"/>
      <c r="W138" s="41">
        <f t="shared" si="4"/>
        <v>1</v>
      </c>
    </row>
    <row r="139" spans="1:23" s="22" customFormat="1" hidden="1" x14ac:dyDescent="0.2">
      <c r="A139" s="21" t="s">
        <v>374</v>
      </c>
      <c r="B139" s="18"/>
      <c r="C139" s="865">
        <v>2669</v>
      </c>
      <c r="D139" s="865">
        <v>2774</v>
      </c>
      <c r="E139" s="865">
        <v>2880</v>
      </c>
      <c r="F139" s="865">
        <v>2984</v>
      </c>
      <c r="G139" s="865">
        <v>3088</v>
      </c>
      <c r="H139" s="865">
        <v>3195</v>
      </c>
      <c r="I139" s="865">
        <v>3299</v>
      </c>
      <c r="J139" s="865">
        <v>3405</v>
      </c>
      <c r="K139" s="865">
        <v>3508</v>
      </c>
      <c r="L139" s="865">
        <v>3614</v>
      </c>
      <c r="M139" s="865">
        <v>3721</v>
      </c>
      <c r="N139" s="865"/>
      <c r="O139" s="865"/>
      <c r="P139" s="865"/>
      <c r="Q139" s="865"/>
      <c r="R139" s="1252"/>
      <c r="S139" s="1252"/>
      <c r="T139" s="1252"/>
      <c r="U139" s="1252"/>
      <c r="V139" s="1252"/>
      <c r="W139" s="41">
        <f t="shared" si="4"/>
        <v>11</v>
      </c>
    </row>
    <row r="140" spans="1:23" s="22" customFormat="1" hidden="1" x14ac:dyDescent="0.2">
      <c r="A140" s="21" t="s">
        <v>368</v>
      </c>
      <c r="B140" s="18"/>
      <c r="C140" s="865">
        <v>2774</v>
      </c>
      <c r="D140" s="865">
        <v>2984</v>
      </c>
      <c r="E140" s="865">
        <v>3195</v>
      </c>
      <c r="F140" s="865">
        <v>3299</v>
      </c>
      <c r="G140" s="865">
        <v>3405</v>
      </c>
      <c r="H140" s="865">
        <v>3508</v>
      </c>
      <c r="I140" s="865">
        <v>3614</v>
      </c>
      <c r="J140" s="865">
        <v>3721</v>
      </c>
      <c r="K140" s="865">
        <v>3825</v>
      </c>
      <c r="L140" s="865">
        <v>3932</v>
      </c>
      <c r="M140" s="865"/>
      <c r="N140" s="865"/>
      <c r="O140" s="865"/>
      <c r="P140" s="865"/>
      <c r="Q140" s="865"/>
      <c r="R140" s="1252"/>
      <c r="S140" s="1252"/>
      <c r="T140" s="1252"/>
      <c r="U140" s="1252"/>
      <c r="V140" s="1252"/>
      <c r="W140" s="41">
        <f t="shared" si="4"/>
        <v>10</v>
      </c>
    </row>
    <row r="141" spans="1:23" s="22" customFormat="1" hidden="1" x14ac:dyDescent="0.2">
      <c r="A141" s="21" t="s">
        <v>369</v>
      </c>
      <c r="B141" s="18"/>
      <c r="C141" s="865">
        <v>2774</v>
      </c>
      <c r="D141" s="865">
        <v>2984</v>
      </c>
      <c r="E141" s="865">
        <v>3195</v>
      </c>
      <c r="F141" s="865">
        <v>3299</v>
      </c>
      <c r="G141" s="865">
        <v>3405</v>
      </c>
      <c r="H141" s="865">
        <v>3508</v>
      </c>
      <c r="I141" s="865">
        <v>3614</v>
      </c>
      <c r="J141" s="865">
        <v>3721</v>
      </c>
      <c r="K141" s="865">
        <v>3825</v>
      </c>
      <c r="L141" s="865">
        <v>3932</v>
      </c>
      <c r="M141" s="865">
        <v>4037</v>
      </c>
      <c r="N141" s="865"/>
      <c r="O141" s="865"/>
      <c r="P141" s="865"/>
      <c r="Q141" s="865"/>
      <c r="R141" s="1252"/>
      <c r="S141" s="1252"/>
      <c r="T141" s="1252"/>
      <c r="U141" s="1252"/>
      <c r="V141" s="1252"/>
      <c r="W141" s="41">
        <f t="shared" si="4"/>
        <v>11</v>
      </c>
    </row>
    <row r="142" spans="1:23" s="22" customFormat="1" hidden="1" x14ac:dyDescent="0.2">
      <c r="A142" s="21" t="s">
        <v>371</v>
      </c>
      <c r="B142" s="18"/>
      <c r="C142" s="865">
        <v>2880</v>
      </c>
      <c r="D142" s="865">
        <v>3195</v>
      </c>
      <c r="E142" s="865">
        <v>3405</v>
      </c>
      <c r="F142" s="865">
        <v>3614</v>
      </c>
      <c r="G142" s="865">
        <v>3825</v>
      </c>
      <c r="H142" s="865">
        <v>3932</v>
      </c>
      <c r="I142" s="865">
        <v>4037</v>
      </c>
      <c r="J142" s="865">
        <v>4141</v>
      </c>
      <c r="K142" s="865">
        <v>4246</v>
      </c>
      <c r="L142" s="865">
        <v>4350</v>
      </c>
      <c r="M142" s="865">
        <v>4457</v>
      </c>
      <c r="N142" s="865">
        <v>4562</v>
      </c>
      <c r="O142" s="865">
        <v>4667</v>
      </c>
      <c r="P142" s="865"/>
      <c r="Q142" s="865"/>
      <c r="R142" s="1252"/>
      <c r="S142" s="1252"/>
      <c r="T142" s="1252"/>
      <c r="U142" s="1252"/>
      <c r="V142" s="1252"/>
      <c r="W142" s="41">
        <f t="shared" si="4"/>
        <v>13</v>
      </c>
    </row>
    <row r="143" spans="1:23" s="22" customFormat="1" hidden="1" x14ac:dyDescent="0.2">
      <c r="A143" s="21" t="s">
        <v>370</v>
      </c>
      <c r="B143" s="18"/>
      <c r="C143" s="1252">
        <v>2880</v>
      </c>
      <c r="D143" s="865">
        <v>3195</v>
      </c>
      <c r="E143" s="865">
        <v>3405</v>
      </c>
      <c r="F143" s="865">
        <v>3614</v>
      </c>
      <c r="G143" s="865">
        <v>3825</v>
      </c>
      <c r="H143" s="865">
        <v>3932</v>
      </c>
      <c r="I143" s="865">
        <v>4037</v>
      </c>
      <c r="J143" s="865">
        <v>4141</v>
      </c>
      <c r="K143" s="865">
        <v>4246</v>
      </c>
      <c r="L143" s="865">
        <v>4350</v>
      </c>
      <c r="M143" s="865">
        <v>4457</v>
      </c>
      <c r="N143" s="865">
        <v>4562</v>
      </c>
      <c r="O143" s="865">
        <v>4667</v>
      </c>
      <c r="P143" s="865">
        <v>4771</v>
      </c>
      <c r="Q143" s="865">
        <v>4876</v>
      </c>
      <c r="R143" s="1252"/>
      <c r="S143" s="1252"/>
      <c r="T143" s="1252"/>
      <c r="U143" s="1252"/>
      <c r="V143" s="1252"/>
      <c r="W143" s="41">
        <f t="shared" si="4"/>
        <v>15</v>
      </c>
    </row>
    <row r="144" spans="1:23" s="22" customFormat="1" hidden="1" x14ac:dyDescent="0.2">
      <c r="A144" s="24">
        <v>1</v>
      </c>
      <c r="B144" s="26"/>
      <c r="C144" s="1252">
        <v>1507.8</v>
      </c>
      <c r="D144" s="1252">
        <v>1513</v>
      </c>
      <c r="E144" s="865">
        <v>1576</v>
      </c>
      <c r="F144" s="865">
        <v>1605</v>
      </c>
      <c r="G144" s="865">
        <v>1637</v>
      </c>
      <c r="H144" s="865">
        <v>1671</v>
      </c>
      <c r="I144" s="865">
        <v>1715</v>
      </c>
      <c r="J144" s="1212"/>
      <c r="K144" s="1212"/>
      <c r="L144" s="1212"/>
      <c r="M144" s="1212"/>
      <c r="N144" s="1212"/>
      <c r="O144" s="1212"/>
      <c r="P144" s="1212"/>
      <c r="Q144" s="1212"/>
      <c r="R144" s="1212"/>
      <c r="S144" s="1212"/>
      <c r="T144" s="1212"/>
      <c r="U144" s="1252"/>
      <c r="V144" s="1252"/>
      <c r="W144" s="41">
        <f t="shared" si="4"/>
        <v>7</v>
      </c>
    </row>
    <row r="145" spans="1:23" s="22" customFormat="1" hidden="1" x14ac:dyDescent="0.2">
      <c r="A145" s="24">
        <v>2</v>
      </c>
      <c r="B145" s="26"/>
      <c r="C145" s="1252">
        <f>C144</f>
        <v>1507.8</v>
      </c>
      <c r="D145" s="865">
        <v>1545</v>
      </c>
      <c r="E145" s="865">
        <v>1605</v>
      </c>
      <c r="F145" s="865">
        <v>1671</v>
      </c>
      <c r="G145" s="865">
        <v>1715</v>
      </c>
      <c r="H145" s="865">
        <v>1765</v>
      </c>
      <c r="I145" s="865">
        <v>1827</v>
      </c>
      <c r="J145" s="865">
        <v>1885</v>
      </c>
      <c r="K145" s="865"/>
      <c r="L145" s="865"/>
      <c r="M145" s="865"/>
      <c r="N145" s="865"/>
      <c r="O145" s="865"/>
      <c r="P145" s="865"/>
      <c r="Q145" s="865"/>
      <c r="R145" s="865"/>
      <c r="S145" s="865"/>
      <c r="T145" s="865"/>
      <c r="U145" s="1252"/>
      <c r="V145" s="1252"/>
      <c r="W145" s="41">
        <f t="shared" si="4"/>
        <v>8</v>
      </c>
    </row>
    <row r="146" spans="1:23" s="22" customFormat="1" hidden="1" x14ac:dyDescent="0.2">
      <c r="A146" s="24">
        <v>3</v>
      </c>
      <c r="B146" s="26"/>
      <c r="C146" s="1252">
        <f>C144</f>
        <v>1507.8</v>
      </c>
      <c r="D146" s="865">
        <v>1605</v>
      </c>
      <c r="E146" s="865">
        <v>1671</v>
      </c>
      <c r="F146" s="865">
        <v>1765</v>
      </c>
      <c r="G146" s="865">
        <v>1827</v>
      </c>
      <c r="H146" s="865">
        <v>1885</v>
      </c>
      <c r="I146" s="865">
        <v>1943</v>
      </c>
      <c r="J146" s="865">
        <v>1998</v>
      </c>
      <c r="K146" s="865">
        <v>2053</v>
      </c>
      <c r="L146" s="865"/>
      <c r="M146" s="865"/>
      <c r="N146" s="865"/>
      <c r="O146" s="865"/>
      <c r="P146" s="865"/>
      <c r="Q146" s="865"/>
      <c r="R146" s="865"/>
      <c r="S146" s="865"/>
      <c r="T146" s="865"/>
      <c r="U146" s="1252"/>
      <c r="V146" s="1252"/>
      <c r="W146" s="41">
        <f t="shared" si="4"/>
        <v>9</v>
      </c>
    </row>
    <row r="147" spans="1:23" s="22" customFormat="1" hidden="1" x14ac:dyDescent="0.2">
      <c r="A147" s="24">
        <v>4</v>
      </c>
      <c r="B147" s="26"/>
      <c r="C147" s="1252">
        <v>1513</v>
      </c>
      <c r="D147" s="865">
        <v>1576</v>
      </c>
      <c r="E147" s="865">
        <v>1637</v>
      </c>
      <c r="F147" s="865">
        <v>1715</v>
      </c>
      <c r="G147" s="865">
        <v>1827</v>
      </c>
      <c r="H147" s="865">
        <v>1885</v>
      </c>
      <c r="I147" s="865">
        <v>1943</v>
      </c>
      <c r="J147" s="865">
        <v>1998</v>
      </c>
      <c r="K147" s="865">
        <v>2053</v>
      </c>
      <c r="L147" s="865">
        <v>2107</v>
      </c>
      <c r="M147" s="865">
        <v>2160</v>
      </c>
      <c r="N147" s="1212"/>
      <c r="O147" s="1212"/>
      <c r="P147" s="1212"/>
      <c r="Q147" s="1212"/>
      <c r="R147" s="1212"/>
      <c r="S147" s="1212"/>
      <c r="T147" s="1212"/>
      <c r="U147" s="1252"/>
      <c r="V147" s="1252"/>
      <c r="W147" s="41">
        <f t="shared" si="4"/>
        <v>11</v>
      </c>
    </row>
    <row r="148" spans="1:23" s="22" customFormat="1" hidden="1" x14ac:dyDescent="0.2">
      <c r="A148" s="24">
        <v>5</v>
      </c>
      <c r="B148" s="26"/>
      <c r="C148" s="865">
        <v>1545</v>
      </c>
      <c r="D148" s="865">
        <v>1576</v>
      </c>
      <c r="E148" s="865">
        <v>1671</v>
      </c>
      <c r="F148" s="865">
        <v>1765</v>
      </c>
      <c r="G148" s="865">
        <v>1885</v>
      </c>
      <c r="H148" s="865">
        <v>1943</v>
      </c>
      <c r="I148" s="865">
        <v>1998</v>
      </c>
      <c r="J148" s="865">
        <v>2053</v>
      </c>
      <c r="K148" s="865">
        <v>2107</v>
      </c>
      <c r="L148" s="865">
        <v>2160</v>
      </c>
      <c r="M148" s="865">
        <v>2211</v>
      </c>
      <c r="N148" s="865">
        <v>2271</v>
      </c>
      <c r="O148" s="1212"/>
      <c r="P148" s="1212"/>
      <c r="Q148" s="1212"/>
      <c r="R148" s="1212"/>
      <c r="S148" s="1212"/>
      <c r="T148" s="1212"/>
      <c r="U148" s="1252"/>
      <c r="V148" s="1252"/>
      <c r="W148" s="41">
        <f t="shared" si="4"/>
        <v>12</v>
      </c>
    </row>
    <row r="149" spans="1:23" s="22" customFormat="1" hidden="1" x14ac:dyDescent="0.2">
      <c r="A149" s="24">
        <v>6</v>
      </c>
      <c r="B149" s="26"/>
      <c r="C149" s="865">
        <v>1605</v>
      </c>
      <c r="D149" s="865">
        <v>1671</v>
      </c>
      <c r="E149" s="865">
        <v>1885</v>
      </c>
      <c r="F149" s="865">
        <v>1998</v>
      </c>
      <c r="G149" s="865">
        <v>2053</v>
      </c>
      <c r="H149" s="865">
        <v>2107</v>
      </c>
      <c r="I149" s="865">
        <v>2160</v>
      </c>
      <c r="J149" s="865">
        <v>2211</v>
      </c>
      <c r="K149" s="865">
        <v>2271</v>
      </c>
      <c r="L149" s="865">
        <v>2326</v>
      </c>
      <c r="M149" s="865">
        <v>2379</v>
      </c>
      <c r="N149" s="865"/>
      <c r="O149" s="865"/>
      <c r="P149" s="865"/>
      <c r="Q149" s="865"/>
      <c r="R149" s="865"/>
      <c r="S149" s="865"/>
      <c r="T149" s="865"/>
      <c r="U149" s="1252"/>
      <c r="V149" s="1252"/>
      <c r="W149" s="41">
        <f t="shared" si="4"/>
        <v>11</v>
      </c>
    </row>
    <row r="150" spans="1:23" s="22" customFormat="1" hidden="1" x14ac:dyDescent="0.2">
      <c r="A150" s="24">
        <v>7</v>
      </c>
      <c r="B150" s="26"/>
      <c r="C150" s="865">
        <v>1715</v>
      </c>
      <c r="D150" s="865">
        <v>1765</v>
      </c>
      <c r="E150" s="865">
        <v>1885</v>
      </c>
      <c r="F150" s="865">
        <v>2107</v>
      </c>
      <c r="G150" s="865">
        <v>2211</v>
      </c>
      <c r="H150" s="865">
        <v>2271</v>
      </c>
      <c r="I150" s="865">
        <v>2326</v>
      </c>
      <c r="J150" s="865">
        <v>2379</v>
      </c>
      <c r="K150" s="865">
        <v>2435</v>
      </c>
      <c r="L150" s="865">
        <v>2494</v>
      </c>
      <c r="M150" s="865">
        <v>2555</v>
      </c>
      <c r="N150" s="865">
        <v>2623</v>
      </c>
      <c r="O150" s="865"/>
      <c r="P150" s="865"/>
      <c r="Q150" s="865"/>
      <c r="R150" s="865"/>
      <c r="S150" s="865"/>
      <c r="T150" s="865"/>
      <c r="U150" s="1252"/>
      <c r="V150" s="1252"/>
      <c r="W150" s="41">
        <f t="shared" si="4"/>
        <v>12</v>
      </c>
    </row>
    <row r="151" spans="1:23" s="22" customFormat="1" hidden="1" x14ac:dyDescent="0.2">
      <c r="A151" s="24">
        <v>8</v>
      </c>
      <c r="B151" s="26"/>
      <c r="C151" s="865">
        <v>1943</v>
      </c>
      <c r="D151" s="865">
        <v>1998</v>
      </c>
      <c r="E151" s="865">
        <v>2107</v>
      </c>
      <c r="F151" s="865">
        <v>2326</v>
      </c>
      <c r="G151" s="865">
        <v>2435</v>
      </c>
      <c r="H151" s="865">
        <v>2555</v>
      </c>
      <c r="I151" s="865">
        <v>2623</v>
      </c>
      <c r="J151" s="865">
        <v>2686</v>
      </c>
      <c r="K151" s="865">
        <v>2741</v>
      </c>
      <c r="L151" s="865">
        <v>2800</v>
      </c>
      <c r="M151" s="865">
        <v>2860</v>
      </c>
      <c r="N151" s="865">
        <v>2915</v>
      </c>
      <c r="O151" s="865">
        <v>2967</v>
      </c>
      <c r="P151" s="865"/>
      <c r="Q151" s="865"/>
      <c r="R151" s="865"/>
      <c r="S151" s="865"/>
      <c r="T151" s="865"/>
      <c r="U151" s="1252"/>
      <c r="V151" s="1252"/>
      <c r="W151" s="41">
        <f t="shared" si="4"/>
        <v>13</v>
      </c>
    </row>
    <row r="152" spans="1:23" s="22" customFormat="1" hidden="1" x14ac:dyDescent="0.2">
      <c r="A152" s="24">
        <v>9</v>
      </c>
      <c r="B152" s="26"/>
      <c r="C152" s="865">
        <v>2234</v>
      </c>
      <c r="D152" s="865">
        <v>2348</v>
      </c>
      <c r="E152" s="865">
        <v>2580</v>
      </c>
      <c r="F152" s="865">
        <v>2712</v>
      </c>
      <c r="G152" s="865">
        <v>2827</v>
      </c>
      <c r="H152" s="865">
        <v>2944</v>
      </c>
      <c r="I152" s="865">
        <v>3053</v>
      </c>
      <c r="J152" s="865">
        <v>3163</v>
      </c>
      <c r="K152" s="865">
        <v>3283</v>
      </c>
      <c r="L152" s="865">
        <v>3387</v>
      </c>
      <c r="M152" s="865"/>
      <c r="N152" s="865"/>
      <c r="O152" s="865"/>
      <c r="P152" s="865"/>
      <c r="Q152" s="865"/>
      <c r="R152" s="865"/>
      <c r="S152" s="865"/>
      <c r="T152" s="865"/>
      <c r="U152" s="1252"/>
      <c r="V152" s="1252"/>
      <c r="W152" s="41">
        <f t="shared" si="4"/>
        <v>10</v>
      </c>
    </row>
    <row r="153" spans="1:23" s="22" customFormat="1" hidden="1" x14ac:dyDescent="0.2">
      <c r="A153" s="24">
        <v>10</v>
      </c>
      <c r="B153" s="26"/>
      <c r="C153" s="865">
        <v>2234</v>
      </c>
      <c r="D153" s="865">
        <v>2459</v>
      </c>
      <c r="E153" s="865">
        <v>2580</v>
      </c>
      <c r="F153" s="865">
        <v>2712</v>
      </c>
      <c r="G153" s="865">
        <v>2827</v>
      </c>
      <c r="H153" s="865">
        <v>2944</v>
      </c>
      <c r="I153" s="865">
        <v>3053</v>
      </c>
      <c r="J153" s="865">
        <v>3163</v>
      </c>
      <c r="K153" s="865">
        <v>3283</v>
      </c>
      <c r="L153" s="865">
        <v>3387</v>
      </c>
      <c r="M153" s="865">
        <v>3497</v>
      </c>
      <c r="N153" s="865">
        <v>3603</v>
      </c>
      <c r="O153" s="865">
        <v>3723</v>
      </c>
      <c r="P153" s="865"/>
      <c r="Q153" s="865"/>
      <c r="R153" s="865"/>
      <c r="S153" s="865"/>
      <c r="T153" s="865"/>
      <c r="U153" s="1252"/>
      <c r="V153" s="1252"/>
      <c r="W153" s="41">
        <f t="shared" si="4"/>
        <v>13</v>
      </c>
    </row>
    <row r="154" spans="1:23" s="22" customFormat="1" hidden="1" x14ac:dyDescent="0.2">
      <c r="A154" s="24">
        <v>11</v>
      </c>
      <c r="B154" s="26"/>
      <c r="C154" s="865">
        <v>2348</v>
      </c>
      <c r="D154" s="865">
        <v>2459</v>
      </c>
      <c r="E154" s="865">
        <v>2580</v>
      </c>
      <c r="F154" s="865">
        <v>2712</v>
      </c>
      <c r="G154" s="865">
        <v>2827</v>
      </c>
      <c r="H154" s="865">
        <v>2944</v>
      </c>
      <c r="I154" s="865">
        <v>3053</v>
      </c>
      <c r="J154" s="865">
        <v>3283</v>
      </c>
      <c r="K154" s="865">
        <v>3397</v>
      </c>
      <c r="L154" s="865">
        <v>3497</v>
      </c>
      <c r="M154" s="865">
        <v>3603</v>
      </c>
      <c r="N154" s="865">
        <v>3723</v>
      </c>
      <c r="O154" s="865">
        <v>3840</v>
      </c>
      <c r="P154" s="865">
        <v>3956</v>
      </c>
      <c r="Q154" s="865">
        <v>4066</v>
      </c>
      <c r="R154" s="865">
        <v>4179</v>
      </c>
      <c r="S154" s="865">
        <v>4285</v>
      </c>
      <c r="T154" s="865">
        <v>4343</v>
      </c>
      <c r="U154" s="1252"/>
      <c r="V154" s="1252"/>
      <c r="W154" s="41">
        <f t="shared" si="4"/>
        <v>18</v>
      </c>
    </row>
    <row r="155" spans="1:23" s="22" customFormat="1" hidden="1" x14ac:dyDescent="0.2">
      <c r="A155" s="24">
        <v>12</v>
      </c>
      <c r="B155" s="26"/>
      <c r="C155" s="865">
        <v>3163</v>
      </c>
      <c r="D155" s="865">
        <v>3283</v>
      </c>
      <c r="E155" s="865">
        <v>3387</v>
      </c>
      <c r="F155" s="865">
        <v>3497</v>
      </c>
      <c r="G155" s="865">
        <v>3603</v>
      </c>
      <c r="H155" s="865">
        <v>3723</v>
      </c>
      <c r="I155" s="865">
        <v>3965</v>
      </c>
      <c r="J155" s="865">
        <v>4066</v>
      </c>
      <c r="K155" s="865">
        <v>4179</v>
      </c>
      <c r="L155" s="865">
        <v>4285</v>
      </c>
      <c r="M155" s="865">
        <v>4401</v>
      </c>
      <c r="N155" s="865">
        <v>4514</v>
      </c>
      <c r="O155" s="865">
        <v>4620</v>
      </c>
      <c r="P155" s="865">
        <v>4733</v>
      </c>
      <c r="Q155" s="865">
        <v>4871</v>
      </c>
      <c r="R155" s="865">
        <v>4942</v>
      </c>
      <c r="S155" s="865"/>
      <c r="T155" s="1212"/>
      <c r="U155" s="1252"/>
      <c r="V155" s="1252"/>
      <c r="W155" s="41">
        <f t="shared" si="4"/>
        <v>16</v>
      </c>
    </row>
    <row r="156" spans="1:23" s="22" customFormat="1" hidden="1" x14ac:dyDescent="0.2">
      <c r="A156" s="24">
        <v>13</v>
      </c>
      <c r="B156" s="26"/>
      <c r="C156" s="865">
        <v>3840</v>
      </c>
      <c r="D156" s="865">
        <v>3956</v>
      </c>
      <c r="E156" s="865">
        <v>4066</v>
      </c>
      <c r="F156" s="865">
        <v>4179</v>
      </c>
      <c r="G156" s="865">
        <v>4285</v>
      </c>
      <c r="H156" s="865">
        <v>4514</v>
      </c>
      <c r="I156" s="865">
        <v>4620</v>
      </c>
      <c r="J156" s="865">
        <v>4733</v>
      </c>
      <c r="K156" s="865">
        <v>4871</v>
      </c>
      <c r="L156" s="865">
        <v>5012</v>
      </c>
      <c r="M156" s="865">
        <v>5152</v>
      </c>
      <c r="N156" s="865">
        <v>5290</v>
      </c>
      <c r="O156" s="865">
        <v>5359</v>
      </c>
      <c r="P156" s="865"/>
      <c r="Q156" s="865"/>
      <c r="R156" s="865"/>
      <c r="S156" s="865"/>
      <c r="T156" s="1212"/>
      <c r="U156" s="1252"/>
      <c r="V156" s="1252"/>
      <c r="W156" s="41">
        <f t="shared" si="4"/>
        <v>13</v>
      </c>
    </row>
    <row r="157" spans="1:23" s="22" customFormat="1" hidden="1" x14ac:dyDescent="0.2">
      <c r="A157" s="24">
        <v>14</v>
      </c>
      <c r="B157" s="26"/>
      <c r="C157" s="865">
        <v>4401</v>
      </c>
      <c r="D157" s="865">
        <v>4514</v>
      </c>
      <c r="E157" s="865">
        <v>4733</v>
      </c>
      <c r="F157" s="865">
        <v>4871</v>
      </c>
      <c r="G157" s="865">
        <v>5012</v>
      </c>
      <c r="H157" s="865">
        <v>5152</v>
      </c>
      <c r="I157" s="865">
        <v>5290</v>
      </c>
      <c r="J157" s="865">
        <v>5432</v>
      </c>
      <c r="K157" s="865">
        <v>5581</v>
      </c>
      <c r="L157" s="865">
        <v>5731</v>
      </c>
      <c r="M157" s="865">
        <v>5888</v>
      </c>
      <c r="N157" s="865"/>
      <c r="O157" s="865"/>
      <c r="P157" s="865"/>
      <c r="Q157" s="865"/>
      <c r="R157" s="865"/>
      <c r="S157" s="865"/>
      <c r="T157" s="1212"/>
      <c r="U157" s="1252"/>
      <c r="V157" s="1252"/>
      <c r="W157" s="41">
        <f t="shared" si="4"/>
        <v>11</v>
      </c>
    </row>
    <row r="158" spans="1:23" s="22" customFormat="1" hidden="1" x14ac:dyDescent="0.2">
      <c r="A158" s="24">
        <v>15</v>
      </c>
      <c r="B158" s="26"/>
      <c r="C158" s="865">
        <v>4620</v>
      </c>
      <c r="D158" s="865">
        <v>4733</v>
      </c>
      <c r="E158" s="865">
        <v>4871</v>
      </c>
      <c r="F158" s="865">
        <v>5152</v>
      </c>
      <c r="G158" s="865">
        <v>5290</v>
      </c>
      <c r="H158" s="865">
        <v>5432</v>
      </c>
      <c r="I158" s="865">
        <v>5581</v>
      </c>
      <c r="J158" s="865">
        <v>5731</v>
      </c>
      <c r="K158" s="865">
        <v>5888</v>
      </c>
      <c r="L158" s="865">
        <v>6074</v>
      </c>
      <c r="M158" s="865">
        <v>6270</v>
      </c>
      <c r="N158" s="865">
        <v>6470</v>
      </c>
      <c r="O158" s="865"/>
      <c r="P158" s="865"/>
      <c r="Q158" s="865"/>
      <c r="R158" s="865"/>
      <c r="S158" s="865"/>
      <c r="T158" s="1212"/>
      <c r="U158" s="1254"/>
      <c r="V158" s="1254"/>
      <c r="W158" s="41">
        <f t="shared" si="4"/>
        <v>12</v>
      </c>
    </row>
    <row r="159" spans="1:23" hidden="1" x14ac:dyDescent="0.2">
      <c r="A159" s="14">
        <v>16</v>
      </c>
      <c r="B159" s="9"/>
      <c r="C159" s="865">
        <v>5012</v>
      </c>
      <c r="D159" s="865">
        <v>5152</v>
      </c>
      <c r="E159" s="865">
        <v>5290</v>
      </c>
      <c r="F159" s="865">
        <v>5581</v>
      </c>
      <c r="G159" s="865">
        <v>5731</v>
      </c>
      <c r="H159" s="865">
        <v>5888</v>
      </c>
      <c r="I159" s="865">
        <v>6074</v>
      </c>
      <c r="J159" s="865">
        <v>6270</v>
      </c>
      <c r="K159" s="865">
        <v>6470</v>
      </c>
      <c r="L159" s="865">
        <v>6677</v>
      </c>
      <c r="M159" s="865">
        <v>6887</v>
      </c>
      <c r="N159" s="865">
        <v>7107</v>
      </c>
      <c r="O159" s="865"/>
      <c r="P159" s="865"/>
      <c r="Q159" s="865"/>
      <c r="R159" s="865"/>
      <c r="S159" s="865"/>
      <c r="T159" s="1212"/>
      <c r="U159" s="1254"/>
      <c r="V159" s="1254"/>
      <c r="W159" s="41">
        <f t="shared" si="4"/>
        <v>12</v>
      </c>
    </row>
    <row r="160" spans="1:23" x14ac:dyDescent="0.2">
      <c r="A160" s="8"/>
      <c r="B160" s="9"/>
      <c r="C160" s="8"/>
      <c r="D160" s="8"/>
      <c r="E160" s="8"/>
      <c r="F160" s="8"/>
      <c r="G160" s="8"/>
      <c r="H160" s="8"/>
      <c r="I160" s="8"/>
    </row>
    <row r="162" spans="1:13" s="2" customFormat="1" x14ac:dyDescent="0.2">
      <c r="A162" s="13" t="s">
        <v>59</v>
      </c>
      <c r="B162" s="3"/>
      <c r="D162" s="51" t="s">
        <v>481</v>
      </c>
      <c r="E162" s="52">
        <v>-6.1999999999999998E-3</v>
      </c>
      <c r="H162" s="14"/>
      <c r="I162" s="51" t="s">
        <v>481</v>
      </c>
      <c r="J162" s="52">
        <v>2E-3</v>
      </c>
    </row>
    <row r="163" spans="1:13" s="14" customFormat="1" x14ac:dyDescent="0.2">
      <c r="B163" s="47"/>
      <c r="D163" s="53">
        <f>D4</f>
        <v>2015</v>
      </c>
      <c r="E163" s="13"/>
      <c r="I163" s="53">
        <f>D163+1</f>
        <v>2016</v>
      </c>
    </row>
    <row r="164" spans="1:13" s="14" customFormat="1" x14ac:dyDescent="0.2">
      <c r="A164" s="2" t="s">
        <v>344</v>
      </c>
      <c r="B164" s="3"/>
      <c r="D164" s="44">
        <v>13394.58</v>
      </c>
      <c r="E164" s="44">
        <v>313.16000000000003</v>
      </c>
      <c r="I164" s="44">
        <v>13421.37</v>
      </c>
      <c r="J164" s="44">
        <v>318.88</v>
      </c>
      <c r="L164" s="1251"/>
      <c r="M164" s="1251"/>
    </row>
    <row r="165" spans="1:13" s="14" customFormat="1" x14ac:dyDescent="0.2">
      <c r="A165" s="2" t="s">
        <v>36</v>
      </c>
      <c r="B165" s="3"/>
      <c r="D165" s="44">
        <v>110.98</v>
      </c>
      <c r="E165" s="44">
        <v>19.88</v>
      </c>
      <c r="I165" s="44">
        <v>111.2</v>
      </c>
      <c r="J165" s="44">
        <v>19.920000000000002</v>
      </c>
      <c r="L165" s="1251"/>
      <c r="M165" s="1251"/>
    </row>
    <row r="166" spans="1:13" s="14" customFormat="1" x14ac:dyDescent="0.2">
      <c r="A166" s="2" t="s">
        <v>37</v>
      </c>
      <c r="B166" s="3"/>
      <c r="D166" s="44">
        <v>0</v>
      </c>
      <c r="E166" s="44" t="s">
        <v>574</v>
      </c>
      <c r="I166" s="44">
        <v>0</v>
      </c>
      <c r="J166" s="44" t="s">
        <v>574</v>
      </c>
    </row>
    <row r="167" spans="1:13" s="14" customFormat="1" x14ac:dyDescent="0.2">
      <c r="B167" s="47"/>
    </row>
    <row r="168" spans="1:13" s="14" customFormat="1" x14ac:dyDescent="0.2">
      <c r="A168" s="54" t="s">
        <v>324</v>
      </c>
      <c r="B168" s="3"/>
      <c r="C168" s="2"/>
    </row>
    <row r="169" spans="1:13" s="14" customFormat="1" x14ac:dyDescent="0.2">
      <c r="A169" s="55" t="s">
        <v>196</v>
      </c>
      <c r="B169" s="3"/>
      <c r="C169" s="56">
        <v>0.05</v>
      </c>
      <c r="E169" s="57"/>
      <c r="I169" s="56">
        <v>0.05</v>
      </c>
      <c r="J169" s="53"/>
    </row>
    <row r="170" spans="1:13" s="14" customFormat="1" x14ac:dyDescent="0.2">
      <c r="A170" s="2" t="s">
        <v>197</v>
      </c>
      <c r="B170" s="3"/>
      <c r="C170" s="13">
        <v>3.4299999999999997E-2</v>
      </c>
      <c r="E170" s="57"/>
      <c r="I170" s="13">
        <v>3.4299999999999997E-2</v>
      </c>
      <c r="J170" s="53"/>
    </row>
    <row r="171" spans="1:13" s="14" customFormat="1" x14ac:dyDescent="0.2">
      <c r="A171" s="2" t="s">
        <v>198</v>
      </c>
      <c r="B171" s="3"/>
      <c r="C171" s="2">
        <v>1.7899999999999999E-2</v>
      </c>
      <c r="E171" s="57"/>
      <c r="I171" s="2">
        <v>1.7899999999999999E-2</v>
      </c>
      <c r="J171" s="53"/>
    </row>
    <row r="172" spans="1:13" s="14" customFormat="1" x14ac:dyDescent="0.2">
      <c r="A172" s="2" t="s">
        <v>258</v>
      </c>
      <c r="B172" s="3"/>
      <c r="C172" s="2">
        <v>1.5642</v>
      </c>
      <c r="E172" s="57"/>
      <c r="I172" s="2">
        <v>1.5642</v>
      </c>
      <c r="J172" s="53"/>
    </row>
    <row r="173" spans="1:13" s="14" customFormat="1" x14ac:dyDescent="0.2">
      <c r="A173" s="2" t="s">
        <v>259</v>
      </c>
      <c r="B173" s="3"/>
      <c r="C173" s="2">
        <v>1.15E-2</v>
      </c>
      <c r="E173" s="57"/>
      <c r="I173" s="2">
        <v>1.15E-2</v>
      </c>
      <c r="J173" s="53"/>
    </row>
    <row r="174" spans="1:13" s="14" customFormat="1" x14ac:dyDescent="0.2">
      <c r="A174" s="2"/>
      <c r="B174" s="3"/>
      <c r="C174" s="2"/>
      <c r="J174" s="2"/>
    </row>
    <row r="175" spans="1:13" s="14" customFormat="1" x14ac:dyDescent="0.2">
      <c r="B175" s="47"/>
      <c r="D175" s="53">
        <f>+D4</f>
        <v>2015</v>
      </c>
      <c r="I175" s="53">
        <f>+E4</f>
        <v>2016</v>
      </c>
      <c r="K175" s="13"/>
      <c r="L175" s="13"/>
      <c r="M175" s="2"/>
    </row>
    <row r="176" spans="1:13" s="14" customFormat="1" x14ac:dyDescent="0.2">
      <c r="A176" s="2" t="s">
        <v>345</v>
      </c>
      <c r="B176" s="2" t="s">
        <v>256</v>
      </c>
      <c r="D176" s="2" t="s">
        <v>345</v>
      </c>
      <c r="E176" s="2" t="s">
        <v>205</v>
      </c>
      <c r="F176" s="2" t="s">
        <v>346</v>
      </c>
      <c r="G176" s="58" t="s">
        <v>347</v>
      </c>
      <c r="H176" s="2" t="s">
        <v>104</v>
      </c>
      <c r="I176" s="2" t="s">
        <v>345</v>
      </c>
      <c r="J176" s="2" t="s">
        <v>205</v>
      </c>
      <c r="K176" s="2" t="s">
        <v>346</v>
      </c>
      <c r="L176" s="58" t="s">
        <v>347</v>
      </c>
      <c r="M176" s="2" t="s">
        <v>104</v>
      </c>
    </row>
    <row r="177" spans="1:14" s="14" customFormat="1" x14ac:dyDescent="0.2">
      <c r="A177" s="2" t="s">
        <v>255</v>
      </c>
      <c r="B177" s="2" t="s">
        <v>257</v>
      </c>
      <c r="D177" s="58"/>
      <c r="E177" s="2"/>
      <c r="F177" s="2"/>
      <c r="G177" s="2"/>
      <c r="H177" s="58" t="s">
        <v>360</v>
      </c>
      <c r="I177" s="58"/>
      <c r="J177" s="2"/>
      <c r="K177" s="2"/>
      <c r="L177" s="2"/>
      <c r="M177" s="58" t="s">
        <v>360</v>
      </c>
    </row>
    <row r="178" spans="1:14" s="14" customFormat="1" x14ac:dyDescent="0.2">
      <c r="A178" s="2">
        <v>0</v>
      </c>
      <c r="B178" s="2">
        <v>0</v>
      </c>
      <c r="D178" s="2">
        <v>0</v>
      </c>
      <c r="E178" s="787">
        <v>0</v>
      </c>
      <c r="F178" s="59"/>
      <c r="G178" s="59"/>
      <c r="H178" s="59"/>
      <c r="I178" s="2">
        <v>0</v>
      </c>
      <c r="J178" s="787">
        <v>0</v>
      </c>
      <c r="K178" s="59"/>
      <c r="L178" s="59"/>
      <c r="M178" s="59"/>
    </row>
    <row r="179" spans="1:14" s="14" customFormat="1" x14ac:dyDescent="0.2">
      <c r="A179" s="2">
        <v>2</v>
      </c>
      <c r="B179" s="2">
        <v>375</v>
      </c>
      <c r="D179" s="60">
        <v>2</v>
      </c>
      <c r="E179" s="787">
        <v>23917</v>
      </c>
      <c r="F179" s="59"/>
      <c r="G179" s="59"/>
      <c r="H179" s="59"/>
      <c r="I179" s="60">
        <v>2</v>
      </c>
      <c r="J179" s="787">
        <v>24806</v>
      </c>
      <c r="K179" s="59"/>
      <c r="L179" s="59"/>
      <c r="M179" s="59"/>
      <c r="N179" s="1250"/>
    </row>
    <row r="180" spans="1:14" s="14" customFormat="1" x14ac:dyDescent="0.2">
      <c r="A180" s="2">
        <v>3</v>
      </c>
      <c r="B180" s="2">
        <v>495</v>
      </c>
      <c r="D180" s="60">
        <v>3</v>
      </c>
      <c r="E180" s="787">
        <v>30939</v>
      </c>
      <c r="F180" s="796">
        <f t="shared" ref="F180:F227" si="5">+E180-E179</f>
        <v>7022</v>
      </c>
      <c r="G180" s="59"/>
      <c r="H180" s="59"/>
      <c r="I180" s="60">
        <v>3</v>
      </c>
      <c r="J180" s="787">
        <v>32111</v>
      </c>
      <c r="K180" s="796">
        <f t="shared" ref="K180:K227" si="6">+J180-J179</f>
        <v>7305</v>
      </c>
      <c r="L180" s="796"/>
      <c r="M180" s="59"/>
    </row>
    <row r="181" spans="1:14" s="14" customFormat="1" x14ac:dyDescent="0.2">
      <c r="A181" s="2">
        <v>4</v>
      </c>
      <c r="B181" s="2">
        <v>650</v>
      </c>
      <c r="D181" s="60">
        <v>4</v>
      </c>
      <c r="E181" s="787">
        <v>40010</v>
      </c>
      <c r="F181" s="796">
        <f t="shared" si="5"/>
        <v>9071</v>
      </c>
      <c r="G181" s="59"/>
      <c r="H181" s="59"/>
      <c r="I181" s="60">
        <v>4</v>
      </c>
      <c r="J181" s="787">
        <v>41548</v>
      </c>
      <c r="K181" s="796">
        <f t="shared" si="6"/>
        <v>9437</v>
      </c>
      <c r="L181" s="796"/>
      <c r="M181" s="59"/>
    </row>
    <row r="182" spans="1:14" s="14" customFormat="1" x14ac:dyDescent="0.2">
      <c r="A182" s="2">
        <v>5</v>
      </c>
      <c r="B182" s="2">
        <v>785</v>
      </c>
      <c r="D182" s="60">
        <v>5</v>
      </c>
      <c r="E182" s="787">
        <v>47910</v>
      </c>
      <c r="F182" s="796">
        <f t="shared" si="5"/>
        <v>7900</v>
      </c>
      <c r="G182" s="59"/>
      <c r="H182" s="59"/>
      <c r="I182" s="60">
        <v>5</v>
      </c>
      <c r="J182" s="787">
        <v>49766</v>
      </c>
      <c r="K182" s="796">
        <f t="shared" si="6"/>
        <v>8218</v>
      </c>
      <c r="L182" s="796"/>
      <c r="M182" s="59"/>
    </row>
    <row r="183" spans="1:14" s="14" customFormat="1" x14ac:dyDescent="0.2">
      <c r="A183" s="2">
        <v>6</v>
      </c>
      <c r="B183" s="2">
        <v>875</v>
      </c>
      <c r="D183" s="60">
        <v>6</v>
      </c>
      <c r="E183" s="787">
        <v>53177</v>
      </c>
      <c r="F183" s="796">
        <f t="shared" si="5"/>
        <v>5267</v>
      </c>
      <c r="G183" s="59"/>
      <c r="H183" s="59"/>
      <c r="I183" s="60">
        <v>6</v>
      </c>
      <c r="J183" s="787">
        <v>55246</v>
      </c>
      <c r="K183" s="796">
        <f t="shared" si="6"/>
        <v>5480</v>
      </c>
      <c r="L183" s="796"/>
      <c r="M183" s="59"/>
    </row>
    <row r="184" spans="1:14" s="14" customFormat="1" x14ac:dyDescent="0.2">
      <c r="A184" s="2">
        <v>7</v>
      </c>
      <c r="B184" s="2">
        <v>980</v>
      </c>
      <c r="D184" s="60">
        <v>7</v>
      </c>
      <c r="E184" s="61">
        <f t="shared" ref="E184:E190" si="7">+E183+G184</f>
        <v>59322</v>
      </c>
      <c r="F184" s="796">
        <f t="shared" si="5"/>
        <v>6145</v>
      </c>
      <c r="G184" s="787">
        <v>6145</v>
      </c>
      <c r="H184" s="796"/>
      <c r="I184" s="60">
        <v>7</v>
      </c>
      <c r="J184" s="61">
        <f t="shared" ref="J184:J190" si="8">+J183+L184</f>
        <v>61638</v>
      </c>
      <c r="K184" s="796">
        <f t="shared" si="6"/>
        <v>6392</v>
      </c>
      <c r="L184" s="787">
        <v>6392</v>
      </c>
      <c r="M184" s="59"/>
    </row>
    <row r="185" spans="1:14" s="14" customFormat="1" x14ac:dyDescent="0.2">
      <c r="A185" s="2">
        <v>8</v>
      </c>
      <c r="B185" s="2">
        <v>1085</v>
      </c>
      <c r="D185" s="60">
        <v>8</v>
      </c>
      <c r="E185" s="61">
        <f t="shared" si="7"/>
        <v>65467</v>
      </c>
      <c r="F185" s="796">
        <f t="shared" si="5"/>
        <v>6145</v>
      </c>
      <c r="G185" s="796">
        <f t="shared" ref="G185:G227" si="9">G184</f>
        <v>6145</v>
      </c>
      <c r="H185" s="796"/>
      <c r="I185" s="60">
        <v>8</v>
      </c>
      <c r="J185" s="61">
        <f t="shared" si="8"/>
        <v>68030</v>
      </c>
      <c r="K185" s="796">
        <f t="shared" si="6"/>
        <v>6392</v>
      </c>
      <c r="L185" s="796">
        <f t="shared" ref="L185:L227" si="10">L184</f>
        <v>6392</v>
      </c>
      <c r="M185" s="59"/>
    </row>
    <row r="186" spans="1:14" s="14" customFormat="1" x14ac:dyDescent="0.2">
      <c r="A186" s="2">
        <v>9</v>
      </c>
      <c r="B186" s="2">
        <v>1190</v>
      </c>
      <c r="D186" s="60">
        <v>9</v>
      </c>
      <c r="E186" s="61">
        <f t="shared" si="7"/>
        <v>71612</v>
      </c>
      <c r="F186" s="796">
        <f t="shared" si="5"/>
        <v>6145</v>
      </c>
      <c r="G186" s="796">
        <f t="shared" si="9"/>
        <v>6145</v>
      </c>
      <c r="H186" s="796"/>
      <c r="I186" s="60">
        <v>9</v>
      </c>
      <c r="J186" s="61">
        <f t="shared" si="8"/>
        <v>74422</v>
      </c>
      <c r="K186" s="796">
        <f t="shared" si="6"/>
        <v>6392</v>
      </c>
      <c r="L186" s="796">
        <f t="shared" si="10"/>
        <v>6392</v>
      </c>
      <c r="M186" s="59"/>
    </row>
    <row r="187" spans="1:14" s="14" customFormat="1" x14ac:dyDescent="0.2">
      <c r="A187" s="2">
        <v>10</v>
      </c>
      <c r="B187" s="2">
        <v>1295</v>
      </c>
      <c r="D187" s="60">
        <v>10</v>
      </c>
      <c r="E187" s="61">
        <f t="shared" si="7"/>
        <v>77757</v>
      </c>
      <c r="F187" s="796">
        <f t="shared" si="5"/>
        <v>6145</v>
      </c>
      <c r="G187" s="796">
        <f t="shared" si="9"/>
        <v>6145</v>
      </c>
      <c r="H187" s="796"/>
      <c r="I187" s="60">
        <v>10</v>
      </c>
      <c r="J187" s="61">
        <f t="shared" si="8"/>
        <v>80814</v>
      </c>
      <c r="K187" s="796">
        <f t="shared" si="6"/>
        <v>6392</v>
      </c>
      <c r="L187" s="796">
        <f t="shared" si="10"/>
        <v>6392</v>
      </c>
      <c r="M187" s="59"/>
    </row>
    <row r="188" spans="1:14" s="14" customFormat="1" x14ac:dyDescent="0.2">
      <c r="A188" s="2">
        <v>11</v>
      </c>
      <c r="B188" s="2">
        <v>1400</v>
      </c>
      <c r="D188" s="60">
        <v>11</v>
      </c>
      <c r="E188" s="61">
        <f t="shared" si="7"/>
        <v>83902</v>
      </c>
      <c r="F188" s="796">
        <f t="shared" si="5"/>
        <v>6145</v>
      </c>
      <c r="G188" s="796">
        <f t="shared" si="9"/>
        <v>6145</v>
      </c>
      <c r="H188" s="796"/>
      <c r="I188" s="60">
        <v>11</v>
      </c>
      <c r="J188" s="61">
        <f t="shared" si="8"/>
        <v>87206</v>
      </c>
      <c r="K188" s="796">
        <f t="shared" si="6"/>
        <v>6392</v>
      </c>
      <c r="L188" s="796">
        <f t="shared" si="10"/>
        <v>6392</v>
      </c>
      <c r="M188" s="59"/>
    </row>
    <row r="189" spans="1:14" s="14" customFormat="1" x14ac:dyDescent="0.2">
      <c r="A189" s="2">
        <v>12</v>
      </c>
      <c r="B189" s="2">
        <v>1505</v>
      </c>
      <c r="D189" s="60">
        <v>12</v>
      </c>
      <c r="E189" s="61">
        <f t="shared" si="7"/>
        <v>90047</v>
      </c>
      <c r="F189" s="796">
        <f t="shared" si="5"/>
        <v>6145</v>
      </c>
      <c r="G189" s="796">
        <f t="shared" si="9"/>
        <v>6145</v>
      </c>
      <c r="H189" s="796"/>
      <c r="I189" s="60">
        <v>12</v>
      </c>
      <c r="J189" s="61">
        <f t="shared" si="8"/>
        <v>93598</v>
      </c>
      <c r="K189" s="796">
        <f t="shared" si="6"/>
        <v>6392</v>
      </c>
      <c r="L189" s="796">
        <f t="shared" si="10"/>
        <v>6392</v>
      </c>
      <c r="M189" s="59"/>
    </row>
    <row r="190" spans="1:14" s="14" customFormat="1" x14ac:dyDescent="0.2">
      <c r="A190" s="2">
        <v>13</v>
      </c>
      <c r="B190" s="2">
        <v>1610</v>
      </c>
      <c r="D190" s="60">
        <v>13</v>
      </c>
      <c r="E190" s="61">
        <f t="shared" si="7"/>
        <v>96192</v>
      </c>
      <c r="F190" s="796">
        <f t="shared" si="5"/>
        <v>6145</v>
      </c>
      <c r="G190" s="796">
        <f t="shared" si="9"/>
        <v>6145</v>
      </c>
      <c r="H190" s="796"/>
      <c r="I190" s="60">
        <v>13</v>
      </c>
      <c r="J190" s="61">
        <f t="shared" si="8"/>
        <v>99990</v>
      </c>
      <c r="K190" s="796">
        <f t="shared" si="6"/>
        <v>6392</v>
      </c>
      <c r="L190" s="796">
        <f t="shared" si="10"/>
        <v>6392</v>
      </c>
      <c r="M190" s="59"/>
    </row>
    <row r="191" spans="1:14" s="14" customFormat="1" x14ac:dyDescent="0.2">
      <c r="A191" s="2">
        <v>14</v>
      </c>
      <c r="B191" s="2">
        <v>1755</v>
      </c>
      <c r="D191" s="60">
        <v>14</v>
      </c>
      <c r="E191" s="61">
        <f>+E190+G191+H191</f>
        <v>104678</v>
      </c>
      <c r="F191" s="796">
        <f t="shared" si="5"/>
        <v>8486</v>
      </c>
      <c r="G191" s="796">
        <f t="shared" si="9"/>
        <v>6145</v>
      </c>
      <c r="H191" s="787">
        <v>2341</v>
      </c>
      <c r="I191" s="60">
        <v>14</v>
      </c>
      <c r="J191" s="61">
        <f>+J190+L191+M191</f>
        <v>108817</v>
      </c>
      <c r="K191" s="796">
        <f t="shared" si="6"/>
        <v>8827</v>
      </c>
      <c r="L191" s="796">
        <f t="shared" si="10"/>
        <v>6392</v>
      </c>
      <c r="M191" s="787">
        <v>2435</v>
      </c>
    </row>
    <row r="192" spans="1:14" s="14" customFormat="1" x14ac:dyDescent="0.2">
      <c r="A192" s="2">
        <v>15</v>
      </c>
      <c r="B192" s="2">
        <v>1860</v>
      </c>
      <c r="D192" s="60">
        <v>15</v>
      </c>
      <c r="E192" s="61">
        <f t="shared" ref="E192:E227" si="11">+E191+G192</f>
        <v>110823</v>
      </c>
      <c r="F192" s="796">
        <f t="shared" si="5"/>
        <v>6145</v>
      </c>
      <c r="G192" s="796">
        <f t="shared" si="9"/>
        <v>6145</v>
      </c>
      <c r="H192" s="796"/>
      <c r="I192" s="60">
        <v>15</v>
      </c>
      <c r="J192" s="61">
        <f t="shared" ref="J192:J227" si="12">+J191+L192</f>
        <v>115209</v>
      </c>
      <c r="K192" s="796">
        <f t="shared" si="6"/>
        <v>6392</v>
      </c>
      <c r="L192" s="796">
        <f t="shared" si="10"/>
        <v>6392</v>
      </c>
      <c r="M192" s="59"/>
    </row>
    <row r="193" spans="1:13" s="14" customFormat="1" x14ac:dyDescent="0.2">
      <c r="A193" s="2">
        <v>16</v>
      </c>
      <c r="B193" s="2">
        <v>1965</v>
      </c>
      <c r="D193" s="60">
        <v>16</v>
      </c>
      <c r="E193" s="61">
        <f t="shared" si="11"/>
        <v>116968</v>
      </c>
      <c r="F193" s="796">
        <f t="shared" si="5"/>
        <v>6145</v>
      </c>
      <c r="G193" s="796">
        <f t="shared" si="9"/>
        <v>6145</v>
      </c>
      <c r="H193" s="796"/>
      <c r="I193" s="60">
        <v>16</v>
      </c>
      <c r="J193" s="61">
        <f t="shared" si="12"/>
        <v>121601</v>
      </c>
      <c r="K193" s="796">
        <f t="shared" si="6"/>
        <v>6392</v>
      </c>
      <c r="L193" s="796">
        <f t="shared" si="10"/>
        <v>6392</v>
      </c>
      <c r="M193" s="59"/>
    </row>
    <row r="194" spans="1:13" s="14" customFormat="1" x14ac:dyDescent="0.2">
      <c r="A194" s="2">
        <v>17</v>
      </c>
      <c r="B194" s="2">
        <v>2070</v>
      </c>
      <c r="D194" s="60">
        <v>17</v>
      </c>
      <c r="E194" s="61">
        <f t="shared" si="11"/>
        <v>123113</v>
      </c>
      <c r="F194" s="796">
        <f t="shared" si="5"/>
        <v>6145</v>
      </c>
      <c r="G194" s="796">
        <f t="shared" si="9"/>
        <v>6145</v>
      </c>
      <c r="H194" s="796"/>
      <c r="I194" s="60">
        <v>17</v>
      </c>
      <c r="J194" s="61">
        <f t="shared" si="12"/>
        <v>127993</v>
      </c>
      <c r="K194" s="796">
        <f t="shared" si="6"/>
        <v>6392</v>
      </c>
      <c r="L194" s="796">
        <f t="shared" si="10"/>
        <v>6392</v>
      </c>
      <c r="M194" s="59"/>
    </row>
    <row r="195" spans="1:13" s="14" customFormat="1" x14ac:dyDescent="0.2">
      <c r="A195" s="2">
        <v>18</v>
      </c>
      <c r="B195" s="2">
        <v>2175</v>
      </c>
      <c r="D195" s="60">
        <v>18</v>
      </c>
      <c r="E195" s="61">
        <f t="shared" si="11"/>
        <v>129258</v>
      </c>
      <c r="F195" s="796">
        <f t="shared" si="5"/>
        <v>6145</v>
      </c>
      <c r="G195" s="796">
        <f t="shared" si="9"/>
        <v>6145</v>
      </c>
      <c r="H195" s="796"/>
      <c r="I195" s="60">
        <v>18</v>
      </c>
      <c r="J195" s="61">
        <f t="shared" si="12"/>
        <v>134385</v>
      </c>
      <c r="K195" s="796">
        <f t="shared" si="6"/>
        <v>6392</v>
      </c>
      <c r="L195" s="796">
        <f t="shared" si="10"/>
        <v>6392</v>
      </c>
      <c r="M195" s="59"/>
    </row>
    <row r="196" spans="1:13" s="14" customFormat="1" x14ac:dyDescent="0.2">
      <c r="A196" s="2">
        <v>19</v>
      </c>
      <c r="B196" s="2">
        <v>2280</v>
      </c>
      <c r="D196" s="60">
        <v>19</v>
      </c>
      <c r="E196" s="61">
        <f t="shared" si="11"/>
        <v>135403</v>
      </c>
      <c r="F196" s="796">
        <f t="shared" si="5"/>
        <v>6145</v>
      </c>
      <c r="G196" s="796">
        <f t="shared" si="9"/>
        <v>6145</v>
      </c>
      <c r="H196" s="796"/>
      <c r="I196" s="60">
        <v>19</v>
      </c>
      <c r="J196" s="61">
        <f t="shared" si="12"/>
        <v>140777</v>
      </c>
      <c r="K196" s="796">
        <f t="shared" si="6"/>
        <v>6392</v>
      </c>
      <c r="L196" s="796">
        <f t="shared" si="10"/>
        <v>6392</v>
      </c>
      <c r="M196" s="59"/>
    </row>
    <row r="197" spans="1:13" s="14" customFormat="1" x14ac:dyDescent="0.2">
      <c r="A197" s="2">
        <v>20</v>
      </c>
      <c r="B197" s="2">
        <v>2385</v>
      </c>
      <c r="D197" s="60">
        <v>20</v>
      </c>
      <c r="E197" s="61">
        <f t="shared" si="11"/>
        <v>141548</v>
      </c>
      <c r="F197" s="796">
        <f t="shared" si="5"/>
        <v>6145</v>
      </c>
      <c r="G197" s="796">
        <f t="shared" si="9"/>
        <v>6145</v>
      </c>
      <c r="H197" s="796"/>
      <c r="I197" s="60">
        <v>20</v>
      </c>
      <c r="J197" s="61">
        <f t="shared" si="12"/>
        <v>147169</v>
      </c>
      <c r="K197" s="796">
        <f t="shared" si="6"/>
        <v>6392</v>
      </c>
      <c r="L197" s="796">
        <f t="shared" si="10"/>
        <v>6392</v>
      </c>
      <c r="M197" s="59"/>
    </row>
    <row r="198" spans="1:13" s="14" customFormat="1" x14ac:dyDescent="0.2">
      <c r="A198" s="2">
        <v>21</v>
      </c>
      <c r="B198" s="2">
        <v>2490</v>
      </c>
      <c r="D198" s="60">
        <v>21</v>
      </c>
      <c r="E198" s="61">
        <f t="shared" si="11"/>
        <v>147693</v>
      </c>
      <c r="F198" s="796">
        <f t="shared" si="5"/>
        <v>6145</v>
      </c>
      <c r="G198" s="796">
        <f t="shared" si="9"/>
        <v>6145</v>
      </c>
      <c r="H198" s="796"/>
      <c r="I198" s="60">
        <v>21</v>
      </c>
      <c r="J198" s="61">
        <f t="shared" si="12"/>
        <v>153561</v>
      </c>
      <c r="K198" s="796">
        <f t="shared" si="6"/>
        <v>6392</v>
      </c>
      <c r="L198" s="796">
        <f t="shared" si="10"/>
        <v>6392</v>
      </c>
      <c r="M198" s="59"/>
    </row>
    <row r="199" spans="1:13" s="14" customFormat="1" x14ac:dyDescent="0.2">
      <c r="A199" s="2">
        <v>22</v>
      </c>
      <c r="B199" s="2">
        <v>2595</v>
      </c>
      <c r="D199" s="60">
        <v>22</v>
      </c>
      <c r="E199" s="61">
        <f t="shared" si="11"/>
        <v>153838</v>
      </c>
      <c r="F199" s="796">
        <f t="shared" si="5"/>
        <v>6145</v>
      </c>
      <c r="G199" s="796">
        <f t="shared" si="9"/>
        <v>6145</v>
      </c>
      <c r="H199" s="796"/>
      <c r="I199" s="60">
        <v>22</v>
      </c>
      <c r="J199" s="61">
        <f t="shared" si="12"/>
        <v>159953</v>
      </c>
      <c r="K199" s="796">
        <f t="shared" si="6"/>
        <v>6392</v>
      </c>
      <c r="L199" s="796">
        <f t="shared" si="10"/>
        <v>6392</v>
      </c>
      <c r="M199" s="59"/>
    </row>
    <row r="200" spans="1:13" s="14" customFormat="1" x14ac:dyDescent="0.2">
      <c r="A200" s="2">
        <v>23</v>
      </c>
      <c r="B200" s="2">
        <v>2700</v>
      </c>
      <c r="D200" s="60">
        <v>23</v>
      </c>
      <c r="E200" s="61">
        <f t="shared" si="11"/>
        <v>159983</v>
      </c>
      <c r="F200" s="796">
        <f t="shared" si="5"/>
        <v>6145</v>
      </c>
      <c r="G200" s="796">
        <f t="shared" si="9"/>
        <v>6145</v>
      </c>
      <c r="H200" s="796"/>
      <c r="I200" s="60">
        <v>23</v>
      </c>
      <c r="J200" s="61">
        <f t="shared" si="12"/>
        <v>166345</v>
      </c>
      <c r="K200" s="796">
        <f t="shared" si="6"/>
        <v>6392</v>
      </c>
      <c r="L200" s="796">
        <f t="shared" si="10"/>
        <v>6392</v>
      </c>
      <c r="M200" s="59"/>
    </row>
    <row r="201" spans="1:13" s="14" customFormat="1" x14ac:dyDescent="0.2">
      <c r="A201" s="2">
        <v>24</v>
      </c>
      <c r="B201" s="2">
        <v>2805</v>
      </c>
      <c r="D201" s="60">
        <v>24</v>
      </c>
      <c r="E201" s="61">
        <f t="shared" si="11"/>
        <v>166128</v>
      </c>
      <c r="F201" s="796">
        <f t="shared" si="5"/>
        <v>6145</v>
      </c>
      <c r="G201" s="796">
        <f t="shared" si="9"/>
        <v>6145</v>
      </c>
      <c r="H201" s="796"/>
      <c r="I201" s="60">
        <v>24</v>
      </c>
      <c r="J201" s="61">
        <f t="shared" si="12"/>
        <v>172737</v>
      </c>
      <c r="K201" s="796">
        <f t="shared" si="6"/>
        <v>6392</v>
      </c>
      <c r="L201" s="796">
        <f t="shared" si="10"/>
        <v>6392</v>
      </c>
      <c r="M201" s="59"/>
    </row>
    <row r="202" spans="1:13" s="14" customFormat="1" x14ac:dyDescent="0.2">
      <c r="A202" s="2">
        <v>25</v>
      </c>
      <c r="B202" s="2">
        <v>2910</v>
      </c>
      <c r="D202" s="60">
        <v>25</v>
      </c>
      <c r="E202" s="61">
        <f t="shared" si="11"/>
        <v>172273</v>
      </c>
      <c r="F202" s="796">
        <f t="shared" si="5"/>
        <v>6145</v>
      </c>
      <c r="G202" s="796">
        <f t="shared" si="9"/>
        <v>6145</v>
      </c>
      <c r="H202" s="796"/>
      <c r="I202" s="60">
        <v>25</v>
      </c>
      <c r="J202" s="61">
        <f t="shared" si="12"/>
        <v>179129</v>
      </c>
      <c r="K202" s="796">
        <f t="shared" si="6"/>
        <v>6392</v>
      </c>
      <c r="L202" s="796">
        <f t="shared" si="10"/>
        <v>6392</v>
      </c>
      <c r="M202" s="59"/>
    </row>
    <row r="203" spans="1:13" s="14" customFormat="1" x14ac:dyDescent="0.2">
      <c r="A203" s="2">
        <v>26</v>
      </c>
      <c r="B203" s="2">
        <v>3015</v>
      </c>
      <c r="D203" s="60">
        <v>26</v>
      </c>
      <c r="E203" s="61">
        <f t="shared" si="11"/>
        <v>178418</v>
      </c>
      <c r="F203" s="796">
        <f t="shared" si="5"/>
        <v>6145</v>
      </c>
      <c r="G203" s="796">
        <f t="shared" si="9"/>
        <v>6145</v>
      </c>
      <c r="H203" s="796"/>
      <c r="I203" s="60">
        <v>26</v>
      </c>
      <c r="J203" s="61">
        <f t="shared" si="12"/>
        <v>185521</v>
      </c>
      <c r="K203" s="796">
        <f t="shared" si="6"/>
        <v>6392</v>
      </c>
      <c r="L203" s="796">
        <f t="shared" si="10"/>
        <v>6392</v>
      </c>
      <c r="M203" s="59"/>
    </row>
    <row r="204" spans="1:13" s="14" customFormat="1" x14ac:dyDescent="0.2">
      <c r="A204" s="2">
        <v>27</v>
      </c>
      <c r="B204" s="2">
        <v>3120</v>
      </c>
      <c r="D204" s="60">
        <v>27</v>
      </c>
      <c r="E204" s="61">
        <f t="shared" si="11"/>
        <v>184563</v>
      </c>
      <c r="F204" s="796">
        <f t="shared" si="5"/>
        <v>6145</v>
      </c>
      <c r="G204" s="796">
        <f t="shared" si="9"/>
        <v>6145</v>
      </c>
      <c r="H204" s="796"/>
      <c r="I204" s="60">
        <v>27</v>
      </c>
      <c r="J204" s="61">
        <f t="shared" si="12"/>
        <v>191913</v>
      </c>
      <c r="K204" s="796">
        <f t="shared" si="6"/>
        <v>6392</v>
      </c>
      <c r="L204" s="796">
        <f t="shared" si="10"/>
        <v>6392</v>
      </c>
      <c r="M204" s="59"/>
    </row>
    <row r="205" spans="1:13" s="14" customFormat="1" x14ac:dyDescent="0.2">
      <c r="A205" s="2">
        <v>28</v>
      </c>
      <c r="B205" s="2">
        <v>3225</v>
      </c>
      <c r="D205" s="60">
        <v>28</v>
      </c>
      <c r="E205" s="61">
        <f t="shared" si="11"/>
        <v>190708</v>
      </c>
      <c r="F205" s="796">
        <f t="shared" si="5"/>
        <v>6145</v>
      </c>
      <c r="G205" s="796">
        <f t="shared" si="9"/>
        <v>6145</v>
      </c>
      <c r="H205" s="796"/>
      <c r="I205" s="60">
        <v>28</v>
      </c>
      <c r="J205" s="61">
        <f t="shared" si="12"/>
        <v>198305</v>
      </c>
      <c r="K205" s="796">
        <f t="shared" si="6"/>
        <v>6392</v>
      </c>
      <c r="L205" s="796">
        <f t="shared" si="10"/>
        <v>6392</v>
      </c>
      <c r="M205" s="59"/>
    </row>
    <row r="206" spans="1:13" s="14" customFormat="1" x14ac:dyDescent="0.2">
      <c r="A206" s="2">
        <v>29</v>
      </c>
      <c r="B206" s="2">
        <v>3330</v>
      </c>
      <c r="D206" s="60">
        <v>29</v>
      </c>
      <c r="E206" s="61">
        <f t="shared" si="11"/>
        <v>196853</v>
      </c>
      <c r="F206" s="796">
        <f t="shared" si="5"/>
        <v>6145</v>
      </c>
      <c r="G206" s="796">
        <f t="shared" si="9"/>
        <v>6145</v>
      </c>
      <c r="H206" s="796"/>
      <c r="I206" s="60">
        <v>29</v>
      </c>
      <c r="J206" s="61">
        <f t="shared" si="12"/>
        <v>204697</v>
      </c>
      <c r="K206" s="796">
        <f t="shared" si="6"/>
        <v>6392</v>
      </c>
      <c r="L206" s="796">
        <f t="shared" si="10"/>
        <v>6392</v>
      </c>
      <c r="M206" s="59"/>
    </row>
    <row r="207" spans="1:13" s="14" customFormat="1" x14ac:dyDescent="0.2">
      <c r="A207" s="2">
        <v>30</v>
      </c>
      <c r="B207" s="2">
        <v>3435</v>
      </c>
      <c r="D207" s="60">
        <v>30</v>
      </c>
      <c r="E207" s="61">
        <f t="shared" si="11"/>
        <v>202998</v>
      </c>
      <c r="F207" s="796">
        <f t="shared" si="5"/>
        <v>6145</v>
      </c>
      <c r="G207" s="796">
        <f t="shared" si="9"/>
        <v>6145</v>
      </c>
      <c r="H207" s="796"/>
      <c r="I207" s="60">
        <v>30</v>
      </c>
      <c r="J207" s="61">
        <f t="shared" si="12"/>
        <v>211089</v>
      </c>
      <c r="K207" s="796">
        <f t="shared" si="6"/>
        <v>6392</v>
      </c>
      <c r="L207" s="796">
        <f t="shared" si="10"/>
        <v>6392</v>
      </c>
      <c r="M207" s="59"/>
    </row>
    <row r="208" spans="1:13" s="14" customFormat="1" x14ac:dyDescent="0.2">
      <c r="A208" s="2">
        <v>31</v>
      </c>
      <c r="B208" s="2">
        <v>3540</v>
      </c>
      <c r="D208" s="60">
        <v>31</v>
      </c>
      <c r="E208" s="61">
        <f t="shared" si="11"/>
        <v>209143</v>
      </c>
      <c r="F208" s="796">
        <f t="shared" si="5"/>
        <v>6145</v>
      </c>
      <c r="G208" s="796">
        <f t="shared" si="9"/>
        <v>6145</v>
      </c>
      <c r="H208" s="796"/>
      <c r="I208" s="60">
        <v>31</v>
      </c>
      <c r="J208" s="61">
        <f t="shared" si="12"/>
        <v>217481</v>
      </c>
      <c r="K208" s="796">
        <f t="shared" si="6"/>
        <v>6392</v>
      </c>
      <c r="L208" s="796">
        <f t="shared" si="10"/>
        <v>6392</v>
      </c>
      <c r="M208" s="59"/>
    </row>
    <row r="209" spans="1:13" s="14" customFormat="1" x14ac:dyDescent="0.2">
      <c r="A209" s="2">
        <v>32</v>
      </c>
      <c r="B209" s="2">
        <v>3645</v>
      </c>
      <c r="D209" s="60">
        <v>32</v>
      </c>
      <c r="E209" s="61">
        <f t="shared" si="11"/>
        <v>215288</v>
      </c>
      <c r="F209" s="796">
        <f t="shared" si="5"/>
        <v>6145</v>
      </c>
      <c r="G209" s="796">
        <f t="shared" si="9"/>
        <v>6145</v>
      </c>
      <c r="H209" s="796"/>
      <c r="I209" s="60">
        <v>32</v>
      </c>
      <c r="J209" s="61">
        <f t="shared" si="12"/>
        <v>223873</v>
      </c>
      <c r="K209" s="796">
        <f t="shared" si="6"/>
        <v>6392</v>
      </c>
      <c r="L209" s="796">
        <f t="shared" si="10"/>
        <v>6392</v>
      </c>
      <c r="M209" s="59"/>
    </row>
    <row r="210" spans="1:13" s="14" customFormat="1" x14ac:dyDescent="0.2">
      <c r="A210" s="2">
        <v>33</v>
      </c>
      <c r="B210" s="2">
        <v>3750</v>
      </c>
      <c r="D210" s="60">
        <v>33</v>
      </c>
      <c r="E210" s="61">
        <f t="shared" si="11"/>
        <v>221433</v>
      </c>
      <c r="F210" s="796">
        <f t="shared" si="5"/>
        <v>6145</v>
      </c>
      <c r="G210" s="796">
        <f t="shared" si="9"/>
        <v>6145</v>
      </c>
      <c r="H210" s="796"/>
      <c r="I210" s="60">
        <v>33</v>
      </c>
      <c r="J210" s="61">
        <f t="shared" si="12"/>
        <v>230265</v>
      </c>
      <c r="K210" s="796">
        <f t="shared" si="6"/>
        <v>6392</v>
      </c>
      <c r="L210" s="796">
        <f t="shared" si="10"/>
        <v>6392</v>
      </c>
      <c r="M210" s="59"/>
    </row>
    <row r="211" spans="1:13" s="14" customFormat="1" x14ac:dyDescent="0.2">
      <c r="A211" s="2">
        <v>34</v>
      </c>
      <c r="B211" s="2">
        <v>3855</v>
      </c>
      <c r="D211" s="60">
        <v>34</v>
      </c>
      <c r="E211" s="61">
        <f t="shared" si="11"/>
        <v>227578</v>
      </c>
      <c r="F211" s="796">
        <f t="shared" si="5"/>
        <v>6145</v>
      </c>
      <c r="G211" s="796">
        <f t="shared" si="9"/>
        <v>6145</v>
      </c>
      <c r="H211" s="796"/>
      <c r="I211" s="60">
        <v>34</v>
      </c>
      <c r="J211" s="61">
        <f t="shared" si="12"/>
        <v>236657</v>
      </c>
      <c r="K211" s="796">
        <f t="shared" si="6"/>
        <v>6392</v>
      </c>
      <c r="L211" s="796">
        <f t="shared" si="10"/>
        <v>6392</v>
      </c>
      <c r="M211" s="59"/>
    </row>
    <row r="212" spans="1:13" s="14" customFormat="1" x14ac:dyDescent="0.2">
      <c r="A212" s="2">
        <v>35</v>
      </c>
      <c r="B212" s="2">
        <f t="shared" ref="B212:B227" si="13">+B211+105</f>
        <v>3960</v>
      </c>
      <c r="D212" s="60">
        <v>35</v>
      </c>
      <c r="E212" s="61">
        <f t="shared" si="11"/>
        <v>233723</v>
      </c>
      <c r="F212" s="796">
        <f t="shared" si="5"/>
        <v>6145</v>
      </c>
      <c r="G212" s="796">
        <f t="shared" si="9"/>
        <v>6145</v>
      </c>
      <c r="H212" s="796"/>
      <c r="I212" s="60">
        <v>35</v>
      </c>
      <c r="J212" s="61">
        <f t="shared" si="12"/>
        <v>243049</v>
      </c>
      <c r="K212" s="796">
        <f t="shared" si="6"/>
        <v>6392</v>
      </c>
      <c r="L212" s="796">
        <f t="shared" si="10"/>
        <v>6392</v>
      </c>
      <c r="M212" s="59"/>
    </row>
    <row r="213" spans="1:13" s="14" customFormat="1" x14ac:dyDescent="0.2">
      <c r="A213" s="2">
        <v>36</v>
      </c>
      <c r="B213" s="2">
        <f t="shared" si="13"/>
        <v>4065</v>
      </c>
      <c r="D213" s="60">
        <v>36</v>
      </c>
      <c r="E213" s="61">
        <f t="shared" si="11"/>
        <v>239868</v>
      </c>
      <c r="F213" s="796">
        <f t="shared" si="5"/>
        <v>6145</v>
      </c>
      <c r="G213" s="796">
        <f t="shared" si="9"/>
        <v>6145</v>
      </c>
      <c r="H213" s="796"/>
      <c r="I213" s="60">
        <v>36</v>
      </c>
      <c r="J213" s="61">
        <f t="shared" si="12"/>
        <v>249441</v>
      </c>
      <c r="K213" s="796">
        <f t="shared" si="6"/>
        <v>6392</v>
      </c>
      <c r="L213" s="796">
        <f t="shared" si="10"/>
        <v>6392</v>
      </c>
      <c r="M213" s="59"/>
    </row>
    <row r="214" spans="1:13" s="14" customFormat="1" x14ac:dyDescent="0.2">
      <c r="A214" s="2">
        <v>37</v>
      </c>
      <c r="B214" s="2">
        <f t="shared" si="13"/>
        <v>4170</v>
      </c>
      <c r="D214" s="60">
        <v>37</v>
      </c>
      <c r="E214" s="61">
        <f t="shared" si="11"/>
        <v>246013</v>
      </c>
      <c r="F214" s="796">
        <f t="shared" si="5"/>
        <v>6145</v>
      </c>
      <c r="G214" s="796">
        <f t="shared" si="9"/>
        <v>6145</v>
      </c>
      <c r="H214" s="796"/>
      <c r="I214" s="60">
        <v>37</v>
      </c>
      <c r="J214" s="61">
        <f t="shared" si="12"/>
        <v>255833</v>
      </c>
      <c r="K214" s="796">
        <f t="shared" si="6"/>
        <v>6392</v>
      </c>
      <c r="L214" s="796">
        <f t="shared" si="10"/>
        <v>6392</v>
      </c>
      <c r="M214" s="59"/>
    </row>
    <row r="215" spans="1:13" s="14" customFormat="1" x14ac:dyDescent="0.2">
      <c r="A215" s="2">
        <v>38</v>
      </c>
      <c r="B215" s="2">
        <f t="shared" si="13"/>
        <v>4275</v>
      </c>
      <c r="D215" s="60">
        <v>38</v>
      </c>
      <c r="E215" s="61">
        <f t="shared" si="11"/>
        <v>252158</v>
      </c>
      <c r="F215" s="796">
        <f t="shared" si="5"/>
        <v>6145</v>
      </c>
      <c r="G215" s="796">
        <f t="shared" si="9"/>
        <v>6145</v>
      </c>
      <c r="H215" s="796"/>
      <c r="I215" s="60">
        <v>38</v>
      </c>
      <c r="J215" s="61">
        <f t="shared" si="12"/>
        <v>262225</v>
      </c>
      <c r="K215" s="796">
        <f t="shared" si="6"/>
        <v>6392</v>
      </c>
      <c r="L215" s="796">
        <f t="shared" si="10"/>
        <v>6392</v>
      </c>
      <c r="M215" s="59"/>
    </row>
    <row r="216" spans="1:13" s="14" customFormat="1" x14ac:dyDescent="0.2">
      <c r="A216" s="2">
        <v>39</v>
      </c>
      <c r="B216" s="2">
        <f t="shared" si="13"/>
        <v>4380</v>
      </c>
      <c r="D216" s="60">
        <v>39</v>
      </c>
      <c r="E216" s="61">
        <f t="shared" si="11"/>
        <v>258303</v>
      </c>
      <c r="F216" s="796">
        <f t="shared" si="5"/>
        <v>6145</v>
      </c>
      <c r="G216" s="796">
        <f t="shared" si="9"/>
        <v>6145</v>
      </c>
      <c r="H216" s="796"/>
      <c r="I216" s="60">
        <v>39</v>
      </c>
      <c r="J216" s="61">
        <f t="shared" si="12"/>
        <v>268617</v>
      </c>
      <c r="K216" s="796">
        <f t="shared" si="6"/>
        <v>6392</v>
      </c>
      <c r="L216" s="796">
        <f t="shared" si="10"/>
        <v>6392</v>
      </c>
      <c r="M216" s="59"/>
    </row>
    <row r="217" spans="1:13" s="14" customFormat="1" x14ac:dyDescent="0.2">
      <c r="A217" s="2">
        <v>40</v>
      </c>
      <c r="B217" s="2">
        <f t="shared" si="13"/>
        <v>4485</v>
      </c>
      <c r="D217" s="60">
        <v>40</v>
      </c>
      <c r="E217" s="61">
        <f t="shared" si="11"/>
        <v>264448</v>
      </c>
      <c r="F217" s="796">
        <f t="shared" si="5"/>
        <v>6145</v>
      </c>
      <c r="G217" s="796">
        <f t="shared" si="9"/>
        <v>6145</v>
      </c>
      <c r="H217" s="796"/>
      <c r="I217" s="60">
        <v>40</v>
      </c>
      <c r="J217" s="61">
        <f t="shared" si="12"/>
        <v>275009</v>
      </c>
      <c r="K217" s="796">
        <f t="shared" si="6"/>
        <v>6392</v>
      </c>
      <c r="L217" s="796">
        <f t="shared" si="10"/>
        <v>6392</v>
      </c>
      <c r="M217" s="59"/>
    </row>
    <row r="218" spans="1:13" s="14" customFormat="1" x14ac:dyDescent="0.2">
      <c r="A218" s="2">
        <v>41</v>
      </c>
      <c r="B218" s="2">
        <f t="shared" si="13"/>
        <v>4590</v>
      </c>
      <c r="D218" s="60">
        <v>41</v>
      </c>
      <c r="E218" s="61">
        <f t="shared" si="11"/>
        <v>270593</v>
      </c>
      <c r="F218" s="796">
        <f t="shared" si="5"/>
        <v>6145</v>
      </c>
      <c r="G218" s="796">
        <f t="shared" si="9"/>
        <v>6145</v>
      </c>
      <c r="H218" s="796"/>
      <c r="I218" s="60">
        <v>41</v>
      </c>
      <c r="J218" s="61">
        <f t="shared" si="12"/>
        <v>281401</v>
      </c>
      <c r="K218" s="796">
        <f t="shared" si="6"/>
        <v>6392</v>
      </c>
      <c r="L218" s="796">
        <f t="shared" si="10"/>
        <v>6392</v>
      </c>
      <c r="M218" s="59"/>
    </row>
    <row r="219" spans="1:13" s="14" customFormat="1" x14ac:dyDescent="0.2">
      <c r="A219" s="2">
        <v>42</v>
      </c>
      <c r="B219" s="2">
        <f t="shared" si="13"/>
        <v>4695</v>
      </c>
      <c r="D219" s="60">
        <v>42</v>
      </c>
      <c r="E219" s="61">
        <f t="shared" si="11"/>
        <v>276738</v>
      </c>
      <c r="F219" s="796">
        <f t="shared" si="5"/>
        <v>6145</v>
      </c>
      <c r="G219" s="796">
        <f t="shared" si="9"/>
        <v>6145</v>
      </c>
      <c r="H219" s="796"/>
      <c r="I219" s="60">
        <v>42</v>
      </c>
      <c r="J219" s="61">
        <f t="shared" si="12"/>
        <v>287793</v>
      </c>
      <c r="K219" s="796">
        <f t="shared" si="6"/>
        <v>6392</v>
      </c>
      <c r="L219" s="796">
        <f t="shared" si="10"/>
        <v>6392</v>
      </c>
      <c r="M219" s="59"/>
    </row>
    <row r="220" spans="1:13" s="14" customFormat="1" x14ac:dyDescent="0.2">
      <c r="A220" s="2">
        <v>43</v>
      </c>
      <c r="B220" s="2">
        <f t="shared" si="13"/>
        <v>4800</v>
      </c>
      <c r="D220" s="60">
        <v>43</v>
      </c>
      <c r="E220" s="61">
        <f t="shared" si="11"/>
        <v>282883</v>
      </c>
      <c r="F220" s="796">
        <f t="shared" si="5"/>
        <v>6145</v>
      </c>
      <c r="G220" s="796">
        <f t="shared" si="9"/>
        <v>6145</v>
      </c>
      <c r="H220" s="796"/>
      <c r="I220" s="60">
        <v>43</v>
      </c>
      <c r="J220" s="61">
        <f t="shared" si="12"/>
        <v>294185</v>
      </c>
      <c r="K220" s="796">
        <f t="shared" si="6"/>
        <v>6392</v>
      </c>
      <c r="L220" s="796">
        <f t="shared" si="10"/>
        <v>6392</v>
      </c>
      <c r="M220" s="59"/>
    </row>
    <row r="221" spans="1:13" s="14" customFormat="1" x14ac:dyDescent="0.2">
      <c r="A221" s="2">
        <v>44</v>
      </c>
      <c r="B221" s="2">
        <f t="shared" si="13"/>
        <v>4905</v>
      </c>
      <c r="D221" s="60">
        <v>44</v>
      </c>
      <c r="E221" s="61">
        <f t="shared" si="11"/>
        <v>289028</v>
      </c>
      <c r="F221" s="796">
        <f t="shared" si="5"/>
        <v>6145</v>
      </c>
      <c r="G221" s="796">
        <f t="shared" si="9"/>
        <v>6145</v>
      </c>
      <c r="H221" s="796"/>
      <c r="I221" s="60">
        <v>44</v>
      </c>
      <c r="J221" s="61">
        <f t="shared" si="12"/>
        <v>300577</v>
      </c>
      <c r="K221" s="796">
        <f t="shared" si="6"/>
        <v>6392</v>
      </c>
      <c r="L221" s="796">
        <f t="shared" si="10"/>
        <v>6392</v>
      </c>
      <c r="M221" s="59"/>
    </row>
    <row r="222" spans="1:13" s="14" customFormat="1" x14ac:dyDescent="0.2">
      <c r="A222" s="2">
        <v>45</v>
      </c>
      <c r="B222" s="2">
        <f t="shared" si="13"/>
        <v>5010</v>
      </c>
      <c r="D222" s="60">
        <v>45</v>
      </c>
      <c r="E222" s="61">
        <f t="shared" si="11"/>
        <v>295173</v>
      </c>
      <c r="F222" s="796">
        <f t="shared" si="5"/>
        <v>6145</v>
      </c>
      <c r="G222" s="796">
        <f t="shared" si="9"/>
        <v>6145</v>
      </c>
      <c r="H222" s="796"/>
      <c r="I222" s="60">
        <v>45</v>
      </c>
      <c r="J222" s="61">
        <f t="shared" si="12"/>
        <v>306969</v>
      </c>
      <c r="K222" s="796">
        <f t="shared" si="6"/>
        <v>6392</v>
      </c>
      <c r="L222" s="796">
        <f t="shared" si="10"/>
        <v>6392</v>
      </c>
      <c r="M222" s="59"/>
    </row>
    <row r="223" spans="1:13" s="14" customFormat="1" x14ac:dyDescent="0.2">
      <c r="A223" s="2">
        <v>46</v>
      </c>
      <c r="B223" s="2">
        <f t="shared" si="13"/>
        <v>5115</v>
      </c>
      <c r="D223" s="60">
        <v>46</v>
      </c>
      <c r="E223" s="61">
        <f t="shared" si="11"/>
        <v>301318</v>
      </c>
      <c r="F223" s="796">
        <f t="shared" si="5"/>
        <v>6145</v>
      </c>
      <c r="G223" s="796">
        <f t="shared" si="9"/>
        <v>6145</v>
      </c>
      <c r="H223" s="796"/>
      <c r="I223" s="60">
        <v>46</v>
      </c>
      <c r="J223" s="61">
        <f t="shared" si="12"/>
        <v>313361</v>
      </c>
      <c r="K223" s="796">
        <f t="shared" si="6"/>
        <v>6392</v>
      </c>
      <c r="L223" s="796">
        <f t="shared" si="10"/>
        <v>6392</v>
      </c>
      <c r="M223" s="59"/>
    </row>
    <row r="224" spans="1:13" s="14" customFormat="1" x14ac:dyDescent="0.2">
      <c r="A224" s="2">
        <v>47</v>
      </c>
      <c r="B224" s="2">
        <f t="shared" si="13"/>
        <v>5220</v>
      </c>
      <c r="D224" s="60">
        <v>47</v>
      </c>
      <c r="E224" s="61">
        <f t="shared" si="11"/>
        <v>307463</v>
      </c>
      <c r="F224" s="796">
        <f t="shared" si="5"/>
        <v>6145</v>
      </c>
      <c r="G224" s="796">
        <f t="shared" si="9"/>
        <v>6145</v>
      </c>
      <c r="H224" s="796"/>
      <c r="I224" s="60">
        <v>47</v>
      </c>
      <c r="J224" s="61">
        <f t="shared" si="12"/>
        <v>319753</v>
      </c>
      <c r="K224" s="796">
        <f t="shared" si="6"/>
        <v>6392</v>
      </c>
      <c r="L224" s="796">
        <f t="shared" si="10"/>
        <v>6392</v>
      </c>
      <c r="M224" s="59"/>
    </row>
    <row r="225" spans="1:13" s="14" customFormat="1" x14ac:dyDescent="0.2">
      <c r="A225" s="2">
        <v>48</v>
      </c>
      <c r="B225" s="2">
        <f t="shared" si="13"/>
        <v>5325</v>
      </c>
      <c r="D225" s="60">
        <v>48</v>
      </c>
      <c r="E225" s="61">
        <f t="shared" si="11"/>
        <v>313608</v>
      </c>
      <c r="F225" s="796">
        <f t="shared" si="5"/>
        <v>6145</v>
      </c>
      <c r="G225" s="796">
        <f t="shared" si="9"/>
        <v>6145</v>
      </c>
      <c r="H225" s="796"/>
      <c r="I225" s="60">
        <v>48</v>
      </c>
      <c r="J225" s="61">
        <f t="shared" si="12"/>
        <v>326145</v>
      </c>
      <c r="K225" s="796">
        <f t="shared" si="6"/>
        <v>6392</v>
      </c>
      <c r="L225" s="796">
        <f t="shared" si="10"/>
        <v>6392</v>
      </c>
      <c r="M225" s="59"/>
    </row>
    <row r="226" spans="1:13" s="14" customFormat="1" x14ac:dyDescent="0.2">
      <c r="A226" s="2">
        <v>49</v>
      </c>
      <c r="B226" s="2">
        <f t="shared" si="13"/>
        <v>5430</v>
      </c>
      <c r="D226" s="60">
        <v>49</v>
      </c>
      <c r="E226" s="61">
        <f t="shared" si="11"/>
        <v>319753</v>
      </c>
      <c r="F226" s="796">
        <f t="shared" si="5"/>
        <v>6145</v>
      </c>
      <c r="G226" s="796">
        <f t="shared" si="9"/>
        <v>6145</v>
      </c>
      <c r="H226" s="796"/>
      <c r="I226" s="60">
        <v>49</v>
      </c>
      <c r="J226" s="61">
        <f t="shared" si="12"/>
        <v>332537</v>
      </c>
      <c r="K226" s="796">
        <f t="shared" si="6"/>
        <v>6392</v>
      </c>
      <c r="L226" s="796">
        <f t="shared" si="10"/>
        <v>6392</v>
      </c>
      <c r="M226" s="59"/>
    </row>
    <row r="227" spans="1:13" s="14" customFormat="1" x14ac:dyDescent="0.2">
      <c r="A227" s="2">
        <v>50</v>
      </c>
      <c r="B227" s="2">
        <f t="shared" si="13"/>
        <v>5535</v>
      </c>
      <c r="D227" s="60">
        <v>50</v>
      </c>
      <c r="E227" s="61">
        <f t="shared" si="11"/>
        <v>325898</v>
      </c>
      <c r="F227" s="796">
        <f t="shared" si="5"/>
        <v>6145</v>
      </c>
      <c r="G227" s="796">
        <f t="shared" si="9"/>
        <v>6145</v>
      </c>
      <c r="H227" s="796"/>
      <c r="I227" s="60">
        <v>50</v>
      </c>
      <c r="J227" s="61">
        <f t="shared" si="12"/>
        <v>338929</v>
      </c>
      <c r="K227" s="796">
        <f t="shared" si="6"/>
        <v>6392</v>
      </c>
      <c r="L227" s="796">
        <f t="shared" si="10"/>
        <v>6392</v>
      </c>
      <c r="M227" s="59"/>
    </row>
    <row r="228" spans="1:13" s="8" customFormat="1" x14ac:dyDescent="0.2">
      <c r="B228" s="9"/>
    </row>
    <row r="229" spans="1:13" s="1" customFormat="1" x14ac:dyDescent="0.2">
      <c r="A229" s="48" t="s">
        <v>121</v>
      </c>
      <c r="B229" s="49"/>
      <c r="C229" s="13" t="s">
        <v>252</v>
      </c>
    </row>
    <row r="230" spans="1:13" s="1" customFormat="1" x14ac:dyDescent="0.2">
      <c r="B230" s="49"/>
      <c r="C230" s="2">
        <v>999</v>
      </c>
    </row>
    <row r="231" spans="1:13" s="1" customFormat="1" x14ac:dyDescent="0.2">
      <c r="B231" s="49"/>
      <c r="C231" s="50">
        <v>1011</v>
      </c>
    </row>
    <row r="232" spans="1:13" s="1" customFormat="1" x14ac:dyDescent="0.2">
      <c r="B232" s="49"/>
      <c r="C232" s="50">
        <v>1012</v>
      </c>
    </row>
    <row r="233" spans="1:13" s="1" customFormat="1" x14ac:dyDescent="0.2">
      <c r="B233" s="49"/>
      <c r="C233" s="50">
        <v>1013</v>
      </c>
    </row>
    <row r="234" spans="1:13" s="1" customFormat="1" x14ac:dyDescent="0.2">
      <c r="B234" s="49"/>
      <c r="C234" s="50">
        <v>1014</v>
      </c>
    </row>
    <row r="235" spans="1:13" s="1" customFormat="1" x14ac:dyDescent="0.2">
      <c r="B235" s="49"/>
      <c r="C235" s="50">
        <v>1015</v>
      </c>
    </row>
    <row r="236" spans="1:13" s="1" customFormat="1" x14ac:dyDescent="0.2">
      <c r="B236" s="49"/>
      <c r="C236" s="50">
        <v>1016</v>
      </c>
    </row>
    <row r="237" spans="1:13" s="1" customFormat="1" x14ac:dyDescent="0.2">
      <c r="B237" s="49"/>
      <c r="C237" s="50">
        <v>1017</v>
      </c>
    </row>
    <row r="238" spans="1:13" s="1" customFormat="1" x14ac:dyDescent="0.2">
      <c r="B238" s="49"/>
      <c r="C238" s="50">
        <v>1018</v>
      </c>
    </row>
    <row r="239" spans="1:13" s="1" customFormat="1" x14ac:dyDescent="0.2">
      <c r="B239" s="49"/>
      <c r="C239" s="50">
        <v>1021</v>
      </c>
    </row>
    <row r="240" spans="1:13" s="1" customFormat="1" x14ac:dyDescent="0.2">
      <c r="B240" s="49"/>
      <c r="C240" s="50">
        <v>1022</v>
      </c>
    </row>
    <row r="241" spans="2:3" s="1" customFormat="1" x14ac:dyDescent="0.2">
      <c r="B241" s="49"/>
      <c r="C241" s="50">
        <v>1023</v>
      </c>
    </row>
    <row r="242" spans="2:3" s="1" customFormat="1" x14ac:dyDescent="0.2">
      <c r="B242" s="49"/>
      <c r="C242" s="50">
        <v>1024</v>
      </c>
    </row>
    <row r="243" spans="2:3" s="1" customFormat="1" x14ac:dyDescent="0.2">
      <c r="B243" s="49"/>
      <c r="C243" s="50">
        <v>1025</v>
      </c>
    </row>
    <row r="244" spans="2:3" s="1" customFormat="1" x14ac:dyDescent="0.2">
      <c r="B244" s="49"/>
      <c r="C244" s="50">
        <v>1031</v>
      </c>
    </row>
    <row r="245" spans="2:3" s="1" customFormat="1" x14ac:dyDescent="0.2">
      <c r="B245" s="49"/>
      <c r="C245" s="50">
        <v>1032</v>
      </c>
    </row>
    <row r="246" spans="2:3" s="1" customFormat="1" x14ac:dyDescent="0.2">
      <c r="B246" s="49"/>
      <c r="C246" s="50">
        <v>1033</v>
      </c>
    </row>
    <row r="247" spans="2:3" s="1" customFormat="1" x14ac:dyDescent="0.2">
      <c r="B247" s="49"/>
      <c r="C247" s="50">
        <v>1034</v>
      </c>
    </row>
    <row r="248" spans="2:3" s="1" customFormat="1" x14ac:dyDescent="0.2">
      <c r="B248" s="49"/>
      <c r="C248" s="50">
        <v>1051</v>
      </c>
    </row>
    <row r="249" spans="2:3" s="1" customFormat="1" x14ac:dyDescent="0.2">
      <c r="B249" s="49"/>
      <c r="C249" s="50">
        <v>1052</v>
      </c>
    </row>
    <row r="250" spans="2:3" s="1" customFormat="1" x14ac:dyDescent="0.2">
      <c r="B250" s="49"/>
      <c r="C250" s="50">
        <v>1053</v>
      </c>
    </row>
    <row r="251" spans="2:3" s="1" customFormat="1" x14ac:dyDescent="0.2">
      <c r="B251" s="49"/>
      <c r="C251" s="50">
        <v>1054</v>
      </c>
    </row>
    <row r="252" spans="2:3" s="1" customFormat="1" x14ac:dyDescent="0.2">
      <c r="B252" s="49"/>
      <c r="C252" s="50">
        <v>1055</v>
      </c>
    </row>
    <row r="253" spans="2:3" s="1" customFormat="1" x14ac:dyDescent="0.2">
      <c r="B253" s="49"/>
      <c r="C253" s="50">
        <v>1056</v>
      </c>
    </row>
    <row r="254" spans="2:3" s="1" customFormat="1" x14ac:dyDescent="0.2">
      <c r="B254" s="49"/>
      <c r="C254" s="50">
        <v>1057</v>
      </c>
    </row>
    <row r="255" spans="2:3" s="1" customFormat="1" x14ac:dyDescent="0.2">
      <c r="B255" s="49"/>
      <c r="C255" s="50">
        <v>1058</v>
      </c>
    </row>
    <row r="256" spans="2:3" s="1" customFormat="1" x14ac:dyDescent="0.2">
      <c r="B256" s="49"/>
      <c r="C256" s="50">
        <v>1059</v>
      </c>
    </row>
    <row r="257" spans="2:3" s="1" customFormat="1" x14ac:dyDescent="0.2">
      <c r="B257" s="49"/>
      <c r="C257" s="50">
        <v>1061</v>
      </c>
    </row>
    <row r="258" spans="2:3" s="1" customFormat="1" x14ac:dyDescent="0.2">
      <c r="B258" s="49"/>
      <c r="C258" s="50">
        <v>1062</v>
      </c>
    </row>
    <row r="259" spans="2:3" s="1" customFormat="1" x14ac:dyDescent="0.2">
      <c r="B259" s="49"/>
      <c r="C259" s="50">
        <v>1063</v>
      </c>
    </row>
    <row r="260" spans="2:3" s="1" customFormat="1" x14ac:dyDescent="0.2">
      <c r="B260" s="49"/>
      <c r="C260" s="50">
        <v>1064</v>
      </c>
    </row>
    <row r="261" spans="2:3" s="1" customFormat="1" x14ac:dyDescent="0.2">
      <c r="B261" s="49"/>
      <c r="C261" s="50">
        <v>1065</v>
      </c>
    </row>
    <row r="262" spans="2:3" s="1" customFormat="1" x14ac:dyDescent="0.2">
      <c r="B262" s="49"/>
      <c r="C262" s="50">
        <v>1067</v>
      </c>
    </row>
    <row r="263" spans="2:3" s="1" customFormat="1" x14ac:dyDescent="0.2">
      <c r="B263" s="49"/>
      <c r="C263" s="50">
        <v>1068</v>
      </c>
    </row>
    <row r="264" spans="2:3" s="1" customFormat="1" x14ac:dyDescent="0.2">
      <c r="B264" s="49"/>
      <c r="C264" s="50">
        <v>1069</v>
      </c>
    </row>
    <row r="265" spans="2:3" s="1" customFormat="1" x14ac:dyDescent="0.2">
      <c r="B265" s="49"/>
      <c r="C265" s="50">
        <v>1072</v>
      </c>
    </row>
    <row r="266" spans="2:3" s="1" customFormat="1" x14ac:dyDescent="0.2">
      <c r="B266" s="49"/>
      <c r="C266" s="50">
        <v>1073</v>
      </c>
    </row>
    <row r="267" spans="2:3" s="1" customFormat="1" x14ac:dyDescent="0.2">
      <c r="B267" s="49"/>
      <c r="C267" s="50">
        <v>1074</v>
      </c>
    </row>
    <row r="268" spans="2:3" s="1" customFormat="1" x14ac:dyDescent="0.2">
      <c r="B268" s="49"/>
      <c r="C268" s="50">
        <v>1075</v>
      </c>
    </row>
    <row r="269" spans="2:3" s="1" customFormat="1" x14ac:dyDescent="0.2">
      <c r="B269" s="49"/>
      <c r="C269" s="50">
        <v>1076</v>
      </c>
    </row>
    <row r="270" spans="2:3" s="1" customFormat="1" x14ac:dyDescent="0.2">
      <c r="B270" s="49"/>
      <c r="C270" s="50">
        <v>1078</v>
      </c>
    </row>
    <row r="271" spans="2:3" s="1" customFormat="1" x14ac:dyDescent="0.2">
      <c r="B271" s="49"/>
      <c r="C271" s="50">
        <v>1079</v>
      </c>
    </row>
    <row r="272" spans="2:3" s="1" customFormat="1" x14ac:dyDescent="0.2">
      <c r="B272" s="49"/>
      <c r="C272" s="50">
        <v>1087</v>
      </c>
    </row>
    <row r="273" spans="2:3" s="1" customFormat="1" x14ac:dyDescent="0.2">
      <c r="B273" s="49"/>
      <c r="C273" s="50">
        <v>1091</v>
      </c>
    </row>
    <row r="274" spans="2:3" s="1" customFormat="1" x14ac:dyDescent="0.2">
      <c r="B274" s="49"/>
      <c r="C274" s="50">
        <v>1092</v>
      </c>
    </row>
    <row r="275" spans="2:3" s="1" customFormat="1" x14ac:dyDescent="0.2">
      <c r="B275" s="49"/>
      <c r="C275" s="50">
        <v>1093</v>
      </c>
    </row>
    <row r="276" spans="2:3" s="1" customFormat="1" x14ac:dyDescent="0.2">
      <c r="B276" s="49"/>
      <c r="C276" s="50">
        <v>1094</v>
      </c>
    </row>
    <row r="277" spans="2:3" s="1" customFormat="1" x14ac:dyDescent="0.2">
      <c r="B277" s="49"/>
      <c r="C277" s="50">
        <v>1095</v>
      </c>
    </row>
    <row r="278" spans="2:3" s="1" customFormat="1" x14ac:dyDescent="0.2">
      <c r="B278" s="49"/>
      <c r="C278" s="50">
        <v>1097</v>
      </c>
    </row>
    <row r="279" spans="2:3" s="1" customFormat="1" x14ac:dyDescent="0.2">
      <c r="B279" s="49"/>
      <c r="C279" s="50">
        <v>1102</v>
      </c>
    </row>
    <row r="280" spans="2:3" s="1" customFormat="1" x14ac:dyDescent="0.2">
      <c r="B280" s="49"/>
      <c r="C280" s="50">
        <v>1103</v>
      </c>
    </row>
    <row r="281" spans="2:3" s="1" customFormat="1" x14ac:dyDescent="0.2">
      <c r="B281" s="49"/>
      <c r="C281" s="50">
        <v>1104</v>
      </c>
    </row>
    <row r="282" spans="2:3" s="1" customFormat="1" x14ac:dyDescent="0.2">
      <c r="B282" s="49"/>
      <c r="C282" s="50">
        <v>1106</v>
      </c>
    </row>
    <row r="283" spans="2:3" s="1" customFormat="1" x14ac:dyDescent="0.2">
      <c r="B283" s="49"/>
      <c r="C283" s="50">
        <v>1107</v>
      </c>
    </row>
    <row r="284" spans="2:3" s="1" customFormat="1" x14ac:dyDescent="0.2">
      <c r="B284" s="49"/>
      <c r="C284" s="50">
        <v>1112</v>
      </c>
    </row>
    <row r="285" spans="2:3" s="1" customFormat="1" x14ac:dyDescent="0.2">
      <c r="B285" s="49"/>
      <c r="C285" s="50">
        <v>1175</v>
      </c>
    </row>
    <row r="286" spans="2:3" s="1" customFormat="1" x14ac:dyDescent="0.2">
      <c r="B286" s="49"/>
      <c r="C286" s="50">
        <v>1212</v>
      </c>
    </row>
    <row r="287" spans="2:3" s="1" customFormat="1" x14ac:dyDescent="0.2">
      <c r="B287" s="49"/>
      <c r="C287" s="50">
        <v>1221</v>
      </c>
    </row>
    <row r="288" spans="2:3" s="1" customFormat="1" x14ac:dyDescent="0.2">
      <c r="B288" s="49"/>
      <c r="C288" s="50">
        <v>1222</v>
      </c>
    </row>
    <row r="289" spans="2:3" s="1" customFormat="1" x14ac:dyDescent="0.2">
      <c r="B289" s="49"/>
      <c r="C289" s="50">
        <v>1274</v>
      </c>
    </row>
    <row r="290" spans="2:3" s="1" customFormat="1" x14ac:dyDescent="0.2">
      <c r="B290" s="49"/>
      <c r="C290" s="50">
        <v>1275</v>
      </c>
    </row>
    <row r="291" spans="2:3" s="1" customFormat="1" x14ac:dyDescent="0.2">
      <c r="B291" s="49"/>
      <c r="C291" s="50">
        <v>1314</v>
      </c>
    </row>
    <row r="292" spans="2:3" s="1" customFormat="1" x14ac:dyDescent="0.2">
      <c r="B292" s="49"/>
      <c r="C292" s="50">
        <v>1324</v>
      </c>
    </row>
    <row r="293" spans="2:3" s="1" customFormat="1" x14ac:dyDescent="0.2">
      <c r="B293" s="49"/>
      <c r="C293" s="50">
        <v>1331</v>
      </c>
    </row>
    <row r="294" spans="2:3" s="1" customFormat="1" x14ac:dyDescent="0.2">
      <c r="B294" s="49"/>
      <c r="C294" s="50">
        <v>1333</v>
      </c>
    </row>
    <row r="295" spans="2:3" s="1" customFormat="1" x14ac:dyDescent="0.2">
      <c r="B295" s="49"/>
      <c r="C295" s="50">
        <v>1334</v>
      </c>
    </row>
    <row r="296" spans="2:3" s="1" customFormat="1" x14ac:dyDescent="0.2">
      <c r="B296" s="49"/>
      <c r="C296" s="50">
        <v>1349</v>
      </c>
    </row>
    <row r="297" spans="2:3" s="1" customFormat="1" x14ac:dyDescent="0.2">
      <c r="B297" s="49"/>
      <c r="C297" s="50">
        <v>1353</v>
      </c>
    </row>
    <row r="298" spans="2:3" s="1" customFormat="1" x14ac:dyDescent="0.2">
      <c r="B298" s="49"/>
      <c r="C298" s="50">
        <v>1354</v>
      </c>
    </row>
    <row r="299" spans="2:3" s="1" customFormat="1" x14ac:dyDescent="0.2">
      <c r="B299" s="49"/>
      <c r="C299" s="50">
        <v>1357</v>
      </c>
    </row>
    <row r="300" spans="2:3" s="1" customFormat="1" x14ac:dyDescent="0.2">
      <c r="B300" s="49"/>
      <c r="C300" s="50">
        <v>1438</v>
      </c>
    </row>
    <row r="301" spans="2:3" s="1" customFormat="1" x14ac:dyDescent="0.2">
      <c r="B301" s="49"/>
      <c r="C301" s="50">
        <v>1443</v>
      </c>
    </row>
    <row r="302" spans="2:3" s="1" customFormat="1" x14ac:dyDescent="0.2">
      <c r="B302" s="49"/>
      <c r="C302" s="50">
        <v>1446</v>
      </c>
    </row>
    <row r="303" spans="2:3" s="1" customFormat="1" x14ac:dyDescent="0.2">
      <c r="B303" s="49"/>
      <c r="C303" s="50">
        <v>1475</v>
      </c>
    </row>
    <row r="304" spans="2:3" s="1" customFormat="1" x14ac:dyDescent="0.2">
      <c r="B304" s="49"/>
      <c r="C304" s="50">
        <v>1487</v>
      </c>
    </row>
    <row r="305" spans="2:3" s="1" customFormat="1" x14ac:dyDescent="0.2">
      <c r="B305" s="49"/>
      <c r="C305" s="50">
        <v>1488</v>
      </c>
    </row>
    <row r="306" spans="2:3" s="1" customFormat="1" x14ac:dyDescent="0.2">
      <c r="B306" s="49"/>
      <c r="C306" s="50">
        <v>1502</v>
      </c>
    </row>
    <row r="307" spans="2:3" s="1" customFormat="1" x14ac:dyDescent="0.2">
      <c r="B307" s="49"/>
      <c r="C307" s="50">
        <v>1503</v>
      </c>
    </row>
    <row r="308" spans="2:3" s="1" customFormat="1" x14ac:dyDescent="0.2">
      <c r="B308" s="49"/>
      <c r="C308" s="50">
        <v>1504</v>
      </c>
    </row>
    <row r="309" spans="2:3" s="1" customFormat="1" x14ac:dyDescent="0.2">
      <c r="B309" s="49"/>
      <c r="C309" s="50">
        <v>1505</v>
      </c>
    </row>
    <row r="310" spans="2:3" s="1" customFormat="1" x14ac:dyDescent="0.2">
      <c r="B310" s="49"/>
      <c r="C310" s="50">
        <v>1508</v>
      </c>
    </row>
    <row r="311" spans="2:3" s="1" customFormat="1" x14ac:dyDescent="0.2">
      <c r="B311" s="49"/>
      <c r="C311" s="50">
        <v>1521</v>
      </c>
    </row>
    <row r="312" spans="2:3" s="1" customFormat="1" x14ac:dyDescent="0.2">
      <c r="B312" s="49"/>
      <c r="C312" s="50">
        <v>1525</v>
      </c>
    </row>
    <row r="313" spans="2:3" s="1" customFormat="1" x14ac:dyDescent="0.2">
      <c r="B313" s="49"/>
      <c r="C313" s="50">
        <v>1608</v>
      </c>
    </row>
    <row r="314" spans="2:3" s="1" customFormat="1" x14ac:dyDescent="0.2">
      <c r="B314" s="49"/>
      <c r="C314" s="50">
        <v>1622</v>
      </c>
    </row>
    <row r="315" spans="2:3" s="1" customFormat="1" x14ac:dyDescent="0.2">
      <c r="B315" s="49"/>
      <c r="C315" s="50">
        <v>1623</v>
      </c>
    </row>
    <row r="316" spans="2:3" s="1" customFormat="1" x14ac:dyDescent="0.2">
      <c r="B316" s="49"/>
      <c r="C316" s="50">
        <v>1624</v>
      </c>
    </row>
    <row r="317" spans="2:3" s="1" customFormat="1" x14ac:dyDescent="0.2">
      <c r="B317" s="49"/>
      <c r="C317" s="50">
        <v>1654</v>
      </c>
    </row>
    <row r="318" spans="2:3" s="1" customFormat="1" x14ac:dyDescent="0.2">
      <c r="B318" s="49"/>
      <c r="C318" s="50">
        <v>1655</v>
      </c>
    </row>
    <row r="319" spans="2:3" s="1" customFormat="1" x14ac:dyDescent="0.2">
      <c r="B319" s="49"/>
      <c r="C319" s="50">
        <v>1719</v>
      </c>
    </row>
    <row r="320" spans="2:3" s="1" customFormat="1" x14ac:dyDescent="0.2">
      <c r="B320" s="49"/>
      <c r="C320" s="50">
        <v>1753</v>
      </c>
    </row>
    <row r="321" spans="2:3" s="1" customFormat="1" x14ac:dyDescent="0.2">
      <c r="B321" s="49"/>
      <c r="C321" s="50">
        <v>1754</v>
      </c>
    </row>
    <row r="322" spans="2:3" s="1" customFormat="1" x14ac:dyDescent="0.2">
      <c r="B322" s="49"/>
      <c r="C322" s="50">
        <v>1773</v>
      </c>
    </row>
    <row r="323" spans="2:3" s="1" customFormat="1" x14ac:dyDescent="0.2">
      <c r="B323" s="49"/>
      <c r="C323" s="50">
        <v>1774</v>
      </c>
    </row>
    <row r="324" spans="2:3" s="1" customFormat="1" x14ac:dyDescent="0.2">
      <c r="B324" s="49"/>
      <c r="C324" s="50">
        <v>1781</v>
      </c>
    </row>
    <row r="325" spans="2:3" s="1" customFormat="1" x14ac:dyDescent="0.2">
      <c r="B325" s="49"/>
      <c r="C325" s="50">
        <v>1782</v>
      </c>
    </row>
    <row r="326" spans="2:3" s="1" customFormat="1" x14ac:dyDescent="0.2">
      <c r="B326" s="49"/>
      <c r="C326" s="50">
        <v>1783</v>
      </c>
    </row>
    <row r="327" spans="2:3" s="1" customFormat="1" x14ac:dyDescent="0.2">
      <c r="B327" s="49"/>
      <c r="C327" s="50">
        <v>1784</v>
      </c>
    </row>
    <row r="328" spans="2:3" s="1" customFormat="1" x14ac:dyDescent="0.2">
      <c r="B328" s="49"/>
      <c r="C328" s="50">
        <v>1792</v>
      </c>
    </row>
    <row r="329" spans="2:3" s="1" customFormat="1" x14ac:dyDescent="0.2">
      <c r="B329" s="49"/>
      <c r="C329" s="50">
        <v>1796</v>
      </c>
    </row>
    <row r="330" spans="2:3" s="1" customFormat="1" x14ac:dyDescent="0.2">
      <c r="B330" s="49"/>
      <c r="C330" s="50">
        <v>1812</v>
      </c>
    </row>
    <row r="331" spans="2:3" s="1" customFormat="1" x14ac:dyDescent="0.2">
      <c r="B331" s="49"/>
      <c r="C331" s="50">
        <v>1813</v>
      </c>
    </row>
    <row r="332" spans="2:3" s="1" customFormat="1" x14ac:dyDescent="0.2">
      <c r="B332" s="49"/>
      <c r="C332" s="50">
        <v>1821</v>
      </c>
    </row>
    <row r="333" spans="2:3" s="1" customFormat="1" x14ac:dyDescent="0.2">
      <c r="B333" s="49"/>
      <c r="C333" s="50">
        <v>1823</v>
      </c>
    </row>
    <row r="334" spans="2:3" s="1" customFormat="1" x14ac:dyDescent="0.2">
      <c r="B334" s="49"/>
      <c r="C334" s="50">
        <v>1825</v>
      </c>
    </row>
    <row r="335" spans="2:3" s="1" customFormat="1" x14ac:dyDescent="0.2">
      <c r="B335" s="49"/>
      <c r="C335" s="50">
        <v>1831</v>
      </c>
    </row>
    <row r="336" spans="2:3" s="1" customFormat="1" x14ac:dyDescent="0.2">
      <c r="B336" s="49"/>
      <c r="C336" s="50">
        <v>1946</v>
      </c>
    </row>
    <row r="337" spans="2:3" s="1" customFormat="1" x14ac:dyDescent="0.2">
      <c r="B337" s="49"/>
      <c r="C337" s="50">
        <v>1951</v>
      </c>
    </row>
    <row r="338" spans="2:3" s="1" customFormat="1" x14ac:dyDescent="0.2">
      <c r="B338" s="49"/>
      <c r="C338" s="50">
        <v>1962</v>
      </c>
    </row>
    <row r="339" spans="2:3" s="1" customFormat="1" x14ac:dyDescent="0.2">
      <c r="B339" s="49"/>
      <c r="C339" s="50">
        <v>1966</v>
      </c>
    </row>
    <row r="340" spans="2:3" s="1" customFormat="1" x14ac:dyDescent="0.2">
      <c r="B340" s="49"/>
      <c r="C340" s="50">
        <v>1972</v>
      </c>
    </row>
    <row r="341" spans="2:3" s="1" customFormat="1" x14ac:dyDescent="0.2">
      <c r="B341" s="49"/>
      <c r="C341" s="50">
        <v>1974</v>
      </c>
    </row>
    <row r="342" spans="2:3" s="1" customFormat="1" x14ac:dyDescent="0.2">
      <c r="B342" s="49"/>
      <c r="C342" s="50">
        <v>1975</v>
      </c>
    </row>
    <row r="343" spans="2:3" s="1" customFormat="1" x14ac:dyDescent="0.2">
      <c r="B343" s="49"/>
      <c r="C343" s="50">
        <v>1976</v>
      </c>
    </row>
    <row r="344" spans="2:3" s="1" customFormat="1" x14ac:dyDescent="0.2">
      <c r="B344" s="49"/>
      <c r="C344" s="50">
        <v>2011</v>
      </c>
    </row>
    <row r="345" spans="2:3" s="1" customFormat="1" x14ac:dyDescent="0.2">
      <c r="B345" s="49"/>
      <c r="C345" s="50">
        <v>2025</v>
      </c>
    </row>
    <row r="346" spans="2:3" s="1" customFormat="1" x14ac:dyDescent="0.2">
      <c r="B346" s="49"/>
      <c r="C346" s="50">
        <v>2031</v>
      </c>
    </row>
    <row r="347" spans="2:3" s="1" customFormat="1" x14ac:dyDescent="0.2">
      <c r="B347" s="49"/>
      <c r="C347" s="50">
        <v>2032</v>
      </c>
    </row>
    <row r="348" spans="2:3" s="1" customFormat="1" x14ac:dyDescent="0.2">
      <c r="B348" s="49"/>
      <c r="C348" s="50">
        <v>2033</v>
      </c>
    </row>
    <row r="349" spans="2:3" s="1" customFormat="1" x14ac:dyDescent="0.2">
      <c r="B349" s="49"/>
      <c r="C349" s="50">
        <v>2034</v>
      </c>
    </row>
    <row r="350" spans="2:3" s="1" customFormat="1" x14ac:dyDescent="0.2">
      <c r="B350" s="49"/>
      <c r="C350" s="50">
        <v>2035</v>
      </c>
    </row>
    <row r="351" spans="2:3" s="1" customFormat="1" x14ac:dyDescent="0.2">
      <c r="B351" s="49"/>
      <c r="C351" s="50">
        <v>2037</v>
      </c>
    </row>
    <row r="352" spans="2:3" s="1" customFormat="1" x14ac:dyDescent="0.2">
      <c r="B352" s="49"/>
      <c r="C352" s="50">
        <v>2041</v>
      </c>
    </row>
    <row r="353" spans="2:3" s="1" customFormat="1" x14ac:dyDescent="0.2">
      <c r="B353" s="49"/>
      <c r="C353" s="50">
        <v>2042</v>
      </c>
    </row>
    <row r="354" spans="2:3" s="1" customFormat="1" x14ac:dyDescent="0.2">
      <c r="B354" s="49"/>
      <c r="C354" s="50">
        <v>2159</v>
      </c>
    </row>
    <row r="355" spans="2:3" s="1" customFormat="1" x14ac:dyDescent="0.2">
      <c r="B355" s="49"/>
      <c r="C355" s="50">
        <v>2262</v>
      </c>
    </row>
    <row r="356" spans="2:3" s="1" customFormat="1" x14ac:dyDescent="0.2">
      <c r="B356" s="49"/>
      <c r="C356" s="50">
        <v>2263</v>
      </c>
    </row>
    <row r="357" spans="2:3" s="1" customFormat="1" x14ac:dyDescent="0.2">
      <c r="B357" s="49"/>
      <c r="C357" s="50">
        <v>2287</v>
      </c>
    </row>
    <row r="358" spans="2:3" s="1" customFormat="1" x14ac:dyDescent="0.2">
      <c r="B358" s="49"/>
      <c r="C358" s="50">
        <v>2289</v>
      </c>
    </row>
    <row r="359" spans="2:3" s="1" customFormat="1" x14ac:dyDescent="0.2">
      <c r="B359" s="49"/>
      <c r="C359" s="50">
        <v>2312</v>
      </c>
    </row>
    <row r="360" spans="2:3" s="1" customFormat="1" x14ac:dyDescent="0.2">
      <c r="B360" s="49"/>
      <c r="C360" s="50">
        <v>2315</v>
      </c>
    </row>
    <row r="361" spans="2:3" s="1" customFormat="1" x14ac:dyDescent="0.2">
      <c r="B361" s="49"/>
      <c r="C361" s="50">
        <v>2316</v>
      </c>
    </row>
    <row r="362" spans="2:3" s="1" customFormat="1" x14ac:dyDescent="0.2">
      <c r="B362" s="49"/>
      <c r="C362" s="50">
        <v>2321</v>
      </c>
    </row>
    <row r="363" spans="2:3" s="1" customFormat="1" x14ac:dyDescent="0.2">
      <c r="B363" s="49"/>
      <c r="C363" s="50">
        <v>2333</v>
      </c>
    </row>
    <row r="364" spans="2:3" s="1" customFormat="1" x14ac:dyDescent="0.2">
      <c r="B364" s="49"/>
      <c r="C364" s="50">
        <v>2362</v>
      </c>
    </row>
    <row r="365" spans="2:3" s="1" customFormat="1" x14ac:dyDescent="0.2">
      <c r="B365" s="49"/>
      <c r="C365" s="50">
        <v>2498</v>
      </c>
    </row>
    <row r="366" spans="2:3" s="1" customFormat="1" x14ac:dyDescent="0.2">
      <c r="B366" s="49"/>
      <c r="C366" s="50">
        <v>2511</v>
      </c>
    </row>
    <row r="367" spans="2:3" s="1" customFormat="1" x14ac:dyDescent="0.2">
      <c r="B367" s="49"/>
      <c r="C367" s="50">
        <v>2512</v>
      </c>
    </row>
    <row r="368" spans="2:3" s="1" customFormat="1" x14ac:dyDescent="0.2">
      <c r="B368" s="49"/>
      <c r="C368" s="50">
        <v>2513</v>
      </c>
    </row>
    <row r="369" spans="2:3" s="1" customFormat="1" x14ac:dyDescent="0.2">
      <c r="B369" s="49"/>
      <c r="C369" s="50">
        <v>2515</v>
      </c>
    </row>
    <row r="370" spans="2:3" s="1" customFormat="1" x14ac:dyDescent="0.2">
      <c r="B370" s="49"/>
      <c r="C370" s="50">
        <v>2516</v>
      </c>
    </row>
    <row r="371" spans="2:3" s="1" customFormat="1" x14ac:dyDescent="0.2">
      <c r="B371" s="49"/>
      <c r="C371" s="50">
        <v>2518</v>
      </c>
    </row>
    <row r="372" spans="2:3" s="1" customFormat="1" x14ac:dyDescent="0.2">
      <c r="B372" s="49"/>
      <c r="C372" s="50">
        <v>2521</v>
      </c>
    </row>
    <row r="373" spans="2:3" s="1" customFormat="1" x14ac:dyDescent="0.2">
      <c r="B373" s="49"/>
      <c r="C373" s="50">
        <v>2522</v>
      </c>
    </row>
    <row r="374" spans="2:3" s="1" customFormat="1" x14ac:dyDescent="0.2">
      <c r="B374" s="49"/>
      <c r="C374" s="50">
        <v>2523</v>
      </c>
    </row>
    <row r="375" spans="2:3" s="1" customFormat="1" x14ac:dyDescent="0.2">
      <c r="B375" s="49"/>
      <c r="C375" s="50">
        <v>2524</v>
      </c>
    </row>
    <row r="376" spans="2:3" s="1" customFormat="1" x14ac:dyDescent="0.2">
      <c r="B376" s="49"/>
      <c r="C376" s="50">
        <v>2525</v>
      </c>
    </row>
    <row r="377" spans="2:3" s="1" customFormat="1" x14ac:dyDescent="0.2">
      <c r="B377" s="49"/>
      <c r="C377" s="50">
        <v>2526</v>
      </c>
    </row>
    <row r="378" spans="2:3" s="1" customFormat="1" x14ac:dyDescent="0.2">
      <c r="B378" s="49"/>
      <c r="C378" s="50">
        <v>2531</v>
      </c>
    </row>
    <row r="379" spans="2:3" s="1" customFormat="1" x14ac:dyDescent="0.2">
      <c r="B379" s="49"/>
      <c r="C379" s="50">
        <v>2532</v>
      </c>
    </row>
    <row r="380" spans="2:3" s="1" customFormat="1" x14ac:dyDescent="0.2">
      <c r="B380" s="49"/>
      <c r="C380" s="50">
        <v>2533</v>
      </c>
    </row>
    <row r="381" spans="2:3" s="1" customFormat="1" x14ac:dyDescent="0.2">
      <c r="B381" s="49"/>
      <c r="C381" s="50">
        <v>2541</v>
      </c>
    </row>
    <row r="382" spans="2:3" s="1" customFormat="1" x14ac:dyDescent="0.2">
      <c r="B382" s="49"/>
      <c r="C382" s="50">
        <v>2542</v>
      </c>
    </row>
    <row r="383" spans="2:3" s="1" customFormat="1" x14ac:dyDescent="0.2">
      <c r="B383" s="49"/>
      <c r="C383" s="50">
        <v>2543</v>
      </c>
    </row>
    <row r="384" spans="2:3" s="1" customFormat="1" x14ac:dyDescent="0.2">
      <c r="B384" s="49"/>
      <c r="C384" s="50">
        <v>2544</v>
      </c>
    </row>
    <row r="385" spans="2:3" s="1" customFormat="1" x14ac:dyDescent="0.2">
      <c r="B385" s="49"/>
      <c r="C385" s="50">
        <v>2545</v>
      </c>
    </row>
    <row r="386" spans="2:3" s="1" customFormat="1" x14ac:dyDescent="0.2">
      <c r="B386" s="49"/>
      <c r="C386" s="50">
        <v>2551</v>
      </c>
    </row>
    <row r="387" spans="2:3" s="1" customFormat="1" x14ac:dyDescent="0.2">
      <c r="B387" s="49"/>
      <c r="C387" s="50">
        <v>2553</v>
      </c>
    </row>
    <row r="388" spans="2:3" s="1" customFormat="1" x14ac:dyDescent="0.2">
      <c r="B388" s="49"/>
      <c r="C388" s="50">
        <v>2561</v>
      </c>
    </row>
    <row r="389" spans="2:3" s="1" customFormat="1" x14ac:dyDescent="0.2">
      <c r="B389" s="49"/>
      <c r="C389" s="50">
        <v>2562</v>
      </c>
    </row>
    <row r="390" spans="2:3" s="1" customFormat="1" x14ac:dyDescent="0.2">
      <c r="B390" s="49"/>
      <c r="C390" s="50">
        <v>2563</v>
      </c>
    </row>
    <row r="391" spans="2:3" s="1" customFormat="1" x14ac:dyDescent="0.2">
      <c r="B391" s="49"/>
      <c r="C391" s="50">
        <v>2571</v>
      </c>
    </row>
    <row r="392" spans="2:3" s="1" customFormat="1" x14ac:dyDescent="0.2">
      <c r="B392" s="49"/>
      <c r="C392" s="50">
        <v>2572</v>
      </c>
    </row>
    <row r="393" spans="2:3" s="1" customFormat="1" x14ac:dyDescent="0.2">
      <c r="B393" s="49"/>
      <c r="C393" s="50">
        <v>2573</v>
      </c>
    </row>
    <row r="394" spans="2:3" s="1" customFormat="1" x14ac:dyDescent="0.2">
      <c r="B394" s="49"/>
      <c r="C394" s="50">
        <v>2574</v>
      </c>
    </row>
    <row r="395" spans="2:3" s="1" customFormat="1" x14ac:dyDescent="0.2">
      <c r="B395" s="49"/>
      <c r="C395" s="50">
        <v>2583</v>
      </c>
    </row>
    <row r="396" spans="2:3" s="1" customFormat="1" x14ac:dyDescent="0.2">
      <c r="B396" s="49"/>
      <c r="C396" s="50">
        <v>2584</v>
      </c>
    </row>
    <row r="397" spans="2:3" s="1" customFormat="1" x14ac:dyDescent="0.2">
      <c r="B397" s="49"/>
      <c r="C397" s="50">
        <v>2591</v>
      </c>
    </row>
    <row r="398" spans="2:3" s="1" customFormat="1" x14ac:dyDescent="0.2">
      <c r="B398" s="49"/>
      <c r="C398" s="50">
        <v>2592</v>
      </c>
    </row>
    <row r="399" spans="2:3" s="1" customFormat="1" x14ac:dyDescent="0.2">
      <c r="B399" s="49"/>
      <c r="C399" s="50">
        <v>2595</v>
      </c>
    </row>
    <row r="400" spans="2:3" s="1" customFormat="1" x14ac:dyDescent="0.2">
      <c r="B400" s="49"/>
      <c r="C400" s="50">
        <v>2612</v>
      </c>
    </row>
    <row r="401" spans="2:3" s="1" customFormat="1" x14ac:dyDescent="0.2">
      <c r="B401" s="49"/>
      <c r="C401" s="50">
        <v>2624</v>
      </c>
    </row>
    <row r="402" spans="2:3" s="1" customFormat="1" x14ac:dyDescent="0.2">
      <c r="B402" s="49"/>
      <c r="C402" s="50">
        <v>2625</v>
      </c>
    </row>
    <row r="403" spans="2:3" s="1" customFormat="1" x14ac:dyDescent="0.2">
      <c r="B403" s="49"/>
      <c r="C403" s="50">
        <v>2629</v>
      </c>
    </row>
    <row r="404" spans="2:3" s="1" customFormat="1" x14ac:dyDescent="0.2">
      <c r="B404" s="49"/>
      <c r="C404" s="50">
        <v>2715</v>
      </c>
    </row>
    <row r="405" spans="2:3" s="1" customFormat="1" x14ac:dyDescent="0.2">
      <c r="B405" s="49"/>
      <c r="C405" s="50">
        <v>2716</v>
      </c>
    </row>
    <row r="406" spans="2:3" s="1" customFormat="1" x14ac:dyDescent="0.2">
      <c r="B406" s="49"/>
      <c r="C406" s="50">
        <v>2717</v>
      </c>
    </row>
    <row r="407" spans="2:3" s="1" customFormat="1" x14ac:dyDescent="0.2">
      <c r="B407" s="49"/>
      <c r="C407" s="50">
        <v>2722</v>
      </c>
    </row>
    <row r="408" spans="2:3" s="1" customFormat="1" x14ac:dyDescent="0.2">
      <c r="B408" s="49"/>
      <c r="C408" s="50">
        <v>2727</v>
      </c>
    </row>
    <row r="409" spans="2:3" s="1" customFormat="1" x14ac:dyDescent="0.2">
      <c r="B409" s="49"/>
      <c r="C409" s="50">
        <v>2801</v>
      </c>
    </row>
    <row r="410" spans="2:3" s="1" customFormat="1" x14ac:dyDescent="0.2">
      <c r="B410" s="49"/>
      <c r="C410" s="50">
        <v>2802</v>
      </c>
    </row>
    <row r="411" spans="2:3" s="1" customFormat="1" x14ac:dyDescent="0.2">
      <c r="B411" s="49"/>
      <c r="C411" s="50">
        <v>2806</v>
      </c>
    </row>
    <row r="412" spans="2:3" s="1" customFormat="1" x14ac:dyDescent="0.2">
      <c r="B412" s="49"/>
      <c r="C412" s="50">
        <v>2808</v>
      </c>
    </row>
    <row r="413" spans="2:3" s="1" customFormat="1" x14ac:dyDescent="0.2">
      <c r="B413" s="49"/>
      <c r="C413" s="50">
        <v>2903</v>
      </c>
    </row>
    <row r="414" spans="2:3" s="1" customFormat="1" x14ac:dyDescent="0.2">
      <c r="B414" s="49"/>
      <c r="C414" s="50">
        <v>2905</v>
      </c>
    </row>
    <row r="415" spans="2:3" s="1" customFormat="1" x14ac:dyDescent="0.2">
      <c r="B415" s="49"/>
      <c r="C415" s="50">
        <v>3012</v>
      </c>
    </row>
    <row r="416" spans="2:3" s="1" customFormat="1" x14ac:dyDescent="0.2">
      <c r="B416" s="49"/>
      <c r="C416" s="50">
        <v>3014</v>
      </c>
    </row>
    <row r="417" spans="2:3" s="1" customFormat="1" x14ac:dyDescent="0.2">
      <c r="B417" s="49"/>
      <c r="C417" s="50">
        <v>3021</v>
      </c>
    </row>
    <row r="418" spans="2:3" s="1" customFormat="1" x14ac:dyDescent="0.2">
      <c r="B418" s="49"/>
      <c r="C418" s="50">
        <v>3022</v>
      </c>
    </row>
    <row r="419" spans="2:3" s="1" customFormat="1" x14ac:dyDescent="0.2">
      <c r="B419" s="49"/>
      <c r="C419" s="50">
        <v>3023</v>
      </c>
    </row>
    <row r="420" spans="2:3" s="1" customFormat="1" x14ac:dyDescent="0.2">
      <c r="B420" s="49"/>
      <c r="C420" s="50">
        <v>3024</v>
      </c>
    </row>
    <row r="421" spans="2:3" s="1" customFormat="1" x14ac:dyDescent="0.2">
      <c r="B421" s="49"/>
      <c r="C421" s="50">
        <v>3025</v>
      </c>
    </row>
    <row r="422" spans="2:3" s="1" customFormat="1" x14ac:dyDescent="0.2">
      <c r="B422" s="49"/>
      <c r="C422" s="50">
        <v>3026</v>
      </c>
    </row>
    <row r="423" spans="2:3" s="1" customFormat="1" x14ac:dyDescent="0.2">
      <c r="B423" s="49"/>
      <c r="C423" s="50">
        <v>3027</v>
      </c>
    </row>
    <row r="424" spans="2:3" s="1" customFormat="1" x14ac:dyDescent="0.2">
      <c r="B424" s="49"/>
      <c r="C424" s="50">
        <v>3028</v>
      </c>
    </row>
    <row r="425" spans="2:3" s="1" customFormat="1" x14ac:dyDescent="0.2">
      <c r="B425" s="49"/>
      <c r="C425" s="50">
        <v>3029</v>
      </c>
    </row>
    <row r="426" spans="2:3" s="1" customFormat="1" x14ac:dyDescent="0.2">
      <c r="B426" s="49"/>
      <c r="C426" s="50">
        <v>3031</v>
      </c>
    </row>
    <row r="427" spans="2:3" s="1" customFormat="1" x14ac:dyDescent="0.2">
      <c r="B427" s="49"/>
      <c r="C427" s="50">
        <v>3032</v>
      </c>
    </row>
    <row r="428" spans="2:3" s="1" customFormat="1" x14ac:dyDescent="0.2">
      <c r="B428" s="49"/>
      <c r="C428" s="50">
        <v>3033</v>
      </c>
    </row>
    <row r="429" spans="2:3" s="1" customFormat="1" x14ac:dyDescent="0.2">
      <c r="B429" s="49"/>
      <c r="C429" s="50">
        <v>3034</v>
      </c>
    </row>
    <row r="430" spans="2:3" s="1" customFormat="1" x14ac:dyDescent="0.2">
      <c r="B430" s="49"/>
      <c r="C430" s="50">
        <v>3035</v>
      </c>
    </row>
    <row r="431" spans="2:3" s="1" customFormat="1" x14ac:dyDescent="0.2">
      <c r="B431" s="49"/>
      <c r="C431" s="50">
        <v>3036</v>
      </c>
    </row>
    <row r="432" spans="2:3" s="1" customFormat="1" x14ac:dyDescent="0.2">
      <c r="B432" s="49"/>
      <c r="C432" s="50">
        <v>3037</v>
      </c>
    </row>
    <row r="433" spans="2:3" s="1" customFormat="1" x14ac:dyDescent="0.2">
      <c r="B433" s="49"/>
      <c r="C433" s="50">
        <v>3038</v>
      </c>
    </row>
    <row r="434" spans="2:3" s="1" customFormat="1" x14ac:dyDescent="0.2">
      <c r="B434" s="49"/>
      <c r="C434" s="50">
        <v>3042</v>
      </c>
    </row>
    <row r="435" spans="2:3" s="1" customFormat="1" x14ac:dyDescent="0.2">
      <c r="B435" s="49"/>
      <c r="C435" s="50">
        <v>3045</v>
      </c>
    </row>
    <row r="436" spans="2:3" s="1" customFormat="1" x14ac:dyDescent="0.2">
      <c r="B436" s="49"/>
      <c r="C436" s="50">
        <v>3052</v>
      </c>
    </row>
    <row r="437" spans="2:3" s="1" customFormat="1" x14ac:dyDescent="0.2">
      <c r="B437" s="49"/>
      <c r="C437" s="50">
        <v>3053</v>
      </c>
    </row>
    <row r="438" spans="2:3" s="1" customFormat="1" x14ac:dyDescent="0.2">
      <c r="B438" s="49"/>
      <c r="C438" s="50">
        <v>3054</v>
      </c>
    </row>
    <row r="439" spans="2:3" s="1" customFormat="1" x14ac:dyDescent="0.2">
      <c r="B439" s="49"/>
      <c r="C439" s="50">
        <v>3061</v>
      </c>
    </row>
    <row r="440" spans="2:3" s="1" customFormat="1" x14ac:dyDescent="0.2">
      <c r="B440" s="49"/>
      <c r="C440" s="50">
        <v>3063</v>
      </c>
    </row>
    <row r="441" spans="2:3" s="1" customFormat="1" x14ac:dyDescent="0.2">
      <c r="B441" s="49"/>
      <c r="C441" s="50">
        <v>3066</v>
      </c>
    </row>
    <row r="442" spans="2:3" s="1" customFormat="1" x14ac:dyDescent="0.2">
      <c r="B442" s="49"/>
      <c r="C442" s="50">
        <v>3068</v>
      </c>
    </row>
    <row r="443" spans="2:3" s="1" customFormat="1" x14ac:dyDescent="0.2">
      <c r="B443" s="49"/>
      <c r="C443" s="50">
        <v>3071</v>
      </c>
    </row>
    <row r="444" spans="2:3" s="1" customFormat="1" x14ac:dyDescent="0.2">
      <c r="B444" s="49"/>
      <c r="C444" s="50">
        <v>3072</v>
      </c>
    </row>
    <row r="445" spans="2:3" s="1" customFormat="1" x14ac:dyDescent="0.2">
      <c r="B445" s="49"/>
      <c r="C445" s="50">
        <v>3073</v>
      </c>
    </row>
    <row r="446" spans="2:3" s="1" customFormat="1" x14ac:dyDescent="0.2">
      <c r="B446" s="49"/>
      <c r="C446" s="50">
        <v>3074</v>
      </c>
    </row>
    <row r="447" spans="2:3" s="1" customFormat="1" x14ac:dyDescent="0.2">
      <c r="B447" s="49"/>
      <c r="C447" s="50">
        <v>3075</v>
      </c>
    </row>
    <row r="448" spans="2:3" s="1" customFormat="1" x14ac:dyDescent="0.2">
      <c r="B448" s="49"/>
      <c r="C448" s="50">
        <v>3076</v>
      </c>
    </row>
    <row r="449" spans="2:3" s="1" customFormat="1" x14ac:dyDescent="0.2">
      <c r="B449" s="49"/>
      <c r="C449" s="50">
        <v>3077</v>
      </c>
    </row>
    <row r="450" spans="2:3" s="1" customFormat="1" x14ac:dyDescent="0.2">
      <c r="B450" s="49"/>
      <c r="C450" s="50">
        <v>3078</v>
      </c>
    </row>
    <row r="451" spans="2:3" s="1" customFormat="1" x14ac:dyDescent="0.2">
      <c r="B451" s="49"/>
      <c r="C451" s="50">
        <v>3079</v>
      </c>
    </row>
    <row r="452" spans="2:3" s="1" customFormat="1" x14ac:dyDescent="0.2">
      <c r="B452" s="49"/>
      <c r="C452" s="50">
        <v>3081</v>
      </c>
    </row>
    <row r="453" spans="2:3" s="1" customFormat="1" x14ac:dyDescent="0.2">
      <c r="B453" s="49"/>
      <c r="C453" s="50">
        <v>3082</v>
      </c>
    </row>
    <row r="454" spans="2:3" s="1" customFormat="1" x14ac:dyDescent="0.2">
      <c r="B454" s="49"/>
      <c r="C454" s="50">
        <v>3083</v>
      </c>
    </row>
    <row r="455" spans="2:3" s="1" customFormat="1" x14ac:dyDescent="0.2">
      <c r="B455" s="49"/>
      <c r="C455" s="50">
        <v>3084</v>
      </c>
    </row>
    <row r="456" spans="2:3" s="1" customFormat="1" x14ac:dyDescent="0.2">
      <c r="B456" s="49"/>
      <c r="C456" s="50">
        <v>3085</v>
      </c>
    </row>
    <row r="457" spans="2:3" s="1" customFormat="1" x14ac:dyDescent="0.2">
      <c r="B457" s="49"/>
      <c r="C457" s="50">
        <v>3086</v>
      </c>
    </row>
    <row r="458" spans="2:3" s="1" customFormat="1" x14ac:dyDescent="0.2">
      <c r="B458" s="49"/>
      <c r="C458" s="50">
        <v>3087</v>
      </c>
    </row>
    <row r="459" spans="2:3" s="1" customFormat="1" x14ac:dyDescent="0.2">
      <c r="B459" s="49"/>
      <c r="C459" s="50">
        <v>3089</v>
      </c>
    </row>
    <row r="460" spans="2:3" s="1" customFormat="1" x14ac:dyDescent="0.2">
      <c r="B460" s="49"/>
      <c r="C460" s="50">
        <v>3111</v>
      </c>
    </row>
    <row r="461" spans="2:3" s="1" customFormat="1" x14ac:dyDescent="0.2">
      <c r="B461" s="49"/>
      <c r="C461" s="50">
        <v>3112</v>
      </c>
    </row>
    <row r="462" spans="2:3" s="1" customFormat="1" x14ac:dyDescent="0.2">
      <c r="B462" s="49"/>
      <c r="C462" s="50">
        <v>3114</v>
      </c>
    </row>
    <row r="463" spans="2:3" s="1" customFormat="1" x14ac:dyDescent="0.2">
      <c r="B463" s="49"/>
      <c r="C463" s="50">
        <v>3118</v>
      </c>
    </row>
    <row r="464" spans="2:3" s="1" customFormat="1" x14ac:dyDescent="0.2">
      <c r="B464" s="49"/>
      <c r="C464" s="50">
        <v>3119</v>
      </c>
    </row>
    <row r="465" spans="2:3" s="1" customFormat="1" x14ac:dyDescent="0.2">
      <c r="B465" s="49"/>
      <c r="C465" s="50">
        <v>3122</v>
      </c>
    </row>
    <row r="466" spans="2:3" s="1" customFormat="1" x14ac:dyDescent="0.2">
      <c r="B466" s="49"/>
      <c r="C466" s="50">
        <v>3131</v>
      </c>
    </row>
    <row r="467" spans="2:3" s="1" customFormat="1" x14ac:dyDescent="0.2">
      <c r="B467" s="49"/>
      <c r="C467" s="50">
        <v>3132</v>
      </c>
    </row>
    <row r="468" spans="2:3" s="1" customFormat="1" x14ac:dyDescent="0.2">
      <c r="B468" s="49"/>
      <c r="C468" s="50">
        <v>3135</v>
      </c>
    </row>
    <row r="469" spans="2:3" s="1" customFormat="1" x14ac:dyDescent="0.2">
      <c r="B469" s="49"/>
      <c r="C469" s="50">
        <v>3136</v>
      </c>
    </row>
    <row r="470" spans="2:3" s="1" customFormat="1" x14ac:dyDescent="0.2">
      <c r="B470" s="49"/>
      <c r="C470" s="50">
        <v>3145</v>
      </c>
    </row>
    <row r="471" spans="2:3" s="1" customFormat="1" x14ac:dyDescent="0.2">
      <c r="B471" s="49"/>
      <c r="C471" s="50">
        <v>3192</v>
      </c>
    </row>
    <row r="472" spans="2:3" s="1" customFormat="1" x14ac:dyDescent="0.2">
      <c r="B472" s="49"/>
      <c r="C472" s="50">
        <v>3193</v>
      </c>
    </row>
    <row r="473" spans="2:3" s="1" customFormat="1" x14ac:dyDescent="0.2">
      <c r="B473" s="49"/>
      <c r="C473" s="50">
        <v>3194</v>
      </c>
    </row>
    <row r="474" spans="2:3" s="1" customFormat="1" x14ac:dyDescent="0.2">
      <c r="B474" s="49"/>
      <c r="C474" s="50">
        <v>3201</v>
      </c>
    </row>
    <row r="475" spans="2:3" s="1" customFormat="1" x14ac:dyDescent="0.2">
      <c r="B475" s="49"/>
      <c r="C475" s="50">
        <v>3203</v>
      </c>
    </row>
    <row r="476" spans="2:3" s="1" customFormat="1" x14ac:dyDescent="0.2">
      <c r="B476" s="49"/>
      <c r="C476" s="50">
        <v>3206</v>
      </c>
    </row>
    <row r="477" spans="2:3" s="1" customFormat="1" x14ac:dyDescent="0.2">
      <c r="B477" s="49"/>
      <c r="C477" s="50">
        <v>3222</v>
      </c>
    </row>
    <row r="478" spans="2:3" s="1" customFormat="1" x14ac:dyDescent="0.2">
      <c r="B478" s="49"/>
      <c r="C478" s="50">
        <v>3311</v>
      </c>
    </row>
    <row r="479" spans="2:3" s="1" customFormat="1" x14ac:dyDescent="0.2">
      <c r="B479" s="49"/>
      <c r="C479" s="50">
        <v>3313</v>
      </c>
    </row>
    <row r="480" spans="2:3" s="1" customFormat="1" x14ac:dyDescent="0.2">
      <c r="B480" s="49"/>
      <c r="C480" s="50">
        <v>3314</v>
      </c>
    </row>
    <row r="481" spans="2:3" s="1" customFormat="1" x14ac:dyDescent="0.2">
      <c r="B481" s="49"/>
      <c r="C481" s="50">
        <v>3316</v>
      </c>
    </row>
    <row r="482" spans="2:3" s="1" customFormat="1" x14ac:dyDescent="0.2">
      <c r="B482" s="49"/>
      <c r="C482" s="50">
        <v>3317</v>
      </c>
    </row>
    <row r="483" spans="2:3" s="1" customFormat="1" x14ac:dyDescent="0.2">
      <c r="B483" s="49"/>
      <c r="C483" s="50">
        <v>3318</v>
      </c>
    </row>
    <row r="484" spans="2:3" s="1" customFormat="1" x14ac:dyDescent="0.2">
      <c r="B484" s="49"/>
      <c r="C484" s="50">
        <v>3329</v>
      </c>
    </row>
    <row r="485" spans="2:3" s="1" customFormat="1" x14ac:dyDescent="0.2">
      <c r="B485" s="49"/>
      <c r="C485" s="50">
        <v>3364</v>
      </c>
    </row>
    <row r="486" spans="2:3" s="1" customFormat="1" x14ac:dyDescent="0.2">
      <c r="B486" s="49"/>
      <c r="C486" s="50">
        <v>3413</v>
      </c>
    </row>
    <row r="487" spans="2:3" s="1" customFormat="1" x14ac:dyDescent="0.2">
      <c r="B487" s="49"/>
      <c r="C487" s="50">
        <v>3431</v>
      </c>
    </row>
    <row r="488" spans="2:3" s="1" customFormat="1" x14ac:dyDescent="0.2">
      <c r="B488" s="49"/>
      <c r="C488" s="50">
        <v>3432</v>
      </c>
    </row>
    <row r="489" spans="2:3" s="1" customFormat="1" x14ac:dyDescent="0.2">
      <c r="B489" s="49"/>
      <c r="C489" s="50">
        <v>3444</v>
      </c>
    </row>
    <row r="490" spans="2:3" s="1" customFormat="1" x14ac:dyDescent="0.2">
      <c r="B490" s="49"/>
      <c r="C490" s="50">
        <v>3464</v>
      </c>
    </row>
    <row r="491" spans="2:3" s="1" customFormat="1" x14ac:dyDescent="0.2">
      <c r="B491" s="49"/>
      <c r="C491" s="50">
        <v>3511</v>
      </c>
    </row>
    <row r="492" spans="2:3" s="1" customFormat="1" x14ac:dyDescent="0.2">
      <c r="B492" s="49"/>
      <c r="C492" s="50">
        <v>3513</v>
      </c>
    </row>
    <row r="493" spans="2:3" s="1" customFormat="1" x14ac:dyDescent="0.2">
      <c r="B493" s="49"/>
      <c r="C493" s="50">
        <v>3515</v>
      </c>
    </row>
    <row r="494" spans="2:3" s="1" customFormat="1" x14ac:dyDescent="0.2">
      <c r="B494" s="49"/>
      <c r="C494" s="50">
        <v>3522</v>
      </c>
    </row>
    <row r="495" spans="2:3" s="1" customFormat="1" x14ac:dyDescent="0.2">
      <c r="B495" s="49"/>
      <c r="C495" s="50">
        <v>3524</v>
      </c>
    </row>
    <row r="496" spans="2:3" s="1" customFormat="1" x14ac:dyDescent="0.2">
      <c r="B496" s="49"/>
      <c r="C496" s="50">
        <v>3525</v>
      </c>
    </row>
    <row r="497" spans="2:3" s="1" customFormat="1" x14ac:dyDescent="0.2">
      <c r="B497" s="49"/>
      <c r="C497" s="50">
        <v>3526</v>
      </c>
    </row>
    <row r="498" spans="2:3" s="1" customFormat="1" x14ac:dyDescent="0.2">
      <c r="B498" s="49"/>
      <c r="C498" s="50">
        <v>3527</v>
      </c>
    </row>
    <row r="499" spans="2:3" s="1" customFormat="1" x14ac:dyDescent="0.2">
      <c r="B499" s="49"/>
      <c r="C499" s="50">
        <v>3531</v>
      </c>
    </row>
    <row r="500" spans="2:3" s="1" customFormat="1" x14ac:dyDescent="0.2">
      <c r="B500" s="49"/>
      <c r="C500" s="50">
        <v>3532</v>
      </c>
    </row>
    <row r="501" spans="2:3" s="1" customFormat="1" x14ac:dyDescent="0.2">
      <c r="B501" s="49"/>
      <c r="C501" s="50">
        <v>3545</v>
      </c>
    </row>
    <row r="502" spans="2:3" s="1" customFormat="1" x14ac:dyDescent="0.2">
      <c r="B502" s="49"/>
      <c r="C502" s="50">
        <v>3551</v>
      </c>
    </row>
    <row r="503" spans="2:3" s="1" customFormat="1" x14ac:dyDescent="0.2">
      <c r="B503" s="49"/>
      <c r="C503" s="50">
        <v>3552</v>
      </c>
    </row>
    <row r="504" spans="2:3" s="1" customFormat="1" x14ac:dyDescent="0.2">
      <c r="B504" s="49"/>
      <c r="C504" s="50">
        <v>3554</v>
      </c>
    </row>
    <row r="505" spans="2:3" s="1" customFormat="1" x14ac:dyDescent="0.2">
      <c r="B505" s="49"/>
      <c r="C505" s="50">
        <v>3555</v>
      </c>
    </row>
    <row r="506" spans="2:3" s="1" customFormat="1" x14ac:dyDescent="0.2">
      <c r="B506" s="49"/>
      <c r="C506" s="50">
        <v>3561</v>
      </c>
    </row>
    <row r="507" spans="2:3" s="1" customFormat="1" x14ac:dyDescent="0.2">
      <c r="B507" s="49"/>
      <c r="C507" s="50">
        <v>3562</v>
      </c>
    </row>
    <row r="508" spans="2:3" s="1" customFormat="1" x14ac:dyDescent="0.2">
      <c r="B508" s="49"/>
      <c r="C508" s="50">
        <v>3563</v>
      </c>
    </row>
    <row r="509" spans="2:3" s="1" customFormat="1" x14ac:dyDescent="0.2">
      <c r="B509" s="49"/>
      <c r="C509" s="50">
        <v>3564</v>
      </c>
    </row>
    <row r="510" spans="2:3" s="1" customFormat="1" x14ac:dyDescent="0.2">
      <c r="B510" s="49"/>
      <c r="C510" s="50">
        <v>3566</v>
      </c>
    </row>
    <row r="511" spans="2:3" s="1" customFormat="1" x14ac:dyDescent="0.2">
      <c r="B511" s="49"/>
      <c r="C511" s="50">
        <v>3605</v>
      </c>
    </row>
    <row r="512" spans="2:3" s="1" customFormat="1" x14ac:dyDescent="0.2">
      <c r="B512" s="49"/>
      <c r="C512" s="50">
        <v>3631</v>
      </c>
    </row>
    <row r="513" spans="2:3" s="1" customFormat="1" x14ac:dyDescent="0.2">
      <c r="B513" s="49"/>
      <c r="C513" s="50">
        <v>3634</v>
      </c>
    </row>
    <row r="514" spans="2:3" s="1" customFormat="1" x14ac:dyDescent="0.2">
      <c r="B514" s="49"/>
      <c r="C514" s="50">
        <v>3706</v>
      </c>
    </row>
    <row r="515" spans="2:3" s="1" customFormat="1" x14ac:dyDescent="0.2">
      <c r="B515" s="49"/>
      <c r="C515" s="50">
        <v>3709</v>
      </c>
    </row>
    <row r="516" spans="2:3" s="1" customFormat="1" x14ac:dyDescent="0.2">
      <c r="B516" s="49"/>
      <c r="C516" s="50">
        <v>3712</v>
      </c>
    </row>
    <row r="517" spans="2:3" s="1" customFormat="1" x14ac:dyDescent="0.2">
      <c r="B517" s="49"/>
      <c r="C517" s="50">
        <v>3764</v>
      </c>
    </row>
    <row r="518" spans="2:3" s="1" customFormat="1" x14ac:dyDescent="0.2">
      <c r="B518" s="49"/>
      <c r="C518" s="50">
        <v>3765</v>
      </c>
    </row>
    <row r="519" spans="2:3" s="1" customFormat="1" x14ac:dyDescent="0.2">
      <c r="B519" s="49"/>
      <c r="C519" s="50">
        <v>3775</v>
      </c>
    </row>
    <row r="520" spans="2:3" s="1" customFormat="1" x14ac:dyDescent="0.2">
      <c r="B520" s="49"/>
      <c r="C520" s="50">
        <v>3811</v>
      </c>
    </row>
    <row r="521" spans="2:3" s="1" customFormat="1" x14ac:dyDescent="0.2">
      <c r="B521" s="49"/>
      <c r="C521" s="50">
        <v>3812</v>
      </c>
    </row>
    <row r="522" spans="2:3" s="1" customFormat="1" x14ac:dyDescent="0.2">
      <c r="B522" s="49"/>
      <c r="C522" s="50">
        <v>3813</v>
      </c>
    </row>
    <row r="523" spans="2:3" s="1" customFormat="1" x14ac:dyDescent="0.2">
      <c r="B523" s="49"/>
      <c r="C523" s="50">
        <v>3814</v>
      </c>
    </row>
    <row r="524" spans="2:3" s="1" customFormat="1" x14ac:dyDescent="0.2">
      <c r="B524" s="49"/>
      <c r="C524" s="50">
        <v>3815</v>
      </c>
    </row>
    <row r="525" spans="2:3" s="1" customFormat="1" x14ac:dyDescent="0.2">
      <c r="B525" s="49"/>
      <c r="C525" s="50">
        <v>3816</v>
      </c>
    </row>
    <row r="526" spans="2:3" s="1" customFormat="1" x14ac:dyDescent="0.2">
      <c r="B526" s="49"/>
      <c r="C526" s="50">
        <v>3843</v>
      </c>
    </row>
    <row r="527" spans="2:3" s="1" customFormat="1" x14ac:dyDescent="0.2">
      <c r="B527" s="49"/>
      <c r="C527" s="50">
        <v>3853</v>
      </c>
    </row>
    <row r="528" spans="2:3" s="1" customFormat="1" x14ac:dyDescent="0.2">
      <c r="B528" s="49"/>
      <c r="C528" s="50">
        <v>3896</v>
      </c>
    </row>
    <row r="529" spans="2:3" s="1" customFormat="1" x14ac:dyDescent="0.2">
      <c r="B529" s="49"/>
      <c r="C529" s="50">
        <v>3897</v>
      </c>
    </row>
    <row r="530" spans="2:3" s="1" customFormat="1" x14ac:dyDescent="0.2">
      <c r="B530" s="49"/>
      <c r="C530" s="50">
        <v>3898</v>
      </c>
    </row>
    <row r="531" spans="2:3" s="1" customFormat="1" x14ac:dyDescent="0.2">
      <c r="B531" s="49"/>
      <c r="C531" s="50">
        <v>3901</v>
      </c>
    </row>
    <row r="532" spans="2:3" s="1" customFormat="1" x14ac:dyDescent="0.2">
      <c r="B532" s="49"/>
      <c r="C532" s="50">
        <v>3995</v>
      </c>
    </row>
    <row r="533" spans="2:3" s="1" customFormat="1" x14ac:dyDescent="0.2">
      <c r="B533" s="49"/>
      <c r="C533" s="50">
        <v>3999</v>
      </c>
    </row>
    <row r="534" spans="2:3" s="1" customFormat="1" x14ac:dyDescent="0.2">
      <c r="B534" s="49"/>
      <c r="C534" s="50">
        <v>4005</v>
      </c>
    </row>
    <row r="535" spans="2:3" s="1" customFormat="1" x14ac:dyDescent="0.2">
      <c r="B535" s="49"/>
      <c r="C535" s="50">
        <v>4006</v>
      </c>
    </row>
    <row r="536" spans="2:3" s="1" customFormat="1" x14ac:dyDescent="0.2">
      <c r="B536" s="49"/>
      <c r="C536" s="50">
        <v>4016</v>
      </c>
    </row>
    <row r="537" spans="2:3" s="1" customFormat="1" x14ac:dyDescent="0.2">
      <c r="B537" s="49"/>
      <c r="C537" s="50">
        <v>4032</v>
      </c>
    </row>
    <row r="538" spans="2:3" s="1" customFormat="1" x14ac:dyDescent="0.2">
      <c r="B538" s="49"/>
      <c r="C538" s="50">
        <v>4115</v>
      </c>
    </row>
    <row r="539" spans="2:3" s="1" customFormat="1" x14ac:dyDescent="0.2">
      <c r="B539" s="49"/>
      <c r="C539" s="50">
        <v>4131</v>
      </c>
    </row>
    <row r="540" spans="2:3" s="1" customFormat="1" x14ac:dyDescent="0.2">
      <c r="B540" s="49"/>
      <c r="C540" s="50">
        <v>4142</v>
      </c>
    </row>
    <row r="541" spans="2:3" s="1" customFormat="1" x14ac:dyDescent="0.2">
      <c r="B541" s="49"/>
      <c r="C541" s="50">
        <v>4176</v>
      </c>
    </row>
    <row r="542" spans="2:3" s="1" customFormat="1" x14ac:dyDescent="0.2">
      <c r="B542" s="49"/>
      <c r="C542" s="50">
        <v>4182</v>
      </c>
    </row>
    <row r="543" spans="2:3" s="1" customFormat="1" x14ac:dyDescent="0.2">
      <c r="B543" s="49"/>
      <c r="C543" s="50">
        <v>4201</v>
      </c>
    </row>
    <row r="544" spans="2:3" s="1" customFormat="1" x14ac:dyDescent="0.2">
      <c r="B544" s="49"/>
      <c r="C544" s="50">
        <v>4203</v>
      </c>
    </row>
    <row r="545" spans="2:3" s="1" customFormat="1" x14ac:dyDescent="0.2">
      <c r="B545" s="49"/>
      <c r="C545" s="50">
        <v>4267</v>
      </c>
    </row>
    <row r="546" spans="2:3" s="1" customFormat="1" x14ac:dyDescent="0.2">
      <c r="B546" s="49"/>
      <c r="C546" s="50">
        <v>4308</v>
      </c>
    </row>
    <row r="547" spans="2:3" s="1" customFormat="1" x14ac:dyDescent="0.2">
      <c r="B547" s="49"/>
      <c r="C547" s="50">
        <v>4315</v>
      </c>
    </row>
    <row r="548" spans="2:3" s="1" customFormat="1" x14ac:dyDescent="0.2">
      <c r="B548" s="49"/>
      <c r="C548" s="50">
        <v>4335</v>
      </c>
    </row>
    <row r="549" spans="2:3" s="1" customFormat="1" x14ac:dyDescent="0.2">
      <c r="B549" s="49"/>
      <c r="C549" s="50">
        <v>4337</v>
      </c>
    </row>
    <row r="550" spans="2:3" s="1" customFormat="1" x14ac:dyDescent="0.2">
      <c r="B550" s="49"/>
      <c r="C550" s="50">
        <v>4357</v>
      </c>
    </row>
    <row r="551" spans="2:3" s="1" customFormat="1" x14ac:dyDescent="0.2">
      <c r="B551" s="49"/>
      <c r="C551" s="50">
        <v>4381</v>
      </c>
    </row>
    <row r="552" spans="2:3" s="1" customFormat="1" x14ac:dyDescent="0.2">
      <c r="B552" s="49"/>
      <c r="C552" s="50">
        <v>4382</v>
      </c>
    </row>
    <row r="553" spans="2:3" s="1" customFormat="1" x14ac:dyDescent="0.2">
      <c r="B553" s="49"/>
      <c r="C553" s="50">
        <v>4383</v>
      </c>
    </row>
    <row r="554" spans="2:3" s="1" customFormat="1" x14ac:dyDescent="0.2">
      <c r="B554" s="49"/>
      <c r="C554" s="50">
        <v>4423</v>
      </c>
    </row>
    <row r="555" spans="2:3" s="1" customFormat="1" x14ac:dyDescent="0.2">
      <c r="B555" s="49"/>
      <c r="C555" s="50">
        <v>4441</v>
      </c>
    </row>
    <row r="556" spans="2:3" s="1" customFormat="1" x14ac:dyDescent="0.2">
      <c r="B556" s="49"/>
      <c r="C556" s="50">
        <v>4463</v>
      </c>
    </row>
    <row r="557" spans="2:3" s="1" customFormat="1" x14ac:dyDescent="0.2">
      <c r="B557" s="49"/>
      <c r="C557" s="50">
        <v>4494</v>
      </c>
    </row>
    <row r="558" spans="2:3" s="1" customFormat="1" x14ac:dyDescent="0.2">
      <c r="B558" s="49"/>
      <c r="C558" s="50">
        <v>4503</v>
      </c>
    </row>
    <row r="559" spans="2:3" s="1" customFormat="1" x14ac:dyDescent="0.2">
      <c r="B559" s="49"/>
      <c r="C559" s="50">
        <v>4504</v>
      </c>
    </row>
    <row r="560" spans="2:3" s="1" customFormat="1" x14ac:dyDescent="0.2">
      <c r="B560" s="49"/>
      <c r="C560" s="50">
        <v>4505</v>
      </c>
    </row>
    <row r="561" spans="2:3" s="1" customFormat="1" x14ac:dyDescent="0.2">
      <c r="B561" s="49"/>
      <c r="C561" s="50">
        <v>4508</v>
      </c>
    </row>
    <row r="562" spans="2:3" s="1" customFormat="1" x14ac:dyDescent="0.2">
      <c r="B562" s="49"/>
      <c r="C562" s="50">
        <v>4513</v>
      </c>
    </row>
    <row r="563" spans="2:3" s="1" customFormat="1" x14ac:dyDescent="0.2">
      <c r="B563" s="49"/>
      <c r="C563" s="50">
        <v>4522</v>
      </c>
    </row>
    <row r="564" spans="2:3" s="1" customFormat="1" x14ac:dyDescent="0.2">
      <c r="B564" s="49"/>
      <c r="C564" s="50">
        <v>4525</v>
      </c>
    </row>
    <row r="565" spans="2:3" s="1" customFormat="1" x14ac:dyDescent="0.2">
      <c r="B565" s="49"/>
      <c r="C565" s="50">
        <v>4529</v>
      </c>
    </row>
    <row r="566" spans="2:3" s="1" customFormat="1" x14ac:dyDescent="0.2">
      <c r="B566" s="49"/>
      <c r="C566" s="50">
        <v>4531</v>
      </c>
    </row>
    <row r="567" spans="2:3" s="1" customFormat="1" x14ac:dyDescent="0.2">
      <c r="B567" s="49"/>
      <c r="C567" s="50">
        <v>4536</v>
      </c>
    </row>
    <row r="568" spans="2:3" s="1" customFormat="1" x14ac:dyDescent="0.2">
      <c r="B568" s="49"/>
      <c r="C568" s="50">
        <v>4537</v>
      </c>
    </row>
    <row r="569" spans="2:3" s="1" customFormat="1" x14ac:dyDescent="0.2">
      <c r="B569" s="49"/>
      <c r="C569" s="50">
        <v>4538</v>
      </c>
    </row>
    <row r="570" spans="2:3" s="1" customFormat="1" x14ac:dyDescent="0.2">
      <c r="B570" s="49"/>
      <c r="C570" s="50">
        <v>4554</v>
      </c>
    </row>
    <row r="571" spans="2:3" s="1" customFormat="1" x14ac:dyDescent="0.2">
      <c r="B571" s="49"/>
      <c r="C571" s="50">
        <v>4565</v>
      </c>
    </row>
    <row r="572" spans="2:3" s="1" customFormat="1" x14ac:dyDescent="0.2">
      <c r="B572" s="49"/>
      <c r="C572" s="50">
        <v>4583</v>
      </c>
    </row>
    <row r="573" spans="2:3" s="1" customFormat="1" x14ac:dyDescent="0.2">
      <c r="B573" s="49"/>
      <c r="C573" s="50">
        <v>4586</v>
      </c>
    </row>
    <row r="574" spans="2:3" s="1" customFormat="1" x14ac:dyDescent="0.2">
      <c r="B574" s="49"/>
      <c r="C574" s="50">
        <v>4589</v>
      </c>
    </row>
    <row r="575" spans="2:3" s="1" customFormat="1" x14ac:dyDescent="0.2">
      <c r="B575" s="49"/>
      <c r="C575" s="50">
        <v>4612</v>
      </c>
    </row>
    <row r="576" spans="2:3" s="1" customFormat="1" x14ac:dyDescent="0.2">
      <c r="B576" s="49"/>
      <c r="C576" s="50">
        <v>4613</v>
      </c>
    </row>
    <row r="577" spans="2:3" s="1" customFormat="1" x14ac:dyDescent="0.2">
      <c r="B577" s="49"/>
      <c r="C577" s="50">
        <v>4621</v>
      </c>
    </row>
    <row r="578" spans="2:3" s="1" customFormat="1" x14ac:dyDescent="0.2">
      <c r="B578" s="49"/>
      <c r="C578" s="50">
        <v>4622</v>
      </c>
    </row>
    <row r="579" spans="2:3" s="1" customFormat="1" x14ac:dyDescent="0.2">
      <c r="B579" s="49"/>
      <c r="C579" s="50">
        <v>4623</v>
      </c>
    </row>
    <row r="580" spans="2:3" s="1" customFormat="1" x14ac:dyDescent="0.2">
      <c r="B580" s="49"/>
      <c r="C580" s="50">
        <v>4702</v>
      </c>
    </row>
    <row r="581" spans="2:3" s="1" customFormat="1" x14ac:dyDescent="0.2">
      <c r="B581" s="49"/>
      <c r="C581" s="50">
        <v>4707</v>
      </c>
    </row>
    <row r="582" spans="2:3" s="1" customFormat="1" x14ac:dyDescent="0.2">
      <c r="B582" s="49"/>
      <c r="C582" s="50">
        <v>4711</v>
      </c>
    </row>
    <row r="583" spans="2:3" s="1" customFormat="1" x14ac:dyDescent="0.2">
      <c r="B583" s="49"/>
      <c r="C583" s="50">
        <v>4772</v>
      </c>
    </row>
    <row r="584" spans="2:3" s="1" customFormat="1" x14ac:dyDescent="0.2">
      <c r="B584" s="49"/>
      <c r="C584" s="50">
        <v>4782</v>
      </c>
    </row>
    <row r="585" spans="2:3" s="1" customFormat="1" x14ac:dyDescent="0.2">
      <c r="B585" s="49"/>
      <c r="C585" s="50">
        <v>4811</v>
      </c>
    </row>
    <row r="586" spans="2:3" s="1" customFormat="1" x14ac:dyDescent="0.2">
      <c r="B586" s="49"/>
      <c r="C586" s="50">
        <v>4812</v>
      </c>
    </row>
    <row r="587" spans="2:3" s="1" customFormat="1" x14ac:dyDescent="0.2">
      <c r="B587" s="49"/>
      <c r="C587" s="50">
        <v>4814</v>
      </c>
    </row>
    <row r="588" spans="2:3" s="1" customFormat="1" x14ac:dyDescent="0.2">
      <c r="B588" s="49"/>
      <c r="C588" s="50">
        <v>4816</v>
      </c>
    </row>
    <row r="589" spans="2:3" s="1" customFormat="1" x14ac:dyDescent="0.2">
      <c r="B589" s="49"/>
      <c r="C589" s="50">
        <v>4822</v>
      </c>
    </row>
    <row r="590" spans="2:3" s="1" customFormat="1" x14ac:dyDescent="0.2">
      <c r="B590" s="49"/>
      <c r="C590" s="50">
        <v>4826</v>
      </c>
    </row>
    <row r="591" spans="2:3" s="1" customFormat="1" x14ac:dyDescent="0.2">
      <c r="B591" s="49"/>
      <c r="C591" s="50">
        <v>4827</v>
      </c>
    </row>
    <row r="592" spans="2:3" s="1" customFormat="1" x14ac:dyDescent="0.2">
      <c r="B592" s="49"/>
      <c r="C592" s="50">
        <v>4903</v>
      </c>
    </row>
    <row r="593" spans="2:3" s="1" customFormat="1" x14ac:dyDescent="0.2">
      <c r="B593" s="49"/>
      <c r="C593" s="50">
        <v>5011</v>
      </c>
    </row>
    <row r="594" spans="2:3" s="1" customFormat="1" x14ac:dyDescent="0.2">
      <c r="B594" s="49"/>
      <c r="C594" s="50">
        <v>5012</v>
      </c>
    </row>
    <row r="595" spans="2:3" s="1" customFormat="1" x14ac:dyDescent="0.2">
      <c r="B595" s="49"/>
      <c r="C595" s="50">
        <v>5013</v>
      </c>
    </row>
    <row r="596" spans="2:3" s="1" customFormat="1" x14ac:dyDescent="0.2">
      <c r="B596" s="49"/>
      <c r="C596" s="50">
        <v>5014</v>
      </c>
    </row>
    <row r="597" spans="2:3" s="1" customFormat="1" x14ac:dyDescent="0.2">
      <c r="B597" s="49"/>
      <c r="C597" s="50">
        <v>5015</v>
      </c>
    </row>
    <row r="598" spans="2:3" s="1" customFormat="1" x14ac:dyDescent="0.2">
      <c r="B598" s="49"/>
      <c r="C598" s="50">
        <v>5018</v>
      </c>
    </row>
    <row r="599" spans="2:3" s="1" customFormat="1" x14ac:dyDescent="0.2">
      <c r="B599" s="49"/>
      <c r="C599" s="50">
        <v>5021</v>
      </c>
    </row>
    <row r="600" spans="2:3" s="1" customFormat="1" x14ac:dyDescent="0.2">
      <c r="B600" s="49"/>
      <c r="C600" s="50">
        <v>5022</v>
      </c>
    </row>
    <row r="601" spans="2:3" s="1" customFormat="1" x14ac:dyDescent="0.2">
      <c r="B601" s="49"/>
      <c r="C601" s="50">
        <v>5025</v>
      </c>
    </row>
    <row r="602" spans="2:3" s="1" customFormat="1" x14ac:dyDescent="0.2">
      <c r="B602" s="49"/>
      <c r="C602" s="50">
        <v>5041</v>
      </c>
    </row>
    <row r="603" spans="2:3" s="1" customFormat="1" x14ac:dyDescent="0.2">
      <c r="B603" s="49"/>
      <c r="C603" s="50">
        <v>5042</v>
      </c>
    </row>
    <row r="604" spans="2:3" s="1" customFormat="1" x14ac:dyDescent="0.2">
      <c r="B604" s="49"/>
      <c r="C604" s="50">
        <v>5044</v>
      </c>
    </row>
    <row r="605" spans="2:3" s="1" customFormat="1" x14ac:dyDescent="0.2">
      <c r="B605" s="49"/>
      <c r="C605" s="50">
        <v>5046</v>
      </c>
    </row>
    <row r="606" spans="2:3" s="1" customFormat="1" x14ac:dyDescent="0.2">
      <c r="B606" s="49"/>
      <c r="C606" s="50">
        <v>5049</v>
      </c>
    </row>
    <row r="607" spans="2:3" s="1" customFormat="1" x14ac:dyDescent="0.2">
      <c r="B607" s="49"/>
      <c r="C607" s="50">
        <v>5059</v>
      </c>
    </row>
    <row r="608" spans="2:3" s="1" customFormat="1" x14ac:dyDescent="0.2">
      <c r="B608" s="49"/>
      <c r="C608" s="50">
        <v>5063</v>
      </c>
    </row>
    <row r="609" spans="2:3" s="1" customFormat="1" x14ac:dyDescent="0.2">
      <c r="B609" s="49"/>
      <c r="C609" s="50">
        <v>5105</v>
      </c>
    </row>
    <row r="610" spans="2:3" s="1" customFormat="1" x14ac:dyDescent="0.2">
      <c r="B610" s="49"/>
      <c r="C610" s="50">
        <v>5124</v>
      </c>
    </row>
    <row r="611" spans="2:3" s="1" customFormat="1" x14ac:dyDescent="0.2">
      <c r="B611" s="49"/>
      <c r="C611" s="50">
        <v>5142</v>
      </c>
    </row>
    <row r="612" spans="2:3" s="1" customFormat="1" x14ac:dyDescent="0.2">
      <c r="B612" s="49"/>
      <c r="C612" s="50">
        <v>5176</v>
      </c>
    </row>
    <row r="613" spans="2:3" s="1" customFormat="1" x14ac:dyDescent="0.2">
      <c r="B613" s="49"/>
      <c r="C613" s="50">
        <v>5211</v>
      </c>
    </row>
    <row r="614" spans="2:3" s="1" customFormat="1" x14ac:dyDescent="0.2">
      <c r="B614" s="49"/>
      <c r="C614" s="50">
        <v>5212</v>
      </c>
    </row>
    <row r="615" spans="2:3" s="1" customFormat="1" x14ac:dyDescent="0.2">
      <c r="B615" s="49"/>
      <c r="C615" s="50">
        <v>5213</v>
      </c>
    </row>
    <row r="616" spans="2:3" s="1" customFormat="1" x14ac:dyDescent="0.2">
      <c r="B616" s="49"/>
      <c r="C616" s="50">
        <v>5215</v>
      </c>
    </row>
    <row r="617" spans="2:3" s="1" customFormat="1" x14ac:dyDescent="0.2">
      <c r="B617" s="49"/>
      <c r="C617" s="50">
        <v>5223</v>
      </c>
    </row>
    <row r="618" spans="2:3" s="1" customFormat="1" x14ac:dyDescent="0.2">
      <c r="B618" s="49"/>
      <c r="C618" s="50">
        <v>5224</v>
      </c>
    </row>
    <row r="619" spans="2:3" s="1" customFormat="1" x14ac:dyDescent="0.2">
      <c r="B619" s="49"/>
      <c r="C619" s="50">
        <v>5231</v>
      </c>
    </row>
    <row r="620" spans="2:3" s="1" customFormat="1" x14ac:dyDescent="0.2">
      <c r="B620" s="49"/>
      <c r="C620" s="50">
        <v>5233</v>
      </c>
    </row>
    <row r="621" spans="2:3" s="1" customFormat="1" x14ac:dyDescent="0.2">
      <c r="B621" s="49"/>
      <c r="C621" s="50">
        <v>5266</v>
      </c>
    </row>
    <row r="622" spans="2:3" s="1" customFormat="1" x14ac:dyDescent="0.2">
      <c r="B622" s="49"/>
      <c r="C622" s="50">
        <v>5313</v>
      </c>
    </row>
    <row r="623" spans="2:3" s="1" customFormat="1" x14ac:dyDescent="0.2">
      <c r="B623" s="49"/>
      <c r="C623" s="50">
        <v>5343</v>
      </c>
    </row>
    <row r="624" spans="2:3" s="1" customFormat="1" x14ac:dyDescent="0.2">
      <c r="B624" s="49"/>
      <c r="C624" s="50">
        <v>5344</v>
      </c>
    </row>
    <row r="625" spans="2:3" s="1" customFormat="1" x14ac:dyDescent="0.2">
      <c r="B625" s="49"/>
      <c r="C625" s="50">
        <v>5348</v>
      </c>
    </row>
    <row r="626" spans="2:3" s="1" customFormat="1" x14ac:dyDescent="0.2">
      <c r="B626" s="49"/>
      <c r="C626" s="50">
        <v>5349</v>
      </c>
    </row>
    <row r="627" spans="2:3" s="1" customFormat="1" x14ac:dyDescent="0.2">
      <c r="B627" s="49"/>
      <c r="C627" s="50">
        <v>5367</v>
      </c>
    </row>
    <row r="628" spans="2:3" s="1" customFormat="1" x14ac:dyDescent="0.2">
      <c r="B628" s="49"/>
      <c r="C628" s="50">
        <v>5383</v>
      </c>
    </row>
    <row r="629" spans="2:3" s="1" customFormat="1" x14ac:dyDescent="0.2">
      <c r="B629" s="49"/>
      <c r="C629" s="50">
        <v>5401</v>
      </c>
    </row>
    <row r="630" spans="2:3" s="1" customFormat="1" x14ac:dyDescent="0.2">
      <c r="B630" s="49"/>
      <c r="C630" s="50">
        <v>5405</v>
      </c>
    </row>
    <row r="631" spans="2:3" s="1" customFormat="1" x14ac:dyDescent="0.2">
      <c r="B631" s="49"/>
      <c r="C631" s="50">
        <v>5423</v>
      </c>
    </row>
    <row r="632" spans="2:3" s="1" customFormat="1" x14ac:dyDescent="0.2">
      <c r="B632" s="49"/>
      <c r="C632" s="50">
        <v>5431</v>
      </c>
    </row>
    <row r="633" spans="2:3" s="1" customFormat="1" x14ac:dyDescent="0.2">
      <c r="B633" s="49"/>
      <c r="C633" s="50">
        <v>5462</v>
      </c>
    </row>
    <row r="634" spans="2:3" s="1" customFormat="1" x14ac:dyDescent="0.2">
      <c r="B634" s="49"/>
      <c r="C634" s="50">
        <v>5505</v>
      </c>
    </row>
    <row r="635" spans="2:3" s="1" customFormat="1" x14ac:dyDescent="0.2">
      <c r="B635" s="49"/>
      <c r="C635" s="50">
        <v>5553</v>
      </c>
    </row>
    <row r="636" spans="2:3" s="1" customFormat="1" x14ac:dyDescent="0.2">
      <c r="B636" s="49"/>
      <c r="C636" s="50">
        <v>5611</v>
      </c>
    </row>
    <row r="637" spans="2:3" s="1" customFormat="1" x14ac:dyDescent="0.2">
      <c r="B637" s="49"/>
      <c r="C637" s="50">
        <v>5612</v>
      </c>
    </row>
    <row r="638" spans="2:3" s="1" customFormat="1" x14ac:dyDescent="0.2">
      <c r="B638" s="49"/>
      <c r="C638" s="50">
        <v>5613</v>
      </c>
    </row>
    <row r="639" spans="2:3" s="1" customFormat="1" x14ac:dyDescent="0.2">
      <c r="B639" s="49"/>
      <c r="C639" s="50">
        <v>5616</v>
      </c>
    </row>
    <row r="640" spans="2:3" s="1" customFormat="1" x14ac:dyDescent="0.2">
      <c r="B640" s="49"/>
      <c r="C640" s="50">
        <v>5621</v>
      </c>
    </row>
    <row r="641" spans="2:3" s="1" customFormat="1" x14ac:dyDescent="0.2">
      <c r="B641" s="49"/>
      <c r="C641" s="50">
        <v>5622</v>
      </c>
    </row>
    <row r="642" spans="2:3" s="1" customFormat="1" x14ac:dyDescent="0.2">
      <c r="B642" s="49"/>
      <c r="C642" s="50">
        <v>5623</v>
      </c>
    </row>
    <row r="643" spans="2:3" s="1" customFormat="1" x14ac:dyDescent="0.2">
      <c r="B643" s="49"/>
      <c r="C643" s="50">
        <v>5625</v>
      </c>
    </row>
    <row r="644" spans="2:3" s="1" customFormat="1" x14ac:dyDescent="0.2">
      <c r="B644" s="49"/>
      <c r="C644" s="50">
        <v>5632</v>
      </c>
    </row>
    <row r="645" spans="2:3" s="1" customFormat="1" x14ac:dyDescent="0.2">
      <c r="B645" s="49"/>
      <c r="C645" s="50">
        <v>5641</v>
      </c>
    </row>
    <row r="646" spans="2:3" s="1" customFormat="1" x14ac:dyDescent="0.2">
      <c r="B646" s="49"/>
      <c r="C646" s="50">
        <v>5642</v>
      </c>
    </row>
    <row r="647" spans="2:3" s="1" customFormat="1" x14ac:dyDescent="0.2">
      <c r="B647" s="49"/>
      <c r="C647" s="50">
        <v>5643</v>
      </c>
    </row>
    <row r="648" spans="2:3" s="1" customFormat="1" x14ac:dyDescent="0.2">
      <c r="B648" s="49"/>
      <c r="C648" s="50">
        <v>5644</v>
      </c>
    </row>
    <row r="649" spans="2:3" s="1" customFormat="1" x14ac:dyDescent="0.2">
      <c r="B649" s="49"/>
      <c r="C649" s="50">
        <v>5645</v>
      </c>
    </row>
    <row r="650" spans="2:3" s="1" customFormat="1" x14ac:dyDescent="0.2">
      <c r="B650" s="49"/>
      <c r="C650" s="50">
        <v>5651</v>
      </c>
    </row>
    <row r="651" spans="2:3" s="1" customFormat="1" x14ac:dyDescent="0.2">
      <c r="B651" s="49"/>
      <c r="C651" s="50">
        <v>5652</v>
      </c>
    </row>
    <row r="652" spans="2:3" s="1" customFormat="1" x14ac:dyDescent="0.2">
      <c r="B652" s="49"/>
      <c r="C652" s="50">
        <v>5653</v>
      </c>
    </row>
    <row r="653" spans="2:3" s="1" customFormat="1" x14ac:dyDescent="0.2">
      <c r="B653" s="49"/>
      <c r="C653" s="50">
        <v>5654</v>
      </c>
    </row>
    <row r="654" spans="2:3" s="1" customFormat="1" x14ac:dyDescent="0.2">
      <c r="B654" s="49"/>
      <c r="C654" s="50">
        <v>5657</v>
      </c>
    </row>
    <row r="655" spans="2:3" s="1" customFormat="1" x14ac:dyDescent="0.2">
      <c r="B655" s="49"/>
      <c r="C655" s="50">
        <v>5665</v>
      </c>
    </row>
    <row r="656" spans="2:3" s="1" customFormat="1" x14ac:dyDescent="0.2">
      <c r="B656" s="49"/>
      <c r="C656" s="50">
        <v>5681</v>
      </c>
    </row>
    <row r="657" spans="2:3" s="1" customFormat="1" x14ac:dyDescent="0.2">
      <c r="B657" s="49"/>
      <c r="C657" s="50">
        <v>5684</v>
      </c>
    </row>
    <row r="658" spans="2:3" s="1" customFormat="1" x14ac:dyDescent="0.2">
      <c r="B658" s="49"/>
      <c r="C658" s="50">
        <v>5701</v>
      </c>
    </row>
    <row r="659" spans="2:3" s="1" customFormat="1" x14ac:dyDescent="0.2">
      <c r="B659" s="49"/>
      <c r="C659" s="50">
        <v>5702</v>
      </c>
    </row>
    <row r="660" spans="2:3" s="1" customFormat="1" x14ac:dyDescent="0.2">
      <c r="B660" s="49"/>
      <c r="C660" s="50">
        <v>5703</v>
      </c>
    </row>
    <row r="661" spans="2:3" s="1" customFormat="1" x14ac:dyDescent="0.2">
      <c r="B661" s="49"/>
      <c r="C661" s="50">
        <v>5704</v>
      </c>
    </row>
    <row r="662" spans="2:3" s="1" customFormat="1" x14ac:dyDescent="0.2">
      <c r="B662" s="49"/>
      <c r="C662" s="50">
        <v>5705</v>
      </c>
    </row>
    <row r="663" spans="2:3" s="1" customFormat="1" x14ac:dyDescent="0.2">
      <c r="B663" s="49"/>
      <c r="C663" s="50">
        <v>5802</v>
      </c>
    </row>
    <row r="664" spans="2:3" s="1" customFormat="1" x14ac:dyDescent="0.2">
      <c r="B664" s="49"/>
      <c r="C664" s="50">
        <v>5843</v>
      </c>
    </row>
    <row r="665" spans="2:3" s="1" customFormat="1" x14ac:dyDescent="0.2">
      <c r="B665" s="49"/>
      <c r="C665" s="50">
        <v>5856</v>
      </c>
    </row>
    <row r="666" spans="2:3" s="1" customFormat="1" x14ac:dyDescent="0.2">
      <c r="B666" s="49"/>
      <c r="C666" s="50">
        <v>5911</v>
      </c>
    </row>
    <row r="667" spans="2:3" s="1" customFormat="1" x14ac:dyDescent="0.2">
      <c r="B667" s="49"/>
      <c r="C667" s="50">
        <v>5912</v>
      </c>
    </row>
    <row r="668" spans="2:3" s="1" customFormat="1" x14ac:dyDescent="0.2">
      <c r="B668" s="49"/>
      <c r="C668" s="50">
        <v>5914</v>
      </c>
    </row>
    <row r="669" spans="2:3" s="1" customFormat="1" x14ac:dyDescent="0.2">
      <c r="B669" s="49"/>
      <c r="C669" s="50">
        <v>5915</v>
      </c>
    </row>
    <row r="670" spans="2:3" s="1" customFormat="1" x14ac:dyDescent="0.2">
      <c r="B670" s="49"/>
      <c r="C670" s="50">
        <v>5921</v>
      </c>
    </row>
    <row r="671" spans="2:3" s="1" customFormat="1" x14ac:dyDescent="0.2">
      <c r="B671" s="49"/>
      <c r="C671" s="50">
        <v>5922</v>
      </c>
    </row>
    <row r="672" spans="2:3" s="1" customFormat="1" x14ac:dyDescent="0.2">
      <c r="B672" s="49"/>
      <c r="C672" s="50">
        <v>5923</v>
      </c>
    </row>
    <row r="673" spans="2:3" s="1" customFormat="1" x14ac:dyDescent="0.2">
      <c r="B673" s="49"/>
      <c r="C673" s="50">
        <v>5925</v>
      </c>
    </row>
    <row r="674" spans="2:3" s="1" customFormat="1" x14ac:dyDescent="0.2">
      <c r="B674" s="49"/>
      <c r="C674" s="50">
        <v>5932</v>
      </c>
    </row>
    <row r="675" spans="2:3" s="1" customFormat="1" x14ac:dyDescent="0.2">
      <c r="B675" s="49"/>
      <c r="C675" s="50">
        <v>5977</v>
      </c>
    </row>
    <row r="676" spans="2:3" s="1" customFormat="1" x14ac:dyDescent="0.2">
      <c r="B676" s="49"/>
      <c r="C676" s="50">
        <v>5984</v>
      </c>
    </row>
    <row r="677" spans="2:3" s="1" customFormat="1" x14ac:dyDescent="0.2">
      <c r="B677" s="49"/>
      <c r="C677" s="50">
        <v>6013</v>
      </c>
    </row>
    <row r="678" spans="2:3" s="1" customFormat="1" x14ac:dyDescent="0.2">
      <c r="B678" s="49"/>
      <c r="C678" s="50">
        <v>6042</v>
      </c>
    </row>
    <row r="679" spans="2:3" s="1" customFormat="1" x14ac:dyDescent="0.2">
      <c r="B679" s="49"/>
      <c r="C679" s="50">
        <v>6043</v>
      </c>
    </row>
    <row r="680" spans="2:3" s="1" customFormat="1" x14ac:dyDescent="0.2">
      <c r="B680" s="49"/>
      <c r="C680" s="50">
        <v>6044</v>
      </c>
    </row>
    <row r="681" spans="2:3" s="1" customFormat="1" x14ac:dyDescent="0.2">
      <c r="B681" s="49"/>
      <c r="C681" s="50">
        <v>6045</v>
      </c>
    </row>
    <row r="682" spans="2:3" s="1" customFormat="1" x14ac:dyDescent="0.2">
      <c r="B682" s="49"/>
      <c r="C682" s="50">
        <v>6101</v>
      </c>
    </row>
    <row r="683" spans="2:3" s="1" customFormat="1" x14ac:dyDescent="0.2">
      <c r="B683" s="49"/>
      <c r="C683" s="50">
        <v>6102</v>
      </c>
    </row>
    <row r="684" spans="2:3" s="1" customFormat="1" x14ac:dyDescent="0.2">
      <c r="B684" s="49"/>
      <c r="C684" s="50">
        <v>6105</v>
      </c>
    </row>
    <row r="685" spans="2:3" s="1" customFormat="1" x14ac:dyDescent="0.2">
      <c r="B685" s="49"/>
      <c r="C685" s="50">
        <v>6111</v>
      </c>
    </row>
    <row r="686" spans="2:3" s="1" customFormat="1" x14ac:dyDescent="0.2">
      <c r="B686" s="49"/>
      <c r="C686" s="50">
        <v>6116</v>
      </c>
    </row>
    <row r="687" spans="2:3" s="1" customFormat="1" x14ac:dyDescent="0.2">
      <c r="B687" s="49"/>
      <c r="C687" s="50">
        <v>6121</v>
      </c>
    </row>
    <row r="688" spans="2:3" s="1" customFormat="1" x14ac:dyDescent="0.2">
      <c r="B688" s="49"/>
      <c r="C688" s="50">
        <v>6123</v>
      </c>
    </row>
    <row r="689" spans="2:3" s="1" customFormat="1" x14ac:dyDescent="0.2">
      <c r="B689" s="49"/>
      <c r="C689" s="50">
        <v>6125</v>
      </c>
    </row>
    <row r="690" spans="2:3" s="1" customFormat="1" x14ac:dyDescent="0.2">
      <c r="B690" s="49"/>
      <c r="C690" s="50">
        <v>6132</v>
      </c>
    </row>
    <row r="691" spans="2:3" s="1" customFormat="1" x14ac:dyDescent="0.2">
      <c r="B691" s="49"/>
      <c r="C691" s="50">
        <v>6134</v>
      </c>
    </row>
    <row r="692" spans="2:3" s="1" customFormat="1" x14ac:dyDescent="0.2">
      <c r="B692" s="49"/>
      <c r="C692" s="50">
        <v>6135</v>
      </c>
    </row>
    <row r="693" spans="2:3" s="1" customFormat="1" x14ac:dyDescent="0.2">
      <c r="B693" s="49"/>
      <c r="C693" s="50">
        <v>6136</v>
      </c>
    </row>
    <row r="694" spans="2:3" s="1" customFormat="1" x14ac:dyDescent="0.2">
      <c r="B694" s="49"/>
      <c r="C694" s="50">
        <v>6137</v>
      </c>
    </row>
    <row r="695" spans="2:3" s="1" customFormat="1" x14ac:dyDescent="0.2">
      <c r="B695" s="49"/>
      <c r="C695" s="50">
        <v>6143</v>
      </c>
    </row>
    <row r="696" spans="2:3" s="1" customFormat="1" x14ac:dyDescent="0.2">
      <c r="B696" s="49"/>
      <c r="C696" s="50">
        <v>6161</v>
      </c>
    </row>
    <row r="697" spans="2:3" s="1" customFormat="1" x14ac:dyDescent="0.2">
      <c r="B697" s="49"/>
      <c r="C697" s="50">
        <v>6162</v>
      </c>
    </row>
    <row r="698" spans="2:3" s="1" customFormat="1" x14ac:dyDescent="0.2">
      <c r="B698" s="49"/>
      <c r="C698" s="50">
        <v>6163</v>
      </c>
    </row>
    <row r="699" spans="2:3" s="1" customFormat="1" x14ac:dyDescent="0.2">
      <c r="B699" s="49"/>
      <c r="C699" s="50">
        <v>6164</v>
      </c>
    </row>
    <row r="700" spans="2:3" s="1" customFormat="1" x14ac:dyDescent="0.2">
      <c r="B700" s="49"/>
      <c r="C700" s="50">
        <v>6165</v>
      </c>
    </row>
    <row r="701" spans="2:3" s="1" customFormat="1" x14ac:dyDescent="0.2">
      <c r="B701" s="49"/>
      <c r="C701" s="50">
        <v>6166</v>
      </c>
    </row>
    <row r="702" spans="2:3" s="1" customFormat="1" x14ac:dyDescent="0.2">
      <c r="B702" s="49"/>
      <c r="C702" s="50">
        <v>6211</v>
      </c>
    </row>
    <row r="703" spans="2:3" s="1" customFormat="1" x14ac:dyDescent="0.2">
      <c r="B703" s="49"/>
      <c r="C703" s="50">
        <v>6214</v>
      </c>
    </row>
    <row r="704" spans="2:3" s="1" customFormat="1" x14ac:dyDescent="0.2">
      <c r="B704" s="49"/>
      <c r="C704" s="50">
        <v>6215</v>
      </c>
    </row>
    <row r="705" spans="2:3" s="1" customFormat="1" x14ac:dyDescent="0.2">
      <c r="B705" s="49"/>
      <c r="C705" s="50">
        <v>6216</v>
      </c>
    </row>
    <row r="706" spans="2:3" s="1" customFormat="1" x14ac:dyDescent="0.2">
      <c r="B706" s="49"/>
      <c r="C706" s="50">
        <v>6217</v>
      </c>
    </row>
    <row r="707" spans="2:3" s="1" customFormat="1" x14ac:dyDescent="0.2">
      <c r="B707" s="49"/>
      <c r="C707" s="50">
        <v>6218</v>
      </c>
    </row>
    <row r="708" spans="2:3" s="1" customFormat="1" x14ac:dyDescent="0.2">
      <c r="B708" s="49"/>
      <c r="C708" s="50">
        <v>6219</v>
      </c>
    </row>
    <row r="709" spans="2:3" s="1" customFormat="1" x14ac:dyDescent="0.2">
      <c r="B709" s="49"/>
      <c r="C709" s="50">
        <v>6221</v>
      </c>
    </row>
    <row r="710" spans="2:3" s="1" customFormat="1" x14ac:dyDescent="0.2">
      <c r="B710" s="49"/>
      <c r="C710" s="50">
        <v>6222</v>
      </c>
    </row>
    <row r="711" spans="2:3" s="1" customFormat="1" x14ac:dyDescent="0.2">
      <c r="B711" s="49"/>
      <c r="C711" s="50">
        <v>6224</v>
      </c>
    </row>
    <row r="712" spans="2:3" s="1" customFormat="1" x14ac:dyDescent="0.2">
      <c r="B712" s="49"/>
      <c r="C712" s="50">
        <v>6227</v>
      </c>
    </row>
    <row r="713" spans="2:3" s="1" customFormat="1" x14ac:dyDescent="0.2">
      <c r="B713" s="49"/>
      <c r="C713" s="50">
        <v>6228</v>
      </c>
    </row>
    <row r="714" spans="2:3" s="1" customFormat="1" x14ac:dyDescent="0.2">
      <c r="B714" s="49"/>
      <c r="C714" s="50">
        <v>6255</v>
      </c>
    </row>
    <row r="715" spans="2:3" s="1" customFormat="1" x14ac:dyDescent="0.2">
      <c r="B715" s="49"/>
      <c r="C715" s="50">
        <v>6268</v>
      </c>
    </row>
    <row r="716" spans="2:3" s="1" customFormat="1" x14ac:dyDescent="0.2">
      <c r="B716" s="49"/>
      <c r="C716" s="50">
        <v>6271</v>
      </c>
    </row>
    <row r="717" spans="2:3" s="1" customFormat="1" x14ac:dyDescent="0.2">
      <c r="B717" s="49"/>
      <c r="C717" s="50">
        <v>6277</v>
      </c>
    </row>
    <row r="718" spans="2:3" s="1" customFormat="1" x14ac:dyDescent="0.2">
      <c r="B718" s="49"/>
      <c r="C718" s="50">
        <v>6291</v>
      </c>
    </row>
    <row r="719" spans="2:3" s="1" customFormat="1" x14ac:dyDescent="0.2">
      <c r="B719" s="49"/>
      <c r="C719" s="50">
        <v>6301</v>
      </c>
    </row>
    <row r="720" spans="2:3" s="1" customFormat="1" x14ac:dyDescent="0.2">
      <c r="B720" s="49"/>
      <c r="C720" s="50">
        <v>6361</v>
      </c>
    </row>
    <row r="721" spans="2:3" s="1" customFormat="1" x14ac:dyDescent="0.2">
      <c r="B721" s="49"/>
      <c r="C721" s="50">
        <v>6371</v>
      </c>
    </row>
    <row r="722" spans="2:3" s="1" customFormat="1" x14ac:dyDescent="0.2">
      <c r="B722" s="49"/>
      <c r="C722" s="50">
        <v>6372</v>
      </c>
    </row>
    <row r="723" spans="2:3" s="1" customFormat="1" x14ac:dyDescent="0.2">
      <c r="B723" s="49"/>
      <c r="C723" s="50">
        <v>6373</v>
      </c>
    </row>
    <row r="724" spans="2:3" s="1" customFormat="1" x14ac:dyDescent="0.2">
      <c r="B724" s="49"/>
      <c r="C724" s="50">
        <v>6411</v>
      </c>
    </row>
    <row r="725" spans="2:3" s="1" customFormat="1" x14ac:dyDescent="0.2">
      <c r="B725" s="49"/>
      <c r="C725" s="50">
        <v>6412</v>
      </c>
    </row>
    <row r="726" spans="2:3" s="1" customFormat="1" x14ac:dyDescent="0.2">
      <c r="B726" s="49"/>
      <c r="C726" s="50">
        <v>6413</v>
      </c>
    </row>
    <row r="727" spans="2:3" s="1" customFormat="1" x14ac:dyDescent="0.2">
      <c r="B727" s="49"/>
      <c r="C727" s="50">
        <v>6414</v>
      </c>
    </row>
    <row r="728" spans="2:3" s="1" customFormat="1" x14ac:dyDescent="0.2">
      <c r="B728" s="49"/>
      <c r="C728" s="50">
        <v>6415</v>
      </c>
    </row>
    <row r="729" spans="2:3" s="1" customFormat="1" x14ac:dyDescent="0.2">
      <c r="B729" s="49"/>
      <c r="C729" s="50">
        <v>6416</v>
      </c>
    </row>
    <row r="730" spans="2:3" s="1" customFormat="1" x14ac:dyDescent="0.2">
      <c r="B730" s="49"/>
      <c r="C730" s="50">
        <v>6418</v>
      </c>
    </row>
    <row r="731" spans="2:3" s="1" customFormat="1" x14ac:dyDescent="0.2">
      <c r="B731" s="49"/>
      <c r="C731" s="50">
        <v>6431</v>
      </c>
    </row>
    <row r="732" spans="2:3" s="1" customFormat="1" x14ac:dyDescent="0.2">
      <c r="B732" s="49"/>
      <c r="C732" s="50">
        <v>6432</v>
      </c>
    </row>
    <row r="733" spans="2:3" s="1" customFormat="1" x14ac:dyDescent="0.2">
      <c r="B733" s="49"/>
      <c r="C733" s="50">
        <v>6433</v>
      </c>
    </row>
    <row r="734" spans="2:3" s="1" customFormat="1" x14ac:dyDescent="0.2">
      <c r="B734" s="49"/>
      <c r="C734" s="50">
        <v>6439</v>
      </c>
    </row>
    <row r="735" spans="2:3" s="1" customFormat="1" x14ac:dyDescent="0.2">
      <c r="B735" s="49"/>
      <c r="C735" s="50">
        <v>6441</v>
      </c>
    </row>
    <row r="736" spans="2:3" s="1" customFormat="1" x14ac:dyDescent="0.2">
      <c r="B736" s="49"/>
      <c r="C736" s="50">
        <v>6442</v>
      </c>
    </row>
    <row r="737" spans="2:3" s="1" customFormat="1" x14ac:dyDescent="0.2">
      <c r="B737" s="49"/>
      <c r="C737" s="50">
        <v>6443</v>
      </c>
    </row>
    <row r="738" spans="2:3" s="1" customFormat="1" x14ac:dyDescent="0.2">
      <c r="B738" s="49"/>
      <c r="C738" s="50">
        <v>6446</v>
      </c>
    </row>
    <row r="739" spans="2:3" s="1" customFormat="1" x14ac:dyDescent="0.2">
      <c r="B739" s="49"/>
      <c r="C739" s="50">
        <v>6451</v>
      </c>
    </row>
    <row r="740" spans="2:3" s="1" customFormat="1" x14ac:dyDescent="0.2">
      <c r="B740" s="49"/>
      <c r="C740" s="50">
        <v>6461</v>
      </c>
    </row>
    <row r="741" spans="2:3" s="1" customFormat="1" x14ac:dyDescent="0.2">
      <c r="B741" s="49"/>
      <c r="C741" s="50">
        <v>6462</v>
      </c>
    </row>
    <row r="742" spans="2:3" s="1" customFormat="1" x14ac:dyDescent="0.2">
      <c r="B742" s="49"/>
      <c r="C742" s="50">
        <v>6463</v>
      </c>
    </row>
    <row r="743" spans="2:3" s="1" customFormat="1" x14ac:dyDescent="0.2">
      <c r="B743" s="49"/>
      <c r="C743" s="50">
        <v>6464</v>
      </c>
    </row>
    <row r="744" spans="2:3" s="1" customFormat="1" x14ac:dyDescent="0.2">
      <c r="B744" s="49"/>
      <c r="C744" s="50">
        <v>6465</v>
      </c>
    </row>
    <row r="745" spans="2:3" s="1" customFormat="1" x14ac:dyDescent="0.2">
      <c r="B745" s="49"/>
      <c r="C745" s="50">
        <v>6466</v>
      </c>
    </row>
    <row r="746" spans="2:3" s="1" customFormat="1" x14ac:dyDescent="0.2">
      <c r="B746" s="49"/>
      <c r="C746" s="50">
        <v>6468</v>
      </c>
    </row>
    <row r="747" spans="2:3" s="1" customFormat="1" x14ac:dyDescent="0.2">
      <c r="B747" s="49"/>
      <c r="C747" s="50">
        <v>6469</v>
      </c>
    </row>
    <row r="748" spans="2:3" s="1" customFormat="1" x14ac:dyDescent="0.2">
      <c r="B748" s="49"/>
      <c r="C748" s="50">
        <v>6471</v>
      </c>
    </row>
    <row r="749" spans="2:3" s="1" customFormat="1" x14ac:dyDescent="0.2">
      <c r="B749" s="49"/>
      <c r="C749" s="50">
        <v>6511</v>
      </c>
    </row>
    <row r="750" spans="2:3" s="1" customFormat="1" x14ac:dyDescent="0.2">
      <c r="B750" s="49"/>
      <c r="C750" s="50">
        <v>6512</v>
      </c>
    </row>
    <row r="751" spans="2:3" s="1" customFormat="1" x14ac:dyDescent="0.2">
      <c r="B751" s="49"/>
      <c r="C751" s="50">
        <v>6521</v>
      </c>
    </row>
    <row r="752" spans="2:3" s="1" customFormat="1" x14ac:dyDescent="0.2">
      <c r="B752" s="49"/>
      <c r="C752" s="50">
        <v>6523</v>
      </c>
    </row>
    <row r="753" spans="2:3" s="1" customFormat="1" x14ac:dyDescent="0.2">
      <c r="B753" s="49"/>
      <c r="C753" s="50">
        <v>6531</v>
      </c>
    </row>
    <row r="754" spans="2:3" s="1" customFormat="1" x14ac:dyDescent="0.2">
      <c r="B754" s="49"/>
      <c r="C754" s="50">
        <v>6532</v>
      </c>
    </row>
    <row r="755" spans="2:3" s="1" customFormat="1" x14ac:dyDescent="0.2">
      <c r="B755" s="49"/>
      <c r="C755" s="50">
        <v>6533</v>
      </c>
    </row>
    <row r="756" spans="2:3" s="1" customFormat="1" x14ac:dyDescent="0.2">
      <c r="B756" s="49"/>
      <c r="C756" s="50">
        <v>6534</v>
      </c>
    </row>
    <row r="757" spans="2:3" s="1" customFormat="1" x14ac:dyDescent="0.2">
      <c r="B757" s="49"/>
      <c r="C757" s="50">
        <v>6535</v>
      </c>
    </row>
    <row r="758" spans="2:3" s="1" customFormat="1" x14ac:dyDescent="0.2">
      <c r="B758" s="49"/>
      <c r="C758" s="50">
        <v>6537</v>
      </c>
    </row>
    <row r="759" spans="2:3" s="1" customFormat="1" x14ac:dyDescent="0.2">
      <c r="B759" s="49"/>
      <c r="C759" s="50">
        <v>6538</v>
      </c>
    </row>
    <row r="760" spans="2:3" s="1" customFormat="1" x14ac:dyDescent="0.2">
      <c r="B760" s="49"/>
      <c r="C760" s="50">
        <v>6541</v>
      </c>
    </row>
    <row r="761" spans="2:3" s="1" customFormat="1" x14ac:dyDescent="0.2">
      <c r="B761" s="49"/>
      <c r="C761" s="50">
        <v>6542</v>
      </c>
    </row>
    <row r="762" spans="2:3" s="1" customFormat="1" x14ac:dyDescent="0.2">
      <c r="B762" s="49"/>
      <c r="C762" s="50">
        <v>6543</v>
      </c>
    </row>
    <row r="763" spans="2:3" s="1" customFormat="1" x14ac:dyDescent="0.2">
      <c r="B763" s="49"/>
      <c r="C763" s="50">
        <v>6544</v>
      </c>
    </row>
    <row r="764" spans="2:3" s="1" customFormat="1" x14ac:dyDescent="0.2">
      <c r="B764" s="49"/>
      <c r="C764" s="50">
        <v>6545</v>
      </c>
    </row>
    <row r="765" spans="2:3" s="1" customFormat="1" x14ac:dyDescent="0.2">
      <c r="B765" s="49"/>
      <c r="C765" s="50">
        <v>6546</v>
      </c>
    </row>
    <row r="766" spans="2:3" s="1" customFormat="1" x14ac:dyDescent="0.2">
      <c r="B766" s="49"/>
      <c r="C766" s="50">
        <v>6561</v>
      </c>
    </row>
    <row r="767" spans="2:3" s="1" customFormat="1" x14ac:dyDescent="0.2">
      <c r="B767" s="49"/>
      <c r="C767" s="50">
        <v>6574</v>
      </c>
    </row>
    <row r="768" spans="2:3" s="1" customFormat="1" x14ac:dyDescent="0.2">
      <c r="B768" s="49"/>
      <c r="C768" s="50">
        <v>6579</v>
      </c>
    </row>
    <row r="769" spans="2:3" s="1" customFormat="1" x14ac:dyDescent="0.2">
      <c r="B769" s="49"/>
      <c r="C769" s="50">
        <v>6601</v>
      </c>
    </row>
    <row r="770" spans="2:3" s="1" customFormat="1" x14ac:dyDescent="0.2">
      <c r="B770" s="49"/>
      <c r="C770" s="50">
        <v>6628</v>
      </c>
    </row>
    <row r="771" spans="2:3" s="1" customFormat="1" x14ac:dyDescent="0.2">
      <c r="B771" s="49"/>
      <c r="C771" s="50">
        <v>6677</v>
      </c>
    </row>
    <row r="772" spans="2:3" s="1" customFormat="1" x14ac:dyDescent="0.2">
      <c r="B772" s="49"/>
      <c r="C772" s="50">
        <v>6701</v>
      </c>
    </row>
    <row r="773" spans="2:3" s="1" customFormat="1" x14ac:dyDescent="0.2">
      <c r="B773" s="49"/>
      <c r="C773" s="50">
        <v>6702</v>
      </c>
    </row>
    <row r="774" spans="2:3" s="1" customFormat="1" x14ac:dyDescent="0.2">
      <c r="B774" s="49"/>
      <c r="C774" s="50">
        <v>6706</v>
      </c>
    </row>
    <row r="775" spans="2:3" s="1" customFormat="1" x14ac:dyDescent="0.2">
      <c r="B775" s="49"/>
      <c r="C775" s="50">
        <v>6707</v>
      </c>
    </row>
    <row r="776" spans="2:3" s="1" customFormat="1" x14ac:dyDescent="0.2">
      <c r="B776" s="49"/>
      <c r="C776" s="50">
        <v>6709</v>
      </c>
    </row>
    <row r="777" spans="2:3" s="1" customFormat="1" x14ac:dyDescent="0.2">
      <c r="B777" s="49"/>
      <c r="C777" s="50">
        <v>6714</v>
      </c>
    </row>
    <row r="778" spans="2:3" s="1" customFormat="1" x14ac:dyDescent="0.2">
      <c r="B778" s="49"/>
      <c r="C778" s="50">
        <v>6717</v>
      </c>
    </row>
    <row r="779" spans="2:3" s="1" customFormat="1" x14ac:dyDescent="0.2">
      <c r="B779" s="49"/>
      <c r="C779" s="50">
        <v>6811</v>
      </c>
    </row>
    <row r="780" spans="2:3" s="1" customFormat="1" x14ac:dyDescent="0.2">
      <c r="B780" s="49"/>
      <c r="C780" s="50">
        <v>6821</v>
      </c>
    </row>
    <row r="781" spans="2:3" s="1" customFormat="1" x14ac:dyDescent="0.2">
      <c r="B781" s="49"/>
      <c r="C781" s="50">
        <v>6822</v>
      </c>
    </row>
    <row r="782" spans="2:3" s="1" customFormat="1" x14ac:dyDescent="0.2">
      <c r="B782" s="49"/>
      <c r="C782" s="50">
        <v>6823</v>
      </c>
    </row>
    <row r="783" spans="2:3" s="1" customFormat="1" x14ac:dyDescent="0.2">
      <c r="B783" s="49"/>
      <c r="C783" s="50">
        <v>6826</v>
      </c>
    </row>
    <row r="784" spans="2:3" s="1" customFormat="1" x14ac:dyDescent="0.2">
      <c r="B784" s="49"/>
      <c r="C784" s="50">
        <v>6827</v>
      </c>
    </row>
    <row r="785" spans="2:3" s="1" customFormat="1" x14ac:dyDescent="0.2">
      <c r="B785" s="49"/>
      <c r="C785" s="50">
        <v>6828</v>
      </c>
    </row>
    <row r="786" spans="2:3" s="1" customFormat="1" x14ac:dyDescent="0.2">
      <c r="B786" s="49"/>
      <c r="C786" s="50">
        <v>6831</v>
      </c>
    </row>
    <row r="787" spans="2:3" s="1" customFormat="1" x14ac:dyDescent="0.2">
      <c r="B787" s="49"/>
      <c r="C787" s="50">
        <v>6832</v>
      </c>
    </row>
    <row r="788" spans="2:3" s="1" customFormat="1" x14ac:dyDescent="0.2">
      <c r="B788" s="49"/>
      <c r="C788" s="50">
        <v>6833</v>
      </c>
    </row>
    <row r="789" spans="2:3" s="1" customFormat="1" x14ac:dyDescent="0.2">
      <c r="B789" s="49"/>
      <c r="C789" s="50">
        <v>6834</v>
      </c>
    </row>
    <row r="790" spans="2:3" s="1" customFormat="1" x14ac:dyDescent="0.2">
      <c r="B790" s="49"/>
      <c r="C790" s="50">
        <v>6841</v>
      </c>
    </row>
    <row r="791" spans="2:3" s="1" customFormat="1" x14ac:dyDescent="0.2">
      <c r="B791" s="49"/>
      <c r="C791" s="50">
        <v>6844</v>
      </c>
    </row>
    <row r="792" spans="2:3" s="1" customFormat="1" x14ac:dyDescent="0.2">
      <c r="B792" s="49"/>
      <c r="C792" s="50">
        <v>6845</v>
      </c>
    </row>
    <row r="793" spans="2:3" s="1" customFormat="1" x14ac:dyDescent="0.2">
      <c r="B793" s="49"/>
      <c r="C793" s="50">
        <v>6882</v>
      </c>
    </row>
    <row r="794" spans="2:3" s="1" customFormat="1" x14ac:dyDescent="0.2">
      <c r="B794" s="49"/>
      <c r="C794" s="50">
        <v>6915</v>
      </c>
    </row>
    <row r="795" spans="2:3" s="1" customFormat="1" x14ac:dyDescent="0.2">
      <c r="B795" s="49"/>
      <c r="C795" s="50">
        <v>6917</v>
      </c>
    </row>
    <row r="796" spans="2:3" s="1" customFormat="1" x14ac:dyDescent="0.2">
      <c r="B796" s="49"/>
      <c r="C796" s="50">
        <v>6951</v>
      </c>
    </row>
    <row r="797" spans="2:3" s="1" customFormat="1" x14ac:dyDescent="0.2">
      <c r="B797" s="49"/>
      <c r="C797" s="50">
        <v>6975</v>
      </c>
    </row>
    <row r="798" spans="2:3" s="1" customFormat="1" x14ac:dyDescent="0.2">
      <c r="B798" s="49"/>
      <c r="C798" s="50">
        <v>6981</v>
      </c>
    </row>
    <row r="799" spans="2:3" s="1" customFormat="1" x14ac:dyDescent="0.2">
      <c r="B799" s="49"/>
      <c r="C799" s="50">
        <v>6982</v>
      </c>
    </row>
    <row r="800" spans="2:3" s="1" customFormat="1" x14ac:dyDescent="0.2">
      <c r="B800" s="49"/>
      <c r="C800" s="50">
        <v>7002</v>
      </c>
    </row>
    <row r="801" spans="2:3" s="1" customFormat="1" x14ac:dyDescent="0.2">
      <c r="B801" s="49"/>
      <c r="C801" s="50">
        <v>7008</v>
      </c>
    </row>
    <row r="802" spans="2:3" s="1" customFormat="1" x14ac:dyDescent="0.2">
      <c r="B802" s="49"/>
      <c r="C802" s="50">
        <v>7009</v>
      </c>
    </row>
    <row r="803" spans="2:3" s="1" customFormat="1" x14ac:dyDescent="0.2">
      <c r="B803" s="49"/>
      <c r="C803" s="50">
        <v>7036</v>
      </c>
    </row>
    <row r="804" spans="2:3" s="1" customFormat="1" x14ac:dyDescent="0.2">
      <c r="B804" s="49"/>
      <c r="C804" s="50">
        <v>7041</v>
      </c>
    </row>
    <row r="805" spans="2:3" s="1" customFormat="1" x14ac:dyDescent="0.2">
      <c r="B805" s="49"/>
      <c r="C805" s="50">
        <v>7044</v>
      </c>
    </row>
    <row r="806" spans="2:3" s="1" customFormat="1" x14ac:dyDescent="0.2">
      <c r="B806" s="49"/>
      <c r="C806" s="50">
        <v>7081</v>
      </c>
    </row>
    <row r="807" spans="2:3" s="1" customFormat="1" x14ac:dyDescent="0.2">
      <c r="B807" s="49"/>
      <c r="C807" s="50">
        <v>7113</v>
      </c>
    </row>
    <row r="808" spans="2:3" s="1" customFormat="1" x14ac:dyDescent="0.2">
      <c r="B808" s="49"/>
      <c r="C808" s="50">
        <v>7142</v>
      </c>
    </row>
    <row r="809" spans="2:3" s="1" customFormat="1" x14ac:dyDescent="0.2">
      <c r="B809" s="49"/>
      <c r="C809" s="50">
        <v>7202</v>
      </c>
    </row>
    <row r="810" spans="2:3" s="1" customFormat="1" x14ac:dyDescent="0.2">
      <c r="B810" s="49"/>
      <c r="C810" s="50">
        <v>7203</v>
      </c>
    </row>
    <row r="811" spans="2:3" s="1" customFormat="1" x14ac:dyDescent="0.2">
      <c r="B811" s="49"/>
      <c r="C811" s="50">
        <v>7204</v>
      </c>
    </row>
    <row r="812" spans="2:3" s="1" customFormat="1" x14ac:dyDescent="0.2">
      <c r="B812" s="49"/>
      <c r="C812" s="50">
        <v>7206</v>
      </c>
    </row>
    <row r="813" spans="2:3" s="1" customFormat="1" x14ac:dyDescent="0.2">
      <c r="B813" s="49"/>
      <c r="C813" s="50">
        <v>7216</v>
      </c>
    </row>
    <row r="814" spans="2:3" s="1" customFormat="1" x14ac:dyDescent="0.2">
      <c r="B814" s="49"/>
      <c r="C814" s="50">
        <v>7218</v>
      </c>
    </row>
    <row r="815" spans="2:3" s="1" customFormat="1" x14ac:dyDescent="0.2">
      <c r="B815" s="49"/>
      <c r="C815" s="50">
        <v>7226</v>
      </c>
    </row>
    <row r="816" spans="2:3" s="1" customFormat="1" x14ac:dyDescent="0.2">
      <c r="B816" s="49"/>
      <c r="C816" s="50">
        <v>7312</v>
      </c>
    </row>
    <row r="817" spans="2:3" s="1" customFormat="1" x14ac:dyDescent="0.2">
      <c r="B817" s="49"/>
      <c r="C817" s="50">
        <v>7323</v>
      </c>
    </row>
    <row r="818" spans="2:3" s="1" customFormat="1" x14ac:dyDescent="0.2">
      <c r="B818" s="49"/>
      <c r="C818" s="50">
        <v>7329</v>
      </c>
    </row>
    <row r="819" spans="2:3" s="1" customFormat="1" x14ac:dyDescent="0.2">
      <c r="B819" s="49"/>
      <c r="C819" s="50">
        <v>7331</v>
      </c>
    </row>
    <row r="820" spans="2:3" s="1" customFormat="1" x14ac:dyDescent="0.2">
      <c r="B820" s="49"/>
      <c r="C820" s="50">
        <v>7332</v>
      </c>
    </row>
    <row r="821" spans="2:3" s="1" customFormat="1" x14ac:dyDescent="0.2">
      <c r="B821" s="49"/>
      <c r="C821" s="50">
        <v>7413</v>
      </c>
    </row>
    <row r="822" spans="2:3" s="1" customFormat="1" x14ac:dyDescent="0.2">
      <c r="B822" s="49"/>
      <c r="C822" s="50">
        <v>7415</v>
      </c>
    </row>
    <row r="823" spans="2:3" s="1" customFormat="1" x14ac:dyDescent="0.2">
      <c r="B823" s="49"/>
      <c r="C823" s="50">
        <v>7416</v>
      </c>
    </row>
    <row r="824" spans="2:3" s="1" customFormat="1" x14ac:dyDescent="0.2">
      <c r="B824" s="49"/>
      <c r="C824" s="50">
        <v>7417</v>
      </c>
    </row>
    <row r="825" spans="2:3" s="1" customFormat="1" x14ac:dyDescent="0.2">
      <c r="B825" s="49"/>
      <c r="C825" s="50">
        <v>7418</v>
      </c>
    </row>
    <row r="826" spans="2:3" s="1" customFormat="1" x14ac:dyDescent="0.2">
      <c r="B826" s="49"/>
      <c r="C826" s="50">
        <v>7466</v>
      </c>
    </row>
    <row r="827" spans="2:3" s="1" customFormat="1" x14ac:dyDescent="0.2">
      <c r="B827" s="49"/>
      <c r="C827" s="50">
        <v>7467</v>
      </c>
    </row>
    <row r="828" spans="2:3" s="1" customFormat="1" x14ac:dyDescent="0.2">
      <c r="B828" s="49"/>
      <c r="C828" s="50">
        <v>7495</v>
      </c>
    </row>
    <row r="829" spans="2:3" s="1" customFormat="1" x14ac:dyDescent="0.2">
      <c r="B829" s="49"/>
      <c r="C829" s="50">
        <v>7511</v>
      </c>
    </row>
    <row r="830" spans="2:3" s="1" customFormat="1" x14ac:dyDescent="0.2">
      <c r="B830" s="49"/>
      <c r="C830" s="50">
        <v>7512</v>
      </c>
    </row>
    <row r="831" spans="2:3" s="1" customFormat="1" x14ac:dyDescent="0.2">
      <c r="B831" s="49"/>
      <c r="C831" s="50">
        <v>7513</v>
      </c>
    </row>
    <row r="832" spans="2:3" s="1" customFormat="1" x14ac:dyDescent="0.2">
      <c r="B832" s="49"/>
      <c r="C832" s="50">
        <v>7514</v>
      </c>
    </row>
    <row r="833" spans="2:3" s="1" customFormat="1" x14ac:dyDescent="0.2">
      <c r="B833" s="49"/>
      <c r="C833" s="50">
        <v>7521</v>
      </c>
    </row>
    <row r="834" spans="2:3" s="1" customFormat="1" x14ac:dyDescent="0.2">
      <c r="B834" s="49"/>
      <c r="C834" s="50">
        <v>7523</v>
      </c>
    </row>
    <row r="835" spans="2:3" s="1" customFormat="1" x14ac:dyDescent="0.2">
      <c r="B835" s="49"/>
      <c r="C835" s="50">
        <v>7525</v>
      </c>
    </row>
    <row r="836" spans="2:3" s="1" customFormat="1" x14ac:dyDescent="0.2">
      <c r="B836" s="49"/>
      <c r="C836" s="50">
        <v>7531</v>
      </c>
    </row>
    <row r="837" spans="2:3" s="1" customFormat="1" x14ac:dyDescent="0.2">
      <c r="B837" s="49"/>
      <c r="C837" s="50">
        <v>7532</v>
      </c>
    </row>
    <row r="838" spans="2:3" s="1" customFormat="1" x14ac:dyDescent="0.2">
      <c r="B838" s="49"/>
      <c r="C838" s="50">
        <v>7533</v>
      </c>
    </row>
    <row r="839" spans="2:3" s="1" customFormat="1" x14ac:dyDescent="0.2">
      <c r="B839" s="49"/>
      <c r="C839" s="50">
        <v>7541</v>
      </c>
    </row>
    <row r="840" spans="2:3" s="1" customFormat="1" x14ac:dyDescent="0.2">
      <c r="B840" s="49"/>
      <c r="C840" s="50">
        <v>7542</v>
      </c>
    </row>
    <row r="841" spans="2:3" s="1" customFormat="1" x14ac:dyDescent="0.2">
      <c r="B841" s="49"/>
      <c r="C841" s="50">
        <v>7543</v>
      </c>
    </row>
    <row r="842" spans="2:3" s="1" customFormat="1" x14ac:dyDescent="0.2">
      <c r="B842" s="49"/>
      <c r="C842" s="50">
        <v>7544</v>
      </c>
    </row>
    <row r="843" spans="2:3" s="1" customFormat="1" x14ac:dyDescent="0.2">
      <c r="B843" s="49"/>
      <c r="C843" s="50">
        <v>7545</v>
      </c>
    </row>
    <row r="844" spans="2:3" s="1" customFormat="1" x14ac:dyDescent="0.2">
      <c r="B844" s="49"/>
      <c r="C844" s="50">
        <v>7547</v>
      </c>
    </row>
    <row r="845" spans="2:3" s="1" customFormat="1" x14ac:dyDescent="0.2">
      <c r="B845" s="49"/>
      <c r="C845" s="50">
        <v>7552</v>
      </c>
    </row>
    <row r="846" spans="2:3" s="1" customFormat="1" x14ac:dyDescent="0.2">
      <c r="B846" s="49"/>
      <c r="C846" s="50">
        <v>7553</v>
      </c>
    </row>
    <row r="847" spans="2:3" s="1" customFormat="1" x14ac:dyDescent="0.2">
      <c r="B847" s="49"/>
      <c r="C847" s="50">
        <v>7556</v>
      </c>
    </row>
    <row r="848" spans="2:3" s="1" customFormat="1" x14ac:dyDescent="0.2">
      <c r="B848" s="49"/>
      <c r="C848" s="50">
        <v>7557</v>
      </c>
    </row>
    <row r="849" spans="2:3" s="1" customFormat="1" x14ac:dyDescent="0.2">
      <c r="B849" s="49"/>
      <c r="C849" s="50">
        <v>7571</v>
      </c>
    </row>
    <row r="850" spans="2:3" s="1" customFormat="1" x14ac:dyDescent="0.2">
      <c r="B850" s="49"/>
      <c r="C850" s="50">
        <v>7572</v>
      </c>
    </row>
    <row r="851" spans="2:3" s="1" customFormat="1" x14ac:dyDescent="0.2">
      <c r="B851" s="49"/>
      <c r="C851" s="50">
        <v>7574</v>
      </c>
    </row>
    <row r="852" spans="2:3" s="1" customFormat="1" x14ac:dyDescent="0.2">
      <c r="B852" s="49"/>
      <c r="C852" s="50">
        <v>7576</v>
      </c>
    </row>
    <row r="853" spans="2:3" s="1" customFormat="1" x14ac:dyDescent="0.2">
      <c r="B853" s="49"/>
      <c r="C853" s="50">
        <v>7586</v>
      </c>
    </row>
    <row r="854" spans="2:3" s="1" customFormat="1" x14ac:dyDescent="0.2">
      <c r="B854" s="49"/>
      <c r="C854" s="50">
        <v>7601</v>
      </c>
    </row>
    <row r="855" spans="2:3" s="1" customFormat="1" x14ac:dyDescent="0.2">
      <c r="B855" s="49"/>
      <c r="C855" s="50">
        <v>7603</v>
      </c>
    </row>
    <row r="856" spans="2:3" s="1" customFormat="1" x14ac:dyDescent="0.2">
      <c r="B856" s="49"/>
      <c r="C856" s="50">
        <v>7604</v>
      </c>
    </row>
    <row r="857" spans="2:3" s="1" customFormat="1" x14ac:dyDescent="0.2">
      <c r="B857" s="49"/>
      <c r="C857" s="50">
        <v>7605</v>
      </c>
    </row>
    <row r="858" spans="2:3" s="1" customFormat="1" x14ac:dyDescent="0.2">
      <c r="B858" s="49"/>
      <c r="C858" s="50">
        <v>7606</v>
      </c>
    </row>
    <row r="859" spans="2:3" s="1" customFormat="1" x14ac:dyDescent="0.2">
      <c r="B859" s="49"/>
      <c r="C859" s="50">
        <v>7608</v>
      </c>
    </row>
    <row r="860" spans="2:3" s="1" customFormat="1" x14ac:dyDescent="0.2">
      <c r="B860" s="49"/>
      <c r="C860" s="50">
        <v>7636</v>
      </c>
    </row>
    <row r="861" spans="2:3" s="1" customFormat="1" x14ac:dyDescent="0.2">
      <c r="B861" s="49"/>
      <c r="C861" s="50">
        <v>7637</v>
      </c>
    </row>
    <row r="862" spans="2:3" s="1" customFormat="1" x14ac:dyDescent="0.2">
      <c r="B862" s="49"/>
      <c r="C862" s="50">
        <v>7663</v>
      </c>
    </row>
    <row r="863" spans="2:3" s="1" customFormat="1" x14ac:dyDescent="0.2">
      <c r="B863" s="49"/>
      <c r="C863" s="50">
        <v>7676</v>
      </c>
    </row>
    <row r="864" spans="2:3" s="1" customFormat="1" x14ac:dyDescent="0.2">
      <c r="B864" s="49"/>
      <c r="C864" s="50">
        <v>7734</v>
      </c>
    </row>
    <row r="865" spans="2:3" s="1" customFormat="1" x14ac:dyDescent="0.2">
      <c r="B865" s="49"/>
      <c r="C865" s="50">
        <v>7738</v>
      </c>
    </row>
    <row r="866" spans="2:3" s="1" customFormat="1" x14ac:dyDescent="0.2">
      <c r="B866" s="49"/>
      <c r="C866" s="50">
        <v>7741</v>
      </c>
    </row>
    <row r="867" spans="2:3" s="1" customFormat="1" x14ac:dyDescent="0.2">
      <c r="B867" s="49"/>
      <c r="C867" s="50">
        <v>7756</v>
      </c>
    </row>
    <row r="868" spans="2:3" s="1" customFormat="1" x14ac:dyDescent="0.2">
      <c r="B868" s="49"/>
      <c r="C868" s="50">
        <v>7766</v>
      </c>
    </row>
    <row r="869" spans="2:3" s="1" customFormat="1" x14ac:dyDescent="0.2">
      <c r="B869" s="49"/>
      <c r="C869" s="50">
        <v>7793</v>
      </c>
    </row>
    <row r="870" spans="2:3" s="1" customFormat="1" x14ac:dyDescent="0.2">
      <c r="B870" s="49"/>
      <c r="C870" s="50">
        <v>7794</v>
      </c>
    </row>
    <row r="871" spans="2:3" s="1" customFormat="1" x14ac:dyDescent="0.2">
      <c r="B871" s="49"/>
      <c r="C871" s="50">
        <v>7796</v>
      </c>
    </row>
    <row r="872" spans="2:3" s="1" customFormat="1" x14ac:dyDescent="0.2">
      <c r="B872" s="49"/>
      <c r="C872" s="50">
        <v>7797</v>
      </c>
    </row>
    <row r="873" spans="2:3" s="1" customFormat="1" x14ac:dyDescent="0.2">
      <c r="B873" s="49"/>
      <c r="C873" s="50">
        <v>7798</v>
      </c>
    </row>
    <row r="874" spans="2:3" s="1" customFormat="1" x14ac:dyDescent="0.2">
      <c r="B874" s="49"/>
      <c r="C874" s="50">
        <v>7812</v>
      </c>
    </row>
    <row r="875" spans="2:3" s="1" customFormat="1" x14ac:dyDescent="0.2">
      <c r="B875" s="49"/>
      <c r="C875" s="50">
        <v>7814</v>
      </c>
    </row>
    <row r="876" spans="2:3" s="1" customFormat="1" x14ac:dyDescent="0.2">
      <c r="B876" s="49"/>
      <c r="C876" s="50">
        <v>7815</v>
      </c>
    </row>
    <row r="877" spans="2:3" s="1" customFormat="1" x14ac:dyDescent="0.2">
      <c r="B877" s="49"/>
      <c r="C877" s="50">
        <v>7823</v>
      </c>
    </row>
    <row r="878" spans="2:3" s="1" customFormat="1" x14ac:dyDescent="0.2">
      <c r="B878" s="49"/>
      <c r="C878" s="50">
        <v>7824</v>
      </c>
    </row>
    <row r="879" spans="2:3" s="1" customFormat="1" x14ac:dyDescent="0.2">
      <c r="B879" s="49"/>
      <c r="C879" s="50">
        <v>7831</v>
      </c>
    </row>
    <row r="880" spans="2:3" s="1" customFormat="1" x14ac:dyDescent="0.2">
      <c r="B880" s="49"/>
      <c r="C880" s="50">
        <v>7843</v>
      </c>
    </row>
    <row r="881" spans="2:3" s="1" customFormat="1" x14ac:dyDescent="0.2">
      <c r="B881" s="49"/>
      <c r="C881" s="50">
        <v>7844</v>
      </c>
    </row>
    <row r="882" spans="2:3" s="1" customFormat="1" x14ac:dyDescent="0.2">
      <c r="B882" s="49"/>
      <c r="C882" s="50">
        <v>7845</v>
      </c>
    </row>
    <row r="883" spans="2:3" s="1" customFormat="1" x14ac:dyDescent="0.2">
      <c r="B883" s="49"/>
      <c r="C883" s="50">
        <v>7847</v>
      </c>
    </row>
    <row r="884" spans="2:3" s="1" customFormat="1" x14ac:dyDescent="0.2">
      <c r="B884" s="49"/>
      <c r="C884" s="50">
        <v>7876</v>
      </c>
    </row>
    <row r="885" spans="2:3" s="1" customFormat="1" x14ac:dyDescent="0.2">
      <c r="B885" s="49"/>
      <c r="C885" s="50">
        <v>7881</v>
      </c>
    </row>
    <row r="886" spans="2:3" s="1" customFormat="1" x14ac:dyDescent="0.2">
      <c r="B886" s="49"/>
      <c r="C886" s="50">
        <v>7885</v>
      </c>
    </row>
    <row r="887" spans="2:3" s="1" customFormat="1" x14ac:dyDescent="0.2">
      <c r="B887" s="49"/>
      <c r="C887" s="50">
        <v>7894</v>
      </c>
    </row>
    <row r="888" spans="2:3" s="1" customFormat="1" x14ac:dyDescent="0.2">
      <c r="B888" s="49"/>
      <c r="C888" s="50">
        <v>7902</v>
      </c>
    </row>
    <row r="889" spans="2:3" s="1" customFormat="1" x14ac:dyDescent="0.2">
      <c r="B889" s="49"/>
      <c r="C889" s="50">
        <v>7904</v>
      </c>
    </row>
    <row r="890" spans="2:3" s="1" customFormat="1" x14ac:dyDescent="0.2">
      <c r="B890" s="49"/>
      <c r="C890" s="50">
        <v>7905</v>
      </c>
    </row>
    <row r="891" spans="2:3" s="1" customFormat="1" x14ac:dyDescent="0.2">
      <c r="B891" s="49"/>
      <c r="C891" s="50">
        <v>7906</v>
      </c>
    </row>
    <row r="892" spans="2:3" s="1" customFormat="1" x14ac:dyDescent="0.2">
      <c r="B892" s="49"/>
      <c r="C892" s="50">
        <v>7909</v>
      </c>
    </row>
    <row r="893" spans="2:3" s="1" customFormat="1" x14ac:dyDescent="0.2">
      <c r="B893" s="49"/>
      <c r="C893" s="50">
        <v>7912</v>
      </c>
    </row>
    <row r="894" spans="2:3" s="1" customFormat="1" x14ac:dyDescent="0.2">
      <c r="B894" s="49"/>
      <c r="C894" s="50">
        <v>7916</v>
      </c>
    </row>
    <row r="895" spans="2:3" s="1" customFormat="1" x14ac:dyDescent="0.2">
      <c r="B895" s="49"/>
      <c r="C895" s="50">
        <v>7917</v>
      </c>
    </row>
    <row r="896" spans="2:3" s="1" customFormat="1" x14ac:dyDescent="0.2">
      <c r="B896" s="49"/>
      <c r="C896" s="50">
        <v>7925</v>
      </c>
    </row>
    <row r="897" spans="2:3" s="1" customFormat="1" x14ac:dyDescent="0.2">
      <c r="B897" s="49"/>
      <c r="C897" s="50">
        <v>7927</v>
      </c>
    </row>
    <row r="898" spans="2:3" s="1" customFormat="1" x14ac:dyDescent="0.2">
      <c r="B898" s="49"/>
      <c r="C898" s="50">
        <v>7932</v>
      </c>
    </row>
    <row r="899" spans="2:3" s="1" customFormat="1" x14ac:dyDescent="0.2">
      <c r="B899" s="49"/>
      <c r="C899" s="50">
        <v>7942</v>
      </c>
    </row>
    <row r="900" spans="2:3" s="1" customFormat="1" x14ac:dyDescent="0.2">
      <c r="B900" s="49"/>
      <c r="C900" s="50">
        <v>7964</v>
      </c>
    </row>
    <row r="901" spans="2:3" s="1" customFormat="1" x14ac:dyDescent="0.2">
      <c r="B901" s="49"/>
      <c r="C901" s="50">
        <v>7974</v>
      </c>
    </row>
    <row r="902" spans="2:3" s="1" customFormat="1" x14ac:dyDescent="0.2">
      <c r="B902" s="49"/>
      <c r="C902" s="50">
        <v>7983</v>
      </c>
    </row>
    <row r="903" spans="2:3" s="1" customFormat="1" x14ac:dyDescent="0.2">
      <c r="B903" s="49"/>
      <c r="C903" s="50">
        <v>8012</v>
      </c>
    </row>
    <row r="904" spans="2:3" s="1" customFormat="1" x14ac:dyDescent="0.2">
      <c r="B904" s="49"/>
      <c r="C904" s="50">
        <v>8021</v>
      </c>
    </row>
    <row r="905" spans="2:3" s="1" customFormat="1" x14ac:dyDescent="0.2">
      <c r="B905" s="49"/>
      <c r="C905" s="50">
        <v>8022</v>
      </c>
    </row>
    <row r="906" spans="2:3" s="1" customFormat="1" x14ac:dyDescent="0.2">
      <c r="B906" s="49"/>
      <c r="C906" s="50">
        <v>8025</v>
      </c>
    </row>
    <row r="907" spans="2:3" s="1" customFormat="1" x14ac:dyDescent="0.2">
      <c r="B907" s="49"/>
      <c r="C907" s="50">
        <v>8028</v>
      </c>
    </row>
    <row r="908" spans="2:3" s="1" customFormat="1" x14ac:dyDescent="0.2">
      <c r="B908" s="49"/>
      <c r="C908" s="50">
        <v>8031</v>
      </c>
    </row>
    <row r="909" spans="2:3" s="1" customFormat="1" x14ac:dyDescent="0.2">
      <c r="B909" s="49"/>
      <c r="C909" s="50">
        <v>8032</v>
      </c>
    </row>
    <row r="910" spans="2:3" s="1" customFormat="1" x14ac:dyDescent="0.2">
      <c r="B910" s="49"/>
      <c r="C910" s="50">
        <v>8033</v>
      </c>
    </row>
    <row r="911" spans="2:3" s="1" customFormat="1" x14ac:dyDescent="0.2">
      <c r="B911" s="49"/>
      <c r="C911" s="50">
        <v>8035</v>
      </c>
    </row>
    <row r="912" spans="2:3" s="1" customFormat="1" x14ac:dyDescent="0.2">
      <c r="B912" s="49"/>
      <c r="C912" s="50">
        <v>8076</v>
      </c>
    </row>
    <row r="913" spans="2:3" s="1" customFormat="1" x14ac:dyDescent="0.2">
      <c r="B913" s="49"/>
      <c r="C913" s="50">
        <v>8146</v>
      </c>
    </row>
    <row r="914" spans="2:3" s="1" customFormat="1" x14ac:dyDescent="0.2">
      <c r="B914" s="49"/>
      <c r="C914" s="50">
        <v>8167</v>
      </c>
    </row>
    <row r="915" spans="2:3" s="1" customFormat="1" x14ac:dyDescent="0.2">
      <c r="B915" s="49"/>
      <c r="C915" s="50">
        <v>8218</v>
      </c>
    </row>
    <row r="916" spans="2:3" s="1" customFormat="1" x14ac:dyDescent="0.2">
      <c r="B916" s="49"/>
      <c r="C916" s="50">
        <v>8223</v>
      </c>
    </row>
    <row r="917" spans="2:3" s="1" customFormat="1" x14ac:dyDescent="0.2">
      <c r="B917" s="49"/>
      <c r="C917" s="50">
        <v>8224</v>
      </c>
    </row>
    <row r="918" spans="2:3" s="1" customFormat="1" x14ac:dyDescent="0.2">
      <c r="B918" s="49"/>
      <c r="C918" s="50">
        <v>8225</v>
      </c>
    </row>
    <row r="919" spans="2:3" s="1" customFormat="1" x14ac:dyDescent="0.2">
      <c r="B919" s="49"/>
      <c r="C919" s="50">
        <v>8226</v>
      </c>
    </row>
    <row r="920" spans="2:3" s="1" customFormat="1" x14ac:dyDescent="0.2">
      <c r="B920" s="49"/>
      <c r="C920" s="50">
        <v>8231</v>
      </c>
    </row>
    <row r="921" spans="2:3" s="1" customFormat="1" x14ac:dyDescent="0.2">
      <c r="B921" s="49"/>
      <c r="C921" s="50">
        <v>8232</v>
      </c>
    </row>
    <row r="922" spans="2:3" s="1" customFormat="1" x14ac:dyDescent="0.2">
      <c r="B922" s="49"/>
      <c r="C922" s="50">
        <v>8243</v>
      </c>
    </row>
    <row r="923" spans="2:3" s="1" customFormat="1" x14ac:dyDescent="0.2">
      <c r="B923" s="49"/>
      <c r="C923" s="50">
        <v>8261</v>
      </c>
    </row>
    <row r="924" spans="2:3" s="1" customFormat="1" x14ac:dyDescent="0.2">
      <c r="B924" s="49"/>
      <c r="C924" s="50">
        <v>8262</v>
      </c>
    </row>
    <row r="925" spans="2:3" s="1" customFormat="1" x14ac:dyDescent="0.2">
      <c r="B925" s="49"/>
      <c r="C925" s="50">
        <v>8263</v>
      </c>
    </row>
    <row r="926" spans="2:3" s="1" customFormat="1" x14ac:dyDescent="0.2">
      <c r="B926" s="49"/>
      <c r="C926" s="50">
        <v>8303</v>
      </c>
    </row>
    <row r="927" spans="2:3" s="1" customFormat="1" x14ac:dyDescent="0.2">
      <c r="B927" s="49"/>
      <c r="C927" s="50">
        <v>8307</v>
      </c>
    </row>
    <row r="928" spans="2:3" s="1" customFormat="1" x14ac:dyDescent="0.2">
      <c r="B928" s="49"/>
      <c r="C928" s="50">
        <v>8308</v>
      </c>
    </row>
    <row r="929" spans="2:3" s="1" customFormat="1" x14ac:dyDescent="0.2">
      <c r="B929" s="49"/>
      <c r="C929" s="50">
        <v>8311</v>
      </c>
    </row>
    <row r="930" spans="2:3" s="1" customFormat="1" x14ac:dyDescent="0.2">
      <c r="B930" s="49"/>
      <c r="C930" s="50">
        <v>8312</v>
      </c>
    </row>
    <row r="931" spans="2:3" s="1" customFormat="1" x14ac:dyDescent="0.2">
      <c r="B931" s="49"/>
      <c r="C931" s="50">
        <v>8313</v>
      </c>
    </row>
    <row r="932" spans="2:3" s="1" customFormat="1" x14ac:dyDescent="0.2">
      <c r="B932" s="49"/>
      <c r="C932" s="50">
        <v>8314</v>
      </c>
    </row>
    <row r="933" spans="2:3" s="1" customFormat="1" x14ac:dyDescent="0.2">
      <c r="B933" s="49"/>
      <c r="C933" s="50">
        <v>8315</v>
      </c>
    </row>
    <row r="934" spans="2:3" s="1" customFormat="1" x14ac:dyDescent="0.2">
      <c r="B934" s="49"/>
      <c r="C934" s="50">
        <v>8331</v>
      </c>
    </row>
    <row r="935" spans="2:3" s="1" customFormat="1" x14ac:dyDescent="0.2">
      <c r="B935" s="49"/>
      <c r="C935" s="50">
        <v>8341</v>
      </c>
    </row>
    <row r="936" spans="2:3" s="1" customFormat="1" x14ac:dyDescent="0.2">
      <c r="B936" s="49"/>
      <c r="C936" s="50">
        <v>8343</v>
      </c>
    </row>
    <row r="937" spans="2:3" s="1" customFormat="1" x14ac:dyDescent="0.2">
      <c r="B937" s="49"/>
      <c r="C937" s="50">
        <v>8346</v>
      </c>
    </row>
    <row r="938" spans="2:3" s="1" customFormat="1" x14ac:dyDescent="0.2">
      <c r="B938" s="49"/>
      <c r="C938" s="50">
        <v>8347</v>
      </c>
    </row>
    <row r="939" spans="2:3" s="1" customFormat="1" x14ac:dyDescent="0.2">
      <c r="B939" s="49"/>
      <c r="C939" s="50">
        <v>8351</v>
      </c>
    </row>
    <row r="940" spans="2:3" s="1" customFormat="1" x14ac:dyDescent="0.2">
      <c r="B940" s="49"/>
      <c r="C940" s="50">
        <v>8363</v>
      </c>
    </row>
    <row r="941" spans="2:3" s="1" customFormat="1" x14ac:dyDescent="0.2">
      <c r="B941" s="49"/>
      <c r="C941" s="50">
        <v>8373</v>
      </c>
    </row>
    <row r="942" spans="2:3" s="1" customFormat="1" x14ac:dyDescent="0.2">
      <c r="B942" s="49"/>
      <c r="C942" s="50">
        <v>8374</v>
      </c>
    </row>
    <row r="943" spans="2:3" s="1" customFormat="1" x14ac:dyDescent="0.2">
      <c r="B943" s="49"/>
      <c r="C943" s="50">
        <v>8378</v>
      </c>
    </row>
    <row r="944" spans="2:3" s="1" customFormat="1" x14ac:dyDescent="0.2">
      <c r="B944" s="49"/>
      <c r="C944" s="50">
        <v>8382</v>
      </c>
    </row>
    <row r="945" spans="2:3" s="1" customFormat="1" x14ac:dyDescent="0.2">
      <c r="B945" s="49"/>
      <c r="C945" s="50">
        <v>8383</v>
      </c>
    </row>
    <row r="946" spans="2:3" s="1" customFormat="1" x14ac:dyDescent="0.2">
      <c r="B946" s="49"/>
      <c r="C946" s="50">
        <v>8385</v>
      </c>
    </row>
    <row r="947" spans="2:3" s="1" customFormat="1" x14ac:dyDescent="0.2">
      <c r="B947" s="49"/>
      <c r="C947" s="50">
        <v>8389</v>
      </c>
    </row>
    <row r="948" spans="2:3" s="1" customFormat="1" x14ac:dyDescent="0.2">
      <c r="B948" s="49"/>
      <c r="C948" s="50">
        <v>8391</v>
      </c>
    </row>
    <row r="949" spans="2:3" s="1" customFormat="1" x14ac:dyDescent="0.2">
      <c r="B949" s="49"/>
      <c r="C949" s="50">
        <v>8394</v>
      </c>
    </row>
    <row r="950" spans="2:3" s="1" customFormat="1" x14ac:dyDescent="0.2">
      <c r="B950" s="49"/>
      <c r="C950" s="50">
        <v>8395</v>
      </c>
    </row>
    <row r="951" spans="2:3" s="1" customFormat="1" x14ac:dyDescent="0.2">
      <c r="B951" s="49"/>
      <c r="C951" s="50">
        <v>8406</v>
      </c>
    </row>
    <row r="952" spans="2:3" s="1" customFormat="1" x14ac:dyDescent="0.2">
      <c r="B952" s="49"/>
      <c r="C952" s="50">
        <v>8408</v>
      </c>
    </row>
    <row r="953" spans="2:3" s="1" customFormat="1" x14ac:dyDescent="0.2">
      <c r="B953" s="49"/>
      <c r="C953" s="50">
        <v>8422</v>
      </c>
    </row>
    <row r="954" spans="2:3" s="1" customFormat="1" x14ac:dyDescent="0.2">
      <c r="B954" s="49"/>
      <c r="C954" s="50">
        <v>8423</v>
      </c>
    </row>
    <row r="955" spans="2:3" s="1" customFormat="1" x14ac:dyDescent="0.2">
      <c r="B955" s="49"/>
      <c r="C955" s="50">
        <v>8428</v>
      </c>
    </row>
    <row r="956" spans="2:3" s="1" customFormat="1" x14ac:dyDescent="0.2">
      <c r="B956" s="49"/>
      <c r="C956" s="50">
        <v>8432</v>
      </c>
    </row>
    <row r="957" spans="2:3" s="1" customFormat="1" x14ac:dyDescent="0.2">
      <c r="B957" s="49"/>
      <c r="C957" s="50">
        <v>8434</v>
      </c>
    </row>
    <row r="958" spans="2:3" s="1" customFormat="1" x14ac:dyDescent="0.2">
      <c r="B958" s="49"/>
      <c r="C958" s="50">
        <v>8437</v>
      </c>
    </row>
    <row r="959" spans="2:3" s="1" customFormat="1" x14ac:dyDescent="0.2">
      <c r="B959" s="49"/>
      <c r="C959" s="50">
        <v>8442</v>
      </c>
    </row>
    <row r="960" spans="2:3" s="1" customFormat="1" x14ac:dyDescent="0.2">
      <c r="B960" s="49"/>
      <c r="C960" s="50">
        <v>8451</v>
      </c>
    </row>
    <row r="961" spans="2:3" s="1" customFormat="1" x14ac:dyDescent="0.2">
      <c r="B961" s="49"/>
      <c r="C961" s="50">
        <v>8457</v>
      </c>
    </row>
    <row r="962" spans="2:3" s="1" customFormat="1" x14ac:dyDescent="0.2">
      <c r="B962" s="49"/>
      <c r="C962" s="50">
        <v>8459</v>
      </c>
    </row>
    <row r="963" spans="2:3" s="1" customFormat="1" x14ac:dyDescent="0.2">
      <c r="B963" s="49"/>
      <c r="C963" s="50">
        <v>8463</v>
      </c>
    </row>
    <row r="964" spans="2:3" s="1" customFormat="1" x14ac:dyDescent="0.2">
      <c r="B964" s="49"/>
      <c r="C964" s="50">
        <v>8467</v>
      </c>
    </row>
    <row r="965" spans="2:3" s="1" customFormat="1" x14ac:dyDescent="0.2">
      <c r="B965" s="49"/>
      <c r="C965" s="50">
        <v>8472</v>
      </c>
    </row>
    <row r="966" spans="2:3" s="1" customFormat="1" x14ac:dyDescent="0.2">
      <c r="B966" s="49"/>
      <c r="C966" s="50">
        <v>8475</v>
      </c>
    </row>
    <row r="967" spans="2:3" s="1" customFormat="1" x14ac:dyDescent="0.2">
      <c r="B967" s="49"/>
      <c r="C967" s="50">
        <v>8479</v>
      </c>
    </row>
    <row r="968" spans="2:3" s="1" customFormat="1" x14ac:dyDescent="0.2">
      <c r="B968" s="49"/>
      <c r="C968" s="50">
        <v>8483</v>
      </c>
    </row>
    <row r="969" spans="2:3" s="1" customFormat="1" x14ac:dyDescent="0.2">
      <c r="B969" s="49"/>
      <c r="C969" s="50">
        <v>8485</v>
      </c>
    </row>
    <row r="970" spans="2:3" s="1" customFormat="1" x14ac:dyDescent="0.2">
      <c r="B970" s="49"/>
      <c r="C970" s="50">
        <v>8486</v>
      </c>
    </row>
    <row r="971" spans="2:3" s="1" customFormat="1" x14ac:dyDescent="0.2">
      <c r="B971" s="49"/>
      <c r="C971" s="50">
        <v>8508</v>
      </c>
    </row>
    <row r="972" spans="2:3" s="1" customFormat="1" x14ac:dyDescent="0.2">
      <c r="B972" s="49"/>
      <c r="C972" s="50">
        <v>8511</v>
      </c>
    </row>
    <row r="973" spans="2:3" s="1" customFormat="1" x14ac:dyDescent="0.2">
      <c r="B973" s="49"/>
      <c r="C973" s="50">
        <v>8513</v>
      </c>
    </row>
    <row r="974" spans="2:3" s="1" customFormat="1" x14ac:dyDescent="0.2">
      <c r="B974" s="49"/>
      <c r="C974" s="50">
        <v>8522</v>
      </c>
    </row>
    <row r="975" spans="2:3" s="1" customFormat="1" x14ac:dyDescent="0.2">
      <c r="B975" s="49"/>
      <c r="C975" s="50">
        <v>8531</v>
      </c>
    </row>
    <row r="976" spans="2:3" s="1" customFormat="1" x14ac:dyDescent="0.2">
      <c r="B976" s="49"/>
      <c r="C976" s="50">
        <v>8539</v>
      </c>
    </row>
    <row r="977" spans="2:3" s="1" customFormat="1" x14ac:dyDescent="0.2">
      <c r="B977" s="49"/>
      <c r="C977" s="50">
        <v>8565</v>
      </c>
    </row>
    <row r="978" spans="2:3" s="1" customFormat="1" x14ac:dyDescent="0.2">
      <c r="B978" s="49"/>
      <c r="C978" s="50">
        <v>8584</v>
      </c>
    </row>
    <row r="979" spans="2:3" s="1" customFormat="1" x14ac:dyDescent="0.2">
      <c r="B979" s="49"/>
      <c r="C979" s="50">
        <v>8602</v>
      </c>
    </row>
    <row r="980" spans="2:3" s="1" customFormat="1" x14ac:dyDescent="0.2">
      <c r="B980" s="49"/>
      <c r="C980" s="50">
        <v>8606</v>
      </c>
    </row>
    <row r="981" spans="2:3" s="1" customFormat="1" x14ac:dyDescent="0.2">
      <c r="B981" s="49"/>
      <c r="C981" s="50">
        <v>8607</v>
      </c>
    </row>
    <row r="982" spans="2:3" s="1" customFormat="1" x14ac:dyDescent="0.2">
      <c r="B982" s="49"/>
      <c r="C982" s="50">
        <v>8608</v>
      </c>
    </row>
    <row r="983" spans="2:3" s="1" customFormat="1" x14ac:dyDescent="0.2">
      <c r="B983" s="49"/>
      <c r="C983" s="50">
        <v>8611</v>
      </c>
    </row>
    <row r="984" spans="2:3" s="1" customFormat="1" x14ac:dyDescent="0.2">
      <c r="B984" s="49"/>
      <c r="C984" s="50">
        <v>8614</v>
      </c>
    </row>
    <row r="985" spans="2:3" s="1" customFormat="1" x14ac:dyDescent="0.2">
      <c r="B985" s="49"/>
      <c r="C985" s="50">
        <v>8615</v>
      </c>
    </row>
    <row r="986" spans="2:3" s="1" customFormat="1" x14ac:dyDescent="0.2">
      <c r="B986" s="49"/>
      <c r="C986" s="50">
        <v>8627</v>
      </c>
    </row>
    <row r="987" spans="2:3" s="1" customFormat="1" x14ac:dyDescent="0.2">
      <c r="B987" s="49"/>
      <c r="C987" s="50">
        <v>8628</v>
      </c>
    </row>
    <row r="988" spans="2:3" s="1" customFormat="1" x14ac:dyDescent="0.2">
      <c r="B988" s="49"/>
      <c r="C988" s="50">
        <v>8635</v>
      </c>
    </row>
    <row r="989" spans="2:3" s="1" customFormat="1" x14ac:dyDescent="0.2">
      <c r="B989" s="49"/>
      <c r="C989" s="50">
        <v>8637</v>
      </c>
    </row>
    <row r="990" spans="2:3" s="1" customFormat="1" x14ac:dyDescent="0.2">
      <c r="B990" s="49"/>
      <c r="C990" s="50">
        <v>8647</v>
      </c>
    </row>
    <row r="991" spans="2:3" s="1" customFormat="1" x14ac:dyDescent="0.2">
      <c r="B991" s="49"/>
      <c r="C991" s="50">
        <v>8711</v>
      </c>
    </row>
    <row r="992" spans="2:3" s="1" customFormat="1" x14ac:dyDescent="0.2">
      <c r="B992" s="49"/>
      <c r="C992" s="50">
        <v>8713</v>
      </c>
    </row>
    <row r="993" spans="2:3" s="1" customFormat="1" x14ac:dyDescent="0.2">
      <c r="B993" s="49"/>
      <c r="C993" s="50">
        <v>8715</v>
      </c>
    </row>
    <row r="994" spans="2:3" s="1" customFormat="1" x14ac:dyDescent="0.2">
      <c r="B994" s="49"/>
      <c r="C994" s="50">
        <v>8721</v>
      </c>
    </row>
    <row r="995" spans="2:3" s="1" customFormat="1" x14ac:dyDescent="0.2">
      <c r="B995" s="49"/>
      <c r="C995" s="50">
        <v>8724</v>
      </c>
    </row>
    <row r="996" spans="2:3" s="1" customFormat="1" x14ac:dyDescent="0.2">
      <c r="B996" s="49"/>
      <c r="C996" s="50">
        <v>8735</v>
      </c>
    </row>
    <row r="997" spans="2:3" s="1" customFormat="1" x14ac:dyDescent="0.2">
      <c r="B997" s="49"/>
      <c r="C997" s="50">
        <v>8736</v>
      </c>
    </row>
    <row r="998" spans="2:3" s="1" customFormat="1" x14ac:dyDescent="0.2">
      <c r="B998" s="49"/>
      <c r="C998" s="50">
        <v>8742</v>
      </c>
    </row>
    <row r="999" spans="2:3" s="1" customFormat="1" x14ac:dyDescent="0.2">
      <c r="B999" s="49"/>
      <c r="C999" s="50">
        <v>8748</v>
      </c>
    </row>
    <row r="1000" spans="2:3" s="1" customFormat="1" x14ac:dyDescent="0.2">
      <c r="B1000" s="49"/>
      <c r="C1000" s="50">
        <v>8751</v>
      </c>
    </row>
    <row r="1001" spans="2:3" s="1" customFormat="1" x14ac:dyDescent="0.2">
      <c r="B1001" s="49"/>
      <c r="C1001" s="50">
        <v>8757</v>
      </c>
    </row>
    <row r="1002" spans="2:3" s="1" customFormat="1" x14ac:dyDescent="0.2">
      <c r="B1002" s="49"/>
      <c r="C1002" s="50">
        <v>8759</v>
      </c>
    </row>
    <row r="1003" spans="2:3" s="1" customFormat="1" x14ac:dyDescent="0.2">
      <c r="B1003" s="49"/>
      <c r="C1003" s="50">
        <v>8761</v>
      </c>
    </row>
    <row r="1004" spans="2:3" s="1" customFormat="1" x14ac:dyDescent="0.2">
      <c r="B1004" s="49"/>
      <c r="C1004" s="50">
        <v>8765</v>
      </c>
    </row>
    <row r="1005" spans="2:3" s="1" customFormat="1" x14ac:dyDescent="0.2">
      <c r="B1005" s="49"/>
      <c r="C1005" s="50">
        <v>8802</v>
      </c>
    </row>
    <row r="1006" spans="2:3" s="1" customFormat="1" x14ac:dyDescent="0.2">
      <c r="B1006" s="49"/>
      <c r="C1006" s="50">
        <v>8804</v>
      </c>
    </row>
    <row r="1007" spans="2:3" s="1" customFormat="1" x14ac:dyDescent="0.2">
      <c r="B1007" s="49"/>
      <c r="C1007" s="50">
        <v>8806</v>
      </c>
    </row>
    <row r="1008" spans="2:3" s="1" customFormat="1" x14ac:dyDescent="0.2">
      <c r="B1008" s="49"/>
      <c r="C1008" s="50">
        <v>8807</v>
      </c>
    </row>
    <row r="1009" spans="2:3" s="1" customFormat="1" x14ac:dyDescent="0.2">
      <c r="B1009" s="49"/>
      <c r="C1009" s="50">
        <v>8808</v>
      </c>
    </row>
    <row r="1010" spans="2:3" s="1" customFormat="1" x14ac:dyDescent="0.2">
      <c r="B1010" s="49"/>
      <c r="C1010" s="50">
        <v>8812</v>
      </c>
    </row>
    <row r="1011" spans="2:3" s="1" customFormat="1" x14ac:dyDescent="0.2">
      <c r="B1011" s="49"/>
      <c r="C1011" s="50">
        <v>8854</v>
      </c>
    </row>
    <row r="1012" spans="2:3" s="1" customFormat="1" x14ac:dyDescent="0.2">
      <c r="B1012" s="49"/>
      <c r="C1012" s="50">
        <v>8861</v>
      </c>
    </row>
    <row r="1013" spans="2:3" s="1" customFormat="1" x14ac:dyDescent="0.2">
      <c r="B1013" s="49"/>
      <c r="C1013" s="50">
        <v>8862</v>
      </c>
    </row>
    <row r="1014" spans="2:3" s="1" customFormat="1" x14ac:dyDescent="0.2">
      <c r="B1014" s="49"/>
      <c r="C1014" s="50">
        <v>8891</v>
      </c>
    </row>
    <row r="1015" spans="2:3" s="1" customFormat="1" x14ac:dyDescent="0.2">
      <c r="B1015" s="49"/>
      <c r="C1015" s="50">
        <v>8895</v>
      </c>
    </row>
    <row r="1016" spans="2:3" s="1" customFormat="1" x14ac:dyDescent="0.2">
      <c r="B1016" s="49"/>
      <c r="C1016" s="50">
        <v>8896</v>
      </c>
    </row>
    <row r="1017" spans="2:3" s="1" customFormat="1" x14ac:dyDescent="0.2">
      <c r="B1017" s="49"/>
      <c r="C1017" s="50">
        <v>8911</v>
      </c>
    </row>
    <row r="1018" spans="2:3" s="1" customFormat="1" x14ac:dyDescent="0.2">
      <c r="B1018" s="49"/>
      <c r="C1018" s="50">
        <v>8915</v>
      </c>
    </row>
    <row r="1019" spans="2:3" s="1" customFormat="1" x14ac:dyDescent="0.2">
      <c r="B1019" s="49"/>
      <c r="C1019" s="50">
        <v>8917</v>
      </c>
    </row>
    <row r="1020" spans="2:3" s="1" customFormat="1" x14ac:dyDescent="0.2">
      <c r="B1020" s="49"/>
      <c r="C1020" s="50">
        <v>8918</v>
      </c>
    </row>
    <row r="1021" spans="2:3" s="1" customFormat="1" x14ac:dyDescent="0.2">
      <c r="B1021" s="49"/>
      <c r="C1021" s="50">
        <v>8921</v>
      </c>
    </row>
    <row r="1022" spans="2:3" s="1" customFormat="1" x14ac:dyDescent="0.2">
      <c r="B1022" s="49"/>
      <c r="C1022" s="50">
        <v>8922</v>
      </c>
    </row>
    <row r="1023" spans="2:3" s="1" customFormat="1" x14ac:dyDescent="0.2">
      <c r="B1023" s="49"/>
      <c r="C1023" s="50">
        <v>8923</v>
      </c>
    </row>
    <row r="1024" spans="2:3" s="1" customFormat="1" x14ac:dyDescent="0.2">
      <c r="B1024" s="49"/>
      <c r="C1024" s="50">
        <v>8924</v>
      </c>
    </row>
    <row r="1025" spans="2:3" s="1" customFormat="1" x14ac:dyDescent="0.2">
      <c r="B1025" s="49"/>
      <c r="C1025" s="50">
        <v>8926</v>
      </c>
    </row>
    <row r="1026" spans="2:3" s="1" customFormat="1" x14ac:dyDescent="0.2">
      <c r="B1026" s="49"/>
      <c r="C1026" s="50">
        <v>8931</v>
      </c>
    </row>
    <row r="1027" spans="2:3" s="1" customFormat="1" x14ac:dyDescent="0.2">
      <c r="B1027" s="49"/>
      <c r="C1027" s="50">
        <v>8932</v>
      </c>
    </row>
    <row r="1028" spans="2:3" s="1" customFormat="1" x14ac:dyDescent="0.2">
      <c r="B1028" s="49"/>
      <c r="C1028" s="50">
        <v>8933</v>
      </c>
    </row>
    <row r="1029" spans="2:3" s="1" customFormat="1" x14ac:dyDescent="0.2">
      <c r="B1029" s="49"/>
      <c r="C1029" s="50">
        <v>8936</v>
      </c>
    </row>
    <row r="1030" spans="2:3" s="1" customFormat="1" x14ac:dyDescent="0.2">
      <c r="B1030" s="49"/>
      <c r="C1030" s="50">
        <v>8937</v>
      </c>
    </row>
    <row r="1031" spans="2:3" s="1" customFormat="1" x14ac:dyDescent="0.2">
      <c r="B1031" s="49"/>
      <c r="C1031" s="50">
        <v>9014</v>
      </c>
    </row>
    <row r="1032" spans="2:3" s="1" customFormat="1" x14ac:dyDescent="0.2">
      <c r="B1032" s="49"/>
      <c r="C1032" s="50">
        <v>9021</v>
      </c>
    </row>
    <row r="1033" spans="2:3" s="1" customFormat="1" x14ac:dyDescent="0.2">
      <c r="B1033" s="49"/>
      <c r="C1033" s="50">
        <v>9054</v>
      </c>
    </row>
    <row r="1034" spans="2:3" s="1" customFormat="1" x14ac:dyDescent="0.2">
      <c r="B1034" s="49"/>
      <c r="C1034" s="50">
        <v>9055</v>
      </c>
    </row>
    <row r="1035" spans="2:3" s="1" customFormat="1" x14ac:dyDescent="0.2">
      <c r="B1035" s="49"/>
      <c r="C1035" s="50">
        <v>9063</v>
      </c>
    </row>
    <row r="1036" spans="2:3" s="1" customFormat="1" x14ac:dyDescent="0.2">
      <c r="B1036" s="49"/>
      <c r="C1036" s="50">
        <v>9071</v>
      </c>
    </row>
    <row r="1037" spans="2:3" s="1" customFormat="1" x14ac:dyDescent="0.2">
      <c r="B1037" s="49"/>
      <c r="C1037" s="50">
        <v>9074</v>
      </c>
    </row>
    <row r="1038" spans="2:3" s="1" customFormat="1" x14ac:dyDescent="0.2">
      <c r="B1038" s="49"/>
      <c r="C1038" s="50">
        <v>9075</v>
      </c>
    </row>
    <row r="1039" spans="2:3" s="1" customFormat="1" x14ac:dyDescent="0.2">
      <c r="B1039" s="49"/>
      <c r="C1039" s="50">
        <v>9078</v>
      </c>
    </row>
    <row r="1040" spans="2:3" s="1" customFormat="1" x14ac:dyDescent="0.2">
      <c r="B1040" s="49"/>
      <c r="C1040" s="50">
        <v>9079</v>
      </c>
    </row>
    <row r="1041" spans="2:3" s="1" customFormat="1" x14ac:dyDescent="0.2">
      <c r="B1041" s="49"/>
      <c r="C1041" s="50">
        <v>9089</v>
      </c>
    </row>
    <row r="1042" spans="2:3" s="1" customFormat="1" x14ac:dyDescent="0.2">
      <c r="B1042" s="49"/>
      <c r="C1042" s="50">
        <v>9108</v>
      </c>
    </row>
    <row r="1043" spans="2:3" s="1" customFormat="1" x14ac:dyDescent="0.2">
      <c r="B1043" s="49"/>
      <c r="C1043" s="50">
        <v>9112</v>
      </c>
    </row>
    <row r="1044" spans="2:3" s="1" customFormat="1" x14ac:dyDescent="0.2">
      <c r="B1044" s="49"/>
      <c r="C1044" s="50">
        <v>9132</v>
      </c>
    </row>
    <row r="1045" spans="2:3" s="1" customFormat="1" x14ac:dyDescent="0.2">
      <c r="B1045" s="49"/>
      <c r="C1045" s="50">
        <v>9134</v>
      </c>
    </row>
    <row r="1046" spans="2:3" s="1" customFormat="1" x14ac:dyDescent="0.2">
      <c r="B1046" s="49"/>
      <c r="C1046" s="50">
        <v>9135</v>
      </c>
    </row>
    <row r="1047" spans="2:3" s="1" customFormat="1" x14ac:dyDescent="0.2">
      <c r="B1047" s="49"/>
      <c r="C1047" s="50">
        <v>9138</v>
      </c>
    </row>
    <row r="1048" spans="2:3" s="1" customFormat="1" x14ac:dyDescent="0.2">
      <c r="B1048" s="49"/>
      <c r="C1048" s="50">
        <v>9141</v>
      </c>
    </row>
    <row r="1049" spans="2:3" s="1" customFormat="1" x14ac:dyDescent="0.2">
      <c r="B1049" s="49"/>
      <c r="C1049" s="50">
        <v>9142</v>
      </c>
    </row>
    <row r="1050" spans="2:3" s="1" customFormat="1" x14ac:dyDescent="0.2">
      <c r="B1050" s="49"/>
      <c r="C1050" s="50">
        <v>9143</v>
      </c>
    </row>
    <row r="1051" spans="2:3" s="1" customFormat="1" x14ac:dyDescent="0.2">
      <c r="B1051" s="49"/>
      <c r="C1051" s="50">
        <v>9144</v>
      </c>
    </row>
    <row r="1052" spans="2:3" s="1" customFormat="1" x14ac:dyDescent="0.2">
      <c r="B1052" s="49"/>
      <c r="C1052" s="50">
        <v>9151</v>
      </c>
    </row>
    <row r="1053" spans="2:3" s="1" customFormat="1" x14ac:dyDescent="0.2">
      <c r="B1053" s="49"/>
      <c r="C1053" s="50">
        <v>9162</v>
      </c>
    </row>
    <row r="1054" spans="2:3" s="1" customFormat="1" x14ac:dyDescent="0.2">
      <c r="B1054" s="49"/>
      <c r="C1054" s="50">
        <v>9172</v>
      </c>
    </row>
    <row r="1055" spans="2:3" s="1" customFormat="1" x14ac:dyDescent="0.2">
      <c r="B1055" s="49"/>
      <c r="C1055" s="50">
        <v>9178</v>
      </c>
    </row>
    <row r="1056" spans="2:3" s="1" customFormat="1" x14ac:dyDescent="0.2">
      <c r="B1056" s="49"/>
      <c r="C1056" s="50">
        <v>9201</v>
      </c>
    </row>
    <row r="1057" spans="2:3" s="1" customFormat="1" x14ac:dyDescent="0.2">
      <c r="B1057" s="49"/>
      <c r="C1057" s="50">
        <v>9202</v>
      </c>
    </row>
    <row r="1058" spans="2:3" s="1" customFormat="1" x14ac:dyDescent="0.2">
      <c r="B1058" s="49"/>
      <c r="C1058" s="50">
        <v>9205</v>
      </c>
    </row>
    <row r="1059" spans="2:3" s="1" customFormat="1" x14ac:dyDescent="0.2">
      <c r="B1059" s="49"/>
      <c r="C1059" s="50">
        <v>9223</v>
      </c>
    </row>
    <row r="1060" spans="2:3" s="1" customFormat="1" x14ac:dyDescent="0.2">
      <c r="B1060" s="49"/>
      <c r="C1060" s="50">
        <v>9248</v>
      </c>
    </row>
    <row r="1061" spans="2:3" s="1" customFormat="1" x14ac:dyDescent="0.2">
      <c r="B1061" s="49"/>
      <c r="C1061" s="50">
        <v>9256</v>
      </c>
    </row>
    <row r="1062" spans="2:3" s="1" customFormat="1" x14ac:dyDescent="0.2">
      <c r="B1062" s="49"/>
      <c r="C1062" s="50">
        <v>9258</v>
      </c>
    </row>
    <row r="1063" spans="2:3" s="1" customFormat="1" x14ac:dyDescent="0.2">
      <c r="B1063" s="49"/>
      <c r="C1063" s="50">
        <v>9261</v>
      </c>
    </row>
    <row r="1064" spans="2:3" s="1" customFormat="1" x14ac:dyDescent="0.2">
      <c r="B1064" s="49"/>
      <c r="C1064" s="50">
        <v>9262</v>
      </c>
    </row>
    <row r="1065" spans="2:3" s="1" customFormat="1" x14ac:dyDescent="0.2">
      <c r="B1065" s="49"/>
      <c r="C1065" s="50">
        <v>9265</v>
      </c>
    </row>
    <row r="1066" spans="2:3" s="1" customFormat="1" x14ac:dyDescent="0.2">
      <c r="B1066" s="49"/>
      <c r="C1066" s="50">
        <v>9271</v>
      </c>
    </row>
    <row r="1067" spans="2:3" s="1" customFormat="1" x14ac:dyDescent="0.2">
      <c r="B1067" s="49"/>
      <c r="C1067" s="50">
        <v>9281</v>
      </c>
    </row>
    <row r="1068" spans="2:3" s="1" customFormat="1" x14ac:dyDescent="0.2">
      <c r="B1068" s="49"/>
      <c r="C1068" s="50">
        <v>9283</v>
      </c>
    </row>
    <row r="1069" spans="2:3" s="1" customFormat="1" x14ac:dyDescent="0.2">
      <c r="B1069" s="49"/>
      <c r="C1069" s="50">
        <v>9286</v>
      </c>
    </row>
    <row r="1070" spans="2:3" s="1" customFormat="1" x14ac:dyDescent="0.2">
      <c r="B1070" s="49"/>
      <c r="C1070" s="50">
        <v>9287</v>
      </c>
    </row>
    <row r="1071" spans="2:3" s="1" customFormat="1" x14ac:dyDescent="0.2">
      <c r="B1071" s="49"/>
      <c r="C1071" s="50">
        <v>9288</v>
      </c>
    </row>
    <row r="1072" spans="2:3" s="1" customFormat="1" x14ac:dyDescent="0.2">
      <c r="B1072" s="49"/>
      <c r="C1072" s="50">
        <v>9289</v>
      </c>
    </row>
    <row r="1073" spans="2:3" s="1" customFormat="1" x14ac:dyDescent="0.2">
      <c r="B1073" s="49"/>
      <c r="C1073" s="50">
        <v>9296</v>
      </c>
    </row>
    <row r="1074" spans="2:3" s="1" customFormat="1" x14ac:dyDescent="0.2">
      <c r="B1074" s="49"/>
      <c r="C1074" s="50">
        <v>9298</v>
      </c>
    </row>
    <row r="1075" spans="2:3" s="1" customFormat="1" x14ac:dyDescent="0.2">
      <c r="B1075" s="49"/>
      <c r="C1075" s="50">
        <v>9299</v>
      </c>
    </row>
    <row r="1076" spans="2:3" s="1" customFormat="1" x14ac:dyDescent="0.2">
      <c r="B1076" s="49"/>
      <c r="C1076" s="50">
        <v>9305</v>
      </c>
    </row>
    <row r="1077" spans="2:3" s="1" customFormat="1" x14ac:dyDescent="0.2">
      <c r="B1077" s="49"/>
      <c r="C1077" s="50">
        <v>9307</v>
      </c>
    </row>
    <row r="1078" spans="2:3" s="1" customFormat="1" x14ac:dyDescent="0.2">
      <c r="B1078" s="49"/>
      <c r="C1078" s="50">
        <v>9311</v>
      </c>
    </row>
    <row r="1079" spans="2:3" s="1" customFormat="1" x14ac:dyDescent="0.2">
      <c r="B1079" s="49"/>
      <c r="C1079" s="50">
        <v>9313</v>
      </c>
    </row>
    <row r="1080" spans="2:3" s="1" customFormat="1" x14ac:dyDescent="0.2">
      <c r="B1080" s="49"/>
      <c r="C1080" s="50">
        <v>9335</v>
      </c>
    </row>
    <row r="1081" spans="2:3" s="1" customFormat="1" x14ac:dyDescent="0.2">
      <c r="B1081" s="49"/>
      <c r="C1081" s="50">
        <v>9361</v>
      </c>
    </row>
    <row r="1082" spans="2:3" s="1" customFormat="1" x14ac:dyDescent="0.2">
      <c r="B1082" s="49"/>
      <c r="C1082" s="50">
        <v>9362</v>
      </c>
    </row>
    <row r="1083" spans="2:3" s="1" customFormat="1" x14ac:dyDescent="0.2">
      <c r="B1083" s="49"/>
      <c r="C1083" s="50">
        <v>9402</v>
      </c>
    </row>
    <row r="1084" spans="2:3" s="1" customFormat="1" x14ac:dyDescent="0.2">
      <c r="B1084" s="49"/>
      <c r="C1084" s="50">
        <v>9404</v>
      </c>
    </row>
    <row r="1085" spans="2:3" s="1" customFormat="1" x14ac:dyDescent="0.2">
      <c r="B1085" s="49"/>
      <c r="C1085" s="50">
        <v>9406</v>
      </c>
    </row>
    <row r="1086" spans="2:3" s="1" customFormat="1" x14ac:dyDescent="0.2">
      <c r="B1086" s="49"/>
      <c r="C1086" s="50">
        <v>9407</v>
      </c>
    </row>
    <row r="1087" spans="2:3" s="1" customFormat="1" x14ac:dyDescent="0.2">
      <c r="B1087" s="49"/>
      <c r="C1087" s="50">
        <v>9417</v>
      </c>
    </row>
    <row r="1088" spans="2:3" s="1" customFormat="1" x14ac:dyDescent="0.2">
      <c r="B1088" s="49"/>
      <c r="C1088" s="50">
        <v>9419</v>
      </c>
    </row>
    <row r="1089" spans="2:3" s="1" customFormat="1" x14ac:dyDescent="0.2">
      <c r="B1089" s="49"/>
      <c r="C1089" s="50">
        <v>9423</v>
      </c>
    </row>
    <row r="1090" spans="2:3" s="1" customFormat="1" x14ac:dyDescent="0.2">
      <c r="B1090" s="49"/>
      <c r="C1090" s="50">
        <v>9441</v>
      </c>
    </row>
    <row r="1091" spans="2:3" s="1" customFormat="1" x14ac:dyDescent="0.2">
      <c r="B1091" s="49"/>
      <c r="C1091" s="50">
        <v>9443</v>
      </c>
    </row>
    <row r="1092" spans="2:3" s="1" customFormat="1" x14ac:dyDescent="0.2">
      <c r="B1092" s="49"/>
      <c r="C1092" s="50">
        <v>9465</v>
      </c>
    </row>
    <row r="1093" spans="2:3" s="1" customFormat="1" x14ac:dyDescent="0.2">
      <c r="B1093" s="49"/>
      <c r="C1093" s="50">
        <v>9483</v>
      </c>
    </row>
    <row r="1094" spans="2:3" s="1" customFormat="1" x14ac:dyDescent="0.2">
      <c r="B1094" s="49"/>
      <c r="C1094" s="50">
        <v>9493</v>
      </c>
    </row>
    <row r="1095" spans="2:3" s="1" customFormat="1" x14ac:dyDescent="0.2">
      <c r="B1095" s="49"/>
      <c r="C1095" s="50">
        <v>9496</v>
      </c>
    </row>
    <row r="1096" spans="2:3" s="1" customFormat="1" x14ac:dyDescent="0.2">
      <c r="B1096" s="49"/>
      <c r="C1096" s="50">
        <v>9501</v>
      </c>
    </row>
    <row r="1097" spans="2:3" s="1" customFormat="1" x14ac:dyDescent="0.2">
      <c r="B1097" s="49"/>
      <c r="C1097" s="50">
        <v>9502</v>
      </c>
    </row>
    <row r="1098" spans="2:3" s="1" customFormat="1" x14ac:dyDescent="0.2">
      <c r="B1098" s="49"/>
      <c r="C1098" s="50">
        <v>9503</v>
      </c>
    </row>
    <row r="1099" spans="2:3" s="1" customFormat="1" x14ac:dyDescent="0.2">
      <c r="B1099" s="49"/>
      <c r="C1099" s="50">
        <v>9514</v>
      </c>
    </row>
    <row r="1100" spans="2:3" s="1" customFormat="1" x14ac:dyDescent="0.2">
      <c r="B1100" s="49"/>
      <c r="C1100" s="50">
        <v>9521</v>
      </c>
    </row>
    <row r="1101" spans="2:3" s="1" customFormat="1" x14ac:dyDescent="0.2">
      <c r="B1101" s="49"/>
      <c r="C1101" s="50">
        <v>9545</v>
      </c>
    </row>
    <row r="1102" spans="2:3" s="1" customFormat="1" x14ac:dyDescent="0.2">
      <c r="B1102" s="49"/>
      <c r="C1102" s="50">
        <v>9563</v>
      </c>
    </row>
    <row r="1103" spans="2:3" s="1" customFormat="1" x14ac:dyDescent="0.2">
      <c r="B1103" s="49"/>
      <c r="C1103" s="50">
        <v>9566</v>
      </c>
    </row>
    <row r="1104" spans="2:3" s="1" customFormat="1" x14ac:dyDescent="0.2">
      <c r="B1104" s="49"/>
      <c r="C1104" s="50">
        <v>9571</v>
      </c>
    </row>
    <row r="1105" spans="2:3" s="1" customFormat="1" x14ac:dyDescent="0.2">
      <c r="B1105" s="49"/>
      <c r="C1105" s="50">
        <v>9573</v>
      </c>
    </row>
    <row r="1106" spans="2:3" s="1" customFormat="1" x14ac:dyDescent="0.2">
      <c r="B1106" s="49"/>
      <c r="C1106" s="50">
        <v>9581</v>
      </c>
    </row>
    <row r="1107" spans="2:3" s="1" customFormat="1" x14ac:dyDescent="0.2">
      <c r="B1107" s="49"/>
      <c r="C1107" s="50">
        <v>9585</v>
      </c>
    </row>
    <row r="1108" spans="2:3" s="1" customFormat="1" x14ac:dyDescent="0.2">
      <c r="B1108" s="49"/>
      <c r="C1108" s="50">
        <v>9601</v>
      </c>
    </row>
    <row r="1109" spans="2:3" s="1" customFormat="1" x14ac:dyDescent="0.2">
      <c r="B1109" s="49"/>
      <c r="C1109" s="50">
        <v>9602</v>
      </c>
    </row>
    <row r="1110" spans="2:3" s="1" customFormat="1" x14ac:dyDescent="0.2">
      <c r="B1110" s="49"/>
      <c r="C1110" s="50">
        <v>9607</v>
      </c>
    </row>
    <row r="1111" spans="2:3" s="1" customFormat="1" x14ac:dyDescent="0.2">
      <c r="B1111" s="49"/>
      <c r="C1111" s="50">
        <v>9618</v>
      </c>
    </row>
    <row r="1112" spans="2:3" s="1" customFormat="1" x14ac:dyDescent="0.2">
      <c r="B1112" s="49"/>
      <c r="C1112" s="50">
        <v>9621</v>
      </c>
    </row>
    <row r="1113" spans="2:3" s="1" customFormat="1" x14ac:dyDescent="0.2">
      <c r="B1113" s="49"/>
      <c r="C1113" s="50">
        <v>9625</v>
      </c>
    </row>
    <row r="1114" spans="2:3" s="1" customFormat="1" x14ac:dyDescent="0.2">
      <c r="B1114" s="49"/>
      <c r="C1114" s="50">
        <v>9635</v>
      </c>
    </row>
    <row r="1115" spans="2:3" s="1" customFormat="1" x14ac:dyDescent="0.2">
      <c r="B1115" s="49"/>
      <c r="C1115" s="50">
        <v>9641</v>
      </c>
    </row>
    <row r="1116" spans="2:3" s="1" customFormat="1" x14ac:dyDescent="0.2">
      <c r="B1116" s="49"/>
      <c r="C1116" s="50">
        <v>9642</v>
      </c>
    </row>
    <row r="1117" spans="2:3" s="1" customFormat="1" x14ac:dyDescent="0.2">
      <c r="B1117" s="49"/>
      <c r="C1117" s="50">
        <v>9645</v>
      </c>
    </row>
    <row r="1118" spans="2:3" s="1" customFormat="1" x14ac:dyDescent="0.2">
      <c r="B1118" s="49"/>
      <c r="C1118" s="50">
        <v>9648</v>
      </c>
    </row>
    <row r="1119" spans="2:3" s="1" customFormat="1" x14ac:dyDescent="0.2">
      <c r="B1119" s="49"/>
      <c r="C1119" s="50">
        <v>9649</v>
      </c>
    </row>
    <row r="1120" spans="2:3" s="1" customFormat="1" x14ac:dyDescent="0.2">
      <c r="B1120" s="49"/>
      <c r="C1120" s="50">
        <v>9659</v>
      </c>
    </row>
    <row r="1121" spans="2:3" s="1" customFormat="1" x14ac:dyDescent="0.2">
      <c r="B1121" s="49"/>
      <c r="C1121" s="50">
        <v>9661</v>
      </c>
    </row>
    <row r="1122" spans="2:3" s="1" customFormat="1" x14ac:dyDescent="0.2">
      <c r="B1122" s="49"/>
      <c r="C1122" s="50">
        <v>9663</v>
      </c>
    </row>
    <row r="1123" spans="2:3" s="1" customFormat="1" x14ac:dyDescent="0.2">
      <c r="B1123" s="49"/>
      <c r="C1123" s="50">
        <v>9665</v>
      </c>
    </row>
    <row r="1124" spans="2:3" s="1" customFormat="1" x14ac:dyDescent="0.2">
      <c r="B1124" s="49"/>
      <c r="C1124" s="50">
        <v>9673</v>
      </c>
    </row>
    <row r="1125" spans="2:3" s="1" customFormat="1" x14ac:dyDescent="0.2">
      <c r="B1125" s="49"/>
      <c r="C1125" s="50">
        <v>9684</v>
      </c>
    </row>
    <row r="1126" spans="2:3" s="1" customFormat="1" x14ac:dyDescent="0.2">
      <c r="B1126" s="49"/>
      <c r="C1126" s="50">
        <v>9686</v>
      </c>
    </row>
    <row r="1127" spans="2:3" s="1" customFormat="1" x14ac:dyDescent="0.2">
      <c r="B1127" s="49"/>
      <c r="C1127" s="50">
        <v>9687</v>
      </c>
    </row>
    <row r="1128" spans="2:3" s="1" customFormat="1" x14ac:dyDescent="0.2">
      <c r="B1128" s="49"/>
      <c r="C1128" s="50">
        <v>9688</v>
      </c>
    </row>
    <row r="1129" spans="2:3" s="1" customFormat="1" x14ac:dyDescent="0.2">
      <c r="B1129" s="49"/>
      <c r="C1129" s="50">
        <v>9696</v>
      </c>
    </row>
    <row r="1130" spans="2:3" s="1" customFormat="1" x14ac:dyDescent="0.2">
      <c r="B1130" s="49"/>
      <c r="C1130" s="50">
        <v>9697</v>
      </c>
    </row>
    <row r="1131" spans="2:3" s="1" customFormat="1" x14ac:dyDescent="0.2">
      <c r="B1131" s="49"/>
      <c r="C1131" s="50">
        <v>9698</v>
      </c>
    </row>
    <row r="1132" spans="2:3" s="1" customFormat="1" x14ac:dyDescent="0.2">
      <c r="B1132" s="49"/>
      <c r="C1132" s="50">
        <v>9699</v>
      </c>
    </row>
    <row r="1133" spans="2:3" s="1" customFormat="1" x14ac:dyDescent="0.2">
      <c r="B1133" s="49"/>
      <c r="C1133" s="50">
        <v>9711</v>
      </c>
    </row>
    <row r="1134" spans="2:3" s="1" customFormat="1" x14ac:dyDescent="0.2">
      <c r="B1134" s="49"/>
      <c r="C1134" s="50">
        <v>9712</v>
      </c>
    </row>
    <row r="1135" spans="2:3" s="1" customFormat="1" x14ac:dyDescent="0.2">
      <c r="B1135" s="49"/>
      <c r="C1135" s="50">
        <v>9713</v>
      </c>
    </row>
    <row r="1136" spans="2:3" s="1" customFormat="1" x14ac:dyDescent="0.2">
      <c r="B1136" s="49"/>
      <c r="C1136" s="50">
        <v>9714</v>
      </c>
    </row>
    <row r="1137" spans="2:3" s="1" customFormat="1" x14ac:dyDescent="0.2">
      <c r="B1137" s="49"/>
      <c r="C1137" s="50">
        <v>9715</v>
      </c>
    </row>
    <row r="1138" spans="2:3" s="1" customFormat="1" x14ac:dyDescent="0.2">
      <c r="B1138" s="49"/>
      <c r="C1138" s="50">
        <v>9716</v>
      </c>
    </row>
    <row r="1139" spans="2:3" s="1" customFormat="1" x14ac:dyDescent="0.2">
      <c r="B1139" s="49"/>
      <c r="C1139" s="50">
        <v>9717</v>
      </c>
    </row>
    <row r="1140" spans="2:3" s="1" customFormat="1" x14ac:dyDescent="0.2">
      <c r="B1140" s="49"/>
      <c r="C1140" s="50">
        <v>9718</v>
      </c>
    </row>
    <row r="1141" spans="2:3" s="1" customFormat="1" x14ac:dyDescent="0.2">
      <c r="B1141" s="49"/>
      <c r="C1141" s="50">
        <v>9723</v>
      </c>
    </row>
    <row r="1142" spans="2:3" s="1" customFormat="1" x14ac:dyDescent="0.2">
      <c r="B1142" s="49"/>
      <c r="C1142" s="50">
        <v>9724</v>
      </c>
    </row>
    <row r="1143" spans="2:3" s="1" customFormat="1" x14ac:dyDescent="0.2">
      <c r="B1143" s="49"/>
      <c r="C1143" s="50">
        <v>9725</v>
      </c>
    </row>
    <row r="1144" spans="2:3" s="1" customFormat="1" x14ac:dyDescent="0.2">
      <c r="B1144" s="49"/>
      <c r="C1144" s="50">
        <v>9726</v>
      </c>
    </row>
    <row r="1145" spans="2:3" s="1" customFormat="1" x14ac:dyDescent="0.2">
      <c r="B1145" s="49"/>
      <c r="C1145" s="50">
        <v>9727</v>
      </c>
    </row>
    <row r="1146" spans="2:3" s="1" customFormat="1" x14ac:dyDescent="0.2">
      <c r="B1146" s="49"/>
      <c r="C1146" s="50">
        <v>9732</v>
      </c>
    </row>
    <row r="1147" spans="2:3" s="1" customFormat="1" x14ac:dyDescent="0.2">
      <c r="B1147" s="49"/>
      <c r="C1147" s="50">
        <v>9733</v>
      </c>
    </row>
    <row r="1148" spans="2:3" s="1" customFormat="1" x14ac:dyDescent="0.2">
      <c r="B1148" s="49"/>
      <c r="C1148" s="50">
        <v>9736</v>
      </c>
    </row>
    <row r="1149" spans="2:3" s="1" customFormat="1" x14ac:dyDescent="0.2">
      <c r="B1149" s="49"/>
      <c r="C1149" s="50">
        <v>9737</v>
      </c>
    </row>
    <row r="1150" spans="2:3" s="1" customFormat="1" x14ac:dyDescent="0.2">
      <c r="B1150" s="49"/>
      <c r="C1150" s="50">
        <v>9738</v>
      </c>
    </row>
    <row r="1151" spans="2:3" s="1" customFormat="1" x14ac:dyDescent="0.2">
      <c r="B1151" s="49"/>
      <c r="C1151" s="50">
        <v>9741</v>
      </c>
    </row>
    <row r="1152" spans="2:3" s="1" customFormat="1" x14ac:dyDescent="0.2">
      <c r="B1152" s="49"/>
      <c r="C1152" s="50">
        <v>9742</v>
      </c>
    </row>
    <row r="1153" spans="2:3" s="1" customFormat="1" x14ac:dyDescent="0.2">
      <c r="B1153" s="49"/>
      <c r="C1153" s="50">
        <v>9743</v>
      </c>
    </row>
    <row r="1154" spans="2:3" s="1" customFormat="1" x14ac:dyDescent="0.2">
      <c r="B1154" s="49"/>
      <c r="C1154" s="50">
        <v>9745</v>
      </c>
    </row>
    <row r="1155" spans="2:3" s="1" customFormat="1" x14ac:dyDescent="0.2">
      <c r="B1155" s="49"/>
      <c r="C1155" s="50">
        <v>9771</v>
      </c>
    </row>
    <row r="1156" spans="2:3" s="1" customFormat="1" x14ac:dyDescent="0.2">
      <c r="B1156" s="49"/>
      <c r="C1156" s="50">
        <v>9832</v>
      </c>
    </row>
    <row r="1157" spans="2:3" s="1" customFormat="1" x14ac:dyDescent="0.2">
      <c r="B1157" s="49"/>
      <c r="C1157" s="50">
        <v>9864</v>
      </c>
    </row>
    <row r="1158" spans="2:3" s="1" customFormat="1" x14ac:dyDescent="0.2">
      <c r="B1158" s="49"/>
      <c r="C1158" s="50">
        <v>9871</v>
      </c>
    </row>
    <row r="1159" spans="2:3" s="1" customFormat="1" x14ac:dyDescent="0.2">
      <c r="B1159" s="49"/>
      <c r="C1159" s="50">
        <v>9873</v>
      </c>
    </row>
    <row r="1160" spans="2:3" s="1" customFormat="1" x14ac:dyDescent="0.2">
      <c r="B1160" s="49"/>
      <c r="C1160" s="50">
        <v>9882</v>
      </c>
    </row>
    <row r="1161" spans="2:3" s="1" customFormat="1" x14ac:dyDescent="0.2">
      <c r="B1161" s="49"/>
      <c r="C1161" s="50">
        <v>9884</v>
      </c>
    </row>
    <row r="1162" spans="2:3" s="1" customFormat="1" x14ac:dyDescent="0.2">
      <c r="B1162" s="49"/>
      <c r="C1162" s="50">
        <v>9885</v>
      </c>
    </row>
    <row r="1163" spans="2:3" s="1" customFormat="1" x14ac:dyDescent="0.2">
      <c r="B1163" s="49"/>
      <c r="C1163" s="50">
        <v>9892</v>
      </c>
    </row>
    <row r="1164" spans="2:3" s="1" customFormat="1" x14ac:dyDescent="0.2">
      <c r="B1164" s="49"/>
      <c r="C1164" s="50">
        <v>9902</v>
      </c>
    </row>
    <row r="1165" spans="2:3" s="1" customFormat="1" x14ac:dyDescent="0.2">
      <c r="B1165" s="49"/>
      <c r="C1165" s="50">
        <v>9907</v>
      </c>
    </row>
    <row r="1166" spans="2:3" s="1" customFormat="1" x14ac:dyDescent="0.2">
      <c r="B1166" s="49"/>
      <c r="C1166" s="50">
        <v>9908</v>
      </c>
    </row>
    <row r="1167" spans="2:3" s="1" customFormat="1" x14ac:dyDescent="0.2">
      <c r="B1167" s="49"/>
      <c r="C1167" s="50">
        <v>9911</v>
      </c>
    </row>
    <row r="1168" spans="2:3" s="1" customFormat="1" x14ac:dyDescent="0.2">
      <c r="B1168" s="49"/>
      <c r="C1168" s="50">
        <v>9912</v>
      </c>
    </row>
    <row r="1169" spans="2:3" s="1" customFormat="1" x14ac:dyDescent="0.2">
      <c r="B1169" s="49"/>
      <c r="C1169" s="50">
        <v>9914</v>
      </c>
    </row>
    <row r="1170" spans="2:3" s="1" customFormat="1" x14ac:dyDescent="0.2">
      <c r="B1170" s="49"/>
      <c r="C1170" s="50">
        <v>9917</v>
      </c>
    </row>
    <row r="1171" spans="2:3" s="1" customFormat="1" x14ac:dyDescent="0.2">
      <c r="B1171" s="49"/>
      <c r="C1171" s="50">
        <v>9918</v>
      </c>
    </row>
    <row r="1172" spans="2:3" s="1" customFormat="1" x14ac:dyDescent="0.2">
      <c r="B1172" s="49"/>
      <c r="C1172" s="50">
        <v>9921</v>
      </c>
    </row>
    <row r="1173" spans="2:3" s="1" customFormat="1" x14ac:dyDescent="0.2">
      <c r="B1173" s="49"/>
      <c r="C1173" s="50">
        <v>9923</v>
      </c>
    </row>
    <row r="1174" spans="2:3" s="1" customFormat="1" x14ac:dyDescent="0.2">
      <c r="B1174" s="49"/>
      <c r="C1174" s="50">
        <v>9931</v>
      </c>
    </row>
    <row r="1175" spans="2:3" s="1" customFormat="1" x14ac:dyDescent="0.2">
      <c r="B1175" s="49"/>
      <c r="C1175" s="50">
        <v>9932</v>
      </c>
    </row>
    <row r="1176" spans="2:3" s="1" customFormat="1" x14ac:dyDescent="0.2">
      <c r="B1176" s="49"/>
      <c r="C1176" s="50">
        <v>9933</v>
      </c>
    </row>
    <row r="1177" spans="2:3" s="1" customFormat="1" x14ac:dyDescent="0.2">
      <c r="B1177" s="49"/>
      <c r="C1177" s="50">
        <v>9936</v>
      </c>
    </row>
    <row r="1178" spans="2:3" s="1" customFormat="1" x14ac:dyDescent="0.2">
      <c r="B1178" s="49"/>
      <c r="C1178" s="50">
        <v>9939</v>
      </c>
    </row>
    <row r="1179" spans="2:3" s="1" customFormat="1" x14ac:dyDescent="0.2">
      <c r="B1179" s="49"/>
      <c r="C1179" s="50">
        <v>9943</v>
      </c>
    </row>
    <row r="1180" spans="2:3" s="1" customFormat="1" x14ac:dyDescent="0.2">
      <c r="B1180" s="49"/>
      <c r="C1180" s="50">
        <v>9947</v>
      </c>
    </row>
    <row r="1181" spans="2:3" s="1" customFormat="1" x14ac:dyDescent="0.2">
      <c r="B1181" s="49"/>
      <c r="C1181" s="50">
        <v>9948</v>
      </c>
    </row>
    <row r="1182" spans="2:3" s="1" customFormat="1" x14ac:dyDescent="0.2">
      <c r="B1182" s="49"/>
      <c r="C1182" s="50">
        <v>9955</v>
      </c>
    </row>
    <row r="1183" spans="2:3" s="1" customFormat="1" x14ac:dyDescent="0.2">
      <c r="B1183" s="49"/>
      <c r="C1183" s="50">
        <v>9956</v>
      </c>
    </row>
    <row r="1184" spans="2:3" s="1" customFormat="1" x14ac:dyDescent="0.2">
      <c r="B1184" s="49"/>
      <c r="C1184" s="50">
        <v>9961</v>
      </c>
    </row>
    <row r="1185" spans="2:3" s="1" customFormat="1" x14ac:dyDescent="0.2">
      <c r="B1185" s="49"/>
      <c r="C1185" s="50">
        <v>9963</v>
      </c>
    </row>
    <row r="1186" spans="2:3" s="1" customFormat="1" x14ac:dyDescent="0.2">
      <c r="B1186" s="49"/>
      <c r="C1186" s="50">
        <v>9964</v>
      </c>
    </row>
    <row r="1187" spans="2:3" s="1" customFormat="1" x14ac:dyDescent="0.2">
      <c r="B1187" s="49"/>
      <c r="C1187" s="50">
        <v>9965</v>
      </c>
    </row>
    <row r="1188" spans="2:3" s="1" customFormat="1" x14ac:dyDescent="0.2">
      <c r="B1188" s="49"/>
      <c r="C1188" s="50">
        <v>9969</v>
      </c>
    </row>
    <row r="1189" spans="2:3" s="1" customFormat="1" x14ac:dyDescent="0.2">
      <c r="B1189" s="49"/>
      <c r="C1189" s="50">
        <v>9973</v>
      </c>
    </row>
    <row r="1190" spans="2:3" s="1" customFormat="1" x14ac:dyDescent="0.2">
      <c r="B1190" s="49"/>
      <c r="C1190" s="50">
        <v>9974</v>
      </c>
    </row>
    <row r="1191" spans="2:3" s="1" customFormat="1" x14ac:dyDescent="0.2">
      <c r="B1191" s="49"/>
      <c r="C1191" s="50">
        <v>9977</v>
      </c>
    </row>
    <row r="1192" spans="2:3" s="1" customFormat="1" x14ac:dyDescent="0.2">
      <c r="B1192" s="49"/>
      <c r="C1192" s="50">
        <v>9981</v>
      </c>
    </row>
    <row r="1193" spans="2:3" s="1" customFormat="1" x14ac:dyDescent="0.2">
      <c r="B1193" s="49"/>
      <c r="C1193" s="50">
        <v>9982</v>
      </c>
    </row>
    <row r="1194" spans="2:3" s="1" customFormat="1" x14ac:dyDescent="0.2">
      <c r="B1194" s="49"/>
      <c r="C1194" s="50">
        <v>9984</v>
      </c>
    </row>
    <row r="1195" spans="2:3" s="1" customFormat="1" x14ac:dyDescent="0.2">
      <c r="B1195" s="49"/>
      <c r="C1195" s="50">
        <v>9987</v>
      </c>
    </row>
    <row r="1196" spans="2:3" s="1" customFormat="1" x14ac:dyDescent="0.2">
      <c r="B1196" s="49"/>
      <c r="C1196" s="50">
        <v>9995</v>
      </c>
    </row>
    <row r="1197" spans="2:3" s="1" customFormat="1" x14ac:dyDescent="0.2">
      <c r="B1197" s="49"/>
      <c r="C1197" s="50">
        <v>9999</v>
      </c>
    </row>
    <row r="1198" spans="2:3" s="1" customFormat="1" x14ac:dyDescent="0.2">
      <c r="B1198" s="49"/>
    </row>
  </sheetData>
  <sheetProtection algorithmName="SHA-512" hashValue="3gELeXFNl634YmmkzXOahL8lV0B54r1GXTvA9Sj7L4nJ+gbr8d8jb0QMYyzBQtUDMzKrtfOTKIIP4DkmA0MTvA==" saltValue="F4MR1wxstONoQ3cKZDWcbQ==" spinCount="100000" sheet="1" objects="1" scenarios="1"/>
  <phoneticPr fontId="0" type="noConversion"/>
  <hyperlinks>
    <hyperlink ref="H64" r:id="rId1"/>
  </hyperlinks>
  <pageMargins left="0.74803149606299213" right="0.74803149606299213" top="0.98425196850393704" bottom="0.98425196850393704" header="0.51181102362204722" footer="0.51181102362204722"/>
  <pageSetup paperSize="9" scale="48" orientation="portrait" r:id="rId2"/>
  <headerFooter alignWithMargins="0">
    <oddHeader>&amp;L&amp;"Arial,Vet"&amp;F&amp;R&amp;"Arial,Vet"&amp;A</oddHeader>
    <oddFooter>&amp;L&amp;"Arial,Vet"PO-Raad&amp;C&amp;"Arial,Vet"&amp;D&amp;R&amp;"Arial,Vet"pagina &amp;P</oddFooter>
  </headerFooter>
  <rowBreaks count="2" manualBreakCount="2">
    <brk id="70" max="9" man="1"/>
    <brk id="167" max="9" man="1"/>
  </rowBreaks>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38"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6"/>
  <dimension ref="A1:S135"/>
  <sheetViews>
    <sheetView showGridLines="0" tabSelected="1" zoomScale="85" zoomScaleNormal="85" workbookViewId="0">
      <pane ySplit="10" topLeftCell="A11" activePane="bottomLeft" state="frozen"/>
      <selection activeCell="B2" sqref="B2"/>
      <selection pane="bottomLeft" activeCell="B2" sqref="B2"/>
    </sheetView>
  </sheetViews>
  <sheetFormatPr defaultColWidth="9.140625" defaultRowHeight="12.75" x14ac:dyDescent="0.2"/>
  <cols>
    <col min="1" max="1" width="3.7109375" style="62" customWidth="1"/>
    <col min="2" max="3" width="2.7109375" style="62" customWidth="1"/>
    <col min="4" max="4" width="22.85546875" style="62" customWidth="1"/>
    <col min="5" max="5" width="23.7109375" style="62" customWidth="1"/>
    <col min="6" max="6" width="2.7109375" style="62" customWidth="1"/>
    <col min="7" max="11" width="16.85546875" style="62" customWidth="1"/>
    <col min="12" max="13" width="2.7109375" style="62" customWidth="1"/>
    <col min="14" max="14" width="14.7109375" style="62" customWidth="1"/>
    <col min="15" max="16384" width="9.140625" style="62"/>
  </cols>
  <sheetData>
    <row r="1" spans="1:14" ht="12.75" customHeight="1" x14ac:dyDescent="0.2"/>
    <row r="2" spans="1:14" ht="12" customHeight="1" x14ac:dyDescent="0.2">
      <c r="B2" s="63"/>
      <c r="C2" s="64"/>
      <c r="D2" s="65"/>
      <c r="E2" s="65"/>
      <c r="F2" s="65"/>
      <c r="G2" s="66"/>
      <c r="H2" s="66"/>
      <c r="I2" s="66"/>
      <c r="J2" s="66"/>
      <c r="K2" s="66"/>
      <c r="L2" s="66"/>
      <c r="M2" s="67"/>
      <c r="N2" s="68"/>
    </row>
    <row r="3" spans="1:14" x14ac:dyDescent="0.2">
      <c r="B3" s="69"/>
      <c r="C3" s="70"/>
      <c r="D3" s="71"/>
      <c r="E3" s="71"/>
      <c r="F3" s="71"/>
      <c r="G3" s="72"/>
      <c r="H3" s="72"/>
      <c r="I3" s="72"/>
      <c r="J3" s="72"/>
      <c r="K3" s="72"/>
      <c r="L3" s="72"/>
      <c r="M3" s="73"/>
      <c r="N3" s="68"/>
    </row>
    <row r="4" spans="1:14" s="74" customFormat="1" ht="18.75" x14ac:dyDescent="0.3">
      <c r="B4" s="75"/>
      <c r="C4" s="857" t="s">
        <v>96</v>
      </c>
      <c r="D4" s="77"/>
      <c r="E4" s="77"/>
      <c r="F4" s="77"/>
      <c r="G4" s="77"/>
      <c r="H4" s="77"/>
      <c r="I4" s="77"/>
      <c r="J4" s="77"/>
      <c r="K4" s="77"/>
      <c r="L4" s="77"/>
      <c r="M4" s="78"/>
    </row>
    <row r="5" spans="1:14" ht="18.75" x14ac:dyDescent="0.3">
      <c r="A5" s="79"/>
      <c r="B5" s="80"/>
      <c r="C5" s="81" t="str">
        <f>G12</f>
        <v>Basisschool</v>
      </c>
      <c r="D5" s="82"/>
      <c r="E5" s="82"/>
      <c r="F5" s="82"/>
      <c r="G5" s="82"/>
      <c r="H5" s="82"/>
      <c r="I5" s="82"/>
      <c r="J5" s="82"/>
      <c r="K5" s="82"/>
      <c r="L5" s="70"/>
      <c r="M5" s="73"/>
    </row>
    <row r="6" spans="1:14" x14ac:dyDescent="0.2">
      <c r="A6" s="79"/>
      <c r="B6" s="83"/>
      <c r="C6" s="82"/>
      <c r="D6" s="84"/>
      <c r="E6" s="84"/>
      <c r="F6" s="84"/>
      <c r="G6" s="85"/>
      <c r="H6" s="85"/>
      <c r="I6" s="84"/>
      <c r="J6" s="82"/>
      <c r="K6" s="82"/>
      <c r="L6" s="70"/>
      <c r="M6" s="73"/>
    </row>
    <row r="7" spans="1:14" x14ac:dyDescent="0.2">
      <c r="A7" s="79"/>
      <c r="B7" s="83"/>
      <c r="C7" s="82"/>
      <c r="D7" s="84"/>
      <c r="E7" s="84"/>
      <c r="F7" s="84"/>
      <c r="G7" s="85"/>
      <c r="H7" s="85"/>
      <c r="I7" s="84"/>
      <c r="J7" s="82"/>
      <c r="K7" s="82"/>
      <c r="L7" s="70"/>
      <c r="M7" s="73"/>
    </row>
    <row r="8" spans="1:14" x14ac:dyDescent="0.2">
      <c r="A8" s="79"/>
      <c r="B8" s="83"/>
      <c r="C8" s="82"/>
      <c r="D8" s="84"/>
      <c r="E8" s="84"/>
      <c r="F8" s="84"/>
      <c r="G8" s="85"/>
      <c r="H8" s="85"/>
      <c r="I8" s="84"/>
      <c r="J8" s="82"/>
      <c r="K8" s="82"/>
      <c r="L8" s="70"/>
      <c r="M8" s="73"/>
    </row>
    <row r="9" spans="1:14" x14ac:dyDescent="0.2">
      <c r="A9" s="79"/>
      <c r="B9" s="83"/>
      <c r="C9" s="82"/>
      <c r="D9" s="84"/>
      <c r="E9" s="84"/>
      <c r="F9" s="84"/>
      <c r="G9" s="85"/>
      <c r="H9" s="85"/>
      <c r="I9" s="84"/>
      <c r="J9" s="82"/>
      <c r="K9" s="82"/>
      <c r="L9" s="70"/>
      <c r="M9" s="73"/>
    </row>
    <row r="10" spans="1:14" x14ac:dyDescent="0.2">
      <c r="B10" s="69"/>
      <c r="C10" s="70"/>
      <c r="D10" s="71"/>
      <c r="E10" s="71"/>
      <c r="F10" s="71"/>
      <c r="G10" s="72"/>
      <c r="H10" s="72"/>
      <c r="I10" s="72"/>
      <c r="J10" s="72"/>
      <c r="K10" s="72"/>
      <c r="L10" s="72"/>
      <c r="M10" s="73"/>
    </row>
    <row r="11" spans="1:14" x14ac:dyDescent="0.2">
      <c r="B11" s="69"/>
      <c r="C11" s="86"/>
      <c r="D11" s="87"/>
      <c r="E11" s="87"/>
      <c r="F11" s="87"/>
      <c r="G11" s="88"/>
      <c r="H11" s="88"/>
      <c r="I11" s="88"/>
      <c r="J11" s="88"/>
      <c r="K11" s="88"/>
      <c r="L11" s="89"/>
      <c r="M11" s="73"/>
    </row>
    <row r="12" spans="1:14" x14ac:dyDescent="0.2">
      <c r="B12" s="69"/>
      <c r="C12" s="90"/>
      <c r="D12" s="91" t="s">
        <v>4</v>
      </c>
      <c r="E12" s="91"/>
      <c r="F12" s="92"/>
      <c r="G12" s="93" t="s">
        <v>467</v>
      </c>
      <c r="H12" s="94"/>
      <c r="I12" s="94"/>
      <c r="J12" s="95"/>
      <c r="K12" s="95"/>
      <c r="L12" s="96"/>
      <c r="M12" s="73"/>
    </row>
    <row r="13" spans="1:14" x14ac:dyDescent="0.2">
      <c r="B13" s="69"/>
      <c r="C13" s="90"/>
      <c r="D13" s="91" t="s">
        <v>5</v>
      </c>
      <c r="E13" s="91"/>
      <c r="F13" s="92"/>
      <c r="G13" s="97" t="s">
        <v>357</v>
      </c>
      <c r="H13" s="94"/>
      <c r="I13" s="94"/>
      <c r="J13" s="95"/>
      <c r="K13" s="95"/>
      <c r="L13" s="96"/>
      <c r="M13" s="73"/>
    </row>
    <row r="14" spans="1:14" x14ac:dyDescent="0.2">
      <c r="B14" s="69"/>
      <c r="C14" s="90"/>
      <c r="D14" s="91" t="s">
        <v>300</v>
      </c>
      <c r="E14" s="91"/>
      <c r="F14" s="92"/>
      <c r="G14" s="97">
        <v>1000</v>
      </c>
      <c r="H14" s="94"/>
      <c r="I14" s="94"/>
      <c r="J14" s="95"/>
      <c r="K14" s="95"/>
      <c r="L14" s="96"/>
      <c r="M14" s="73"/>
    </row>
    <row r="15" spans="1:14" x14ac:dyDescent="0.2">
      <c r="B15" s="69"/>
      <c r="C15" s="98"/>
      <c r="D15" s="99"/>
      <c r="E15" s="99"/>
      <c r="F15" s="99"/>
      <c r="G15" s="100"/>
      <c r="H15" s="100"/>
      <c r="I15" s="100"/>
      <c r="J15" s="100"/>
      <c r="K15" s="100"/>
      <c r="L15" s="101"/>
      <c r="M15" s="73"/>
    </row>
    <row r="16" spans="1:14" x14ac:dyDescent="0.2">
      <c r="B16" s="69"/>
      <c r="C16" s="70"/>
      <c r="D16" s="70"/>
      <c r="E16" s="70"/>
      <c r="F16" s="70"/>
      <c r="G16" s="72"/>
      <c r="H16" s="72"/>
      <c r="I16" s="72"/>
      <c r="J16" s="72"/>
      <c r="K16" s="72"/>
      <c r="L16" s="72"/>
      <c r="M16" s="73"/>
    </row>
    <row r="17" spans="2:19" x14ac:dyDescent="0.2">
      <c r="B17" s="69"/>
      <c r="C17" s="70"/>
      <c r="D17" s="70"/>
      <c r="E17" s="70"/>
      <c r="F17" s="70"/>
      <c r="G17" s="72"/>
      <c r="H17" s="72"/>
      <c r="I17" s="72"/>
      <c r="J17" s="72"/>
      <c r="K17" s="72"/>
      <c r="L17" s="72"/>
      <c r="M17" s="73"/>
    </row>
    <row r="18" spans="2:19" x14ac:dyDescent="0.2">
      <c r="B18" s="69"/>
      <c r="C18" s="70"/>
      <c r="D18" s="879"/>
      <c r="E18" s="879"/>
      <c r="F18" s="879"/>
      <c r="G18" s="880"/>
      <c r="H18" s="880"/>
      <c r="I18" s="880"/>
      <c r="J18" s="880"/>
      <c r="K18" s="880"/>
      <c r="L18" s="72"/>
      <c r="M18" s="73"/>
    </row>
    <row r="19" spans="2:19" s="74" customFormat="1" x14ac:dyDescent="0.2">
      <c r="B19" s="102"/>
      <c r="C19" s="77"/>
      <c r="D19" s="881"/>
      <c r="E19" s="882" t="s">
        <v>195</v>
      </c>
      <c r="F19" s="882"/>
      <c r="G19" s="880" t="str">
        <f>tab!D2</f>
        <v>2015/16</v>
      </c>
      <c r="H19" s="880" t="str">
        <f>tab!E2</f>
        <v>2016/17</v>
      </c>
      <c r="I19" s="880" t="str">
        <f>tab!F2</f>
        <v>2017/18</v>
      </c>
      <c r="J19" s="880" t="str">
        <f>tab!G2</f>
        <v>2018/19</v>
      </c>
      <c r="K19" s="880" t="str">
        <f>tab!H2</f>
        <v>2019/20</v>
      </c>
      <c r="L19" s="105"/>
      <c r="M19" s="78"/>
    </row>
    <row r="20" spans="2:19" s="74" customFormat="1" x14ac:dyDescent="0.2">
      <c r="B20" s="102"/>
      <c r="C20" s="77"/>
      <c r="D20" s="881"/>
      <c r="E20" s="882" t="s">
        <v>207</v>
      </c>
      <c r="F20" s="882"/>
      <c r="G20" s="880">
        <f>tab!C4</f>
        <v>2014</v>
      </c>
      <c r="H20" s="880">
        <f>tab!D4</f>
        <v>2015</v>
      </c>
      <c r="I20" s="880">
        <f>tab!E4</f>
        <v>2016</v>
      </c>
      <c r="J20" s="880">
        <f>tab!F4</f>
        <v>2017</v>
      </c>
      <c r="K20" s="880">
        <f>tab!G4</f>
        <v>2018</v>
      </c>
      <c r="L20" s="105"/>
      <c r="M20" s="78"/>
      <c r="N20" s="106"/>
      <c r="O20" s="106"/>
      <c r="P20" s="106"/>
      <c r="Q20" s="106"/>
      <c r="R20" s="106"/>
      <c r="S20" s="106"/>
    </row>
    <row r="21" spans="2:19" x14ac:dyDescent="0.2">
      <c r="B21" s="69"/>
      <c r="C21" s="70"/>
      <c r="D21" s="70"/>
      <c r="E21" s="70"/>
      <c r="F21" s="70"/>
      <c r="G21" s="72"/>
      <c r="H21" s="72"/>
      <c r="I21" s="72"/>
      <c r="J21" s="72"/>
      <c r="K21" s="72"/>
      <c r="L21" s="72"/>
      <c r="M21" s="73"/>
    </row>
    <row r="22" spans="2:19" x14ac:dyDescent="0.2">
      <c r="B22" s="69"/>
      <c r="C22" s="86"/>
      <c r="D22" s="87"/>
      <c r="E22" s="87"/>
      <c r="F22" s="87"/>
      <c r="G22" s="88"/>
      <c r="H22" s="88"/>
      <c r="I22" s="88"/>
      <c r="J22" s="88"/>
      <c r="K22" s="88"/>
      <c r="L22" s="89"/>
      <c r="M22" s="73"/>
    </row>
    <row r="23" spans="2:19" s="79" customFormat="1" x14ac:dyDescent="0.2">
      <c r="B23" s="83"/>
      <c r="C23" s="107"/>
      <c r="D23" s="883" t="s">
        <v>475</v>
      </c>
      <c r="E23" s="108"/>
      <c r="F23" s="109"/>
      <c r="G23" s="110"/>
      <c r="H23" s="110"/>
      <c r="I23" s="110"/>
      <c r="J23" s="110"/>
      <c r="K23" s="110"/>
      <c r="L23" s="111"/>
      <c r="M23" s="112"/>
    </row>
    <row r="24" spans="2:19" x14ac:dyDescent="0.2">
      <c r="B24" s="69"/>
      <c r="C24" s="90"/>
      <c r="D24" s="92"/>
      <c r="E24" s="92"/>
      <c r="F24" s="92"/>
      <c r="G24" s="113"/>
      <c r="H24" s="113"/>
      <c r="I24" s="113"/>
      <c r="J24" s="113"/>
      <c r="K24" s="113"/>
      <c r="L24" s="96"/>
      <c r="M24" s="73"/>
    </row>
    <row r="25" spans="2:19" x14ac:dyDescent="0.2">
      <c r="B25" s="69"/>
      <c r="C25" s="90"/>
      <c r="D25" s="91" t="s">
        <v>167</v>
      </c>
      <c r="E25" s="91"/>
      <c r="F25" s="91"/>
      <c r="G25" s="114">
        <v>110</v>
      </c>
      <c r="H25" s="114">
        <v>110</v>
      </c>
      <c r="I25" s="114">
        <f t="shared" ref="I25:K26" si="0">H25</f>
        <v>110</v>
      </c>
      <c r="J25" s="114">
        <f t="shared" si="0"/>
        <v>110</v>
      </c>
      <c r="K25" s="114">
        <f t="shared" si="0"/>
        <v>110</v>
      </c>
      <c r="L25" s="115"/>
      <c r="M25" s="73"/>
    </row>
    <row r="26" spans="2:19" x14ac:dyDescent="0.2">
      <c r="B26" s="69"/>
      <c r="C26" s="90"/>
      <c r="D26" s="91" t="s">
        <v>168</v>
      </c>
      <c r="E26" s="91"/>
      <c r="F26" s="91"/>
      <c r="G26" s="114">
        <v>110</v>
      </c>
      <c r="H26" s="114">
        <v>110</v>
      </c>
      <c r="I26" s="114">
        <f t="shared" si="0"/>
        <v>110</v>
      </c>
      <c r="J26" s="114">
        <f t="shared" si="0"/>
        <v>110</v>
      </c>
      <c r="K26" s="114">
        <f t="shared" si="0"/>
        <v>110</v>
      </c>
      <c r="L26" s="115"/>
      <c r="M26" s="73"/>
    </row>
    <row r="27" spans="2:19" x14ac:dyDescent="0.2">
      <c r="B27" s="69"/>
      <c r="C27" s="90"/>
      <c r="D27" s="116" t="s">
        <v>193</v>
      </c>
      <c r="E27" s="116"/>
      <c r="F27" s="116"/>
      <c r="G27" s="889">
        <f>G25+G26</f>
        <v>220</v>
      </c>
      <c r="H27" s="889">
        <f>H25+H26</f>
        <v>220</v>
      </c>
      <c r="I27" s="889">
        <f>I25+I26</f>
        <v>220</v>
      </c>
      <c r="J27" s="889">
        <f>J25+J26</f>
        <v>220</v>
      </c>
      <c r="K27" s="889">
        <f>K25+K26</f>
        <v>220</v>
      </c>
      <c r="L27" s="117"/>
      <c r="M27" s="73"/>
    </row>
    <row r="28" spans="2:19" x14ac:dyDescent="0.2">
      <c r="B28" s="69"/>
      <c r="C28" s="90"/>
      <c r="D28" s="92" t="s">
        <v>443</v>
      </c>
      <c r="E28" s="118">
        <v>0.3</v>
      </c>
      <c r="F28" s="119"/>
      <c r="G28" s="114">
        <v>13</v>
      </c>
      <c r="H28" s="114">
        <v>13</v>
      </c>
      <c r="I28" s="114">
        <f t="shared" ref="I28:K29" si="1">+H28</f>
        <v>13</v>
      </c>
      <c r="J28" s="114">
        <f t="shared" si="1"/>
        <v>13</v>
      </c>
      <c r="K28" s="114">
        <f t="shared" si="1"/>
        <v>13</v>
      </c>
      <c r="L28" s="115"/>
      <c r="M28" s="73"/>
    </row>
    <row r="29" spans="2:19" x14ac:dyDescent="0.2">
      <c r="B29" s="69"/>
      <c r="C29" s="90"/>
      <c r="D29" s="92" t="s">
        <v>443</v>
      </c>
      <c r="E29" s="118">
        <v>1.2</v>
      </c>
      <c r="F29" s="119"/>
      <c r="G29" s="114">
        <v>11</v>
      </c>
      <c r="H29" s="114">
        <v>11</v>
      </c>
      <c r="I29" s="114">
        <f t="shared" si="1"/>
        <v>11</v>
      </c>
      <c r="J29" s="114">
        <f t="shared" si="1"/>
        <v>11</v>
      </c>
      <c r="K29" s="114">
        <f t="shared" si="1"/>
        <v>11</v>
      </c>
      <c r="L29" s="115"/>
      <c r="M29" s="73"/>
    </row>
    <row r="30" spans="2:19" x14ac:dyDescent="0.2">
      <c r="B30" s="69"/>
      <c r="C30" s="90"/>
      <c r="D30" s="91" t="s">
        <v>182</v>
      </c>
      <c r="E30" s="91"/>
      <c r="F30" s="91"/>
      <c r="G30" s="876">
        <f>($E$28*G28)+($E$29*G29)</f>
        <v>17.099999999999998</v>
      </c>
      <c r="H30" s="876">
        <f>($E$28*H28)+($E$29*H29)</f>
        <v>17.099999999999998</v>
      </c>
      <c r="I30" s="876">
        <f>($E$28*I28)+($E$29*I29)</f>
        <v>17.099999999999998</v>
      </c>
      <c r="J30" s="876">
        <f>($E$28*J28)+($E$29*J29)</f>
        <v>17.099999999999998</v>
      </c>
      <c r="K30" s="876">
        <f>($E$28*K28)+($E$29*K29)</f>
        <v>17.099999999999998</v>
      </c>
      <c r="L30" s="120"/>
      <c r="M30" s="73"/>
    </row>
    <row r="31" spans="2:19" x14ac:dyDescent="0.2">
      <c r="B31" s="69"/>
      <c r="C31" s="90"/>
      <c r="D31" s="91" t="s">
        <v>266</v>
      </c>
      <c r="E31" s="91"/>
      <c r="F31" s="91"/>
      <c r="G31" s="890">
        <f>ROUND(IF(G32&lt;(G27*0.8),G32,(0.8*G27)),0)</f>
        <v>4</v>
      </c>
      <c r="H31" s="890">
        <f>ROUND(IF(H32&lt;(H27*0.8),H32,(0.8*H27)),0)</f>
        <v>4</v>
      </c>
      <c r="I31" s="890">
        <f>ROUND(IF(I32&lt;(I27*0.8),I32,(0.8*I27)),0)</f>
        <v>4</v>
      </c>
      <c r="J31" s="890">
        <f>ROUND(IF(J32&lt;(J27*0.8),J32,(0.8*J27)),0)</f>
        <v>4</v>
      </c>
      <c r="K31" s="890">
        <f>ROUND(IF(K32&lt;(K27*0.8),K32,(0.8*K27)),0)</f>
        <v>4</v>
      </c>
      <c r="L31" s="120"/>
      <c r="M31" s="73"/>
    </row>
    <row r="32" spans="2:19" x14ac:dyDescent="0.2">
      <c r="B32" s="69"/>
      <c r="C32" s="90"/>
      <c r="D32" s="121" t="s">
        <v>58</v>
      </c>
      <c r="E32" s="121"/>
      <c r="F32" s="121"/>
      <c r="G32" s="122">
        <f>IF((ROUND(IF(G30-(tab!D28*G27)&lt;0,0,(G30-(tab!D28*G27))),0))&lt;(G85+G98+G111+G124),(G85+G98+G111+G124),((ROUND(IF(G30-(tab!D28*G27)&lt;0,0,(G30-(tab!D28*G27))),0))))</f>
        <v>4</v>
      </c>
      <c r="H32" s="122">
        <f>IF((ROUND(IF(H30-(tab!$E28*H27)&lt;0,0,(H30-(tab!$E28*H27))),0))&lt;(H85+H98+H111+H124),(H85+H98+H111+H124),((ROUND(IF(H30-(tab!$E28*H27)&lt;0,0,(H30-(tab!$E28*H27))),0))))</f>
        <v>4</v>
      </c>
      <c r="I32" s="122">
        <f>IF((ROUND(IF(I30-(tab!$E28*I27)&lt;0,0,(I30-(tab!$E28*I27))),0))&lt;(I85+I98+I111+I124),(I85+I98+I111+I124),((ROUND(IF(I30-(tab!$E28*I27)&lt;0,0,(I30-(tab!$E28*I27))),0))))</f>
        <v>4</v>
      </c>
      <c r="J32" s="122">
        <f>IF((ROUND(IF(J30-(tab!$E28*J27)&lt;0,0,(J30-(tab!$E28*J27))),0))&lt;(J85+J98+J111+J124),(J85+J98+J111+J124),((ROUND(IF(J30-(tab!$E28*J27)&lt;0,0,(J30-(tab!$E28*J27))),0))))</f>
        <v>4</v>
      </c>
      <c r="K32" s="122">
        <f>IF((ROUND(IF(K30-(tab!$E28*K27)&lt;0,0,(K30-(tab!$E28*K27))),0))&lt;(K85+K98+K111+K124),(K85+K98+K111+K124),((ROUND(IF(K30-(tab!$E28*K27)&lt;0,0,(K30-(tab!$E28*K27))),0))))</f>
        <v>4</v>
      </c>
      <c r="L32" s="120"/>
      <c r="M32" s="73"/>
    </row>
    <row r="33" spans="2:13" x14ac:dyDescent="0.2">
      <c r="B33" s="69"/>
      <c r="C33" s="90"/>
      <c r="D33" s="91" t="s">
        <v>100</v>
      </c>
      <c r="E33" s="91"/>
      <c r="F33" s="91"/>
      <c r="G33" s="876" t="str">
        <f>IF(G14=LOOKUP(G14,Postcode_gebieden),"ja","nee")</f>
        <v>nee</v>
      </c>
      <c r="H33" s="892" t="str">
        <f>G33</f>
        <v>nee</v>
      </c>
      <c r="I33" s="892" t="str">
        <f>+H33</f>
        <v>nee</v>
      </c>
      <c r="J33" s="892" t="str">
        <f>+I33</f>
        <v>nee</v>
      </c>
      <c r="K33" s="892" t="str">
        <f>+J33</f>
        <v>nee</v>
      </c>
      <c r="L33" s="120"/>
      <c r="M33" s="73"/>
    </row>
    <row r="34" spans="2:13" x14ac:dyDescent="0.2">
      <c r="B34" s="69"/>
      <c r="C34" s="90"/>
      <c r="D34" s="91" t="s">
        <v>298</v>
      </c>
      <c r="E34" s="91"/>
      <c r="F34" s="91"/>
      <c r="G34" s="876">
        <f>SUM(G28:G29)</f>
        <v>24</v>
      </c>
      <c r="H34" s="876">
        <f>SUM(H28:H29)</f>
        <v>24</v>
      </c>
      <c r="I34" s="876">
        <f>SUM(I28:I29)</f>
        <v>24</v>
      </c>
      <c r="J34" s="876">
        <f>SUM(J28:J29)</f>
        <v>24</v>
      </c>
      <c r="K34" s="876">
        <f>SUM(K28:K29)</f>
        <v>24</v>
      </c>
      <c r="L34" s="120"/>
      <c r="M34" s="73"/>
    </row>
    <row r="35" spans="2:13" x14ac:dyDescent="0.2">
      <c r="B35" s="69"/>
      <c r="C35" s="90"/>
      <c r="D35" s="91"/>
      <c r="E35" s="91"/>
      <c r="F35" s="91"/>
      <c r="G35" s="123"/>
      <c r="H35" s="123"/>
      <c r="I35" s="123"/>
      <c r="J35" s="123"/>
      <c r="K35" s="123"/>
      <c r="L35" s="120"/>
      <c r="M35" s="73"/>
    </row>
    <row r="36" spans="2:13" x14ac:dyDescent="0.2">
      <c r="B36" s="124"/>
      <c r="C36" s="125"/>
      <c r="D36" s="92" t="s">
        <v>166</v>
      </c>
      <c r="E36" s="92"/>
      <c r="F36" s="92"/>
      <c r="G36" s="875">
        <f>FLOOR(G27*1.03,1)</f>
        <v>226</v>
      </c>
      <c r="H36" s="875">
        <f>FLOOR(H27*1.03,1)</f>
        <v>226</v>
      </c>
      <c r="I36" s="875">
        <f>FLOOR(I27*1.03,1)</f>
        <v>226</v>
      </c>
      <c r="J36" s="875">
        <f>FLOOR(J27*1.03,1)</f>
        <v>226</v>
      </c>
      <c r="K36" s="875">
        <f>FLOOR(K27*1.03,1)</f>
        <v>226</v>
      </c>
      <c r="L36" s="117"/>
      <c r="M36" s="127"/>
    </row>
    <row r="37" spans="2:13" x14ac:dyDescent="0.2">
      <c r="B37" s="69"/>
      <c r="C37" s="98"/>
      <c r="D37" s="99"/>
      <c r="E37" s="99"/>
      <c r="F37" s="99"/>
      <c r="G37" s="99"/>
      <c r="H37" s="99"/>
      <c r="I37" s="99"/>
      <c r="J37" s="99"/>
      <c r="K37" s="99"/>
      <c r="L37" s="130"/>
      <c r="M37" s="73"/>
    </row>
    <row r="38" spans="2:13" x14ac:dyDescent="0.2">
      <c r="B38" s="69"/>
      <c r="C38" s="77"/>
      <c r="D38" s="77"/>
      <c r="E38" s="77"/>
      <c r="F38" s="77"/>
      <c r="G38" s="77"/>
      <c r="H38" s="77"/>
      <c r="I38" s="77"/>
      <c r="J38" s="77"/>
      <c r="K38" s="77"/>
      <c r="L38" s="77"/>
      <c r="M38" s="73"/>
    </row>
    <row r="39" spans="2:13" x14ac:dyDescent="0.2">
      <c r="B39" s="69"/>
      <c r="C39" s="77"/>
      <c r="D39" s="131"/>
      <c r="E39" s="131"/>
      <c r="F39" s="131"/>
      <c r="G39" s="131"/>
      <c r="H39" s="131"/>
      <c r="I39" s="131"/>
      <c r="J39" s="131"/>
      <c r="K39" s="131"/>
      <c r="L39" s="77"/>
      <c r="M39" s="73"/>
    </row>
    <row r="40" spans="2:13" s="79" customFormat="1" x14ac:dyDescent="0.2">
      <c r="B40" s="83"/>
      <c r="C40" s="77"/>
      <c r="D40" s="132"/>
      <c r="E40" s="882" t="s">
        <v>281</v>
      </c>
      <c r="F40" s="884"/>
      <c r="G40" s="880">
        <f>mat!H8</f>
        <v>2015</v>
      </c>
      <c r="H40" s="880">
        <f>mat!I8</f>
        <v>2016</v>
      </c>
      <c r="I40" s="880">
        <f>mat!J8</f>
        <v>2017</v>
      </c>
      <c r="J40" s="880">
        <f>mat!K8</f>
        <v>2018</v>
      </c>
      <c r="K40" s="880">
        <f>mat!L8</f>
        <v>2019</v>
      </c>
      <c r="L40" s="105"/>
      <c r="M40" s="112"/>
    </row>
    <row r="41" spans="2:13" s="79" customFormat="1" x14ac:dyDescent="0.2">
      <c r="B41" s="83"/>
      <c r="C41" s="77"/>
      <c r="D41" s="881"/>
      <c r="E41" s="882" t="s">
        <v>207</v>
      </c>
      <c r="F41" s="884"/>
      <c r="G41" s="880">
        <f>mat!H9</f>
        <v>2014</v>
      </c>
      <c r="H41" s="880">
        <f>mat!I9</f>
        <v>2015</v>
      </c>
      <c r="I41" s="880">
        <f>mat!J9</f>
        <v>2016</v>
      </c>
      <c r="J41" s="880">
        <f>mat!K9</f>
        <v>2017</v>
      </c>
      <c r="K41" s="880">
        <f>mat!L9</f>
        <v>2018</v>
      </c>
      <c r="L41" s="105"/>
      <c r="M41" s="112"/>
    </row>
    <row r="42" spans="2:13" x14ac:dyDescent="0.2">
      <c r="B42" s="69"/>
      <c r="C42" s="77"/>
      <c r="D42" s="104"/>
      <c r="E42" s="104"/>
      <c r="F42" s="131"/>
      <c r="G42" s="131"/>
      <c r="H42" s="131"/>
      <c r="I42" s="131"/>
      <c r="J42" s="131"/>
      <c r="K42" s="131"/>
      <c r="L42" s="131"/>
      <c r="M42" s="73"/>
    </row>
    <row r="43" spans="2:13" x14ac:dyDescent="0.2">
      <c r="B43" s="69"/>
      <c r="C43" s="86"/>
      <c r="D43" s="133"/>
      <c r="E43" s="133"/>
      <c r="F43" s="134"/>
      <c r="G43" s="134"/>
      <c r="H43" s="134"/>
      <c r="I43" s="134"/>
      <c r="J43" s="134"/>
      <c r="K43" s="134"/>
      <c r="L43" s="135"/>
      <c r="M43" s="73"/>
    </row>
    <row r="44" spans="2:13" x14ac:dyDescent="0.2">
      <c r="B44" s="69"/>
      <c r="C44" s="90"/>
      <c r="D44" s="885" t="s">
        <v>90</v>
      </c>
      <c r="E44" s="136"/>
      <c r="F44" s="91"/>
      <c r="G44" s="91"/>
      <c r="H44" s="91"/>
      <c r="I44" s="91"/>
      <c r="J44" s="91"/>
      <c r="K44" s="91"/>
      <c r="L44" s="137"/>
      <c r="M44" s="73"/>
    </row>
    <row r="45" spans="2:13" x14ac:dyDescent="0.2">
      <c r="B45" s="69"/>
      <c r="C45" s="90"/>
      <c r="D45" s="138"/>
      <c r="E45" s="138"/>
      <c r="F45" s="91"/>
      <c r="G45" s="91"/>
      <c r="H45" s="91"/>
      <c r="I45" s="91"/>
      <c r="J45" s="91"/>
      <c r="K45" s="91"/>
      <c r="L45" s="137"/>
      <c r="M45" s="73"/>
    </row>
    <row r="46" spans="2:13" x14ac:dyDescent="0.2">
      <c r="B46" s="69"/>
      <c r="C46" s="90"/>
      <c r="D46" s="1037" t="s">
        <v>375</v>
      </c>
      <c r="E46" s="91"/>
      <c r="F46" s="91"/>
      <c r="G46" s="114">
        <v>0</v>
      </c>
      <c r="H46" s="139">
        <v>0</v>
      </c>
      <c r="I46" s="139">
        <f>H46</f>
        <v>0</v>
      </c>
      <c r="J46" s="139">
        <f>I46</f>
        <v>0</v>
      </c>
      <c r="K46" s="139">
        <f>J46</f>
        <v>0</v>
      </c>
      <c r="L46" s="140"/>
      <c r="M46" s="73"/>
    </row>
    <row r="47" spans="2:13" x14ac:dyDescent="0.2">
      <c r="B47" s="124"/>
      <c r="C47" s="125"/>
      <c r="D47" s="1037" t="s">
        <v>430</v>
      </c>
      <c r="E47" s="91"/>
      <c r="F47" s="126"/>
      <c r="G47" s="894">
        <f>FLOOR(+G46*1.03,1)</f>
        <v>0</v>
      </c>
      <c r="H47" s="894">
        <f>FLOOR(+H46*1.03,1)</f>
        <v>0</v>
      </c>
      <c r="I47" s="894">
        <f>FLOOR(+I46*1.03,1)</f>
        <v>0</v>
      </c>
      <c r="J47" s="894">
        <f>FLOOR(+J46*1.03,1)</f>
        <v>0</v>
      </c>
      <c r="K47" s="894">
        <f>FLOOR(+K46*1.03,1)</f>
        <v>0</v>
      </c>
      <c r="L47" s="141"/>
      <c r="M47" s="127"/>
    </row>
    <row r="48" spans="2:13" x14ac:dyDescent="0.2">
      <c r="B48" s="69"/>
      <c r="C48" s="90"/>
      <c r="D48" s="1037"/>
      <c r="E48" s="91"/>
      <c r="F48" s="91"/>
      <c r="G48" s="91"/>
      <c r="H48" s="91"/>
      <c r="I48" s="91"/>
      <c r="J48" s="91"/>
      <c r="K48" s="91"/>
      <c r="L48" s="137"/>
      <c r="M48" s="73"/>
    </row>
    <row r="49" spans="2:13" x14ac:dyDescent="0.2">
      <c r="B49" s="69"/>
      <c r="C49" s="90"/>
      <c r="D49" s="1037" t="s">
        <v>399</v>
      </c>
      <c r="E49" s="91"/>
      <c r="F49" s="92"/>
      <c r="G49" s="891">
        <f>IF(G53=0,0,1)+IF(G54=0,0,1)+IF(G55=0,0,1)+IF(G56=0,0,1)</f>
        <v>0</v>
      </c>
      <c r="H49" s="891">
        <f>IF(H53=0,0,1)+IF(H54=0,0,1)+IF(H55=0,0,1)+IF(H56=0,0,1)</f>
        <v>0</v>
      </c>
      <c r="I49" s="891">
        <f>IF(I53=0,0,1)+IF(I54=0,0,1)+IF(I55=0,0,1)+IF(I56=0,0,1)</f>
        <v>0</v>
      </c>
      <c r="J49" s="891">
        <f>IF(J53=0,0,1)+IF(J54=0,0,1)+IF(J55=0,0,1)+IF(J56=0,0,1)</f>
        <v>0</v>
      </c>
      <c r="K49" s="891">
        <f>IF(K53=0,0,1)+IF(K54=0,0,1)+IF(K55=0,0,1)+IF(K56=0,0,1)</f>
        <v>0</v>
      </c>
      <c r="L49" s="115"/>
      <c r="M49" s="73"/>
    </row>
    <row r="50" spans="2:13" x14ac:dyDescent="0.2">
      <c r="B50" s="69"/>
      <c r="C50" s="90"/>
      <c r="D50" s="1037"/>
      <c r="E50" s="91"/>
      <c r="F50" s="91"/>
      <c r="G50" s="91"/>
      <c r="H50" s="91"/>
      <c r="I50" s="91"/>
      <c r="J50" s="91"/>
      <c r="K50" s="91"/>
      <c r="L50" s="137"/>
      <c r="M50" s="73"/>
    </row>
    <row r="51" spans="2:13" x14ac:dyDescent="0.2">
      <c r="B51" s="69"/>
      <c r="C51" s="90"/>
      <c r="D51" s="1038" t="s">
        <v>184</v>
      </c>
      <c r="E51" s="142"/>
      <c r="F51" s="91"/>
      <c r="G51" s="91"/>
      <c r="H51" s="91"/>
      <c r="I51" s="91"/>
      <c r="J51" s="91"/>
      <c r="K51" s="91"/>
      <c r="L51" s="137"/>
      <c r="M51" s="73"/>
    </row>
    <row r="52" spans="2:13" x14ac:dyDescent="0.2">
      <c r="B52" s="69"/>
      <c r="C52" s="90"/>
      <c r="D52" s="1039" t="s">
        <v>62</v>
      </c>
      <c r="E52" s="92"/>
      <c r="F52" s="92"/>
      <c r="G52" s="876">
        <f>ROUND(((tab!$C$169*G25)+(tab!$C$170*G26)+(IF(tab!$C$172-(G27*tab!$C$173)&lt;0,0,(tab!$C$172-(G27*tab!$C$173))))+(tab!$C$171*G31)),0)</f>
        <v>9</v>
      </c>
      <c r="H52" s="876">
        <f>ROUND(((tab!$I$169*H25)+(tab!$I$170*H26)+(IF(tab!$I$172-(H27*tab!$I$173)&lt;0,0,(tab!$I$172-(H27*tab!$I$173))))+(tab!$I$171*H31)),0)</f>
        <v>9</v>
      </c>
      <c r="I52" s="876">
        <f>ROUND(((tab!$I$169*I25)+(tab!$I$170*I26)+(IF(tab!$I$172-(I27*tab!$I$173)&lt;0,0,(tab!$I$172-(I27*tab!$I$173))))+(tab!$I$171*I31)),0)</f>
        <v>9</v>
      </c>
      <c r="J52" s="876">
        <f>ROUND(((tab!$I$169*J25)+(tab!$I$170*J26)+(IF(tab!$I$172-(J27*tab!$I$173)&lt;0,0,(tab!$I$172-(J27*tab!$I$173))))+(tab!$I$171*J31)),0)</f>
        <v>9</v>
      </c>
      <c r="K52" s="876">
        <f>ROUND(((tab!$I$169*K25)+(tab!$I$170*K26)+(IF(tab!$I$172-(K27*tab!$I$173)&lt;0,0,(tab!$I$172-(K27*tab!$I$173))))+(tab!$I$171*K31)),0)</f>
        <v>9</v>
      </c>
      <c r="L52" s="120"/>
      <c r="M52" s="73"/>
    </row>
    <row r="53" spans="2:13" x14ac:dyDescent="0.2">
      <c r="B53" s="69"/>
      <c r="C53" s="90"/>
      <c r="D53" s="1037" t="str">
        <f>D77</f>
        <v>Hoofdvestiging</v>
      </c>
      <c r="E53" s="91"/>
      <c r="F53" s="91"/>
      <c r="G53" s="893">
        <f>IF(G81=0,0,(ROUND(((tab!$C$169*G79)+(tab!$C$170*G80)+(IF(tab!$C$172-(G81*tab!$C$173)&lt;0,0,(tab!$C$172-(G81*tab!$C$173))))+(tab!$C$171*G85)),0)))</f>
        <v>0</v>
      </c>
      <c r="H53" s="893">
        <f>IF(H81=0,0,(ROUND(((tab!$I$169*H79)+(tab!$I$170*H80)+(IF(tab!$I$172-(H81*tab!$I$173)&lt;0,0,(tab!$I$172-(H81*tab!$I$173))))+(tab!$I$171*H85)),0)))</f>
        <v>0</v>
      </c>
      <c r="I53" s="893">
        <f>IF(I81=0,0,(ROUND(((tab!$I$169*I79)+(tab!$I$170*I80)+(IF(tab!$I$172-(I81*tab!$I$173)&lt;0,0,(tab!$I$172-(I81*tab!$I$173))))+(tab!$I$171*I85)),0)))</f>
        <v>0</v>
      </c>
      <c r="J53" s="893">
        <f>IF(J81=0,0,(ROUND(((tab!$I$169*J79)+(tab!$I$170*J80)+(IF(tab!$I$172-(J81*tab!$I$173)&lt;0,0,(tab!$I$172-(J81*tab!$I$173))))+(tab!$I$171*J85)),0)))</f>
        <v>0</v>
      </c>
      <c r="K53" s="893">
        <f>IF(K81=0,0,(ROUND(((tab!$I$169*K79)+(tab!$I$170*K80)+(IF(tab!$I$172-(K81*tab!$I$173)&lt;0,0,(tab!$I$172-(K81*tab!$I$173))))+(tab!$I$171*K85)),0)))</f>
        <v>0</v>
      </c>
      <c r="L53" s="143"/>
      <c r="M53" s="73"/>
    </row>
    <row r="54" spans="2:13" x14ac:dyDescent="0.2">
      <c r="B54" s="69"/>
      <c r="C54" s="90"/>
      <c r="D54" s="1037" t="str">
        <f>D90</f>
        <v>Nevenvestiging 1</v>
      </c>
      <c r="E54" s="91"/>
      <c r="F54" s="91"/>
      <c r="G54" s="893">
        <f>IF(G94=0,0,(ROUND(((tab!$C$169*G92)+(tab!$C$170*G93)+(IF(tab!$C$172-(G94*tab!$C$173)&lt;0,0,(tab!$C$172-(G94*tab!$C$173))))+(tab!$C$171*G98)),0)))</f>
        <v>0</v>
      </c>
      <c r="H54" s="893">
        <f>IF(H94=0,0,(ROUND(((tab!$I$169*H92)+(tab!$I$170*H93)+(IF(tab!$I$172-(H94*tab!$I$173)&lt;0,0,(tab!$I$172-(H94*tab!$I$173))))+(tab!$I$171*H98)),0)))</f>
        <v>0</v>
      </c>
      <c r="I54" s="893">
        <f>IF(I94=0,0,(ROUND(((tab!$I$169*I92)+(tab!$I$170*I93)+(IF(tab!$I$172-(I94*tab!$I$173)&lt;0,0,(tab!$I$172-(I94*tab!$I$173))))+(tab!$I$171*I98)),0)))</f>
        <v>0</v>
      </c>
      <c r="J54" s="893">
        <f>IF(J94=0,0,(ROUND(((tab!$I$169*J92)+(tab!$I$170*J93)+(IF(tab!$I$172-(J94*tab!$I$173)&lt;0,0,(tab!$I$172-(J94*tab!$I$173))))+(tab!$I$171*J98)),0)))</f>
        <v>0</v>
      </c>
      <c r="K54" s="893">
        <f>IF(K94=0,0,(ROUND(((tab!$I$169*K92)+(tab!$I$170*K93)+(IF(tab!$I$172-(K94*tab!$I$173)&lt;0,0,(tab!$I$172-(K94*tab!$I$173))))+(tab!$I$171*K98)),0)))</f>
        <v>0</v>
      </c>
      <c r="L54" s="143"/>
      <c r="M54" s="73"/>
    </row>
    <row r="55" spans="2:13" x14ac:dyDescent="0.2">
      <c r="B55" s="69"/>
      <c r="C55" s="90"/>
      <c r="D55" s="1037" t="str">
        <f>D103</f>
        <v>Nevenvestiging 2</v>
      </c>
      <c r="E55" s="91"/>
      <c r="F55" s="91"/>
      <c r="G55" s="893">
        <f>IF(G107=0,0,(ROUND(((tab!$C$169*G105)+(tab!$C$170*G106)+(IF(tab!$C$172-(G107*tab!$C$173)&lt;0,0,(tab!$C$172-(G107*tab!$C$173))))+(tab!$C$171*G111)),0)))</f>
        <v>0</v>
      </c>
      <c r="H55" s="893">
        <f>IF(H107=0,0,(ROUND(((tab!$I$169*H105)+(tab!$I$170*H106)+(IF(tab!$I$172-(H107*tab!$I$173)&lt;0,0,(tab!$I$172-(H107*tab!$I$173))))+(tab!$I$171*H111)),0)))</f>
        <v>0</v>
      </c>
      <c r="I55" s="893">
        <f>IF(I107=0,0,(ROUND(((tab!$I$169*I105)+(tab!$I$170*I106)+(IF(tab!$I$172-(I107*tab!$I$173)&lt;0,0,(tab!$I$172-(I107*tab!$I$173))))+(tab!$I$171*I111)),0)))</f>
        <v>0</v>
      </c>
      <c r="J55" s="893">
        <f>IF(J107=0,0,(ROUND(((tab!$I$169*J105)+(tab!$I$170*J106)+(IF(tab!$I$172-(J107*tab!$I$173)&lt;0,0,(tab!$I$172-(J107*tab!$I$173))))+(tab!$I$171*J111)),0)))</f>
        <v>0</v>
      </c>
      <c r="K55" s="893">
        <f>IF(K107=0,0,(ROUND(((tab!$I$169*K105)+(tab!$I$170*K106)+(IF(tab!$I$172-(K107*tab!$I$173)&lt;0,0,(tab!$I$172-(K107*tab!$I$173))))+(tab!$I$171*K111)),0)))</f>
        <v>0</v>
      </c>
      <c r="L55" s="143"/>
      <c r="M55" s="73"/>
    </row>
    <row r="56" spans="2:13" x14ac:dyDescent="0.2">
      <c r="B56" s="69"/>
      <c r="C56" s="90"/>
      <c r="D56" s="1037" t="str">
        <f>D116</f>
        <v>Nevenvestiging 3</v>
      </c>
      <c r="E56" s="91"/>
      <c r="F56" s="91"/>
      <c r="G56" s="893">
        <f>IF(G120=0,0,(ROUND(((tab!$C$169*G118)+(tab!$C$170*G119)+(IF(tab!$C$172-(G120*tab!$C$173)&lt;0,0,(tab!$C$172-(G120*tab!$C$173))))+(tab!$C$171*G124)),0)))</f>
        <v>0</v>
      </c>
      <c r="H56" s="893">
        <f>IF(H120=0,0,(ROUND(((tab!$I$169*H118)+(tab!$I$170*H119)+(IF(tab!$I$172-(H120*tab!$I$173)&lt;0,0,(tab!$I$172-(H120*tab!$I$173))))+(tab!$I$171*H124)),0)))</f>
        <v>0</v>
      </c>
      <c r="I56" s="893">
        <f>IF(I120=0,0,(ROUND(((tab!$I$169*I118)+(tab!$I$170*I119)+(IF(tab!$I$172-(I120*tab!$I$173)&lt;0,0,(tab!$I$172-(I120*tab!$I$173))))+(tab!$I$171*I124)),0)))</f>
        <v>0</v>
      </c>
      <c r="J56" s="893">
        <f>IF(J120=0,0,(ROUND(((tab!$I$169*J118)+(tab!$I$170*J119)+(IF(tab!$I$172-(J120*tab!$I$173)&lt;0,0,(tab!$I$172-(J120*tab!$I$173))))+(tab!$I$171*J124)),0)))</f>
        <v>0</v>
      </c>
      <c r="K56" s="893">
        <f>IF(K120=0,0,(ROUND(((tab!$I$169*K118)+(tab!$I$170*K119)+(IF(tab!$I$172-(K120*tab!$I$173)&lt;0,0,(tab!$I$172-(K120*tab!$I$173))))+(tab!$I$171*K124)),0)))</f>
        <v>0</v>
      </c>
      <c r="L56" s="143"/>
      <c r="M56" s="73"/>
    </row>
    <row r="57" spans="2:13" x14ac:dyDescent="0.2">
      <c r="B57" s="69"/>
      <c r="C57" s="90"/>
      <c r="D57" s="1037"/>
      <c r="E57" s="91"/>
      <c r="F57" s="91"/>
      <c r="G57" s="91"/>
      <c r="H57" s="91"/>
      <c r="I57" s="91"/>
      <c r="J57" s="91"/>
      <c r="K57" s="91"/>
      <c r="L57" s="137"/>
      <c r="M57" s="73"/>
    </row>
    <row r="58" spans="2:13" x14ac:dyDescent="0.2">
      <c r="B58" s="69"/>
      <c r="C58" s="90"/>
      <c r="D58" s="1038" t="s">
        <v>227</v>
      </c>
      <c r="E58" s="142"/>
      <c r="F58" s="91"/>
      <c r="G58" s="91"/>
      <c r="H58" s="91"/>
      <c r="I58" s="91"/>
      <c r="J58" s="91"/>
      <c r="K58" s="91"/>
      <c r="L58" s="137"/>
      <c r="M58" s="73"/>
    </row>
    <row r="59" spans="2:13" x14ac:dyDescent="0.2">
      <c r="B59" s="69"/>
      <c r="C59" s="90"/>
      <c r="D59" s="1037" t="str">
        <f>D52</f>
        <v>School zonder nevenvestiging</v>
      </c>
      <c r="E59" s="91"/>
      <c r="F59" s="92"/>
      <c r="G59" s="893">
        <f>LOOKUP(G52,groepenleerlingennu,vloeroppervlaknu)</f>
        <v>1190</v>
      </c>
      <c r="H59" s="893">
        <f t="shared" ref="G59:J63" si="2">LOOKUP(H52,groepenleerlingennu,vloeroppervlaknu)</f>
        <v>1190</v>
      </c>
      <c r="I59" s="893">
        <f t="shared" si="2"/>
        <v>1190</v>
      </c>
      <c r="J59" s="893">
        <f t="shared" si="2"/>
        <v>1190</v>
      </c>
      <c r="K59" s="893">
        <f>LOOKUP(K52,groepenleerlingennu,vloeroppervlaknu)</f>
        <v>1190</v>
      </c>
      <c r="L59" s="143"/>
      <c r="M59" s="73"/>
    </row>
    <row r="60" spans="2:13" x14ac:dyDescent="0.2">
      <c r="B60" s="69"/>
      <c r="C60" s="90"/>
      <c r="D60" s="1037" t="str">
        <f>D53</f>
        <v>Hoofdvestiging</v>
      </c>
      <c r="E60" s="91"/>
      <c r="F60" s="91"/>
      <c r="G60" s="893">
        <f>LOOKUP(G53,groepenleerlingennu,vloeroppervlaknu)</f>
        <v>0</v>
      </c>
      <c r="H60" s="893">
        <f t="shared" si="2"/>
        <v>0</v>
      </c>
      <c r="I60" s="893">
        <f t="shared" si="2"/>
        <v>0</v>
      </c>
      <c r="J60" s="893">
        <f t="shared" si="2"/>
        <v>0</v>
      </c>
      <c r="K60" s="893">
        <f>LOOKUP(K53,groepenleerlingennu,vloeroppervlaknu)</f>
        <v>0</v>
      </c>
      <c r="L60" s="143"/>
      <c r="M60" s="73"/>
    </row>
    <row r="61" spans="2:13" x14ac:dyDescent="0.2">
      <c r="B61" s="69"/>
      <c r="C61" s="90"/>
      <c r="D61" s="1037" t="str">
        <f>D54</f>
        <v>Nevenvestiging 1</v>
      </c>
      <c r="E61" s="91"/>
      <c r="F61" s="91"/>
      <c r="G61" s="893">
        <f t="shared" si="2"/>
        <v>0</v>
      </c>
      <c r="H61" s="893">
        <f t="shared" si="2"/>
        <v>0</v>
      </c>
      <c r="I61" s="893">
        <f t="shared" si="2"/>
        <v>0</v>
      </c>
      <c r="J61" s="893">
        <f t="shared" si="2"/>
        <v>0</v>
      </c>
      <c r="K61" s="893">
        <f>LOOKUP(K54,groepenleerlingennu,vloeroppervlaknu)</f>
        <v>0</v>
      </c>
      <c r="L61" s="143"/>
      <c r="M61" s="73"/>
    </row>
    <row r="62" spans="2:13" x14ac:dyDescent="0.2">
      <c r="B62" s="69"/>
      <c r="C62" s="90"/>
      <c r="D62" s="1037" t="str">
        <f>D55</f>
        <v>Nevenvestiging 2</v>
      </c>
      <c r="E62" s="91"/>
      <c r="F62" s="91"/>
      <c r="G62" s="893">
        <f>LOOKUP(G55,groepenleerlingennu,vloeroppervlaknu)</f>
        <v>0</v>
      </c>
      <c r="H62" s="893">
        <f t="shared" ref="H62:J63" si="3">LOOKUP(H55,groepenleerlingennu,vloeroppervlaknu)</f>
        <v>0</v>
      </c>
      <c r="I62" s="893">
        <f t="shared" si="3"/>
        <v>0</v>
      </c>
      <c r="J62" s="893">
        <f t="shared" si="3"/>
        <v>0</v>
      </c>
      <c r="K62" s="893">
        <f>LOOKUP(K55,groepenleerlingennu,vloeroppervlaknu)</f>
        <v>0</v>
      </c>
      <c r="L62" s="143"/>
      <c r="M62" s="73"/>
    </row>
    <row r="63" spans="2:13" x14ac:dyDescent="0.2">
      <c r="B63" s="69"/>
      <c r="C63" s="90"/>
      <c r="D63" s="1037" t="str">
        <f>D56</f>
        <v>Nevenvestiging 3</v>
      </c>
      <c r="E63" s="91"/>
      <c r="F63" s="91"/>
      <c r="G63" s="893">
        <f t="shared" si="2"/>
        <v>0</v>
      </c>
      <c r="H63" s="893">
        <f t="shared" si="3"/>
        <v>0</v>
      </c>
      <c r="I63" s="893">
        <f t="shared" si="3"/>
        <v>0</v>
      </c>
      <c r="J63" s="893">
        <f t="shared" si="3"/>
        <v>0</v>
      </c>
      <c r="K63" s="893">
        <f>LOOKUP(K56,groepenleerlingennu,vloeroppervlaknu)</f>
        <v>0</v>
      </c>
      <c r="L63" s="143"/>
      <c r="M63" s="73"/>
    </row>
    <row r="64" spans="2:13" x14ac:dyDescent="0.2">
      <c r="B64" s="69"/>
      <c r="C64" s="98"/>
      <c r="D64" s="144"/>
      <c r="E64" s="144"/>
      <c r="F64" s="144"/>
      <c r="G64" s="144"/>
      <c r="H64" s="144"/>
      <c r="I64" s="144"/>
      <c r="J64" s="144"/>
      <c r="K64" s="144"/>
      <c r="L64" s="130"/>
      <c r="M64" s="73"/>
    </row>
    <row r="65" spans="2:13" x14ac:dyDescent="0.2">
      <c r="B65" s="124"/>
      <c r="C65" s="145"/>
      <c r="D65" s="146"/>
      <c r="E65" s="146"/>
      <c r="F65" s="146"/>
      <c r="G65" s="147"/>
      <c r="H65" s="147"/>
      <c r="I65" s="147"/>
      <c r="J65" s="147"/>
      <c r="K65" s="147"/>
      <c r="L65" s="147"/>
      <c r="M65" s="127"/>
    </row>
    <row r="66" spans="2:13" ht="15" x14ac:dyDescent="0.25">
      <c r="B66" s="148"/>
      <c r="C66" s="149"/>
      <c r="D66" s="150"/>
      <c r="E66" s="150"/>
      <c r="F66" s="150"/>
      <c r="G66" s="151"/>
      <c r="H66" s="151"/>
      <c r="I66" s="151"/>
      <c r="J66" s="151"/>
      <c r="K66" s="151"/>
      <c r="L66" s="152"/>
      <c r="M66" s="153"/>
    </row>
    <row r="67" spans="2:13" x14ac:dyDescent="0.2">
      <c r="B67" s="69"/>
      <c r="C67" s="70"/>
      <c r="D67" s="71"/>
      <c r="E67" s="71"/>
      <c r="F67" s="71"/>
      <c r="G67" s="72"/>
      <c r="H67" s="72"/>
      <c r="I67" s="72"/>
      <c r="J67" s="72"/>
      <c r="K67" s="72"/>
      <c r="L67" s="72"/>
      <c r="M67" s="73"/>
    </row>
    <row r="68" spans="2:13" x14ac:dyDescent="0.2">
      <c r="B68" s="69"/>
      <c r="C68" s="70"/>
      <c r="D68" s="71"/>
      <c r="E68" s="71"/>
      <c r="F68" s="71"/>
      <c r="G68" s="72"/>
      <c r="H68" s="72"/>
      <c r="I68" s="72"/>
      <c r="J68" s="72"/>
      <c r="K68" s="72"/>
      <c r="L68" s="72"/>
      <c r="M68" s="73"/>
    </row>
    <row r="69" spans="2:13" s="154" customFormat="1" ht="18.75" x14ac:dyDescent="0.3">
      <c r="B69" s="75"/>
      <c r="C69" s="858" t="s">
        <v>383</v>
      </c>
      <c r="D69" s="76"/>
      <c r="E69" s="76"/>
      <c r="F69" s="155"/>
      <c r="G69" s="156"/>
      <c r="H69" s="156"/>
      <c r="I69" s="156"/>
      <c r="J69" s="156"/>
      <c r="K69" s="156"/>
      <c r="L69" s="156"/>
      <c r="M69" s="157"/>
    </row>
    <row r="70" spans="2:13" x14ac:dyDescent="0.2">
      <c r="B70" s="69"/>
      <c r="C70" s="70" t="s">
        <v>387</v>
      </c>
      <c r="D70" s="70"/>
      <c r="E70" s="70"/>
      <c r="F70" s="71"/>
      <c r="G70" s="72"/>
      <c r="H70" s="72"/>
      <c r="I70" s="72"/>
      <c r="J70" s="72"/>
      <c r="K70" s="72"/>
      <c r="L70" s="72"/>
      <c r="M70" s="73"/>
    </row>
    <row r="71" spans="2:13" x14ac:dyDescent="0.2">
      <c r="B71" s="69"/>
      <c r="C71" s="70"/>
      <c r="D71" s="71"/>
      <c r="E71" s="71"/>
      <c r="F71" s="71"/>
      <c r="G71" s="72"/>
      <c r="H71" s="72"/>
      <c r="I71" s="72"/>
      <c r="J71" s="72"/>
      <c r="K71" s="72"/>
      <c r="L71" s="72"/>
      <c r="M71" s="73"/>
    </row>
    <row r="72" spans="2:13" x14ac:dyDescent="0.2">
      <c r="B72" s="69"/>
      <c r="C72" s="70"/>
      <c r="D72" s="71"/>
      <c r="E72" s="71"/>
      <c r="F72" s="71"/>
      <c r="G72" s="72"/>
      <c r="H72" s="72"/>
      <c r="I72" s="72"/>
      <c r="J72" s="72"/>
      <c r="K72" s="72"/>
      <c r="L72" s="72"/>
      <c r="M72" s="73"/>
    </row>
    <row r="73" spans="2:13" s="74" customFormat="1" x14ac:dyDescent="0.2">
      <c r="B73" s="102"/>
      <c r="C73" s="77"/>
      <c r="D73" s="103"/>
      <c r="E73" s="882"/>
      <c r="F73" s="882" t="s">
        <v>195</v>
      </c>
      <c r="G73" s="880" t="str">
        <f t="shared" ref="G73:K74" si="4">G19</f>
        <v>2015/16</v>
      </c>
      <c r="H73" s="880" t="str">
        <f t="shared" si="4"/>
        <v>2016/17</v>
      </c>
      <c r="I73" s="880" t="str">
        <f t="shared" si="4"/>
        <v>2017/18</v>
      </c>
      <c r="J73" s="880" t="str">
        <f t="shared" si="4"/>
        <v>2018/19</v>
      </c>
      <c r="K73" s="880" t="str">
        <f t="shared" si="4"/>
        <v>2019/20</v>
      </c>
      <c r="L73" s="105"/>
      <c r="M73" s="78"/>
    </row>
    <row r="74" spans="2:13" s="74" customFormat="1" x14ac:dyDescent="0.2">
      <c r="B74" s="102"/>
      <c r="C74" s="77"/>
      <c r="D74" s="103"/>
      <c r="E74" s="882"/>
      <c r="F74" s="882" t="s">
        <v>207</v>
      </c>
      <c r="G74" s="880">
        <f t="shared" si="4"/>
        <v>2014</v>
      </c>
      <c r="H74" s="880">
        <f t="shared" si="4"/>
        <v>2015</v>
      </c>
      <c r="I74" s="880">
        <f t="shared" si="4"/>
        <v>2016</v>
      </c>
      <c r="J74" s="880">
        <f t="shared" si="4"/>
        <v>2017</v>
      </c>
      <c r="K74" s="880">
        <f t="shared" si="4"/>
        <v>2018</v>
      </c>
      <c r="L74" s="105"/>
      <c r="M74" s="78"/>
    </row>
    <row r="75" spans="2:13" x14ac:dyDescent="0.2">
      <c r="B75" s="69"/>
      <c r="C75" s="70"/>
      <c r="D75" s="71"/>
      <c r="E75" s="71"/>
      <c r="F75" s="71"/>
      <c r="G75" s="72"/>
      <c r="H75" s="72"/>
      <c r="I75" s="72"/>
      <c r="J75" s="72"/>
      <c r="K75" s="72"/>
      <c r="L75" s="72"/>
      <c r="M75" s="73"/>
    </row>
    <row r="76" spans="2:13" x14ac:dyDescent="0.2">
      <c r="B76" s="158"/>
      <c r="C76" s="159"/>
      <c r="D76" s="160"/>
      <c r="E76" s="160"/>
      <c r="F76" s="87"/>
      <c r="G76" s="87"/>
      <c r="H76" s="87"/>
      <c r="I76" s="87"/>
      <c r="J76" s="87"/>
      <c r="K76" s="87"/>
      <c r="L76" s="161"/>
      <c r="M76" s="73"/>
    </row>
    <row r="77" spans="2:13" x14ac:dyDescent="0.2">
      <c r="B77" s="69"/>
      <c r="C77" s="90"/>
      <c r="D77" s="1040" t="s">
        <v>263</v>
      </c>
      <c r="E77" s="1041"/>
      <c r="F77" s="92"/>
      <c r="G77" s="92"/>
      <c r="H77" s="92"/>
      <c r="I77" s="92"/>
      <c r="J77" s="92"/>
      <c r="K77" s="92"/>
      <c r="L77" s="162"/>
      <c r="M77" s="73"/>
    </row>
    <row r="78" spans="2:13" x14ac:dyDescent="0.2">
      <c r="B78" s="69"/>
      <c r="C78" s="90"/>
      <c r="D78" s="1039" t="s">
        <v>250</v>
      </c>
      <c r="E78" s="1039"/>
      <c r="F78" s="92"/>
      <c r="G78" s="114">
        <v>1111</v>
      </c>
      <c r="H78" s="92"/>
      <c r="I78" s="92"/>
      <c r="J78" s="92"/>
      <c r="K78" s="92"/>
      <c r="L78" s="162"/>
      <c r="M78" s="73"/>
    </row>
    <row r="79" spans="2:13" x14ac:dyDescent="0.2">
      <c r="B79" s="69"/>
      <c r="C79" s="90"/>
      <c r="D79" s="1037" t="s">
        <v>167</v>
      </c>
      <c r="E79" s="1037"/>
      <c r="F79" s="92"/>
      <c r="G79" s="875">
        <f>IF(G94=0,0,G25-(G92+G105+G118))</f>
        <v>0</v>
      </c>
      <c r="H79" s="875">
        <f>IF(H94=0,0,H25-(H92+H105+H118))</f>
        <v>0</v>
      </c>
      <c r="I79" s="875">
        <f>IF(I94=0,0,I25-(I92+I105+I118))</f>
        <v>0</v>
      </c>
      <c r="J79" s="875">
        <f>IF(J94=0,0,J25-(J92+J105+J118))</f>
        <v>0</v>
      </c>
      <c r="K79" s="875">
        <f>IF(K94=0,0,K25-(K92+K105+K118))</f>
        <v>0</v>
      </c>
      <c r="L79" s="115"/>
      <c r="M79" s="73"/>
    </row>
    <row r="80" spans="2:13" x14ac:dyDescent="0.2">
      <c r="B80" s="69"/>
      <c r="C80" s="90"/>
      <c r="D80" s="1037" t="s">
        <v>168</v>
      </c>
      <c r="E80" s="1037"/>
      <c r="F80" s="92"/>
      <c r="G80" s="875">
        <f>IF(G94=0,0,G26-(G93+G106+G119))</f>
        <v>0</v>
      </c>
      <c r="H80" s="875">
        <f>IF(H94=0,0,H26-(H93+H106+H119))</f>
        <v>0</v>
      </c>
      <c r="I80" s="875">
        <f>IF(I94=0,0,I26-(I93+I106+I119))</f>
        <v>0</v>
      </c>
      <c r="J80" s="875">
        <f>IF(J94=0,0,J26-(J93+J106+J119))</f>
        <v>0</v>
      </c>
      <c r="K80" s="875">
        <f>IF(K94=0,0,K26-(K93+K106+K119))</f>
        <v>0</v>
      </c>
      <c r="L80" s="115"/>
      <c r="M80" s="73"/>
    </row>
    <row r="81" spans="2:13" x14ac:dyDescent="0.2">
      <c r="B81" s="69"/>
      <c r="C81" s="90"/>
      <c r="D81" s="1042" t="s">
        <v>193</v>
      </c>
      <c r="E81" s="1042"/>
      <c r="F81" s="116"/>
      <c r="G81" s="889">
        <f>G79+G80</f>
        <v>0</v>
      </c>
      <c r="H81" s="889">
        <f>H79+H80</f>
        <v>0</v>
      </c>
      <c r="I81" s="889">
        <f>I79+I80</f>
        <v>0</v>
      </c>
      <c r="J81" s="889">
        <f>J79+J80</f>
        <v>0</v>
      </c>
      <c r="K81" s="889">
        <f>K79+K80</f>
        <v>0</v>
      </c>
      <c r="L81" s="117"/>
      <c r="M81" s="73"/>
    </row>
    <row r="82" spans="2:13" x14ac:dyDescent="0.2">
      <c r="B82" s="69"/>
      <c r="C82" s="90"/>
      <c r="D82" s="1039" t="s">
        <v>443</v>
      </c>
      <c r="E82" s="1043">
        <v>0.3</v>
      </c>
      <c r="F82" s="92"/>
      <c r="G82" s="875">
        <f t="shared" ref="G82:K83" si="5">IF(G$94=0,0,(G28-(G95+G108+G121)))</f>
        <v>0</v>
      </c>
      <c r="H82" s="875">
        <f t="shared" si="5"/>
        <v>0</v>
      </c>
      <c r="I82" s="875">
        <f t="shared" si="5"/>
        <v>0</v>
      </c>
      <c r="J82" s="875">
        <f t="shared" si="5"/>
        <v>0</v>
      </c>
      <c r="K82" s="875">
        <f t="shared" si="5"/>
        <v>0</v>
      </c>
      <c r="L82" s="115"/>
      <c r="M82" s="73"/>
    </row>
    <row r="83" spans="2:13" x14ac:dyDescent="0.2">
      <c r="B83" s="69"/>
      <c r="C83" s="90"/>
      <c r="D83" s="1039" t="s">
        <v>443</v>
      </c>
      <c r="E83" s="1043">
        <v>1.2</v>
      </c>
      <c r="F83" s="92"/>
      <c r="G83" s="875">
        <f t="shared" si="5"/>
        <v>0</v>
      </c>
      <c r="H83" s="875">
        <f t="shared" si="5"/>
        <v>0</v>
      </c>
      <c r="I83" s="875">
        <f t="shared" si="5"/>
        <v>0</v>
      </c>
      <c r="J83" s="875">
        <f t="shared" si="5"/>
        <v>0</v>
      </c>
      <c r="K83" s="875">
        <f t="shared" si="5"/>
        <v>0</v>
      </c>
      <c r="L83" s="115"/>
      <c r="M83" s="73"/>
    </row>
    <row r="84" spans="2:13" x14ac:dyDescent="0.2">
      <c r="B84" s="69"/>
      <c r="C84" s="90"/>
      <c r="D84" s="1037" t="s">
        <v>182</v>
      </c>
      <c r="E84" s="1037"/>
      <c r="F84" s="92"/>
      <c r="G84" s="876">
        <f>($E$28*G82)+($E$29*G83)</f>
        <v>0</v>
      </c>
      <c r="H84" s="876">
        <f>($E$28*H82)+($E$29*H83)</f>
        <v>0</v>
      </c>
      <c r="I84" s="876">
        <f>($E$28*I82)+($E$29*I83)</f>
        <v>0</v>
      </c>
      <c r="J84" s="876">
        <f>($E$28*J82)+($E$29*J83)</f>
        <v>0</v>
      </c>
      <c r="K84" s="876">
        <f>($E$28*K82)+($E$29*K83)</f>
        <v>0</v>
      </c>
      <c r="L84" s="120"/>
      <c r="M84" s="73"/>
    </row>
    <row r="85" spans="2:13" x14ac:dyDescent="0.2">
      <c r="B85" s="69"/>
      <c r="C85" s="90"/>
      <c r="D85" s="1037" t="s">
        <v>266</v>
      </c>
      <c r="E85" s="1037"/>
      <c r="F85" s="92"/>
      <c r="G85" s="890">
        <f>ROUND(IF(G88&lt;(G81*0.8),G88,(0.8*G81)),0)</f>
        <v>0</v>
      </c>
      <c r="H85" s="890">
        <f>ROUND(IF(H88&lt;(H81*0.8),H88,(0.8*H81)),0)</f>
        <v>0</v>
      </c>
      <c r="I85" s="890">
        <f>ROUND(IF(I88&lt;(I81*0.8),I88,(0.8*I81)),0)</f>
        <v>0</v>
      </c>
      <c r="J85" s="890">
        <f>ROUND(IF(J88&lt;(J81*0.8),J88,(0.8*J81)),0)</f>
        <v>0</v>
      </c>
      <c r="K85" s="890">
        <f>ROUND(IF(K88&lt;(K81*0.8),K88,(0.8*K81)),0)</f>
        <v>0</v>
      </c>
      <c r="L85" s="120"/>
      <c r="M85" s="73"/>
    </row>
    <row r="86" spans="2:13" x14ac:dyDescent="0.2">
      <c r="B86" s="69"/>
      <c r="C86" s="90"/>
      <c r="D86" s="1037" t="s">
        <v>100</v>
      </c>
      <c r="E86" s="1037"/>
      <c r="F86" s="91"/>
      <c r="G86" s="876" t="str">
        <f>IF(G78=LOOKUP(G78,Postcode_gebieden),"ja","nee")</f>
        <v>nee</v>
      </c>
      <c r="H86" s="876" t="str">
        <f>+G86</f>
        <v>nee</v>
      </c>
      <c r="I86" s="876" t="str">
        <f>+H86</f>
        <v>nee</v>
      </c>
      <c r="J86" s="876" t="str">
        <f>+I86</f>
        <v>nee</v>
      </c>
      <c r="K86" s="876" t="str">
        <f>+J86</f>
        <v>nee</v>
      </c>
      <c r="L86" s="120"/>
      <c r="M86" s="73"/>
    </row>
    <row r="87" spans="2:13" x14ac:dyDescent="0.2">
      <c r="B87" s="69"/>
      <c r="C87" s="90"/>
      <c r="D87" s="1037" t="s">
        <v>101</v>
      </c>
      <c r="E87" s="1037"/>
      <c r="F87" s="91"/>
      <c r="G87" s="876">
        <f>SUM(G82:G83)</f>
        <v>0</v>
      </c>
      <c r="H87" s="876">
        <f>SUM(H82:H83)</f>
        <v>0</v>
      </c>
      <c r="I87" s="876">
        <f>SUM(I82:I83)</f>
        <v>0</v>
      </c>
      <c r="J87" s="876">
        <f>SUM(J82:J83)</f>
        <v>0</v>
      </c>
      <c r="K87" s="876">
        <f>SUM(K82:K83)</f>
        <v>0</v>
      </c>
      <c r="L87" s="120"/>
      <c r="M87" s="73"/>
    </row>
    <row r="88" spans="2:13" x14ac:dyDescent="0.2">
      <c r="B88" s="158"/>
      <c r="C88" s="163"/>
      <c r="D88" s="1044"/>
      <c r="E88" s="1044"/>
      <c r="F88" s="126"/>
      <c r="G88" s="122">
        <f>ROUND(IF(G84-tab!$D$28*G81&lt;0,0,G84-tab!$D$28*G81),0)</f>
        <v>0</v>
      </c>
      <c r="H88" s="122">
        <f>ROUND(IF(H84-tab!$E$28*H81&lt;0,0,H84-tab!$E$28*H81),0)</f>
        <v>0</v>
      </c>
      <c r="I88" s="122">
        <f>ROUND(IF(I84-tab!$E$28*I81&lt;0,0,I84-tab!$E$28*I81),0)</f>
        <v>0</v>
      </c>
      <c r="J88" s="122">
        <f>ROUND(IF(J84-tab!$E$28*J81&lt;0,0,J84-tab!$E$28*J81),0)</f>
        <v>0</v>
      </c>
      <c r="K88" s="122">
        <f>ROUND(IF(K84-tab!$E$28*K81&lt;0,0,K84-tab!$E$28*K81),0)</f>
        <v>0</v>
      </c>
      <c r="L88" s="165"/>
      <c r="M88" s="166"/>
    </row>
    <row r="89" spans="2:13" x14ac:dyDescent="0.2">
      <c r="B89" s="69"/>
      <c r="C89" s="90"/>
      <c r="D89" s="1039"/>
      <c r="E89" s="1039"/>
      <c r="F89" s="92"/>
      <c r="G89" s="92"/>
      <c r="H89" s="92"/>
      <c r="I89" s="92"/>
      <c r="J89" s="92"/>
      <c r="K89" s="92"/>
      <c r="L89" s="162"/>
      <c r="M89" s="73"/>
    </row>
    <row r="90" spans="2:13" x14ac:dyDescent="0.2">
      <c r="B90" s="69"/>
      <c r="C90" s="90"/>
      <c r="D90" s="1040" t="s">
        <v>380</v>
      </c>
      <c r="E90" s="1041"/>
      <c r="F90" s="92"/>
      <c r="G90" s="92"/>
      <c r="H90" s="92"/>
      <c r="I90" s="92"/>
      <c r="J90" s="92"/>
      <c r="K90" s="92"/>
      <c r="L90" s="162"/>
      <c r="M90" s="73"/>
    </row>
    <row r="91" spans="2:13" x14ac:dyDescent="0.2">
      <c r="B91" s="69"/>
      <c r="C91" s="90"/>
      <c r="D91" s="1039" t="s">
        <v>251</v>
      </c>
      <c r="E91" s="1039"/>
      <c r="F91" s="92"/>
      <c r="G91" s="114">
        <v>1111</v>
      </c>
      <c r="H91" s="92"/>
      <c r="I91" s="92"/>
      <c r="J91" s="92"/>
      <c r="K91" s="92"/>
      <c r="L91" s="162"/>
      <c r="M91" s="73"/>
    </row>
    <row r="92" spans="2:13" x14ac:dyDescent="0.2">
      <c r="B92" s="69"/>
      <c r="C92" s="90"/>
      <c r="D92" s="1037" t="s">
        <v>167</v>
      </c>
      <c r="E92" s="1037"/>
      <c r="F92" s="92"/>
      <c r="G92" s="114">
        <v>0</v>
      </c>
      <c r="H92" s="114">
        <v>0</v>
      </c>
      <c r="I92" s="114">
        <f t="shared" ref="I92:K93" si="6">H92</f>
        <v>0</v>
      </c>
      <c r="J92" s="114">
        <f t="shared" si="6"/>
        <v>0</v>
      </c>
      <c r="K92" s="114">
        <f t="shared" si="6"/>
        <v>0</v>
      </c>
      <c r="L92" s="115"/>
      <c r="M92" s="73"/>
    </row>
    <row r="93" spans="2:13" x14ac:dyDescent="0.2">
      <c r="B93" s="69"/>
      <c r="C93" s="90"/>
      <c r="D93" s="1037" t="s">
        <v>168</v>
      </c>
      <c r="E93" s="1037"/>
      <c r="F93" s="92"/>
      <c r="G93" s="114">
        <v>0</v>
      </c>
      <c r="H93" s="114">
        <v>0</v>
      </c>
      <c r="I93" s="114">
        <f t="shared" si="6"/>
        <v>0</v>
      </c>
      <c r="J93" s="114">
        <f t="shared" si="6"/>
        <v>0</v>
      </c>
      <c r="K93" s="114">
        <f t="shared" si="6"/>
        <v>0</v>
      </c>
      <c r="L93" s="115"/>
      <c r="M93" s="73"/>
    </row>
    <row r="94" spans="2:13" x14ac:dyDescent="0.2">
      <c r="B94" s="69"/>
      <c r="C94" s="90"/>
      <c r="D94" s="1042" t="s">
        <v>193</v>
      </c>
      <c r="E94" s="1042"/>
      <c r="F94" s="116"/>
      <c r="G94" s="889">
        <f>G92+G93</f>
        <v>0</v>
      </c>
      <c r="H94" s="889">
        <f>H92+H93</f>
        <v>0</v>
      </c>
      <c r="I94" s="889">
        <f>I92+I93</f>
        <v>0</v>
      </c>
      <c r="J94" s="889">
        <f>J92+J93</f>
        <v>0</v>
      </c>
      <c r="K94" s="889">
        <f>K92+K93</f>
        <v>0</v>
      </c>
      <c r="L94" s="117"/>
      <c r="M94" s="73"/>
    </row>
    <row r="95" spans="2:13" x14ac:dyDescent="0.2">
      <c r="B95" s="69"/>
      <c r="C95" s="90"/>
      <c r="D95" s="1039" t="s">
        <v>443</v>
      </c>
      <c r="E95" s="1043">
        <v>0.3</v>
      </c>
      <c r="F95" s="92"/>
      <c r="G95" s="114">
        <v>0</v>
      </c>
      <c r="H95" s="114">
        <v>0</v>
      </c>
      <c r="I95" s="114">
        <f t="shared" ref="I95:K96" si="7">H95</f>
        <v>0</v>
      </c>
      <c r="J95" s="114">
        <f t="shared" si="7"/>
        <v>0</v>
      </c>
      <c r="K95" s="114">
        <f t="shared" si="7"/>
        <v>0</v>
      </c>
      <c r="L95" s="115"/>
      <c r="M95" s="73"/>
    </row>
    <row r="96" spans="2:13" x14ac:dyDescent="0.2">
      <c r="B96" s="69"/>
      <c r="C96" s="90"/>
      <c r="D96" s="1039" t="s">
        <v>443</v>
      </c>
      <c r="E96" s="1043">
        <v>1.2</v>
      </c>
      <c r="F96" s="92"/>
      <c r="G96" s="114">
        <v>0</v>
      </c>
      <c r="H96" s="114">
        <v>0</v>
      </c>
      <c r="I96" s="114">
        <f t="shared" si="7"/>
        <v>0</v>
      </c>
      <c r="J96" s="114">
        <f t="shared" si="7"/>
        <v>0</v>
      </c>
      <c r="K96" s="114">
        <f t="shared" si="7"/>
        <v>0</v>
      </c>
      <c r="L96" s="115"/>
      <c r="M96" s="73"/>
    </row>
    <row r="97" spans="2:13" x14ac:dyDescent="0.2">
      <c r="B97" s="69"/>
      <c r="C97" s="90"/>
      <c r="D97" s="1037" t="s">
        <v>182</v>
      </c>
      <c r="E97" s="1037"/>
      <c r="F97" s="92"/>
      <c r="G97" s="876">
        <f>($E$28*G95)+($E$29*G96)</f>
        <v>0</v>
      </c>
      <c r="H97" s="876">
        <f>($E$28*H95)+($E$29*H96)</f>
        <v>0</v>
      </c>
      <c r="I97" s="876">
        <f>($E$28*I95)+($E$29*I96)</f>
        <v>0</v>
      </c>
      <c r="J97" s="876">
        <f>($E$28*J95)+($E$29*J96)</f>
        <v>0</v>
      </c>
      <c r="K97" s="876">
        <f>($E$28*K95)+($E$29*K96)</f>
        <v>0</v>
      </c>
      <c r="L97" s="120"/>
      <c r="M97" s="73"/>
    </row>
    <row r="98" spans="2:13" x14ac:dyDescent="0.2">
      <c r="B98" s="69"/>
      <c r="C98" s="90"/>
      <c r="D98" s="1037" t="s">
        <v>266</v>
      </c>
      <c r="E98" s="1037"/>
      <c r="F98" s="92"/>
      <c r="G98" s="890">
        <f>ROUND(IF(G101&lt;(G94*0.8),G101,(0.8*G94)),0)</f>
        <v>0</v>
      </c>
      <c r="H98" s="890">
        <f>ROUND(IF(H101&lt;(H94*0.8),H101,(0.8*H94)),0)</f>
        <v>0</v>
      </c>
      <c r="I98" s="890">
        <f>ROUND(IF(I101&lt;(I94*0.8),I101,(0.8*I94)),0)</f>
        <v>0</v>
      </c>
      <c r="J98" s="890">
        <f>ROUND(IF(J101&lt;(J94*0.8),J101,(0.8*J94)),0)</f>
        <v>0</v>
      </c>
      <c r="K98" s="890">
        <f>ROUND(IF(K101&lt;(K94*0.8),K101,(0.8*K94)),0)</f>
        <v>0</v>
      </c>
      <c r="L98" s="120"/>
      <c r="M98" s="73"/>
    </row>
    <row r="99" spans="2:13" x14ac:dyDescent="0.2">
      <c r="B99" s="69"/>
      <c r="C99" s="90"/>
      <c r="D99" s="1037" t="s">
        <v>100</v>
      </c>
      <c r="E99" s="1037"/>
      <c r="F99" s="91"/>
      <c r="G99" s="876" t="str">
        <f>IF(G91=LOOKUP(G91,Postcode_gebieden),"ja","nee")</f>
        <v>nee</v>
      </c>
      <c r="H99" s="876" t="str">
        <f>+G99</f>
        <v>nee</v>
      </c>
      <c r="I99" s="876" t="str">
        <f>+H99</f>
        <v>nee</v>
      </c>
      <c r="J99" s="876" t="str">
        <f>+I99</f>
        <v>nee</v>
      </c>
      <c r="K99" s="876" t="str">
        <f>+J99</f>
        <v>nee</v>
      </c>
      <c r="L99" s="120"/>
      <c r="M99" s="73"/>
    </row>
    <row r="100" spans="2:13" x14ac:dyDescent="0.2">
      <c r="B100" s="69"/>
      <c r="C100" s="90"/>
      <c r="D100" s="1037" t="s">
        <v>101</v>
      </c>
      <c r="E100" s="1037"/>
      <c r="F100" s="91"/>
      <c r="G100" s="876">
        <f>SUM(G95:G96)</f>
        <v>0</v>
      </c>
      <c r="H100" s="876">
        <f>SUM(H95:H96)</f>
        <v>0</v>
      </c>
      <c r="I100" s="876">
        <f>SUM(I95:I96)</f>
        <v>0</v>
      </c>
      <c r="J100" s="876">
        <f>SUM(J95:J96)</f>
        <v>0</v>
      </c>
      <c r="K100" s="876">
        <f>SUM(K95:K96)</f>
        <v>0</v>
      </c>
      <c r="L100" s="120"/>
      <c r="M100" s="73"/>
    </row>
    <row r="101" spans="2:13" x14ac:dyDescent="0.2">
      <c r="B101" s="69"/>
      <c r="C101" s="163"/>
      <c r="D101" s="1044"/>
      <c r="E101" s="1044"/>
      <c r="F101" s="126"/>
      <c r="G101" s="122">
        <f>ROUND(IF(G97-tab!$D$28*G94&lt;0,0,G97-tab!$D$28*G94),0)</f>
        <v>0</v>
      </c>
      <c r="H101" s="122">
        <f>ROUND(IF(H97-tab!$E$28*H94&lt;0,0,H97-tab!$E$28*H94),0)</f>
        <v>0</v>
      </c>
      <c r="I101" s="122">
        <f>ROUND(IF(I97-tab!$E$28*I94&lt;0,0,I97-tab!$E$28*I94),0)</f>
        <v>0</v>
      </c>
      <c r="J101" s="122">
        <f>ROUND(IF(J97-tab!$E$28*J94&lt;0,0,J97-tab!$E$28*J94),0)</f>
        <v>0</v>
      </c>
      <c r="K101" s="122">
        <f>ROUND(IF(K97-tab!$E$28*K94&lt;0,0,K97-tab!$E$28*K94),0)</f>
        <v>0</v>
      </c>
      <c r="L101" s="165"/>
      <c r="M101" s="73"/>
    </row>
    <row r="102" spans="2:13" x14ac:dyDescent="0.2">
      <c r="B102" s="69"/>
      <c r="C102" s="90"/>
      <c r="D102" s="1039"/>
      <c r="E102" s="1039"/>
      <c r="F102" s="92"/>
      <c r="G102" s="92"/>
      <c r="H102" s="92"/>
      <c r="I102" s="92"/>
      <c r="J102" s="92"/>
      <c r="K102" s="92"/>
      <c r="L102" s="162"/>
      <c r="M102" s="73"/>
    </row>
    <row r="103" spans="2:13" x14ac:dyDescent="0.2">
      <c r="B103" s="69"/>
      <c r="C103" s="90"/>
      <c r="D103" s="1040" t="s">
        <v>381</v>
      </c>
      <c r="E103" s="1041"/>
      <c r="F103" s="92"/>
      <c r="G103" s="92"/>
      <c r="H103" s="92"/>
      <c r="I103" s="92"/>
      <c r="J103" s="92"/>
      <c r="K103" s="92"/>
      <c r="L103" s="162"/>
      <c r="M103" s="73"/>
    </row>
    <row r="104" spans="2:13" x14ac:dyDescent="0.2">
      <c r="B104" s="69"/>
      <c r="C104" s="90"/>
      <c r="D104" s="1039" t="s">
        <v>251</v>
      </c>
      <c r="E104" s="1039"/>
      <c r="F104" s="92"/>
      <c r="G104" s="114">
        <v>1111</v>
      </c>
      <c r="H104" s="92"/>
      <c r="I104" s="92"/>
      <c r="J104" s="92"/>
      <c r="K104" s="92"/>
      <c r="L104" s="162"/>
      <c r="M104" s="73"/>
    </row>
    <row r="105" spans="2:13" x14ac:dyDescent="0.2">
      <c r="B105" s="69"/>
      <c r="C105" s="90"/>
      <c r="D105" s="1037" t="s">
        <v>167</v>
      </c>
      <c r="E105" s="1037"/>
      <c r="F105" s="92"/>
      <c r="G105" s="114">
        <v>0</v>
      </c>
      <c r="H105" s="114">
        <v>0</v>
      </c>
      <c r="I105" s="114">
        <f t="shared" ref="I105:K106" si="8">H105</f>
        <v>0</v>
      </c>
      <c r="J105" s="114">
        <f t="shared" si="8"/>
        <v>0</v>
      </c>
      <c r="K105" s="114">
        <f t="shared" si="8"/>
        <v>0</v>
      </c>
      <c r="L105" s="115"/>
      <c r="M105" s="167"/>
    </row>
    <row r="106" spans="2:13" x14ac:dyDescent="0.2">
      <c r="B106" s="69"/>
      <c r="C106" s="90"/>
      <c r="D106" s="1037" t="s">
        <v>168</v>
      </c>
      <c r="E106" s="1037"/>
      <c r="F106" s="92"/>
      <c r="G106" s="114">
        <v>0</v>
      </c>
      <c r="H106" s="114">
        <v>0</v>
      </c>
      <c r="I106" s="114">
        <f t="shared" si="8"/>
        <v>0</v>
      </c>
      <c r="J106" s="114">
        <f t="shared" si="8"/>
        <v>0</v>
      </c>
      <c r="K106" s="114">
        <f t="shared" si="8"/>
        <v>0</v>
      </c>
      <c r="L106" s="115"/>
      <c r="M106" s="167"/>
    </row>
    <row r="107" spans="2:13" x14ac:dyDescent="0.2">
      <c r="B107" s="69"/>
      <c r="C107" s="90"/>
      <c r="D107" s="1042" t="s">
        <v>193</v>
      </c>
      <c r="E107" s="1042"/>
      <c r="F107" s="116"/>
      <c r="G107" s="889">
        <f>G105+G106</f>
        <v>0</v>
      </c>
      <c r="H107" s="889">
        <f>H105+H106</f>
        <v>0</v>
      </c>
      <c r="I107" s="889">
        <f>I105+I106</f>
        <v>0</v>
      </c>
      <c r="J107" s="889">
        <f>J105+J106</f>
        <v>0</v>
      </c>
      <c r="K107" s="889">
        <f>K105+K106</f>
        <v>0</v>
      </c>
      <c r="L107" s="117"/>
      <c r="M107" s="168"/>
    </row>
    <row r="108" spans="2:13" x14ac:dyDescent="0.2">
      <c r="B108" s="69"/>
      <c r="C108" s="90"/>
      <c r="D108" s="1039" t="s">
        <v>443</v>
      </c>
      <c r="E108" s="1043">
        <v>0.3</v>
      </c>
      <c r="F108" s="92"/>
      <c r="G108" s="114">
        <v>0</v>
      </c>
      <c r="H108" s="114">
        <v>0</v>
      </c>
      <c r="I108" s="114">
        <f t="shared" ref="I108:K109" si="9">H108</f>
        <v>0</v>
      </c>
      <c r="J108" s="114">
        <f t="shared" si="9"/>
        <v>0</v>
      </c>
      <c r="K108" s="114">
        <f t="shared" si="9"/>
        <v>0</v>
      </c>
      <c r="L108" s="115"/>
      <c r="M108" s="167"/>
    </row>
    <row r="109" spans="2:13" x14ac:dyDescent="0.2">
      <c r="B109" s="69"/>
      <c r="C109" s="90"/>
      <c r="D109" s="1039" t="s">
        <v>443</v>
      </c>
      <c r="E109" s="1043">
        <v>1.2</v>
      </c>
      <c r="F109" s="92"/>
      <c r="G109" s="114">
        <v>0</v>
      </c>
      <c r="H109" s="114">
        <v>0</v>
      </c>
      <c r="I109" s="114">
        <f t="shared" si="9"/>
        <v>0</v>
      </c>
      <c r="J109" s="114">
        <f t="shared" si="9"/>
        <v>0</v>
      </c>
      <c r="K109" s="114">
        <f t="shared" si="9"/>
        <v>0</v>
      </c>
      <c r="L109" s="115"/>
      <c r="M109" s="167"/>
    </row>
    <row r="110" spans="2:13" x14ac:dyDescent="0.2">
      <c r="B110" s="69"/>
      <c r="C110" s="90"/>
      <c r="D110" s="1037" t="s">
        <v>182</v>
      </c>
      <c r="E110" s="1037"/>
      <c r="F110" s="92"/>
      <c r="G110" s="876">
        <f>($E$28*G108)+($E$29*G109)</f>
        <v>0</v>
      </c>
      <c r="H110" s="876">
        <f>($E$28*H108)+($E$29*H109)</f>
        <v>0</v>
      </c>
      <c r="I110" s="876">
        <f>($E$28*I108)+($E$29*I109)</f>
        <v>0</v>
      </c>
      <c r="J110" s="876">
        <f>($E$28*J108)+($E$29*J109)</f>
        <v>0</v>
      </c>
      <c r="K110" s="876">
        <f>($E$28*K108)+($E$29*K109)</f>
        <v>0</v>
      </c>
      <c r="L110" s="120"/>
      <c r="M110" s="169"/>
    </row>
    <row r="111" spans="2:13" x14ac:dyDescent="0.2">
      <c r="B111" s="69"/>
      <c r="C111" s="90"/>
      <c r="D111" s="1037" t="s">
        <v>266</v>
      </c>
      <c r="E111" s="1037"/>
      <c r="F111" s="92"/>
      <c r="G111" s="890">
        <f>ROUND(IF(G114&lt;(G107*0.8),G114,(0.8*G107)),0)</f>
        <v>0</v>
      </c>
      <c r="H111" s="890">
        <f>ROUND(IF(H114&lt;(H107*0.8),H114,(0.8*H107)),0)</f>
        <v>0</v>
      </c>
      <c r="I111" s="890">
        <f>ROUND(IF(I114&lt;(I107*0.8),I114,(0.8*I107)),0)</f>
        <v>0</v>
      </c>
      <c r="J111" s="890">
        <f>ROUND(IF(J114&lt;(J107*0.8),J114,(0.8*J107)),0)</f>
        <v>0</v>
      </c>
      <c r="K111" s="890">
        <f>ROUND(IF(K114&lt;(K107*0.8),K114,(0.8*K107)),0)</f>
        <v>0</v>
      </c>
      <c r="L111" s="120"/>
      <c r="M111" s="170"/>
    </row>
    <row r="112" spans="2:13" x14ac:dyDescent="0.2">
      <c r="B112" s="69"/>
      <c r="C112" s="90"/>
      <c r="D112" s="1037" t="s">
        <v>100</v>
      </c>
      <c r="E112" s="1037"/>
      <c r="F112" s="91"/>
      <c r="G112" s="876" t="str">
        <f>IF(G104=LOOKUP(G104,Postcode_gebieden),"ja","nee")</f>
        <v>nee</v>
      </c>
      <c r="H112" s="876" t="str">
        <f>+G112</f>
        <v>nee</v>
      </c>
      <c r="I112" s="876" t="str">
        <f>+H112</f>
        <v>nee</v>
      </c>
      <c r="J112" s="876" t="str">
        <f>+I112</f>
        <v>nee</v>
      </c>
      <c r="K112" s="876" t="str">
        <f>+J112</f>
        <v>nee</v>
      </c>
      <c r="L112" s="120"/>
      <c r="M112" s="73"/>
    </row>
    <row r="113" spans="2:13" x14ac:dyDescent="0.2">
      <c r="B113" s="69"/>
      <c r="C113" s="90"/>
      <c r="D113" s="1037" t="s">
        <v>101</v>
      </c>
      <c r="E113" s="1037"/>
      <c r="F113" s="91"/>
      <c r="G113" s="876">
        <f>SUM(G108:G109)</f>
        <v>0</v>
      </c>
      <c r="H113" s="876">
        <f>SUM(H108:H109)</f>
        <v>0</v>
      </c>
      <c r="I113" s="876">
        <f>SUM(I108:I109)</f>
        <v>0</v>
      </c>
      <c r="J113" s="876">
        <f>SUM(J108:J109)</f>
        <v>0</v>
      </c>
      <c r="K113" s="876">
        <f>SUM(K108:K109)</f>
        <v>0</v>
      </c>
      <c r="L113" s="120"/>
      <c r="M113" s="73"/>
    </row>
    <row r="114" spans="2:13" x14ac:dyDescent="0.2">
      <c r="B114" s="69"/>
      <c r="C114" s="163"/>
      <c r="D114" s="1044"/>
      <c r="E114" s="1044"/>
      <c r="F114" s="126"/>
      <c r="G114" s="122">
        <f>ROUND(IF(G110-tab!$D$28*G107&lt;0,0,G110-tab!$D$28*G107),0)</f>
        <v>0</v>
      </c>
      <c r="H114" s="122">
        <f>ROUND(IF(H110-tab!$E$28*H107&lt;0,0,H110-tab!$E$28*H107),0)</f>
        <v>0</v>
      </c>
      <c r="I114" s="122">
        <f>ROUND(IF(I110-tab!$E$28*I107&lt;0,0,I110-tab!$E$28*I107),0)</f>
        <v>0</v>
      </c>
      <c r="J114" s="122">
        <f>ROUND(IF(J110-tab!$E$28*J107&lt;0,0,J110-tab!$E$28*J107),0)</f>
        <v>0</v>
      </c>
      <c r="K114" s="122">
        <f>ROUND(IF(K110-tab!$E$28*K107&lt;0,0,K110-tab!$E$28*K107),0)</f>
        <v>0</v>
      </c>
      <c r="L114" s="165"/>
      <c r="M114" s="73"/>
    </row>
    <row r="115" spans="2:13" x14ac:dyDescent="0.2">
      <c r="B115" s="69"/>
      <c r="C115" s="90"/>
      <c r="D115" s="1039"/>
      <c r="E115" s="1039"/>
      <c r="F115" s="92"/>
      <c r="G115" s="92"/>
      <c r="H115" s="92"/>
      <c r="I115" s="92"/>
      <c r="J115" s="92"/>
      <c r="K115" s="92"/>
      <c r="L115" s="162"/>
      <c r="M115" s="73"/>
    </row>
    <row r="116" spans="2:13" x14ac:dyDescent="0.2">
      <c r="B116" s="69"/>
      <c r="C116" s="90"/>
      <c r="D116" s="1040" t="s">
        <v>382</v>
      </c>
      <c r="E116" s="1041"/>
      <c r="F116" s="92"/>
      <c r="G116" s="92"/>
      <c r="H116" s="92"/>
      <c r="I116" s="92"/>
      <c r="J116" s="92"/>
      <c r="K116" s="92"/>
      <c r="L116" s="162"/>
      <c r="M116" s="73"/>
    </row>
    <row r="117" spans="2:13" x14ac:dyDescent="0.2">
      <c r="B117" s="69"/>
      <c r="C117" s="90"/>
      <c r="D117" s="1039" t="s">
        <v>251</v>
      </c>
      <c r="E117" s="1039"/>
      <c r="F117" s="92"/>
      <c r="G117" s="114">
        <v>1111</v>
      </c>
      <c r="H117" s="92"/>
      <c r="I117" s="92"/>
      <c r="J117" s="92"/>
      <c r="K117" s="92"/>
      <c r="L117" s="162"/>
      <c r="M117" s="73"/>
    </row>
    <row r="118" spans="2:13" x14ac:dyDescent="0.2">
      <c r="B118" s="69"/>
      <c r="C118" s="90"/>
      <c r="D118" s="1037" t="s">
        <v>167</v>
      </c>
      <c r="E118" s="1037"/>
      <c r="F118" s="92"/>
      <c r="G118" s="114">
        <v>0</v>
      </c>
      <c r="H118" s="114">
        <v>0</v>
      </c>
      <c r="I118" s="114">
        <f t="shared" ref="I118:K119" si="10">H118</f>
        <v>0</v>
      </c>
      <c r="J118" s="114">
        <f t="shared" si="10"/>
        <v>0</v>
      </c>
      <c r="K118" s="114">
        <f t="shared" si="10"/>
        <v>0</v>
      </c>
      <c r="L118" s="115"/>
      <c r="M118" s="167"/>
    </row>
    <row r="119" spans="2:13" x14ac:dyDescent="0.2">
      <c r="B119" s="69"/>
      <c r="C119" s="90"/>
      <c r="D119" s="1037" t="s">
        <v>168</v>
      </c>
      <c r="E119" s="1037"/>
      <c r="F119" s="92"/>
      <c r="G119" s="114">
        <v>0</v>
      </c>
      <c r="H119" s="114">
        <v>0</v>
      </c>
      <c r="I119" s="114">
        <f t="shared" si="10"/>
        <v>0</v>
      </c>
      <c r="J119" s="114">
        <f t="shared" si="10"/>
        <v>0</v>
      </c>
      <c r="K119" s="114">
        <f t="shared" si="10"/>
        <v>0</v>
      </c>
      <c r="L119" s="115"/>
      <c r="M119" s="167"/>
    </row>
    <row r="120" spans="2:13" x14ac:dyDescent="0.2">
      <c r="B120" s="69"/>
      <c r="C120" s="90"/>
      <c r="D120" s="1042" t="s">
        <v>193</v>
      </c>
      <c r="E120" s="1042"/>
      <c r="F120" s="116"/>
      <c r="G120" s="889">
        <f>G118+G119</f>
        <v>0</v>
      </c>
      <c r="H120" s="889">
        <f>H118+H119</f>
        <v>0</v>
      </c>
      <c r="I120" s="889">
        <f>I118+I119</f>
        <v>0</v>
      </c>
      <c r="J120" s="889">
        <f>J118+J119</f>
        <v>0</v>
      </c>
      <c r="K120" s="889">
        <f>K118+K119</f>
        <v>0</v>
      </c>
      <c r="L120" s="117"/>
      <c r="M120" s="168"/>
    </row>
    <row r="121" spans="2:13" x14ac:dyDescent="0.2">
      <c r="B121" s="69"/>
      <c r="C121" s="90"/>
      <c r="D121" s="1039" t="s">
        <v>443</v>
      </c>
      <c r="E121" s="1043">
        <v>0.3</v>
      </c>
      <c r="F121" s="92"/>
      <c r="G121" s="114">
        <v>0</v>
      </c>
      <c r="H121" s="114">
        <v>0</v>
      </c>
      <c r="I121" s="114">
        <f t="shared" ref="I121:K122" si="11">H121</f>
        <v>0</v>
      </c>
      <c r="J121" s="114">
        <f t="shared" si="11"/>
        <v>0</v>
      </c>
      <c r="K121" s="114">
        <f t="shared" si="11"/>
        <v>0</v>
      </c>
      <c r="L121" s="115"/>
      <c r="M121" s="167"/>
    </row>
    <row r="122" spans="2:13" x14ac:dyDescent="0.2">
      <c r="B122" s="69"/>
      <c r="C122" s="90"/>
      <c r="D122" s="1039" t="s">
        <v>443</v>
      </c>
      <c r="E122" s="1043">
        <v>1.2</v>
      </c>
      <c r="F122" s="92"/>
      <c r="G122" s="114">
        <v>0</v>
      </c>
      <c r="H122" s="114">
        <v>0</v>
      </c>
      <c r="I122" s="114">
        <f t="shared" si="11"/>
        <v>0</v>
      </c>
      <c r="J122" s="114">
        <f t="shared" si="11"/>
        <v>0</v>
      </c>
      <c r="K122" s="114">
        <f t="shared" si="11"/>
        <v>0</v>
      </c>
      <c r="L122" s="115"/>
      <c r="M122" s="167"/>
    </row>
    <row r="123" spans="2:13" x14ac:dyDescent="0.2">
      <c r="B123" s="69"/>
      <c r="C123" s="90"/>
      <c r="D123" s="1037" t="s">
        <v>182</v>
      </c>
      <c r="E123" s="1037"/>
      <c r="F123" s="92"/>
      <c r="G123" s="876">
        <f>($E$28*G121)+($E$29*G122)</f>
        <v>0</v>
      </c>
      <c r="H123" s="876">
        <f>($E$28*H121)+($E$29*H122)</f>
        <v>0</v>
      </c>
      <c r="I123" s="876">
        <f>($E$28*I121)+($E$29*I122)</f>
        <v>0</v>
      </c>
      <c r="J123" s="876">
        <f>($E$28*J121)+($E$29*J122)</f>
        <v>0</v>
      </c>
      <c r="K123" s="876">
        <f>($E$28*K121)+($E$29*K122)</f>
        <v>0</v>
      </c>
      <c r="L123" s="120"/>
      <c r="M123" s="169"/>
    </row>
    <row r="124" spans="2:13" x14ac:dyDescent="0.2">
      <c r="B124" s="69"/>
      <c r="C124" s="90"/>
      <c r="D124" s="1037" t="s">
        <v>266</v>
      </c>
      <c r="E124" s="1037"/>
      <c r="F124" s="92"/>
      <c r="G124" s="890">
        <f>ROUND(IF(G127&lt;(G120*0.8),G127,(0.8*G120)),0)</f>
        <v>0</v>
      </c>
      <c r="H124" s="890">
        <f>ROUND(IF(H127&lt;(H120*0.8),H127,(0.8*H120)),0)</f>
        <v>0</v>
      </c>
      <c r="I124" s="890">
        <f>ROUND(IF(I127&lt;(I120*0.8),I127,(0.8*I120)),0)</f>
        <v>0</v>
      </c>
      <c r="J124" s="890">
        <f>ROUND(IF(J127&lt;(J120*0.8),J127,(0.8*J120)),0)</f>
        <v>0</v>
      </c>
      <c r="K124" s="890">
        <f>ROUND(IF(K127&lt;(K120*0.8),K127,(0.8*K120)),0)</f>
        <v>0</v>
      </c>
      <c r="L124" s="120"/>
      <c r="M124" s="170"/>
    </row>
    <row r="125" spans="2:13" x14ac:dyDescent="0.2">
      <c r="B125" s="69"/>
      <c r="C125" s="90"/>
      <c r="D125" s="1037" t="s">
        <v>100</v>
      </c>
      <c r="E125" s="1037"/>
      <c r="F125" s="91"/>
      <c r="G125" s="876" t="str">
        <f>IF(G117=LOOKUP(G117,Postcode_gebieden),"ja","nee")</f>
        <v>nee</v>
      </c>
      <c r="H125" s="876" t="str">
        <f>+G125</f>
        <v>nee</v>
      </c>
      <c r="I125" s="876" t="str">
        <f>+H125</f>
        <v>nee</v>
      </c>
      <c r="J125" s="876" t="str">
        <f>+I125</f>
        <v>nee</v>
      </c>
      <c r="K125" s="892" t="str">
        <f>+J125</f>
        <v>nee</v>
      </c>
      <c r="L125" s="120"/>
      <c r="M125" s="73"/>
    </row>
    <row r="126" spans="2:13" x14ac:dyDescent="0.2">
      <c r="B126" s="69"/>
      <c r="C126" s="90"/>
      <c r="D126" s="1037" t="s">
        <v>101</v>
      </c>
      <c r="E126" s="1037"/>
      <c r="F126" s="91"/>
      <c r="G126" s="876">
        <f>SUM(G121:G122)</f>
        <v>0</v>
      </c>
      <c r="H126" s="876">
        <f>SUM(H121:H122)</f>
        <v>0</v>
      </c>
      <c r="I126" s="876">
        <f>SUM(I121:I122)</f>
        <v>0</v>
      </c>
      <c r="J126" s="876">
        <f>SUM(J121:J122)</f>
        <v>0</v>
      </c>
      <c r="K126" s="876">
        <f>SUM(K121:K122)</f>
        <v>0</v>
      </c>
      <c r="L126" s="120"/>
      <c r="M126" s="73"/>
    </row>
    <row r="127" spans="2:13" x14ac:dyDescent="0.2">
      <c r="B127" s="69"/>
      <c r="C127" s="163"/>
      <c r="D127" s="164"/>
      <c r="E127" s="164"/>
      <c r="F127" s="126"/>
      <c r="G127" s="122">
        <f>ROUND(IF(G123-tab!$D$28*G120&lt;0,0,G123-tab!$D$28*G120),0)</f>
        <v>0</v>
      </c>
      <c r="H127" s="122">
        <f>ROUND(IF(H123-tab!$E$28*H120&lt;0,0,H123-tab!$E$28*H120),0)</f>
        <v>0</v>
      </c>
      <c r="I127" s="122">
        <f>ROUND(IF(I123-tab!$E$28*I120&lt;0,0,I123-tab!$E$28*I120),0)</f>
        <v>0</v>
      </c>
      <c r="J127" s="122">
        <f>ROUND(IF(J123-tab!$E$28*J120&lt;0,0,J123-tab!$E$28*J120),0)</f>
        <v>0</v>
      </c>
      <c r="K127" s="122">
        <f>ROUND(IF(K123-tab!$E$28*K120&lt;0,0,K123-tab!$E$28*K120),0)</f>
        <v>0</v>
      </c>
      <c r="L127" s="165"/>
      <c r="M127" s="73"/>
    </row>
    <row r="128" spans="2:13" x14ac:dyDescent="0.2">
      <c r="B128" s="69"/>
      <c r="C128" s="70"/>
      <c r="D128" s="146"/>
      <c r="E128" s="146"/>
      <c r="F128" s="70"/>
      <c r="G128" s="70"/>
      <c r="H128" s="70"/>
      <c r="I128" s="70"/>
      <c r="J128" s="70"/>
      <c r="K128" s="70"/>
      <c r="L128" s="70"/>
      <c r="M128" s="73"/>
    </row>
    <row r="129" spans="2:13" ht="15" x14ac:dyDescent="0.25">
      <c r="B129" s="171"/>
      <c r="C129" s="172"/>
      <c r="D129" s="172"/>
      <c r="E129" s="172"/>
      <c r="F129" s="172"/>
      <c r="G129" s="172"/>
      <c r="H129" s="172"/>
      <c r="I129" s="172"/>
      <c r="J129" s="172"/>
      <c r="K129" s="172"/>
      <c r="L129" s="152" t="s">
        <v>435</v>
      </c>
      <c r="M129" s="173"/>
    </row>
    <row r="134" spans="2:13" x14ac:dyDescent="0.2">
      <c r="C134" s="68"/>
      <c r="D134" s="68"/>
      <c r="E134" s="68"/>
      <c r="F134" s="68"/>
      <c r="G134" s="68"/>
      <c r="H134" s="68"/>
      <c r="I134" s="68"/>
      <c r="J134" s="68"/>
      <c r="K134" s="68"/>
      <c r="L134" s="68"/>
    </row>
    <row r="135" spans="2:13" x14ac:dyDescent="0.2">
      <c r="C135" s="68"/>
      <c r="D135" s="68"/>
      <c r="E135" s="68"/>
      <c r="F135" s="68"/>
      <c r="G135" s="68"/>
      <c r="H135" s="68"/>
      <c r="I135" s="68"/>
      <c r="J135" s="68"/>
      <c r="K135" s="68"/>
      <c r="L135" s="68"/>
    </row>
  </sheetData>
  <sheetProtection algorithmName="SHA-512" hashValue="2hw++hpxgNu7efFBPrGbKI6Hfs1yniFARDeOENA7fMFVzFEOtGGSjFGVOMmnGmd997SpX2ida6fqW63nKiwRvA==" saltValue="2LsF912mRY1VC/qIxQ0w7Q==" spinCount="100000" sheet="1" objects="1" scenarios="1"/>
  <phoneticPr fontId="0" type="noConversion"/>
  <dataValidations count="1">
    <dataValidation type="list" allowBlank="1" showInputMessage="1" showErrorMessage="1" sqref="K125 K112 K99 K86 H33:K33">
      <formula1>"ja,nee"</formula1>
    </dataValidation>
  </dataValidations>
  <pageMargins left="0.74803149606299213" right="0.74803149606299213" top="0.98425196850393704" bottom="0.98425196850393704" header="0.51181102362204722" footer="0.51181102362204722"/>
  <pageSetup paperSize="9" scale="60" orientation="portrait" r:id="rId1"/>
  <headerFooter alignWithMargins="0">
    <oddHeader>&amp;L&amp;"Arial,Vet"&amp;F&amp;R&amp;"Arial,Vet"&amp;A</oddHeader>
    <oddFooter>&amp;L&amp;"Arial,Vet"PO-Raad&amp;C&amp;"Arial,Vet"&amp;D&amp;R&amp;"Arial,Vet"pagina &amp;P</oddFooter>
  </headerFooter>
  <rowBreaks count="1" manualBreakCount="1">
    <brk id="66" min="1" max="12"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
  <dimension ref="B1:AE1341"/>
  <sheetViews>
    <sheetView showGridLines="0" zoomScale="85" zoomScaleNormal="85" zoomScaleSheetLayoutView="85" workbookViewId="0">
      <pane ySplit="10" topLeftCell="A11" activePane="bottomLeft" state="frozen"/>
      <selection activeCell="B2" sqref="B2"/>
      <selection pane="bottomLeft" activeCell="B2" sqref="B2"/>
    </sheetView>
  </sheetViews>
  <sheetFormatPr defaultColWidth="9.140625" defaultRowHeight="12.75" x14ac:dyDescent="0.2"/>
  <cols>
    <col min="1" max="1" width="3.7109375" style="62" customWidth="1"/>
    <col min="2" max="3" width="2.7109375" style="62" customWidth="1"/>
    <col min="4" max="4" width="45.7109375" style="62" customWidth="1"/>
    <col min="5" max="5" width="2.7109375" style="62" customWidth="1"/>
    <col min="6" max="6" width="8.7109375" style="62" customWidth="1"/>
    <col min="7" max="7" width="1.7109375" style="62" customWidth="1"/>
    <col min="8" max="12" width="14.85546875" style="194" customWidth="1"/>
    <col min="13" max="14" width="2.7109375" style="62" customWidth="1"/>
    <col min="15" max="15" width="14.7109375" style="62" customWidth="1"/>
    <col min="16" max="16384" width="9.140625" style="62"/>
  </cols>
  <sheetData>
    <row r="1" spans="2:20" ht="12.75" customHeight="1" x14ac:dyDescent="0.2"/>
    <row r="2" spans="2:20" s="68" customFormat="1" x14ac:dyDescent="0.2">
      <c r="B2" s="63"/>
      <c r="C2" s="64"/>
      <c r="D2" s="64"/>
      <c r="E2" s="64"/>
      <c r="F2" s="64"/>
      <c r="G2" s="64"/>
      <c r="H2" s="175"/>
      <c r="I2" s="175"/>
      <c r="J2" s="175"/>
      <c r="K2" s="175"/>
      <c r="L2" s="175"/>
      <c r="M2" s="64"/>
      <c r="N2" s="67"/>
    </row>
    <row r="3" spans="2:20" s="68" customFormat="1" x14ac:dyDescent="0.2">
      <c r="B3" s="69"/>
      <c r="C3" s="70"/>
      <c r="D3" s="70"/>
      <c r="E3" s="70"/>
      <c r="F3" s="70"/>
      <c r="G3" s="70"/>
      <c r="H3" s="176"/>
      <c r="I3" s="176"/>
      <c r="J3" s="176"/>
      <c r="K3" s="176"/>
      <c r="L3" s="176"/>
      <c r="M3" s="70"/>
      <c r="N3" s="73"/>
    </row>
    <row r="4" spans="2:20" s="74" customFormat="1" ht="18.75" x14ac:dyDescent="0.3">
      <c r="B4" s="75"/>
      <c r="C4" s="857" t="s">
        <v>402</v>
      </c>
      <c r="D4" s="76"/>
      <c r="E4" s="77"/>
      <c r="F4" s="77"/>
      <c r="G4" s="77"/>
      <c r="H4" s="195"/>
      <c r="I4" s="195"/>
      <c r="J4" s="195"/>
      <c r="K4" s="195"/>
      <c r="L4" s="195"/>
      <c r="M4" s="77"/>
      <c r="N4" s="78"/>
    </row>
    <row r="5" spans="2:20" s="79" customFormat="1" ht="18.75" x14ac:dyDescent="0.3">
      <c r="B5" s="80"/>
      <c r="C5" s="81" t="str">
        <f>geg!G12</f>
        <v>Basisschool</v>
      </c>
      <c r="D5" s="196"/>
      <c r="E5" s="82"/>
      <c r="F5" s="82"/>
      <c r="G5" s="82"/>
      <c r="H5" s="178"/>
      <c r="I5" s="178"/>
      <c r="J5" s="178"/>
      <c r="K5" s="178"/>
      <c r="L5" s="178"/>
      <c r="M5" s="82"/>
      <c r="N5" s="112"/>
    </row>
    <row r="6" spans="2:20" x14ac:dyDescent="0.2">
      <c r="B6" s="69"/>
      <c r="C6" s="70"/>
      <c r="D6" s="70"/>
      <c r="E6" s="70"/>
      <c r="F6" s="70"/>
      <c r="G6" s="70"/>
      <c r="H6" s="197"/>
      <c r="I6" s="197"/>
      <c r="J6" s="197"/>
      <c r="K6" s="197"/>
      <c r="L6" s="197"/>
      <c r="M6" s="198"/>
      <c r="N6" s="73"/>
    </row>
    <row r="7" spans="2:20" x14ac:dyDescent="0.2">
      <c r="B7" s="69"/>
      <c r="C7" s="70"/>
      <c r="D7" s="70"/>
      <c r="E7" s="70"/>
      <c r="F7" s="70"/>
      <c r="G7" s="70"/>
      <c r="H7" s="197"/>
      <c r="I7" s="197"/>
      <c r="J7" s="197"/>
      <c r="K7" s="197"/>
      <c r="L7" s="197"/>
      <c r="M7" s="198"/>
      <c r="N7" s="73"/>
    </row>
    <row r="8" spans="2:20" s="74" customFormat="1" x14ac:dyDescent="0.2">
      <c r="B8" s="102"/>
      <c r="C8" s="77"/>
      <c r="D8" s="882" t="s">
        <v>195</v>
      </c>
      <c r="E8" s="882"/>
      <c r="F8" s="882"/>
      <c r="G8" s="882"/>
      <c r="H8" s="880" t="str">
        <f>tab!D2</f>
        <v>2015/16</v>
      </c>
      <c r="I8" s="880" t="str">
        <f>tab!E2</f>
        <v>2016/17</v>
      </c>
      <c r="J8" s="880" t="str">
        <f>tab!F2</f>
        <v>2017/18</v>
      </c>
      <c r="K8" s="880" t="str">
        <f>tab!G2</f>
        <v>2018/19</v>
      </c>
      <c r="L8" s="880" t="str">
        <f>tab!H2</f>
        <v>2019/20</v>
      </c>
      <c r="M8" s="105"/>
      <c r="N8" s="78"/>
    </row>
    <row r="9" spans="2:20" s="74" customFormat="1" x14ac:dyDescent="0.2">
      <c r="B9" s="102"/>
      <c r="C9" s="77"/>
      <c r="D9" s="882" t="s">
        <v>207</v>
      </c>
      <c r="E9" s="882"/>
      <c r="F9" s="882"/>
      <c r="G9" s="882"/>
      <c r="H9" s="880">
        <f>tab!C4</f>
        <v>2014</v>
      </c>
      <c r="I9" s="880">
        <f>tab!D4</f>
        <v>2015</v>
      </c>
      <c r="J9" s="880">
        <f>tab!E4</f>
        <v>2016</v>
      </c>
      <c r="K9" s="880">
        <f>tab!F4</f>
        <v>2017</v>
      </c>
      <c r="L9" s="880">
        <f>tab!G4</f>
        <v>2018</v>
      </c>
      <c r="M9" s="105"/>
      <c r="N9" s="78"/>
      <c r="O9" s="106"/>
      <c r="P9" s="106"/>
      <c r="Q9" s="106"/>
      <c r="R9" s="106"/>
      <c r="S9" s="106"/>
      <c r="T9" s="106"/>
    </row>
    <row r="10" spans="2:20" x14ac:dyDescent="0.2">
      <c r="B10" s="69"/>
      <c r="C10" s="70"/>
      <c r="D10" s="71"/>
      <c r="E10" s="71"/>
      <c r="F10" s="71"/>
      <c r="G10" s="71"/>
      <c r="H10" s="72"/>
      <c r="I10" s="72"/>
      <c r="J10" s="72"/>
      <c r="K10" s="72"/>
      <c r="L10" s="72"/>
      <c r="M10" s="72"/>
      <c r="N10" s="73"/>
    </row>
    <row r="11" spans="2:20" x14ac:dyDescent="0.2">
      <c r="B11" s="69"/>
      <c r="C11" s="86"/>
      <c r="D11" s="87"/>
      <c r="E11" s="87"/>
      <c r="F11" s="87"/>
      <c r="G11" s="87"/>
      <c r="H11" s="179"/>
      <c r="I11" s="179"/>
      <c r="J11" s="179"/>
      <c r="K11" s="179"/>
      <c r="L11" s="179"/>
      <c r="M11" s="161"/>
      <c r="N11" s="73"/>
    </row>
    <row r="12" spans="2:20" x14ac:dyDescent="0.2">
      <c r="B12" s="69"/>
      <c r="C12" s="90"/>
      <c r="D12" s="883" t="s">
        <v>286</v>
      </c>
      <c r="E12" s="92"/>
      <c r="G12" s="92"/>
      <c r="H12" s="95"/>
      <c r="I12" s="95"/>
      <c r="J12" s="95"/>
      <c r="K12" s="95"/>
      <c r="L12" s="95"/>
      <c r="M12" s="162"/>
      <c r="N12" s="73"/>
    </row>
    <row r="13" spans="2:20" x14ac:dyDescent="0.2">
      <c r="B13" s="69"/>
      <c r="C13" s="90"/>
      <c r="D13" s="92"/>
      <c r="E13" s="92"/>
      <c r="F13" s="92"/>
      <c r="G13" s="92"/>
      <c r="H13" s="95"/>
      <c r="I13" s="95"/>
      <c r="J13" s="95"/>
      <c r="K13" s="95"/>
      <c r="L13" s="95"/>
      <c r="M13" s="162"/>
      <c r="N13" s="73"/>
    </row>
    <row r="14" spans="2:20" x14ac:dyDescent="0.2">
      <c r="B14" s="69"/>
      <c r="C14" s="90"/>
      <c r="D14" s="1045" t="s">
        <v>385</v>
      </c>
      <c r="E14" s="92"/>
      <c r="F14" s="92"/>
      <c r="G14" s="92"/>
      <c r="H14" s="200">
        <f>I14</f>
        <v>42</v>
      </c>
      <c r="I14" s="200">
        <f>ROUND(IF(SUM(op!AM16:AM70)/SUM(op!J16:J70)&lt;30,30,SUM(op!AM16:AM70)/SUM(op!J16:J70)),2)</f>
        <v>42</v>
      </c>
      <c r="J14" s="200">
        <f>ROUND(IF(SUM(op!AM84:AM138)/SUM(op!J84:J138)&lt;30,30,SUM(op!AM84:AM138)/SUM(op!J84:J138)),2)</f>
        <v>43</v>
      </c>
      <c r="K14" s="200">
        <f>ROUND(IF(SUM(op!AM152:AM206)/SUM(op!J152:J206)&lt;30,30,SUM(op!AM152:AM206)/SUM(op!J152:J206)),2)</f>
        <v>44</v>
      </c>
      <c r="L14" s="200">
        <f>ROUND(IF(SUM(op!AM219:AM273)/SUM(op!J219:J273)&lt;30,30,SUM(op!AM219:AM273)/SUM(op!J219:J273)),2)</f>
        <v>45</v>
      </c>
      <c r="M14" s="162"/>
      <c r="N14" s="73"/>
    </row>
    <row r="15" spans="2:20" x14ac:dyDescent="0.2">
      <c r="B15" s="69"/>
      <c r="C15" s="90"/>
      <c r="D15" s="1039"/>
      <c r="E15" s="92"/>
      <c r="F15" s="898" t="s">
        <v>144</v>
      </c>
      <c r="G15" s="92"/>
      <c r="H15" s="95"/>
      <c r="I15" s="95"/>
      <c r="J15" s="95"/>
      <c r="K15" s="95"/>
      <c r="L15" s="95"/>
      <c r="M15" s="162"/>
      <c r="N15" s="73"/>
    </row>
    <row r="16" spans="2:20" x14ac:dyDescent="0.2">
      <c r="B16" s="69"/>
      <c r="C16" s="90"/>
      <c r="D16" s="508" t="s">
        <v>15</v>
      </c>
      <c r="E16" s="92"/>
      <c r="F16" s="92"/>
      <c r="G16" s="92"/>
      <c r="H16" s="95"/>
      <c r="I16" s="95"/>
      <c r="J16" s="95"/>
      <c r="K16" s="95"/>
      <c r="L16" s="95"/>
      <c r="M16" s="162"/>
      <c r="N16" s="73"/>
    </row>
    <row r="17" spans="2:16" x14ac:dyDescent="0.2">
      <c r="B17" s="69"/>
      <c r="C17" s="90"/>
      <c r="D17" s="1039" t="s">
        <v>199</v>
      </c>
      <c r="E17" s="92"/>
      <c r="F17" s="201">
        <v>0</v>
      </c>
      <c r="G17" s="92"/>
      <c r="H17" s="874">
        <f>geg!G25*(tab!$D$31+tab!$D$32*pers!H14)</f>
        <v>405149.80000000005</v>
      </c>
      <c r="I17" s="874">
        <f>geg!H25*(tab!$E$31+tab!$E$32*pers!I14)</f>
        <v>405149.80000000005</v>
      </c>
      <c r="J17" s="874">
        <f>geg!I25*(tab!$E$31+tab!$E$32*pers!J14)</f>
        <v>410274.70000000007</v>
      </c>
      <c r="K17" s="874">
        <f>geg!J25*(tab!$E$31+tab!$E$32*pers!K14)</f>
        <v>415399.60000000003</v>
      </c>
      <c r="L17" s="874">
        <f>geg!K25*(tab!$E$31+tab!$E$32*pers!L14)</f>
        <v>420524.50000000006</v>
      </c>
      <c r="M17" s="202"/>
      <c r="N17" s="73"/>
    </row>
    <row r="18" spans="2:16" x14ac:dyDescent="0.2">
      <c r="B18" s="69"/>
      <c r="C18" s="90"/>
      <c r="D18" s="1039" t="s">
        <v>200</v>
      </c>
      <c r="E18" s="92"/>
      <c r="F18" s="201">
        <v>0</v>
      </c>
      <c r="G18" s="92"/>
      <c r="H18" s="874">
        <f>geg!G26*(tab!$D$33+tab!$D$34*pers!H14)</f>
        <v>281869.5</v>
      </c>
      <c r="I18" s="874">
        <f>geg!H26*(tab!$E$33+tab!$E$34*pers!I14)</f>
        <v>281869.5</v>
      </c>
      <c r="J18" s="874">
        <f>geg!I26*(tab!$E$33+tab!$E$34*pers!J14)</f>
        <v>285434.59999999998</v>
      </c>
      <c r="K18" s="874">
        <f>geg!J26*(tab!$E$33+tab!$E$34*pers!K14)</f>
        <v>288999.7</v>
      </c>
      <c r="L18" s="874">
        <f>geg!K26*(tab!$E$33+tab!$E$34*pers!L14)</f>
        <v>292564.8</v>
      </c>
      <c r="M18" s="202"/>
      <c r="N18" s="73"/>
    </row>
    <row r="19" spans="2:16" s="203" customFormat="1" x14ac:dyDescent="0.2">
      <c r="B19" s="186"/>
      <c r="C19" s="187"/>
      <c r="D19" s="1039" t="s">
        <v>332</v>
      </c>
      <c r="E19" s="204"/>
      <c r="F19" s="201">
        <v>0</v>
      </c>
      <c r="G19" s="204"/>
      <c r="H19" s="874">
        <f>geg!G31*(tab!$D$35+tab!$D$36*pers!H14)</f>
        <v>12453.68</v>
      </c>
      <c r="I19" s="874">
        <f>geg!H31*(tab!$E$35+tab!$E$36*pers!I14)</f>
        <v>12453.68</v>
      </c>
      <c r="J19" s="874">
        <f>geg!I31*(tab!$E$35+tab!$E$36*pers!J14)</f>
        <v>12611.2</v>
      </c>
      <c r="K19" s="874">
        <f>geg!J31*(tab!$E$35+tab!$E$36*pers!K14)</f>
        <v>12768.720000000001</v>
      </c>
      <c r="L19" s="874">
        <f>geg!K31*(tab!$E$35+tab!$E$36*pers!L14)</f>
        <v>12926.240000000002</v>
      </c>
      <c r="M19" s="205"/>
      <c r="N19" s="189"/>
    </row>
    <row r="20" spans="2:16" s="203" customFormat="1" x14ac:dyDescent="0.2">
      <c r="B20" s="186"/>
      <c r="C20" s="187"/>
      <c r="D20" s="1039" t="s">
        <v>33</v>
      </c>
      <c r="E20" s="204"/>
      <c r="F20" s="201">
        <v>0</v>
      </c>
      <c r="G20" s="204"/>
      <c r="H20" s="874">
        <f>IF(geg!G27=0,0,IF(geg!G49=0,IF(geg!G33="ja",geg!G34*tab!D29,0),IF(geg!G86="ja",geg!G87*tab!D29)+IF(geg!G99="ja",geg!G100*tab!D29)+IF(geg!G112="ja",geg!G113*tab!D29)+IF(geg!G125="ja",geg!G126*tab!D29)))</f>
        <v>0</v>
      </c>
      <c r="I20" s="874">
        <f>IF(geg!H27=0,0,IF(geg!H49=0,IF(geg!H33="ja",geg!H34*tab!$E29,0),IF(geg!H86="ja",geg!H87*tab!$E29)+IF(geg!H99="ja",geg!H100*tab!$E29)+IF(geg!H112="ja",geg!H113*tab!$E29)+IF(geg!H125="ja",geg!H126*tab!$E29)))</f>
        <v>0</v>
      </c>
      <c r="J20" s="874">
        <f>IF(geg!I27=0,0,IF(geg!I49=0,IF(geg!I33="ja",geg!I34*tab!$E29,0),IF(geg!I86="ja",geg!I87*tab!$E29)+IF(geg!I99="ja",geg!I100*tab!$E29)+IF(geg!I112="ja",geg!I113*tab!$E29)+IF(geg!I125="ja",geg!I126*tab!$E29)))</f>
        <v>0</v>
      </c>
      <c r="K20" s="874">
        <f>IF(geg!J27=0,0,IF(geg!J49=0,IF(geg!J33="ja",geg!J34*tab!$E29,0),IF(geg!J86="ja",geg!J87*tab!$E29)+IF(geg!J99="ja",geg!J100*tab!$E29)+IF(geg!J112="ja",geg!J113*tab!$E29)+IF(geg!J125="ja",geg!J126*tab!$E29)))</f>
        <v>0</v>
      </c>
      <c r="L20" s="874">
        <f>IF(geg!K27=0,0,IF(geg!K49=0,IF(geg!K33="ja",geg!K34*tab!$E29,0),IF(geg!K86="ja",geg!K87*tab!$E29)+IF(geg!K99="ja",geg!K100*tab!$E29)+IF(geg!K112="ja",geg!K113*tab!$E29)+IF(geg!K125="ja",geg!K126*tab!$E29)))</f>
        <v>0</v>
      </c>
      <c r="M20" s="205"/>
      <c r="N20" s="189"/>
    </row>
    <row r="21" spans="2:16" x14ac:dyDescent="0.2">
      <c r="B21" s="69"/>
      <c r="C21" s="90"/>
      <c r="D21" s="1037" t="s">
        <v>264</v>
      </c>
      <c r="E21" s="206"/>
      <c r="F21" s="201">
        <v>0</v>
      </c>
      <c r="G21" s="206"/>
      <c r="H21" s="874">
        <f>IF(geg!G27=0,0,IF(geg!G27&lt;tab!D45,tab!D26,tab!D27))</f>
        <v>36215.980000000003</v>
      </c>
      <c r="I21" s="874">
        <f>IF(geg!H27=0,0,IF(geg!H27&lt;tab!$E$45,tab!$E$26,tab!$E$27))</f>
        <v>36215.980000000003</v>
      </c>
      <c r="J21" s="874">
        <f>IF(geg!I27=0,0,IF(geg!I27&lt;tab!$E$45,tab!$E$26,tab!$E$27))</f>
        <v>36215.980000000003</v>
      </c>
      <c r="K21" s="874">
        <f>IF(geg!J27=0,0,IF(geg!J27&lt;tab!$E$45,tab!$E$26,tab!$E$27))</f>
        <v>36215.980000000003</v>
      </c>
      <c r="L21" s="874">
        <f>IF(geg!K27=0,0,IF(geg!K27&lt;tab!$E$45,tab!$E$26,tab!$E$27))</f>
        <v>36215.980000000003</v>
      </c>
      <c r="M21" s="207"/>
      <c r="N21" s="73"/>
    </row>
    <row r="22" spans="2:16" s="208" customFormat="1" x14ac:dyDescent="0.2">
      <c r="B22" s="124"/>
      <c r="C22" s="125"/>
      <c r="D22" s="1039" t="s">
        <v>219</v>
      </c>
      <c r="E22" s="92"/>
      <c r="F22" s="201">
        <v>0</v>
      </c>
      <c r="G22" s="92"/>
      <c r="H22" s="874">
        <f>IF(geg!G27=0,0,IF((tab!D39+tab!D40*pers!H14-geg!G27*(tab!D41+tab!D42*pers!H14))&lt;0,0,tab!D39+tab!D40*pers!H14-geg!G27*(tab!D41+tab!D42*pers!H14)))</f>
        <v>0</v>
      </c>
      <c r="I22" s="874">
        <f>IF(geg!H27=0,0,IF((tab!$E$39+tab!$E$40*pers!I14-geg!H27*(tab!$E$41+tab!$E$42*pers!I14))&lt;0,0,tab!$E$39+tab!$E$40*pers!I14-geg!H27*(tab!$E$41+tab!$E$42*pers!I14)))</f>
        <v>0</v>
      </c>
      <c r="J22" s="874">
        <f>IF(geg!I27=0,0,IF((tab!$E$39+tab!$E$40*pers!J14-geg!I27*(tab!$E$41+tab!$E$42*pers!J14))&lt;0,0,tab!$E$39+tab!$E$40*pers!J14-geg!I27*(tab!$E$41+tab!$E$42*pers!J14)))</f>
        <v>0</v>
      </c>
      <c r="K22" s="874">
        <f>IF(geg!J27=0,0,IF((tab!$E$39+tab!$E$40*pers!K14-geg!J27*(tab!$E$41+tab!$E$42*pers!K14))&lt;0,0,tab!$E$39+tab!$E$40*pers!K14-geg!J27*(tab!$E$41+tab!$E$42*pers!K14)))</f>
        <v>0</v>
      </c>
      <c r="L22" s="874">
        <f>IF(geg!K27=0,0,IF((tab!$E$39+tab!$E$40*pers!L14-geg!K27*(tab!$E$41+tab!$E$42*pers!L14))&lt;0,0,tab!$E$39+tab!$E$40*pers!L14-geg!K27*(tab!$E$41+tab!$E$42*pers!L14)))</f>
        <v>0</v>
      </c>
      <c r="M22" s="207"/>
      <c r="N22" s="127"/>
      <c r="P22" s="68"/>
    </row>
    <row r="23" spans="2:16" s="208" customFormat="1" ht="12.75" customHeight="1" x14ac:dyDescent="0.2">
      <c r="B23" s="124"/>
      <c r="C23" s="125"/>
      <c r="D23" s="1039" t="s">
        <v>13</v>
      </c>
      <c r="E23" s="209"/>
      <c r="F23" s="201">
        <v>0</v>
      </c>
      <c r="G23" s="209"/>
      <c r="H23" s="874">
        <f>IF(geg!G81=0,0,ROUND(0.75*(SUM(H24:H27)-H22),2))</f>
        <v>0</v>
      </c>
      <c r="I23" s="874">
        <f>IF(geg!H81=0,0,ROUND(0.75*(SUM(I24:I27)-I22),2))</f>
        <v>0</v>
      </c>
      <c r="J23" s="874">
        <f>IF(geg!I81=0,0,ROUND(0.75*(SUM(J24:J27)-J22),2))</f>
        <v>0</v>
      </c>
      <c r="K23" s="874">
        <f>IF(geg!J81=0,0,ROUND(0.75*(SUM(K24:K27)-K22),2))</f>
        <v>0</v>
      </c>
      <c r="L23" s="874">
        <f>IF(geg!K81=0,0,ROUND(0.75*(SUM(L24:L27)-L22),2))</f>
        <v>0</v>
      </c>
      <c r="M23" s="207"/>
      <c r="N23" s="127"/>
    </row>
    <row r="24" spans="2:16" s="208" customFormat="1" ht="12.75" hidden="1" customHeight="1" x14ac:dyDescent="0.2">
      <c r="B24" s="124"/>
      <c r="C24" s="125"/>
      <c r="D24" s="1046" t="s">
        <v>388</v>
      </c>
      <c r="E24" s="209"/>
      <c r="F24" s="209"/>
      <c r="G24" s="209"/>
      <c r="H24" s="916">
        <f>IF(geg!G81=0,0,IF((tab!D$39+tab!D$40*pers!H14-geg!G81*(tab!D$41+tab!D$42*pers!H14))&lt;0,0,tab!D$39+tab!D$40*pers!H14-geg!G81*(tab!D$41+tab!D$42*pers!H14)))</f>
        <v>0</v>
      </c>
      <c r="I24" s="916">
        <f>IF(geg!H81=0,0,IF((tab!$E$39+tab!$E$40*pers!I14-geg!H81*(tab!$E$41+tab!$E$42*pers!I14))&lt;0,0,tab!$E$39+tab!$E$40*pers!I14-geg!H81*(tab!$E$41+tab!$E$42*pers!I14)))</f>
        <v>0</v>
      </c>
      <c r="J24" s="916">
        <f>IF(geg!I81=0,0,IF((tab!$E$39+tab!$E$40*pers!J14-geg!I81*(tab!$E$41+tab!$E$42*pers!J14))&lt;0,0,tab!$E$39+tab!$E$40*pers!J14-geg!I81*(tab!$E$41+tab!$E$42*pers!J14)))</f>
        <v>0</v>
      </c>
      <c r="K24" s="916">
        <f>IF(geg!J81=0,0,IF((tab!$E$39+tab!$E$40*pers!K14-geg!J81*(tab!$E$41+tab!$E$42*pers!K14))&lt;0,0,tab!$E$39+tab!$E$40*pers!K14-geg!J81*(tab!$E$41+tab!$E$42*pers!K14)))</f>
        <v>0</v>
      </c>
      <c r="L24" s="916">
        <f>IF(geg!K81=0,0,IF((tab!$E$39+tab!$E$40*pers!L14-geg!K81*(tab!$E$41+tab!$E$42*pers!L14))&lt;0,0,tab!$E$39+tab!$E$40*pers!L14-geg!K81*(tab!$E$41+tab!$E$42*pers!L14)))</f>
        <v>0</v>
      </c>
      <c r="M24" s="207"/>
      <c r="N24" s="127"/>
    </row>
    <row r="25" spans="2:16" s="208" customFormat="1" ht="12.75" hidden="1" customHeight="1" x14ac:dyDescent="0.2">
      <c r="B25" s="124"/>
      <c r="C25" s="125"/>
      <c r="D25" s="1046" t="s">
        <v>389</v>
      </c>
      <c r="E25" s="209"/>
      <c r="F25" s="209"/>
      <c r="G25" s="209"/>
      <c r="H25" s="916">
        <f>IF(geg!G94=0,0,IF((tab!D$39+tab!D$40*pers!H14-geg!G94*(tab!D$41+tab!D$42*pers!H14))&lt;0,0,tab!D$39+tab!D$40*pers!H14-geg!G94*(tab!D$41+tab!D$42*pers!H14)))</f>
        <v>0</v>
      </c>
      <c r="I25" s="916">
        <f>IF(geg!H94=0,0,IF((tab!$E$39+tab!$E$40*pers!I14-geg!H94*(tab!$E$41+tab!$E$42*pers!I14))&lt;0,0,tab!$E$39+tab!$E$40*pers!I14-geg!H94*(tab!$E$41+tab!$E$42*pers!I14)))</f>
        <v>0</v>
      </c>
      <c r="J25" s="916">
        <f>IF(geg!I94=0,0,IF((tab!$E$39+tab!$E$40*pers!J14-geg!I94*(tab!$E$41+tab!$E$42*pers!J14))&lt;0,0,tab!$E$39+tab!$E$40*pers!J14-geg!I94*(tab!$E$41+tab!$E$42*pers!J14)))</f>
        <v>0</v>
      </c>
      <c r="K25" s="916">
        <f>IF(geg!J94=0,0,IF((tab!$E$39+tab!$E$40*pers!K14-geg!J94*(tab!$E$41+tab!$E$42*pers!K14))&lt;0,0,tab!$E$39+tab!$E$40*pers!K14-geg!J94*(tab!$E$41+tab!$E$42*pers!K14)))</f>
        <v>0</v>
      </c>
      <c r="L25" s="916">
        <f>IF(geg!K94=0,0,IF((tab!$E$39+tab!$E$40*pers!L14-geg!K94*(tab!$E$41+tab!$E$42*pers!L14))&lt;0,0,tab!$E$39+tab!$E$40*pers!L14-geg!K94*(tab!$E$41+tab!$E$42*pers!L14)))</f>
        <v>0</v>
      </c>
      <c r="M25" s="207"/>
      <c r="N25" s="127"/>
    </row>
    <row r="26" spans="2:16" s="208" customFormat="1" ht="12.75" hidden="1" customHeight="1" x14ac:dyDescent="0.2">
      <c r="B26" s="124"/>
      <c r="C26" s="125"/>
      <c r="D26" s="1046" t="s">
        <v>390</v>
      </c>
      <c r="E26" s="209"/>
      <c r="F26" s="209"/>
      <c r="G26" s="209"/>
      <c r="H26" s="916">
        <f>IF(geg!G107=0,0,IF((tab!D$39+tab!D$40*pers!H14-geg!G107*(tab!D$41+tab!D$42*pers!H14))&lt;0,0,tab!D$39+tab!D$40*pers!H14-geg!G107*(tab!D$41+tab!D$42*pers!H14)))</f>
        <v>0</v>
      </c>
      <c r="I26" s="916">
        <f>IF(geg!H107=0,0,IF((tab!$E$39+tab!$E$40*pers!I14-geg!H107*(tab!$E$41+tab!$E$42*pers!I14))&lt;0,0,tab!$E$39+tab!$E$40*pers!I14-geg!H107*(tab!$E$41+tab!$E$42*pers!I14)))</f>
        <v>0</v>
      </c>
      <c r="J26" s="916">
        <f>IF(geg!I107=0,0,IF((tab!$E$39+tab!$E$40*pers!J14-geg!I107*(tab!$E$41+tab!$E$42*pers!J14))&lt;0,0,tab!$E$39+tab!$E$40*pers!J14-geg!I107*(tab!$E$41+tab!$E$42*pers!J14)))</f>
        <v>0</v>
      </c>
      <c r="K26" s="916">
        <f>IF(geg!J107=0,0,IF((tab!$E$39+tab!$E$40*pers!K14-geg!J107*(tab!$E$41+tab!$E$42*pers!K14))&lt;0,0,tab!$E$39+tab!$E$40*pers!K14-geg!J107*(tab!$E$41+tab!$E$42*pers!K14)))</f>
        <v>0</v>
      </c>
      <c r="L26" s="916">
        <f>IF(geg!K107=0,0,IF((tab!$E$39+tab!$E$40*pers!L14-geg!K107*(tab!$E$41+tab!$E$42*pers!L14))&lt;0,0,tab!$E$39+tab!$E$40*pers!L14-geg!K107*(tab!$E$41+tab!$E$42*pers!L14)))</f>
        <v>0</v>
      </c>
      <c r="M26" s="207"/>
      <c r="N26" s="127"/>
    </row>
    <row r="27" spans="2:16" s="208" customFormat="1" ht="12.75" hidden="1" customHeight="1" x14ac:dyDescent="0.2">
      <c r="B27" s="124"/>
      <c r="C27" s="125"/>
      <c r="D27" s="1046" t="s">
        <v>391</v>
      </c>
      <c r="E27" s="209"/>
      <c r="F27" s="209"/>
      <c r="G27" s="209"/>
      <c r="H27" s="916">
        <f>IF(geg!G120=0,0,IF((tab!D$39+tab!D$40*pers!H14-geg!G120*(tab!D$41+tab!D$42*pers!H14))&lt;0,0,tab!D$39+tab!D$40*pers!H14-geg!G120*(tab!D$41+tab!D$42*pers!H14)))</f>
        <v>0</v>
      </c>
      <c r="I27" s="916">
        <f>IF(geg!H120=0,0,IF((tab!$E$39+tab!$E$40*pers!I14-geg!H120*(tab!$E$41+tab!$E$42*pers!I14))&lt;0,0,tab!$E$39+tab!$E$40*pers!I14-geg!H120*(tab!$E$41+tab!$E$42*pers!I14)))</f>
        <v>0</v>
      </c>
      <c r="J27" s="916">
        <f>IF(geg!I120=0,0,IF((tab!$E$39+tab!$E$40*pers!J14-geg!I120*(tab!$E$41+tab!$E$42*pers!J14))&lt;0,0,tab!$E$39+tab!$E$40*pers!J14-geg!I120*(tab!$E$41+tab!$E$42*pers!J14)))</f>
        <v>0</v>
      </c>
      <c r="K27" s="916">
        <f>IF(geg!J120=0,0,IF((tab!$E$39+tab!$E$40*pers!K14-geg!J120*(tab!$E$41+tab!$E$42*pers!K14))&lt;0,0,tab!$E$39+tab!$E$40*pers!K14-geg!J120*(tab!$E$41+tab!$E$42*pers!K14)))</f>
        <v>0</v>
      </c>
      <c r="L27" s="916">
        <f>IF(geg!K120=0,0,IF((tab!$E$39+tab!$E$40*pers!L14-geg!K120*(tab!$E$41+tab!$E$42*pers!L14))&lt;0,0,tab!$E$39+tab!$E$40*pers!L14-geg!K120*(tab!$E$41+tab!$E$42*pers!L14)))</f>
        <v>0</v>
      </c>
      <c r="M27" s="207"/>
      <c r="N27" s="127"/>
    </row>
    <row r="28" spans="2:16" s="208" customFormat="1" ht="12.75" customHeight="1" x14ac:dyDescent="0.2">
      <c r="B28" s="124"/>
      <c r="C28" s="125"/>
      <c r="D28" s="1039" t="s">
        <v>493</v>
      </c>
      <c r="E28" s="209"/>
      <c r="F28" s="201">
        <v>0</v>
      </c>
      <c r="G28" s="209"/>
      <c r="H28" s="874">
        <f>H29-(SUM(H17:H23))</f>
        <v>0</v>
      </c>
      <c r="I28" s="874">
        <f>I29-(SUM(I17:I23))</f>
        <v>0</v>
      </c>
      <c r="J28" s="874">
        <f>J29-(SUM(J17:J23))</f>
        <v>0</v>
      </c>
      <c r="K28" s="874">
        <f>K29-(SUM(K17:K23))</f>
        <v>0</v>
      </c>
      <c r="L28" s="874">
        <f>L29-(SUM(L17:L23))</f>
        <v>0</v>
      </c>
      <c r="M28" s="207"/>
      <c r="N28" s="127"/>
    </row>
    <row r="29" spans="2:16" s="68" customFormat="1" x14ac:dyDescent="0.2">
      <c r="B29" s="69"/>
      <c r="C29" s="90"/>
      <c r="D29" s="1047"/>
      <c r="E29" s="92"/>
      <c r="F29" s="210"/>
      <c r="G29" s="92"/>
      <c r="H29" s="1024">
        <f>IF(geg!G27=0,0,IF(SUM(H17:H23)&lt;(tab!D43+tab!D44*pers!H14),(tab!D43+tab!D44*pers!H14),SUM(H17:H23)))</f>
        <v>735688.96000000008</v>
      </c>
      <c r="I29" s="1024">
        <f>IF(geg!H27=0,0,IF(SUM(I17:I23)&lt;(tab!$E43+tab!$E44*pers!I14),(tab!$E43+tab!$E44*pers!I14),SUM(I17:I23)))</f>
        <v>735688.96000000008</v>
      </c>
      <c r="J29" s="1024">
        <f>IF(geg!I27=0,0,IF(SUM(J17:J23)&lt;(tab!$E43+tab!$E44*pers!J14),(tab!$E43+tab!$E44*pers!J14),SUM(J17:J23)))</f>
        <v>744536.48</v>
      </c>
      <c r="K29" s="1024">
        <f>IF(geg!J27=0,0,IF(SUM(K17:K23)&lt;(tab!$E43+tab!$E44*pers!K14),(tab!$E43+tab!$E44*pers!K14),SUM(K17:K23)))</f>
        <v>753384</v>
      </c>
      <c r="L29" s="1024">
        <f>IF(geg!K27=0,0,IF(SUM(L17:L23)&lt;(tab!$E43+tab!$E44*pers!L14),(tab!$E43+tab!$E44*pers!L14),SUM(L17:L23)))</f>
        <v>762231.52</v>
      </c>
      <c r="M29" s="202"/>
      <c r="N29" s="73"/>
    </row>
    <row r="30" spans="2:16" s="68" customFormat="1" x14ac:dyDescent="0.2">
      <c r="B30" s="69"/>
      <c r="C30" s="211"/>
      <c r="D30" s="1038" t="s">
        <v>372</v>
      </c>
      <c r="E30" s="212"/>
      <c r="F30" s="210"/>
      <c r="G30" s="212"/>
      <c r="H30" s="213"/>
      <c r="I30" s="213"/>
      <c r="J30" s="213"/>
      <c r="K30" s="213"/>
      <c r="L30" s="213"/>
      <c r="M30" s="96"/>
      <c r="N30" s="73"/>
    </row>
    <row r="31" spans="2:16" s="68" customFormat="1" x14ac:dyDescent="0.2">
      <c r="B31" s="69"/>
      <c r="C31" s="211"/>
      <c r="D31" s="1037" t="s">
        <v>218</v>
      </c>
      <c r="E31" s="212"/>
      <c r="F31" s="201">
        <v>0</v>
      </c>
      <c r="G31" s="212"/>
      <c r="H31" s="878">
        <f>IF(geg!G27=0,0,tab!$D$50)</f>
        <v>16245.75</v>
      </c>
      <c r="I31" s="878">
        <f>IF(geg!H27=0,0,tab!$E$50)</f>
        <v>16245.75</v>
      </c>
      <c r="J31" s="878">
        <f>IF(geg!I27=0,0,tab!$E$50)</f>
        <v>16245.75</v>
      </c>
      <c r="K31" s="878">
        <f>IF(geg!J27=0,0,tab!$E$50)</f>
        <v>16245.75</v>
      </c>
      <c r="L31" s="878">
        <f>IF(geg!K27=0,0,tab!$E$50)</f>
        <v>16245.75</v>
      </c>
      <c r="M31" s="96"/>
      <c r="N31" s="73"/>
    </row>
    <row r="32" spans="2:16" s="68" customFormat="1" x14ac:dyDescent="0.2">
      <c r="B32" s="69"/>
      <c r="C32" s="90"/>
      <c r="D32" s="1037" t="s">
        <v>220</v>
      </c>
      <c r="E32" s="91"/>
      <c r="F32" s="201">
        <v>0</v>
      </c>
      <c r="G32" s="91"/>
      <c r="H32" s="917">
        <f>geg!G27*tab!$D$52</f>
        <v>99426.8</v>
      </c>
      <c r="I32" s="917">
        <f>geg!H27*tab!$E$52</f>
        <v>99426.8</v>
      </c>
      <c r="J32" s="917">
        <f>geg!I27*tab!$E$52</f>
        <v>99426.8</v>
      </c>
      <c r="K32" s="917">
        <f>geg!J27*tab!$E$52</f>
        <v>99426.8</v>
      </c>
      <c r="L32" s="917">
        <f>geg!K27*tab!$E$52</f>
        <v>99426.8</v>
      </c>
      <c r="M32" s="162"/>
      <c r="N32" s="73"/>
    </row>
    <row r="33" spans="2:16" s="68" customFormat="1" x14ac:dyDescent="0.2">
      <c r="B33" s="69"/>
      <c r="C33" s="90"/>
      <c r="D33" s="1048" t="s">
        <v>169</v>
      </c>
      <c r="E33" s="214"/>
      <c r="F33" s="201">
        <v>0</v>
      </c>
      <c r="G33" s="214"/>
      <c r="H33" s="917">
        <f>geg!G31*tab!$D$53</f>
        <v>1118.32</v>
      </c>
      <c r="I33" s="917">
        <f>geg!H31*tab!$E$53</f>
        <v>1118.32</v>
      </c>
      <c r="J33" s="917">
        <f>geg!I31*tab!$E$53</f>
        <v>1118.32</v>
      </c>
      <c r="K33" s="917">
        <f>geg!J31*tab!$E$53</f>
        <v>1118.32</v>
      </c>
      <c r="L33" s="917">
        <f>geg!K31*tab!$E$53</f>
        <v>1118.32</v>
      </c>
      <c r="M33" s="162"/>
      <c r="N33" s="73"/>
    </row>
    <row r="34" spans="2:16" s="68" customFormat="1" x14ac:dyDescent="0.2">
      <c r="B34" s="69"/>
      <c r="C34" s="90"/>
      <c r="D34" s="1039" t="s">
        <v>194</v>
      </c>
      <c r="E34" s="92"/>
      <c r="F34" s="201">
        <v>0</v>
      </c>
      <c r="G34" s="92"/>
      <c r="H34" s="917">
        <f>IF(geg!G27=0,0,IF((tab!$D$54-tab!$D$55*geg!G27)&lt;0,0,tab!$D$54-tab!$D$55*geg!G27))</f>
        <v>0</v>
      </c>
      <c r="I34" s="917">
        <f>IF(geg!H27=0,0,IF((tab!$E$54-tab!$E$55*geg!H27)&lt;0,0,tab!$E$54-tab!$E$55*geg!H27))</f>
        <v>0</v>
      </c>
      <c r="J34" s="917">
        <f>IF(geg!I27=0,0,IF((tab!$E$54-tab!$E$55*geg!I27)&lt;0,0,tab!$E$54-tab!$E$55*geg!I27))</f>
        <v>0</v>
      </c>
      <c r="K34" s="917">
        <f>IF(geg!J27=0,0,IF((tab!$E$54-tab!$E$55*geg!J27)&lt;0,0,tab!$E$54-tab!$E$55*geg!J27))</f>
        <v>0</v>
      </c>
      <c r="L34" s="917">
        <f>IF(geg!K27=0,0,IF((tab!$E$54-tab!$E$55*geg!K27)&lt;0,0,tab!$E$54-tab!$E$55*geg!K27))</f>
        <v>0</v>
      </c>
      <c r="M34" s="162"/>
      <c r="N34" s="73"/>
    </row>
    <row r="35" spans="2:16" s="68" customFormat="1" x14ac:dyDescent="0.2">
      <c r="B35" s="69"/>
      <c r="C35" s="90"/>
      <c r="D35" s="1039" t="s">
        <v>7</v>
      </c>
      <c r="E35" s="212"/>
      <c r="F35" s="201">
        <v>0</v>
      </c>
      <c r="G35" s="212"/>
      <c r="H35" s="917">
        <f>IF(geg!G27=0,0,IF(geg!G27&gt;194,0,tab!$D$51))</f>
        <v>0</v>
      </c>
      <c r="I35" s="917">
        <f>IF(geg!H27=0,0,IF(geg!H27&gt;194,0,tab!$E$51))</f>
        <v>0</v>
      </c>
      <c r="J35" s="917">
        <f>IF(geg!I27=0,0,IF(geg!I27&gt;194,0,tab!$E$51))</f>
        <v>0</v>
      </c>
      <c r="K35" s="917">
        <f>IF(geg!J27=0,0,IF(geg!J27&gt;194,0,tab!$E$51))</f>
        <v>0</v>
      </c>
      <c r="L35" s="917">
        <f>IF(geg!K27=0,0,IF(geg!K27&gt;194,0,tab!$E$51))</f>
        <v>0</v>
      </c>
      <c r="M35" s="162"/>
      <c r="N35" s="73"/>
    </row>
    <row r="36" spans="2:16" s="68" customFormat="1" x14ac:dyDescent="0.2">
      <c r="B36" s="69"/>
      <c r="C36" s="163"/>
      <c r="D36" s="1047"/>
      <c r="E36" s="116"/>
      <c r="F36" s="210"/>
      <c r="G36" s="116"/>
      <c r="H36" s="915">
        <f>SUM(H31:H35)</f>
        <v>116790.87000000001</v>
      </c>
      <c r="I36" s="915">
        <f>SUM(I31:I35)</f>
        <v>116790.87000000001</v>
      </c>
      <c r="J36" s="915">
        <f>SUM(J31:J35)</f>
        <v>116790.87000000001</v>
      </c>
      <c r="K36" s="915">
        <f>SUM(K31:K35)</f>
        <v>116790.87000000001</v>
      </c>
      <c r="L36" s="915">
        <f>SUM(L31:L35)</f>
        <v>116790.87000000001</v>
      </c>
      <c r="M36" s="215"/>
      <c r="N36" s="73"/>
    </row>
    <row r="37" spans="2:16" s="68" customFormat="1" x14ac:dyDescent="0.2">
      <c r="B37" s="69"/>
      <c r="C37" s="163"/>
      <c r="D37" s="1038" t="s">
        <v>580</v>
      </c>
      <c r="E37" s="116"/>
      <c r="F37" s="210"/>
      <c r="G37" s="116"/>
      <c r="H37" s="216"/>
      <c r="I37" s="216"/>
      <c r="J37" s="216"/>
      <c r="K37" s="216"/>
      <c r="L37" s="216"/>
      <c r="M37" s="215"/>
      <c r="N37" s="73"/>
      <c r="P37" s="417"/>
    </row>
    <row r="38" spans="2:16" s="208" customFormat="1" x14ac:dyDescent="0.2">
      <c r="B38" s="124"/>
      <c r="C38" s="125"/>
      <c r="D38" s="1039" t="s">
        <v>489</v>
      </c>
      <c r="E38" s="92"/>
      <c r="F38" s="201">
        <v>0</v>
      </c>
      <c r="G38" s="92"/>
      <c r="H38" s="874">
        <f>(geg!G27*tab!D60)+tab!D61</f>
        <v>17890.399999999998</v>
      </c>
      <c r="I38" s="1213">
        <f>(geg!H27*tab!$E$60)+tab!$E$61</f>
        <v>17890.399999999998</v>
      </c>
      <c r="J38" s="1213">
        <f>(geg!I27*tab!$E$60)+tab!$E$61</f>
        <v>17890.399999999998</v>
      </c>
      <c r="K38" s="1213">
        <f>(geg!J27*tab!$E$60)+tab!$E$61</f>
        <v>17890.399999999998</v>
      </c>
      <c r="L38" s="1213">
        <f>(geg!K27*tab!$E$60)+tab!$E$61</f>
        <v>17890.399999999998</v>
      </c>
      <c r="M38" s="207"/>
      <c r="N38" s="127"/>
      <c r="P38" s="1214"/>
    </row>
    <row r="39" spans="2:16" s="68" customFormat="1" x14ac:dyDescent="0.2">
      <c r="B39" s="69"/>
      <c r="C39" s="163"/>
      <c r="D39" s="1049"/>
      <c r="E39" s="92"/>
      <c r="F39" s="201">
        <v>0</v>
      </c>
      <c r="G39" s="92"/>
      <c r="H39" s="219">
        <v>0</v>
      </c>
      <c r="I39" s="219">
        <v>0</v>
      </c>
      <c r="J39" s="219">
        <v>0</v>
      </c>
      <c r="K39" s="219">
        <v>0</v>
      </c>
      <c r="L39" s="219">
        <v>0</v>
      </c>
      <c r="M39" s="215"/>
      <c r="N39" s="73"/>
    </row>
    <row r="40" spans="2:16" s="68" customFormat="1" x14ac:dyDescent="0.2">
      <c r="B40" s="69"/>
      <c r="C40" s="163"/>
      <c r="D40" s="1049"/>
      <c r="E40" s="92"/>
      <c r="F40" s="201">
        <v>0</v>
      </c>
      <c r="G40" s="92"/>
      <c r="H40" s="219">
        <v>0</v>
      </c>
      <c r="I40" s="219">
        <v>0</v>
      </c>
      <c r="J40" s="219">
        <v>0</v>
      </c>
      <c r="K40" s="219">
        <v>0</v>
      </c>
      <c r="L40" s="219">
        <v>0</v>
      </c>
      <c r="M40" s="215"/>
      <c r="N40" s="73"/>
    </row>
    <row r="41" spans="2:16" s="68" customFormat="1" x14ac:dyDescent="0.2">
      <c r="B41" s="69"/>
      <c r="C41" s="163"/>
      <c r="D41" s="1049"/>
      <c r="E41" s="92"/>
      <c r="F41" s="201">
        <v>0</v>
      </c>
      <c r="G41" s="92"/>
      <c r="H41" s="219">
        <v>0</v>
      </c>
      <c r="I41" s="219">
        <v>0</v>
      </c>
      <c r="J41" s="219">
        <v>0</v>
      </c>
      <c r="K41" s="219">
        <v>0</v>
      </c>
      <c r="L41" s="219">
        <v>0</v>
      </c>
      <c r="M41" s="215"/>
      <c r="N41" s="73"/>
    </row>
    <row r="42" spans="2:16" s="68" customFormat="1" x14ac:dyDescent="0.2">
      <c r="B42" s="69"/>
      <c r="C42" s="163"/>
      <c r="D42" s="1049"/>
      <c r="E42" s="92"/>
      <c r="F42" s="201">
        <v>0</v>
      </c>
      <c r="G42" s="92"/>
      <c r="H42" s="219">
        <v>0</v>
      </c>
      <c r="I42" s="219">
        <v>0</v>
      </c>
      <c r="J42" s="219">
        <v>0</v>
      </c>
      <c r="K42" s="219">
        <v>0</v>
      </c>
      <c r="L42" s="219">
        <v>0</v>
      </c>
      <c r="M42" s="215"/>
      <c r="N42" s="73"/>
    </row>
    <row r="43" spans="2:16" s="68" customFormat="1" x14ac:dyDescent="0.2">
      <c r="B43" s="69"/>
      <c r="C43" s="163"/>
      <c r="D43" s="1037"/>
      <c r="E43" s="92"/>
      <c r="F43" s="92"/>
      <c r="G43" s="92"/>
      <c r="H43" s="915">
        <f>SUM(H38:H42)</f>
        <v>17890.399999999998</v>
      </c>
      <c r="I43" s="915">
        <f>SUM(I38:I42)</f>
        <v>17890.399999999998</v>
      </c>
      <c r="J43" s="915">
        <f>SUM(J38:J42)</f>
        <v>17890.399999999998</v>
      </c>
      <c r="K43" s="915">
        <f>SUM(K38:K42)</f>
        <v>17890.399999999998</v>
      </c>
      <c r="L43" s="915">
        <f>SUM(L38:L42)</f>
        <v>17890.399999999998</v>
      </c>
      <c r="M43" s="215"/>
      <c r="N43" s="73"/>
    </row>
    <row r="44" spans="2:16" s="68" customFormat="1" x14ac:dyDescent="0.2">
      <c r="B44" s="69"/>
      <c r="C44" s="163"/>
      <c r="D44" s="1038" t="s">
        <v>534</v>
      </c>
      <c r="E44" s="116"/>
      <c r="F44" s="210"/>
      <c r="G44" s="116"/>
      <c r="H44" s="216"/>
      <c r="I44" s="216"/>
      <c r="J44" s="216"/>
      <c r="K44" s="216"/>
      <c r="L44" s="216"/>
      <c r="M44" s="215"/>
      <c r="N44" s="73"/>
    </row>
    <row r="45" spans="2:16" s="68" customFormat="1" x14ac:dyDescent="0.2">
      <c r="B45" s="69"/>
      <c r="C45" s="163"/>
      <c r="D45" s="1049"/>
      <c r="E45" s="92"/>
      <c r="F45" s="116"/>
      <c r="G45" s="92"/>
      <c r="H45" s="219">
        <v>0</v>
      </c>
      <c r="I45" s="219">
        <v>0</v>
      </c>
      <c r="J45" s="219">
        <v>0</v>
      </c>
      <c r="K45" s="219">
        <v>0</v>
      </c>
      <c r="L45" s="219">
        <v>0</v>
      </c>
      <c r="M45" s="215"/>
      <c r="N45" s="73"/>
    </row>
    <row r="46" spans="2:16" s="68" customFormat="1" x14ac:dyDescent="0.2">
      <c r="B46" s="69"/>
      <c r="C46" s="163"/>
      <c r="D46" s="1049"/>
      <c r="E46" s="92"/>
      <c r="F46" s="116"/>
      <c r="G46" s="92"/>
      <c r="H46" s="219">
        <v>0</v>
      </c>
      <c r="I46" s="219">
        <v>0</v>
      </c>
      <c r="J46" s="219">
        <v>0</v>
      </c>
      <c r="K46" s="219">
        <v>0</v>
      </c>
      <c r="L46" s="219">
        <v>0</v>
      </c>
      <c r="M46" s="215"/>
      <c r="N46" s="73"/>
    </row>
    <row r="47" spans="2:16" s="68" customFormat="1" x14ac:dyDescent="0.2">
      <c r="B47" s="69"/>
      <c r="C47" s="163"/>
      <c r="D47" s="1049"/>
      <c r="E47" s="92"/>
      <c r="F47" s="116"/>
      <c r="G47" s="92"/>
      <c r="H47" s="219">
        <v>0</v>
      </c>
      <c r="I47" s="219">
        <v>0</v>
      </c>
      <c r="J47" s="219">
        <v>0</v>
      </c>
      <c r="K47" s="219">
        <v>0</v>
      </c>
      <c r="L47" s="219">
        <v>0</v>
      </c>
      <c r="M47" s="215"/>
      <c r="N47" s="73"/>
    </row>
    <row r="48" spans="2:16" s="68" customFormat="1" x14ac:dyDescent="0.2">
      <c r="B48" s="69"/>
      <c r="C48" s="163"/>
      <c r="D48" s="1049"/>
      <c r="E48" s="92"/>
      <c r="F48" s="116"/>
      <c r="G48" s="92"/>
      <c r="H48" s="219">
        <v>0</v>
      </c>
      <c r="I48" s="219">
        <v>0</v>
      </c>
      <c r="J48" s="219">
        <v>0</v>
      </c>
      <c r="K48" s="219">
        <v>0</v>
      </c>
      <c r="L48" s="219">
        <v>0</v>
      </c>
      <c r="M48" s="215"/>
      <c r="N48" s="73"/>
    </row>
    <row r="49" spans="2:16" s="68" customFormat="1" x14ac:dyDescent="0.2">
      <c r="B49" s="69"/>
      <c r="C49" s="163"/>
      <c r="D49" s="1049"/>
      <c r="E49" s="92"/>
      <c r="F49" s="116"/>
      <c r="G49" s="92"/>
      <c r="H49" s="219">
        <v>0</v>
      </c>
      <c r="I49" s="219">
        <v>0</v>
      </c>
      <c r="J49" s="219">
        <v>0</v>
      </c>
      <c r="K49" s="219">
        <v>0</v>
      </c>
      <c r="L49" s="219">
        <v>0</v>
      </c>
      <c r="M49" s="215"/>
      <c r="N49" s="73"/>
    </row>
    <row r="50" spans="2:16" s="68" customFormat="1" x14ac:dyDescent="0.2">
      <c r="B50" s="69"/>
      <c r="C50" s="163"/>
      <c r="D50" s="1037"/>
      <c r="E50" s="92"/>
      <c r="F50" s="92"/>
      <c r="G50" s="92"/>
      <c r="H50" s="1025">
        <f>SUM(H45:H49)</f>
        <v>0</v>
      </c>
      <c r="I50" s="1025">
        <f>SUM(I45:I49)</f>
        <v>0</v>
      </c>
      <c r="J50" s="1025">
        <f>SUM(J45:J49)</f>
        <v>0</v>
      </c>
      <c r="K50" s="1025">
        <f>SUM(K45:K49)</f>
        <v>0</v>
      </c>
      <c r="L50" s="1025">
        <f>SUM(L45:L49)</f>
        <v>0</v>
      </c>
      <c r="M50" s="215"/>
      <c r="N50" s="73"/>
    </row>
    <row r="51" spans="2:16" s="68" customFormat="1" x14ac:dyDescent="0.2">
      <c r="B51" s="69"/>
      <c r="C51" s="163"/>
      <c r="D51" s="126" t="s">
        <v>17</v>
      </c>
      <c r="E51" s="92"/>
      <c r="F51" s="92"/>
      <c r="G51" s="92"/>
      <c r="H51" s="216"/>
      <c r="I51" s="216"/>
      <c r="J51" s="216"/>
      <c r="K51" s="216"/>
      <c r="L51" s="216"/>
      <c r="M51" s="215"/>
      <c r="N51" s="73"/>
    </row>
    <row r="52" spans="2:16" s="208" customFormat="1" x14ac:dyDescent="0.2">
      <c r="B52" s="124"/>
      <c r="C52" s="163"/>
      <c r="D52" s="1038" t="s">
        <v>18</v>
      </c>
      <c r="E52" s="116"/>
      <c r="F52" s="116"/>
      <c r="G52" s="116"/>
      <c r="H52" s="216"/>
      <c r="I52" s="216"/>
      <c r="J52" s="216"/>
      <c r="K52" s="216"/>
      <c r="L52" s="216"/>
      <c r="M52" s="215"/>
      <c r="N52" s="127"/>
    </row>
    <row r="53" spans="2:16" s="208" customFormat="1" x14ac:dyDescent="0.2">
      <c r="B53" s="124"/>
      <c r="C53" s="163"/>
      <c r="D53" s="1037" t="s">
        <v>19</v>
      </c>
      <c r="E53" s="116"/>
      <c r="F53" s="116"/>
      <c r="G53" s="116"/>
      <c r="H53" s="878">
        <f>$F17*H17+$F18*H18+$F19*H19+$F20*H20+$F21*H21+$F22*H22+$F23*H23+$F28*H28+$F31*H31+$F32*H32+$F33*H33+$F34*H34+$F35*H35+$F38*H38+$F39*H39+$F40*H40+$F41*H41+$F42*H42</f>
        <v>0</v>
      </c>
      <c r="I53" s="878">
        <f>$F17*I17+$F18*I18+$F19*I19+$F20*I20+$F21*I21+$F22*I22+$F23*I23+$F28*I28+$F31*I31+$F32*I32+$F33*I33+$F34*I34+$F35*I35+$F38*I38+$F39*I39+$F40*I40+$F41*I41+$F42*I42</f>
        <v>0</v>
      </c>
      <c r="J53" s="878">
        <f>$F17*J17+$F18*J18+$F19*J19+$F20*J20+$F21*J21+$F22*J22+$F23*J23+$F28*J28+$F31*J31+$F32*J32+$F33*J33+$F34*J34+$F35*J35+$F38*J38+$F39*J39+$F40*J40+$F41*J41+$F42*J42</f>
        <v>0</v>
      </c>
      <c r="K53" s="878">
        <f>$F17*K17+$F18*K18+$F19*K19+$F20*K20+$F21*K21+$F22*K22+$F23*K23+$F28*K28+$F31*K31+$F32*K32+$F33*K33+$F34*K34+$F35*K35+$F38*K38+$F39*K39+$F40*K40+$F41*K41+$F42*K42</f>
        <v>0</v>
      </c>
      <c r="L53" s="878">
        <f>$F17*L17+$F18*L18+$F19*L19+$F20*L20+$F21*L21+$F22*L22+$F23*L23+$F28*L28+$F31*L31+$F32*L32+$F33*L33+$F34*L34+$F35*L35+$F38*L38+$F39*L39+$F40*L40+$F41*L41+$F42*L42</f>
        <v>0</v>
      </c>
      <c r="M53" s="215"/>
      <c r="N53" s="127"/>
      <c r="P53" s="62"/>
    </row>
    <row r="54" spans="2:16" s="208" customFormat="1" x14ac:dyDescent="0.2">
      <c r="B54" s="124"/>
      <c r="C54" s="163"/>
      <c r="D54" s="1049"/>
      <c r="E54" s="116"/>
      <c r="F54" s="116"/>
      <c r="G54" s="116"/>
      <c r="H54" s="219">
        <v>0</v>
      </c>
      <c r="I54" s="219">
        <v>0</v>
      </c>
      <c r="J54" s="219">
        <v>0</v>
      </c>
      <c r="K54" s="219">
        <v>0</v>
      </c>
      <c r="L54" s="219">
        <v>0</v>
      </c>
      <c r="M54" s="215"/>
      <c r="N54" s="127"/>
    </row>
    <row r="55" spans="2:16" x14ac:dyDescent="0.2">
      <c r="B55" s="69"/>
      <c r="C55" s="90"/>
      <c r="D55" s="1049"/>
      <c r="E55" s="91"/>
      <c r="F55" s="91"/>
      <c r="G55" s="91"/>
      <c r="H55" s="219">
        <v>0</v>
      </c>
      <c r="I55" s="219">
        <v>0</v>
      </c>
      <c r="J55" s="219">
        <v>0</v>
      </c>
      <c r="K55" s="219">
        <v>0</v>
      </c>
      <c r="L55" s="219">
        <v>0</v>
      </c>
      <c r="M55" s="220"/>
      <c r="N55" s="73"/>
    </row>
    <row r="56" spans="2:16" x14ac:dyDescent="0.2">
      <c r="B56" s="69"/>
      <c r="C56" s="90"/>
      <c r="D56" s="1049"/>
      <c r="E56" s="91"/>
      <c r="F56" s="91"/>
      <c r="G56" s="91"/>
      <c r="H56" s="219">
        <v>0</v>
      </c>
      <c r="I56" s="219">
        <v>0</v>
      </c>
      <c r="J56" s="219">
        <v>0</v>
      </c>
      <c r="K56" s="219">
        <v>0</v>
      </c>
      <c r="L56" s="219">
        <v>0</v>
      </c>
      <c r="M56" s="220"/>
      <c r="N56" s="73"/>
    </row>
    <row r="57" spans="2:16" x14ac:dyDescent="0.2">
      <c r="B57" s="69"/>
      <c r="C57" s="90"/>
      <c r="D57" s="1049"/>
      <c r="E57" s="91"/>
      <c r="F57" s="91"/>
      <c r="G57" s="91"/>
      <c r="H57" s="219">
        <v>0</v>
      </c>
      <c r="I57" s="219">
        <v>0</v>
      </c>
      <c r="J57" s="219">
        <v>0</v>
      </c>
      <c r="K57" s="219">
        <v>0</v>
      </c>
      <c r="L57" s="219">
        <v>0</v>
      </c>
      <c r="M57" s="220"/>
      <c r="N57" s="73"/>
    </row>
    <row r="58" spans="2:16" s="208" customFormat="1" x14ac:dyDescent="0.2">
      <c r="B58" s="124"/>
      <c r="C58" s="163"/>
      <c r="D58" s="1037"/>
      <c r="E58" s="116"/>
      <c r="F58" s="116"/>
      <c r="G58" s="116"/>
      <c r="H58" s="915">
        <f>SUM(H53:H57)</f>
        <v>0</v>
      </c>
      <c r="I58" s="915">
        <f>SUM(I53:I57)</f>
        <v>0</v>
      </c>
      <c r="J58" s="915">
        <f>SUM(J53:J57)</f>
        <v>0</v>
      </c>
      <c r="K58" s="915">
        <f>SUM(K53:K57)</f>
        <v>0</v>
      </c>
      <c r="L58" s="915">
        <f>SUM(L53:L57)</f>
        <v>0</v>
      </c>
      <c r="M58" s="215"/>
      <c r="N58" s="127"/>
    </row>
    <row r="59" spans="2:16" s="208" customFormat="1" x14ac:dyDescent="0.2">
      <c r="B59" s="124"/>
      <c r="C59" s="163"/>
      <c r="D59" s="508" t="s">
        <v>20</v>
      </c>
      <c r="E59" s="214"/>
      <c r="F59" s="221"/>
      <c r="G59" s="92"/>
      <c r="H59" s="222"/>
      <c r="I59" s="222"/>
      <c r="J59" s="222"/>
      <c r="K59" s="222"/>
      <c r="L59" s="222"/>
      <c r="M59" s="215"/>
      <c r="N59" s="127"/>
    </row>
    <row r="60" spans="2:16" s="208" customFormat="1" x14ac:dyDescent="0.2">
      <c r="B60" s="124"/>
      <c r="C60" s="163"/>
      <c r="D60" s="1049"/>
      <c r="E60" s="223"/>
      <c r="F60" s="224"/>
      <c r="G60" s="92"/>
      <c r="H60" s="219">
        <v>0</v>
      </c>
      <c r="I60" s="219">
        <v>0</v>
      </c>
      <c r="J60" s="219">
        <v>0</v>
      </c>
      <c r="K60" s="219">
        <v>0</v>
      </c>
      <c r="L60" s="219">
        <v>0</v>
      </c>
      <c r="M60" s="215"/>
      <c r="N60" s="127"/>
    </row>
    <row r="61" spans="2:16" s="208" customFormat="1" x14ac:dyDescent="0.2">
      <c r="B61" s="124"/>
      <c r="C61" s="163"/>
      <c r="D61" s="1049"/>
      <c r="E61" s="214"/>
      <c r="F61" s="221"/>
      <c r="G61" s="92"/>
      <c r="H61" s="219">
        <v>0</v>
      </c>
      <c r="I61" s="219">
        <v>0</v>
      </c>
      <c r="J61" s="219">
        <v>0</v>
      </c>
      <c r="K61" s="219">
        <v>0</v>
      </c>
      <c r="L61" s="219">
        <v>0</v>
      </c>
      <c r="M61" s="215"/>
      <c r="N61" s="127"/>
    </row>
    <row r="62" spans="2:16" s="208" customFormat="1" x14ac:dyDescent="0.2">
      <c r="B62" s="124"/>
      <c r="C62" s="163"/>
      <c r="D62" s="1049"/>
      <c r="E62" s="223"/>
      <c r="F62" s="224"/>
      <c r="G62" s="92"/>
      <c r="H62" s="219">
        <v>0</v>
      </c>
      <c r="I62" s="219">
        <v>0</v>
      </c>
      <c r="J62" s="219">
        <v>0</v>
      </c>
      <c r="K62" s="219">
        <v>0</v>
      </c>
      <c r="L62" s="219">
        <v>0</v>
      </c>
      <c r="M62" s="215"/>
      <c r="N62" s="127"/>
    </row>
    <row r="63" spans="2:16" s="208" customFormat="1" x14ac:dyDescent="0.2">
      <c r="B63" s="124"/>
      <c r="C63" s="163"/>
      <c r="D63" s="1049"/>
      <c r="E63" s="214"/>
      <c r="F63" s="221"/>
      <c r="G63" s="92"/>
      <c r="H63" s="219">
        <v>0</v>
      </c>
      <c r="I63" s="219">
        <v>0</v>
      </c>
      <c r="J63" s="219">
        <v>0</v>
      </c>
      <c r="K63" s="219">
        <v>0</v>
      </c>
      <c r="L63" s="219">
        <v>0</v>
      </c>
      <c r="M63" s="215"/>
      <c r="N63" s="127"/>
    </row>
    <row r="64" spans="2:16" s="208" customFormat="1" x14ac:dyDescent="0.2">
      <c r="B64" s="124"/>
      <c r="C64" s="163"/>
      <c r="D64" s="1049"/>
      <c r="E64" s="223"/>
      <c r="F64" s="224"/>
      <c r="G64" s="92"/>
      <c r="H64" s="219">
        <v>0</v>
      </c>
      <c r="I64" s="219">
        <v>0</v>
      </c>
      <c r="J64" s="219">
        <v>0</v>
      </c>
      <c r="K64" s="219">
        <v>0</v>
      </c>
      <c r="L64" s="219">
        <v>0</v>
      </c>
      <c r="M64" s="215"/>
      <c r="N64" s="127"/>
    </row>
    <row r="65" spans="2:14" s="208" customFormat="1" x14ac:dyDescent="0.2">
      <c r="B65" s="124"/>
      <c r="C65" s="163"/>
      <c r="D65" s="1037"/>
      <c r="E65" s="116"/>
      <c r="F65" s="116"/>
      <c r="G65" s="116"/>
      <c r="H65" s="915">
        <f>SUM(H60:H64)</f>
        <v>0</v>
      </c>
      <c r="I65" s="915">
        <f>SUM(I60:I64)</f>
        <v>0</v>
      </c>
      <c r="J65" s="915">
        <f>SUM(J60:J64)</f>
        <v>0</v>
      </c>
      <c r="K65" s="915">
        <f>SUM(K60:K64)</f>
        <v>0</v>
      </c>
      <c r="L65" s="915">
        <f>SUM(L60:L64)</f>
        <v>0</v>
      </c>
      <c r="M65" s="215"/>
      <c r="N65" s="127"/>
    </row>
    <row r="66" spans="2:14" s="208" customFormat="1" x14ac:dyDescent="0.2">
      <c r="B66" s="124"/>
      <c r="C66" s="163"/>
      <c r="D66" s="1039"/>
      <c r="E66" s="92"/>
      <c r="F66" s="92"/>
      <c r="G66" s="92"/>
      <c r="H66" s="95"/>
      <c r="I66" s="225"/>
      <c r="J66" s="128"/>
      <c r="K66" s="128"/>
      <c r="L66" s="128"/>
      <c r="M66" s="215"/>
      <c r="N66" s="127"/>
    </row>
    <row r="67" spans="2:14" s="208" customFormat="1" x14ac:dyDescent="0.2">
      <c r="B67" s="124"/>
      <c r="C67" s="163"/>
      <c r="D67" s="508" t="s">
        <v>21</v>
      </c>
      <c r="E67" s="204"/>
      <c r="F67" s="204"/>
      <c r="G67" s="204"/>
      <c r="H67" s="915">
        <f>H58-H65</f>
        <v>0</v>
      </c>
      <c r="I67" s="915">
        <f>I58-I65</f>
        <v>0</v>
      </c>
      <c r="J67" s="915">
        <f>J58-J65</f>
        <v>0</v>
      </c>
      <c r="K67" s="915">
        <f>K58-K65</f>
        <v>0</v>
      </c>
      <c r="L67" s="915">
        <f>L58-L65</f>
        <v>0</v>
      </c>
      <c r="M67" s="215"/>
      <c r="N67" s="127"/>
    </row>
    <row r="68" spans="2:14" s="208" customFormat="1" x14ac:dyDescent="0.2">
      <c r="B68" s="124"/>
      <c r="C68" s="163"/>
      <c r="D68" s="1042"/>
      <c r="E68" s="116"/>
      <c r="F68" s="116"/>
      <c r="G68" s="116"/>
      <c r="H68" s="216"/>
      <c r="I68" s="216"/>
      <c r="J68" s="216"/>
      <c r="K68" s="216"/>
      <c r="L68" s="216"/>
      <c r="M68" s="215"/>
      <c r="N68" s="127"/>
    </row>
    <row r="69" spans="2:14" s="208" customFormat="1" x14ac:dyDescent="0.2">
      <c r="B69" s="124"/>
      <c r="C69" s="163"/>
      <c r="D69" s="116"/>
      <c r="E69" s="116"/>
      <c r="F69" s="116"/>
      <c r="G69" s="116"/>
      <c r="H69" s="216"/>
      <c r="I69" s="216"/>
      <c r="J69" s="216"/>
      <c r="K69" s="216"/>
      <c r="L69" s="216"/>
      <c r="M69" s="215"/>
      <c r="N69" s="127"/>
    </row>
    <row r="70" spans="2:14" x14ac:dyDescent="0.2">
      <c r="B70" s="69"/>
      <c r="C70" s="163"/>
      <c r="D70" s="116" t="s">
        <v>320</v>
      </c>
      <c r="E70" s="116"/>
      <c r="F70" s="116"/>
      <c r="G70" s="116"/>
      <c r="H70" s="912">
        <f>H29+H36+H43+H50-H67</f>
        <v>870370.2300000001</v>
      </c>
      <c r="I70" s="912">
        <f>I29+I36+I43+I50-I67</f>
        <v>870370.2300000001</v>
      </c>
      <c r="J70" s="912">
        <f>J29+J36+J43+J50-J67</f>
        <v>879217.75</v>
      </c>
      <c r="K70" s="912">
        <f>K29+K36+K43+K50-K67</f>
        <v>888065.27</v>
      </c>
      <c r="L70" s="912">
        <f>L29+L36+L43+L50-L67</f>
        <v>896912.79</v>
      </c>
      <c r="M70" s="215"/>
      <c r="N70" s="73"/>
    </row>
    <row r="71" spans="2:14" s="68" customFormat="1" x14ac:dyDescent="0.2">
      <c r="B71" s="69"/>
      <c r="C71" s="226"/>
      <c r="D71" s="227"/>
      <c r="E71" s="227"/>
      <c r="F71" s="227"/>
      <c r="G71" s="227"/>
      <c r="H71" s="228"/>
      <c r="I71" s="228"/>
      <c r="J71" s="228"/>
      <c r="K71" s="228"/>
      <c r="L71" s="228"/>
      <c r="M71" s="229"/>
      <c r="N71" s="73"/>
    </row>
    <row r="72" spans="2:14" s="68" customFormat="1" x14ac:dyDescent="0.2">
      <c r="B72" s="69"/>
      <c r="C72" s="70"/>
      <c r="D72" s="70"/>
      <c r="E72" s="70"/>
      <c r="F72" s="70"/>
      <c r="G72" s="70"/>
      <c r="H72" s="176"/>
      <c r="I72" s="176"/>
      <c r="J72" s="176"/>
      <c r="K72" s="176"/>
      <c r="L72" s="176"/>
      <c r="M72" s="70"/>
      <c r="N72" s="73"/>
    </row>
    <row r="73" spans="2:14" s="68" customFormat="1" x14ac:dyDescent="0.2">
      <c r="B73" s="69"/>
      <c r="C73" s="159"/>
      <c r="D73" s="230"/>
      <c r="E73" s="230"/>
      <c r="F73" s="230"/>
      <c r="G73" s="230"/>
      <c r="H73" s="231"/>
      <c r="I73" s="231"/>
      <c r="J73" s="231"/>
      <c r="K73" s="231"/>
      <c r="L73" s="231"/>
      <c r="M73" s="232"/>
      <c r="N73" s="73"/>
    </row>
    <row r="74" spans="2:14" s="68" customFormat="1" x14ac:dyDescent="0.2">
      <c r="B74" s="69"/>
      <c r="C74" s="90"/>
      <c r="D74" s="883" t="s">
        <v>413</v>
      </c>
      <c r="E74" s="188"/>
      <c r="F74" s="188"/>
      <c r="G74" s="188"/>
      <c r="H74" s="123"/>
      <c r="I74" s="123"/>
      <c r="J74" s="123"/>
      <c r="K74" s="123"/>
      <c r="L74" s="222"/>
      <c r="M74" s="202"/>
      <c r="N74" s="73"/>
    </row>
    <row r="75" spans="2:14" s="68" customFormat="1" x14ac:dyDescent="0.2">
      <c r="B75" s="69"/>
      <c r="C75" s="90"/>
      <c r="D75" s="204"/>
      <c r="E75" s="188"/>
      <c r="F75" s="188"/>
      <c r="G75" s="188"/>
      <c r="H75" s="123"/>
      <c r="I75" s="123"/>
      <c r="J75" s="123"/>
      <c r="K75" s="123"/>
      <c r="L75" s="222"/>
      <c r="M75" s="202"/>
      <c r="N75" s="73"/>
    </row>
    <row r="76" spans="2:14" s="68" customFormat="1" x14ac:dyDescent="0.2">
      <c r="B76" s="69"/>
      <c r="C76" s="90"/>
      <c r="D76" s="1049"/>
      <c r="E76" s="188"/>
      <c r="F76" s="188"/>
      <c r="G76" s="188"/>
      <c r="H76" s="219">
        <v>0</v>
      </c>
      <c r="I76" s="219">
        <f t="shared" ref="I76:J80" si="0">H76</f>
        <v>0</v>
      </c>
      <c r="J76" s="219">
        <f t="shared" si="0"/>
        <v>0</v>
      </c>
      <c r="K76" s="219">
        <f t="shared" ref="K76:L80" si="1">J76</f>
        <v>0</v>
      </c>
      <c r="L76" s="219">
        <f t="shared" si="1"/>
        <v>0</v>
      </c>
      <c r="M76" s="202"/>
      <c r="N76" s="73"/>
    </row>
    <row r="77" spans="2:14" s="68" customFormat="1" x14ac:dyDescent="0.2">
      <c r="B77" s="69"/>
      <c r="C77" s="90"/>
      <c r="D77" s="1049"/>
      <c r="E77" s="188"/>
      <c r="F77" s="188"/>
      <c r="G77" s="188"/>
      <c r="H77" s="219">
        <v>0</v>
      </c>
      <c r="I77" s="219">
        <f t="shared" si="0"/>
        <v>0</v>
      </c>
      <c r="J77" s="219">
        <f t="shared" si="0"/>
        <v>0</v>
      </c>
      <c r="K77" s="219">
        <f t="shared" si="1"/>
        <v>0</v>
      </c>
      <c r="L77" s="219">
        <f t="shared" si="1"/>
        <v>0</v>
      </c>
      <c r="M77" s="202"/>
      <c r="N77" s="73"/>
    </row>
    <row r="78" spans="2:14" s="68" customFormat="1" x14ac:dyDescent="0.2">
      <c r="B78" s="69"/>
      <c r="C78" s="90"/>
      <c r="D78" s="1049"/>
      <c r="E78" s="188"/>
      <c r="F78" s="188"/>
      <c r="G78" s="188"/>
      <c r="H78" s="219">
        <v>0</v>
      </c>
      <c r="I78" s="219">
        <f t="shared" si="0"/>
        <v>0</v>
      </c>
      <c r="J78" s="219">
        <f t="shared" si="0"/>
        <v>0</v>
      </c>
      <c r="K78" s="219">
        <f t="shared" si="1"/>
        <v>0</v>
      </c>
      <c r="L78" s="219">
        <f t="shared" si="1"/>
        <v>0</v>
      </c>
      <c r="M78" s="202"/>
      <c r="N78" s="73"/>
    </row>
    <row r="79" spans="2:14" s="68" customFormat="1" x14ac:dyDescent="0.2">
      <c r="B79" s="69"/>
      <c r="C79" s="90"/>
      <c r="D79" s="1049"/>
      <c r="E79" s="188"/>
      <c r="F79" s="188"/>
      <c r="G79" s="188"/>
      <c r="H79" s="219">
        <v>0</v>
      </c>
      <c r="I79" s="219">
        <f t="shared" si="0"/>
        <v>0</v>
      </c>
      <c r="J79" s="219">
        <f t="shared" si="0"/>
        <v>0</v>
      </c>
      <c r="K79" s="219">
        <f t="shared" si="1"/>
        <v>0</v>
      </c>
      <c r="L79" s="219">
        <f t="shared" si="1"/>
        <v>0</v>
      </c>
      <c r="M79" s="202"/>
      <c r="N79" s="73"/>
    </row>
    <row r="80" spans="2:14" s="68" customFormat="1" x14ac:dyDescent="0.2">
      <c r="B80" s="69"/>
      <c r="C80" s="90"/>
      <c r="D80" s="1049"/>
      <c r="E80" s="188"/>
      <c r="F80" s="188"/>
      <c r="G80" s="188"/>
      <c r="H80" s="219">
        <v>0</v>
      </c>
      <c r="I80" s="219">
        <f t="shared" si="0"/>
        <v>0</v>
      </c>
      <c r="J80" s="219">
        <f t="shared" si="0"/>
        <v>0</v>
      </c>
      <c r="K80" s="219">
        <f t="shared" si="1"/>
        <v>0</v>
      </c>
      <c r="L80" s="219">
        <f t="shared" si="1"/>
        <v>0</v>
      </c>
      <c r="M80" s="202"/>
      <c r="N80" s="73"/>
    </row>
    <row r="81" spans="2:14" s="68" customFormat="1" x14ac:dyDescent="0.2">
      <c r="B81" s="69"/>
      <c r="C81" s="90"/>
      <c r="D81" s="1039"/>
      <c r="E81" s="188"/>
      <c r="F81" s="188"/>
      <c r="G81" s="188"/>
      <c r="H81" s="222"/>
      <c r="I81" s="222"/>
      <c r="J81" s="222"/>
      <c r="K81" s="222"/>
      <c r="L81" s="222"/>
      <c r="M81" s="202"/>
      <c r="N81" s="73"/>
    </row>
    <row r="82" spans="2:14" x14ac:dyDescent="0.2">
      <c r="B82" s="69"/>
      <c r="C82" s="90"/>
      <c r="D82" s="1042" t="s">
        <v>320</v>
      </c>
      <c r="E82" s="126"/>
      <c r="F82" s="126"/>
      <c r="G82" s="126"/>
      <c r="H82" s="987">
        <f>SUM(H76:H80)</f>
        <v>0</v>
      </c>
      <c r="I82" s="987">
        <f>SUM(I76:I80)</f>
        <v>0</v>
      </c>
      <c r="J82" s="987">
        <f>SUM(J76:J80)</f>
        <v>0</v>
      </c>
      <c r="K82" s="987">
        <f>SUM(K76:K80)</f>
        <v>0</v>
      </c>
      <c r="L82" s="987">
        <f>SUM(L76:L80)</f>
        <v>0</v>
      </c>
      <c r="M82" s="220"/>
      <c r="N82" s="73"/>
    </row>
    <row r="83" spans="2:14" x14ac:dyDescent="0.2">
      <c r="B83" s="69"/>
      <c r="C83" s="98"/>
      <c r="D83" s="1050"/>
      <c r="E83" s="144"/>
      <c r="F83" s="144"/>
      <c r="G83" s="144"/>
      <c r="H83" s="191"/>
      <c r="I83" s="191"/>
      <c r="J83" s="191"/>
      <c r="K83" s="191"/>
      <c r="L83" s="191"/>
      <c r="M83" s="233"/>
      <c r="N83" s="73"/>
    </row>
    <row r="84" spans="2:14" x14ac:dyDescent="0.2">
      <c r="B84" s="69"/>
      <c r="C84" s="70"/>
      <c r="D84" s="234"/>
      <c r="E84" s="234"/>
      <c r="F84" s="234"/>
      <c r="G84" s="234"/>
      <c r="H84" s="176"/>
      <c r="I84" s="176"/>
      <c r="J84" s="176"/>
      <c r="K84" s="176"/>
      <c r="L84" s="176"/>
      <c r="M84" s="235"/>
      <c r="N84" s="73"/>
    </row>
    <row r="85" spans="2:14" s="208" customFormat="1" ht="15" x14ac:dyDescent="0.25">
      <c r="B85" s="148"/>
      <c r="C85" s="149"/>
      <c r="D85" s="252"/>
      <c r="E85" s="252"/>
      <c r="F85" s="252"/>
      <c r="G85" s="252"/>
      <c r="H85" s="253"/>
      <c r="I85" s="253"/>
      <c r="J85" s="253"/>
      <c r="K85" s="253"/>
      <c r="L85" s="253"/>
      <c r="M85" s="152" t="s">
        <v>435</v>
      </c>
      <c r="N85" s="153"/>
    </row>
    <row r="86" spans="2:14" s="208" customFormat="1" x14ac:dyDescent="0.2">
      <c r="B86" s="254"/>
      <c r="C86" s="255"/>
      <c r="D86" s="256"/>
      <c r="E86" s="256"/>
      <c r="F86" s="256"/>
      <c r="G86" s="256"/>
      <c r="H86" s="257"/>
      <c r="I86" s="257"/>
      <c r="J86" s="257"/>
      <c r="K86" s="257"/>
      <c r="L86" s="257"/>
      <c r="M86" s="257"/>
      <c r="N86" s="258"/>
    </row>
    <row r="87" spans="2:14" s="208" customFormat="1" x14ac:dyDescent="0.2">
      <c r="B87" s="124"/>
      <c r="C87" s="145"/>
      <c r="D87" s="250"/>
      <c r="E87" s="250"/>
      <c r="F87" s="250"/>
      <c r="G87" s="250"/>
      <c r="H87" s="251"/>
      <c r="I87" s="251"/>
      <c r="J87" s="251"/>
      <c r="K87" s="251"/>
      <c r="L87" s="251"/>
      <c r="M87" s="251"/>
      <c r="N87" s="127"/>
    </row>
    <row r="88" spans="2:14" s="208" customFormat="1" x14ac:dyDescent="0.2">
      <c r="B88" s="124"/>
      <c r="C88" s="145"/>
      <c r="D88" s="71"/>
      <c r="E88" s="71"/>
      <c r="F88" s="71"/>
      <c r="G88" s="71"/>
      <c r="H88" s="880" t="str">
        <f>H8</f>
        <v>2015/16</v>
      </c>
      <c r="I88" s="880" t="str">
        <f>I8</f>
        <v>2016/17</v>
      </c>
      <c r="J88" s="880" t="str">
        <f>J8</f>
        <v>2017/18</v>
      </c>
      <c r="K88" s="880" t="str">
        <f>K8</f>
        <v>2018/19</v>
      </c>
      <c r="L88" s="880" t="str">
        <f>L8</f>
        <v>2019/20</v>
      </c>
      <c r="M88" s="251"/>
      <c r="N88" s="127"/>
    </row>
    <row r="89" spans="2:14" s="208" customFormat="1" x14ac:dyDescent="0.2">
      <c r="B89" s="124"/>
      <c r="C89" s="145"/>
      <c r="D89" s="71"/>
      <c r="E89" s="71"/>
      <c r="F89" s="71"/>
      <c r="G89" s="71"/>
      <c r="H89" s="880"/>
      <c r="I89" s="880"/>
      <c r="J89" s="880"/>
      <c r="K89" s="880"/>
      <c r="L89" s="880"/>
      <c r="M89" s="251"/>
      <c r="N89" s="127"/>
    </row>
    <row r="90" spans="2:14" s="208" customFormat="1" x14ac:dyDescent="0.2">
      <c r="B90" s="124"/>
      <c r="C90" s="86"/>
      <c r="D90" s="134"/>
      <c r="E90" s="134"/>
      <c r="F90" s="134"/>
      <c r="G90" s="134"/>
      <c r="H90" s="179"/>
      <c r="I90" s="179"/>
      <c r="J90" s="179"/>
      <c r="K90" s="179"/>
      <c r="L90" s="179"/>
      <c r="M90" s="236"/>
      <c r="N90" s="127"/>
    </row>
    <row r="91" spans="2:14" s="208" customFormat="1" x14ac:dyDescent="0.2">
      <c r="B91" s="124"/>
      <c r="C91" s="90"/>
      <c r="D91" s="883" t="s">
        <v>282</v>
      </c>
      <c r="E91" s="91"/>
      <c r="F91" s="91"/>
      <c r="G91" s="91"/>
      <c r="H91" s="95"/>
      <c r="I91" s="95"/>
      <c r="J91" s="95"/>
      <c r="K91" s="95"/>
      <c r="L91" s="95"/>
      <c r="M91" s="220"/>
      <c r="N91" s="127"/>
    </row>
    <row r="92" spans="2:14" s="208" customFormat="1" x14ac:dyDescent="0.2">
      <c r="B92" s="124"/>
      <c r="C92" s="90"/>
      <c r="D92" s="204"/>
      <c r="E92" s="91"/>
      <c r="F92" s="91"/>
      <c r="G92" s="91"/>
      <c r="H92" s="95"/>
      <c r="I92" s="95"/>
      <c r="J92" s="95"/>
      <c r="K92" s="95"/>
      <c r="L92" s="95"/>
      <c r="M92" s="220"/>
      <c r="N92" s="127"/>
    </row>
    <row r="93" spans="2:14" s="208" customFormat="1" x14ac:dyDescent="0.2">
      <c r="B93" s="124"/>
      <c r="C93" s="90"/>
      <c r="D93" s="92" t="s">
        <v>16</v>
      </c>
      <c r="E93" s="91"/>
      <c r="F93" s="91"/>
      <c r="G93" s="91"/>
      <c r="H93" s="219">
        <v>0</v>
      </c>
      <c r="I93" s="219">
        <f t="shared" ref="I93:L100" si="2">H93</f>
        <v>0</v>
      </c>
      <c r="J93" s="219">
        <f t="shared" si="2"/>
        <v>0</v>
      </c>
      <c r="K93" s="219">
        <f t="shared" si="2"/>
        <v>0</v>
      </c>
      <c r="L93" s="219">
        <f t="shared" si="2"/>
        <v>0</v>
      </c>
      <c r="M93" s="220"/>
      <c r="N93" s="127"/>
    </row>
    <row r="94" spans="2:14" s="208" customFormat="1" x14ac:dyDescent="0.2">
      <c r="B94" s="124"/>
      <c r="C94" s="90"/>
      <c r="D94" s="92" t="s">
        <v>353</v>
      </c>
      <c r="E94" s="91"/>
      <c r="F94" s="91"/>
      <c r="G94" s="91"/>
      <c r="H94" s="219">
        <v>0</v>
      </c>
      <c r="I94" s="219">
        <f t="shared" si="2"/>
        <v>0</v>
      </c>
      <c r="J94" s="219">
        <f t="shared" si="2"/>
        <v>0</v>
      </c>
      <c r="K94" s="219">
        <f t="shared" si="2"/>
        <v>0</v>
      </c>
      <c r="L94" s="219">
        <f t="shared" si="2"/>
        <v>0</v>
      </c>
      <c r="M94" s="220"/>
      <c r="N94" s="127"/>
    </row>
    <row r="95" spans="2:14" s="208" customFormat="1" x14ac:dyDescent="0.2">
      <c r="B95" s="124"/>
      <c r="C95" s="90"/>
      <c r="D95" s="92" t="s">
        <v>400</v>
      </c>
      <c r="E95" s="91"/>
      <c r="F95" s="91"/>
      <c r="G95" s="91"/>
      <c r="H95" s="219">
        <v>0</v>
      </c>
      <c r="I95" s="219">
        <f t="shared" si="2"/>
        <v>0</v>
      </c>
      <c r="J95" s="219">
        <f t="shared" si="2"/>
        <v>0</v>
      </c>
      <c r="K95" s="219">
        <f t="shared" si="2"/>
        <v>0</v>
      </c>
      <c r="L95" s="219">
        <f t="shared" si="2"/>
        <v>0</v>
      </c>
      <c r="M95" s="220"/>
      <c r="N95" s="127"/>
    </row>
    <row r="96" spans="2:14" s="208" customFormat="1" x14ac:dyDescent="0.2">
      <c r="B96" s="124"/>
      <c r="C96" s="90"/>
      <c r="D96" s="850"/>
      <c r="E96" s="91"/>
      <c r="F96" s="91"/>
      <c r="G96" s="91"/>
      <c r="H96" s="219">
        <v>0</v>
      </c>
      <c r="I96" s="219">
        <f t="shared" si="2"/>
        <v>0</v>
      </c>
      <c r="J96" s="219">
        <f t="shared" si="2"/>
        <v>0</v>
      </c>
      <c r="K96" s="219">
        <f t="shared" si="2"/>
        <v>0</v>
      </c>
      <c r="L96" s="219">
        <f t="shared" si="2"/>
        <v>0</v>
      </c>
      <c r="M96" s="220"/>
      <c r="N96" s="127"/>
    </row>
    <row r="97" spans="2:14" s="208" customFormat="1" x14ac:dyDescent="0.2">
      <c r="B97" s="124"/>
      <c r="C97" s="90"/>
      <c r="D97" s="850"/>
      <c r="E97" s="91"/>
      <c r="F97" s="91"/>
      <c r="G97" s="91"/>
      <c r="H97" s="219">
        <v>0</v>
      </c>
      <c r="I97" s="219">
        <f t="shared" si="2"/>
        <v>0</v>
      </c>
      <c r="J97" s="219">
        <f t="shared" si="2"/>
        <v>0</v>
      </c>
      <c r="K97" s="219">
        <f t="shared" si="2"/>
        <v>0</v>
      </c>
      <c r="L97" s="219">
        <f t="shared" si="2"/>
        <v>0</v>
      </c>
      <c r="M97" s="220"/>
      <c r="N97" s="127"/>
    </row>
    <row r="98" spans="2:14" s="208" customFormat="1" x14ac:dyDescent="0.2">
      <c r="B98" s="124"/>
      <c r="C98" s="90"/>
      <c r="D98" s="218"/>
      <c r="E98" s="91"/>
      <c r="F98" s="91"/>
      <c r="G98" s="91"/>
      <c r="H98" s="219">
        <v>0</v>
      </c>
      <c r="I98" s="219">
        <f t="shared" si="2"/>
        <v>0</v>
      </c>
      <c r="J98" s="219">
        <f t="shared" si="2"/>
        <v>0</v>
      </c>
      <c r="K98" s="219">
        <f t="shared" si="2"/>
        <v>0</v>
      </c>
      <c r="L98" s="219">
        <f t="shared" si="2"/>
        <v>0</v>
      </c>
      <c r="M98" s="220"/>
      <c r="N98" s="127"/>
    </row>
    <row r="99" spans="2:14" s="208" customFormat="1" x14ac:dyDescent="0.2">
      <c r="B99" s="124"/>
      <c r="C99" s="90"/>
      <c r="D99" s="218"/>
      <c r="E99" s="91"/>
      <c r="F99" s="91"/>
      <c r="G99" s="91"/>
      <c r="H99" s="219">
        <v>0</v>
      </c>
      <c r="I99" s="219">
        <f t="shared" si="2"/>
        <v>0</v>
      </c>
      <c r="J99" s="219">
        <f t="shared" si="2"/>
        <v>0</v>
      </c>
      <c r="K99" s="219">
        <f t="shared" si="2"/>
        <v>0</v>
      </c>
      <c r="L99" s="219">
        <f t="shared" si="2"/>
        <v>0</v>
      </c>
      <c r="M99" s="220"/>
      <c r="N99" s="127"/>
    </row>
    <row r="100" spans="2:14" s="208" customFormat="1" x14ac:dyDescent="0.2">
      <c r="B100" s="124"/>
      <c r="C100" s="90"/>
      <c r="D100" s="218"/>
      <c r="E100" s="91"/>
      <c r="F100" s="91"/>
      <c r="G100" s="91"/>
      <c r="H100" s="219">
        <v>0</v>
      </c>
      <c r="I100" s="219">
        <f t="shared" si="2"/>
        <v>0</v>
      </c>
      <c r="J100" s="219">
        <f t="shared" si="2"/>
        <v>0</v>
      </c>
      <c r="K100" s="219">
        <f t="shared" si="2"/>
        <v>0</v>
      </c>
      <c r="L100" s="219">
        <f t="shared" si="2"/>
        <v>0</v>
      </c>
      <c r="M100" s="220"/>
      <c r="N100" s="127"/>
    </row>
    <row r="101" spans="2:14" s="208" customFormat="1" x14ac:dyDescent="0.2">
      <c r="B101" s="124"/>
      <c r="C101" s="90"/>
      <c r="D101" s="92"/>
      <c r="E101" s="91"/>
      <c r="F101" s="91"/>
      <c r="G101" s="91"/>
      <c r="H101" s="222"/>
      <c r="I101" s="222"/>
      <c r="J101" s="222"/>
      <c r="K101" s="222"/>
      <c r="L101" s="222"/>
      <c r="M101" s="220"/>
      <c r="N101" s="127"/>
    </row>
    <row r="102" spans="2:14" s="208" customFormat="1" x14ac:dyDescent="0.2">
      <c r="B102" s="124"/>
      <c r="C102" s="90"/>
      <c r="D102" s="116" t="s">
        <v>320</v>
      </c>
      <c r="E102" s="126"/>
      <c r="F102" s="126"/>
      <c r="G102" s="126"/>
      <c r="H102" s="987">
        <f>SUM(H93:H100)</f>
        <v>0</v>
      </c>
      <c r="I102" s="987">
        <f>SUM(I93:I100)</f>
        <v>0</v>
      </c>
      <c r="J102" s="987">
        <f>SUM(J93:J100)</f>
        <v>0</v>
      </c>
      <c r="K102" s="987">
        <f>SUM(K93:K100)</f>
        <v>0</v>
      </c>
      <c r="L102" s="987">
        <f>SUM(L93:L100)</f>
        <v>0</v>
      </c>
      <c r="M102" s="202"/>
      <c r="N102" s="127"/>
    </row>
    <row r="103" spans="2:14" s="208" customFormat="1" x14ac:dyDescent="0.2">
      <c r="B103" s="124"/>
      <c r="C103" s="237"/>
      <c r="D103" s="99"/>
      <c r="E103" s="190"/>
      <c r="F103" s="190"/>
      <c r="G103" s="190"/>
      <c r="H103" s="238"/>
      <c r="I103" s="238"/>
      <c r="J103" s="238"/>
      <c r="K103" s="238"/>
      <c r="L103" s="239"/>
      <c r="M103" s="240"/>
      <c r="N103" s="127"/>
    </row>
    <row r="104" spans="2:14" s="208" customFormat="1" x14ac:dyDescent="0.2">
      <c r="B104" s="124"/>
      <c r="C104" s="145"/>
      <c r="D104" s="193"/>
      <c r="E104" s="193"/>
      <c r="F104" s="193"/>
      <c r="G104" s="193"/>
      <c r="H104" s="147"/>
      <c r="I104" s="147"/>
      <c r="J104" s="147"/>
      <c r="K104" s="147"/>
      <c r="L104" s="241"/>
      <c r="M104" s="242"/>
      <c r="N104" s="127"/>
    </row>
    <row r="105" spans="2:14" s="208" customFormat="1" x14ac:dyDescent="0.2">
      <c r="B105" s="124"/>
      <c r="C105" s="243"/>
      <c r="D105" s="160"/>
      <c r="E105" s="160"/>
      <c r="F105" s="160"/>
      <c r="G105" s="160"/>
      <c r="H105" s="244"/>
      <c r="I105" s="244"/>
      <c r="J105" s="244"/>
      <c r="K105" s="244"/>
      <c r="L105" s="245"/>
      <c r="M105" s="246"/>
      <c r="N105" s="127"/>
    </row>
    <row r="106" spans="2:14" s="208" customFormat="1" x14ac:dyDescent="0.2">
      <c r="B106" s="124"/>
      <c r="C106" s="125"/>
      <c r="D106" s="116" t="s">
        <v>407</v>
      </c>
      <c r="E106" s="116"/>
      <c r="F106" s="116"/>
      <c r="G106" s="116"/>
      <c r="H106" s="914">
        <f>H70+H82+H102</f>
        <v>870370.2300000001</v>
      </c>
      <c r="I106" s="914">
        <f>I70+I82+I102</f>
        <v>870370.2300000001</v>
      </c>
      <c r="J106" s="914">
        <f>J70+J82+J102</f>
        <v>879217.75</v>
      </c>
      <c r="K106" s="914">
        <f>K70+K82+K102</f>
        <v>888065.27</v>
      </c>
      <c r="L106" s="914">
        <f>L70+L82+L102</f>
        <v>896912.79</v>
      </c>
      <c r="M106" s="247"/>
      <c r="N106" s="127"/>
    </row>
    <row r="107" spans="2:14" s="208" customFormat="1" x14ac:dyDescent="0.2">
      <c r="B107" s="124"/>
      <c r="C107" s="237"/>
      <c r="D107" s="227"/>
      <c r="E107" s="227"/>
      <c r="F107" s="227"/>
      <c r="G107" s="227"/>
      <c r="H107" s="248"/>
      <c r="I107" s="248"/>
      <c r="J107" s="248"/>
      <c r="K107" s="248"/>
      <c r="L107" s="248"/>
      <c r="M107" s="249"/>
      <c r="N107" s="127"/>
    </row>
    <row r="108" spans="2:14" s="208" customFormat="1" x14ac:dyDescent="0.2">
      <c r="B108" s="124"/>
      <c r="C108" s="145"/>
      <c r="D108" s="71"/>
      <c r="E108" s="71"/>
      <c r="F108" s="71"/>
      <c r="G108" s="71"/>
      <c r="H108" s="880"/>
      <c r="I108" s="880"/>
      <c r="J108" s="880"/>
      <c r="K108" s="880"/>
      <c r="L108" s="880"/>
      <c r="M108" s="251"/>
      <c r="N108" s="127"/>
    </row>
    <row r="109" spans="2:14" s="208" customFormat="1" x14ac:dyDescent="0.2">
      <c r="B109" s="124"/>
      <c r="C109" s="145"/>
      <c r="D109" s="71"/>
      <c r="E109" s="71"/>
      <c r="F109" s="71"/>
      <c r="G109" s="71"/>
      <c r="H109" s="880"/>
      <c r="I109" s="880"/>
      <c r="J109" s="880"/>
      <c r="K109" s="880"/>
      <c r="L109" s="880"/>
      <c r="M109" s="251"/>
      <c r="N109" s="127"/>
    </row>
    <row r="110" spans="2:14" x14ac:dyDescent="0.2">
      <c r="B110" s="69"/>
      <c r="C110" s="86"/>
      <c r="D110" s="87"/>
      <c r="E110" s="87"/>
      <c r="F110" s="87"/>
      <c r="G110" s="87"/>
      <c r="H110" s="900"/>
      <c r="I110" s="900"/>
      <c r="J110" s="900"/>
      <c r="K110" s="900"/>
      <c r="L110" s="900"/>
      <c r="M110" s="161"/>
      <c r="N110" s="73"/>
    </row>
    <row r="111" spans="2:14" s="74" customFormat="1" x14ac:dyDescent="0.2">
      <c r="B111" s="102"/>
      <c r="C111" s="183"/>
      <c r="D111" s="883" t="s">
        <v>283</v>
      </c>
      <c r="E111" s="897"/>
      <c r="F111" s="897"/>
      <c r="G111" s="897"/>
      <c r="H111" s="899"/>
      <c r="I111" s="260"/>
      <c r="J111" s="260"/>
      <c r="K111" s="260"/>
      <c r="L111" s="260"/>
      <c r="M111" s="261"/>
      <c r="N111" s="78"/>
    </row>
    <row r="112" spans="2:14" s="74" customFormat="1" x14ac:dyDescent="0.2">
      <c r="B112" s="102"/>
      <c r="C112" s="183"/>
      <c r="D112" s="897"/>
      <c r="E112" s="897"/>
      <c r="F112" s="898" t="s">
        <v>64</v>
      </c>
      <c r="G112" s="897"/>
      <c r="H112" s="899"/>
      <c r="I112" s="260"/>
      <c r="J112" s="260"/>
      <c r="K112" s="260"/>
      <c r="L112" s="260"/>
      <c r="M112" s="261"/>
      <c r="N112" s="78"/>
    </row>
    <row r="113" spans="2:15" x14ac:dyDescent="0.2">
      <c r="B113" s="69"/>
      <c r="C113" s="90"/>
      <c r="D113" s="204" t="s">
        <v>563</v>
      </c>
      <c r="E113" s="92"/>
      <c r="F113" s="92"/>
      <c r="G113" s="92"/>
      <c r="H113" s="95"/>
      <c r="I113" s="95"/>
      <c r="J113" s="95"/>
      <c r="K113" s="95"/>
      <c r="L113" s="95"/>
      <c r="M113" s="162"/>
      <c r="N113" s="73"/>
    </row>
    <row r="114" spans="2:15" x14ac:dyDescent="0.2">
      <c r="B114" s="69"/>
      <c r="C114" s="90"/>
      <c r="D114" s="1051" t="s">
        <v>183</v>
      </c>
      <c r="E114" s="263"/>
      <c r="F114" s="264"/>
      <c r="G114" s="263"/>
      <c r="H114" s="878">
        <f>dir!T26</f>
        <v>58644.253887884275</v>
      </c>
      <c r="I114" s="878">
        <f>dir!T48</f>
        <v>60553.174828209769</v>
      </c>
      <c r="J114" s="878">
        <f>dir!T72</f>
        <v>62498.805786618446</v>
      </c>
      <c r="K114" s="878">
        <f>dir!T95</f>
        <v>64389.371717902359</v>
      </c>
      <c r="L114" s="878">
        <f>dir!T117</f>
        <v>66335.002676311036</v>
      </c>
      <c r="M114" s="202"/>
      <c r="N114" s="73"/>
    </row>
    <row r="115" spans="2:15" x14ac:dyDescent="0.2">
      <c r="B115" s="69"/>
      <c r="C115" s="90"/>
      <c r="D115" s="1051" t="s">
        <v>202</v>
      </c>
      <c r="E115" s="263"/>
      <c r="F115" s="264"/>
      <c r="G115" s="263"/>
      <c r="H115" s="878">
        <f>op!T71</f>
        <v>89307.36</v>
      </c>
      <c r="I115" s="878">
        <f>op!T139</f>
        <v>92262.24</v>
      </c>
      <c r="J115" s="878">
        <f>op!T207</f>
        <v>95236.56</v>
      </c>
      <c r="K115" s="878">
        <f>op!T274</f>
        <v>98210.880000000005</v>
      </c>
      <c r="L115" s="878">
        <f>op!T341</f>
        <v>101126.88</v>
      </c>
      <c r="M115" s="202"/>
      <c r="N115" s="73"/>
    </row>
    <row r="116" spans="2:15" x14ac:dyDescent="0.2">
      <c r="B116" s="69"/>
      <c r="C116" s="90"/>
      <c r="D116" s="1045" t="s">
        <v>524</v>
      </c>
      <c r="E116" s="263"/>
      <c r="F116" s="264"/>
      <c r="G116" s="263"/>
      <c r="H116" s="878">
        <f>obp!T36</f>
        <v>52215.840000000004</v>
      </c>
      <c r="I116" s="878">
        <f>obp!T68</f>
        <v>53285.04</v>
      </c>
      <c r="J116" s="878">
        <f>obp!T101</f>
        <v>54431.999999999993</v>
      </c>
      <c r="K116" s="878">
        <f>obp!T133</f>
        <v>55598.400000000001</v>
      </c>
      <c r="L116" s="878">
        <f>obp!T165</f>
        <v>56667.600000000013</v>
      </c>
      <c r="M116" s="202"/>
      <c r="N116" s="73"/>
    </row>
    <row r="117" spans="2:15" x14ac:dyDescent="0.2">
      <c r="B117" s="69"/>
      <c r="C117" s="90"/>
      <c r="D117" s="1052"/>
      <c r="E117" s="263"/>
      <c r="F117" s="263"/>
      <c r="G117" s="263"/>
      <c r="H117" s="913">
        <f>SUM(H114:H116)</f>
        <v>200167.45388788427</v>
      </c>
      <c r="I117" s="913">
        <f>SUM(I114:I116)</f>
        <v>206100.4548282098</v>
      </c>
      <c r="J117" s="913">
        <f>SUM(J114:J116)</f>
        <v>212167.36578661844</v>
      </c>
      <c r="K117" s="913">
        <f>SUM(K114:K116)</f>
        <v>218198.65171790236</v>
      </c>
      <c r="L117" s="913">
        <f>SUM(L114:L116)</f>
        <v>224129.48267631105</v>
      </c>
      <c r="M117" s="205"/>
      <c r="N117" s="73"/>
    </row>
    <row r="118" spans="2:15" x14ac:dyDescent="0.2">
      <c r="B118" s="69"/>
      <c r="C118" s="163"/>
      <c r="D118" s="508" t="s">
        <v>378</v>
      </c>
      <c r="E118" s="92"/>
      <c r="F118" s="266"/>
      <c r="G118" s="92"/>
      <c r="H118" s="113"/>
      <c r="I118" s="113"/>
      <c r="J118" s="113"/>
      <c r="K118" s="113"/>
      <c r="L118" s="113"/>
      <c r="M118" s="162"/>
      <c r="N118" s="73"/>
    </row>
    <row r="119" spans="2:15" x14ac:dyDescent="0.2">
      <c r="B119" s="69"/>
      <c r="C119" s="90"/>
      <c r="D119" s="1228" t="s">
        <v>582</v>
      </c>
      <c r="E119" s="92"/>
      <c r="F119" s="264"/>
      <c r="G119" s="92"/>
      <c r="H119" s="219">
        <v>0</v>
      </c>
      <c r="I119" s="219">
        <v>0</v>
      </c>
      <c r="J119" s="269">
        <v>0</v>
      </c>
      <c r="K119" s="269">
        <v>0</v>
      </c>
      <c r="L119" s="269">
        <v>0</v>
      </c>
      <c r="M119" s="267"/>
      <c r="N119" s="268"/>
      <c r="O119" s="62" t="s">
        <v>528</v>
      </c>
    </row>
    <row r="120" spans="2:15" x14ac:dyDescent="0.2">
      <c r="B120" s="69"/>
      <c r="C120" s="90"/>
      <c r="D120" s="97"/>
      <c r="E120" s="92"/>
      <c r="F120" s="264"/>
      <c r="G120" s="92"/>
      <c r="H120" s="219">
        <v>0</v>
      </c>
      <c r="I120" s="219">
        <f t="shared" ref="I120:I132" si="3">H120</f>
        <v>0</v>
      </c>
      <c r="J120" s="269">
        <f t="shared" ref="J120:J132" si="4">I120</f>
        <v>0</v>
      </c>
      <c r="K120" s="269">
        <f t="shared" ref="K120:L132" si="5">J120</f>
        <v>0</v>
      </c>
      <c r="L120" s="269">
        <f t="shared" si="5"/>
        <v>0</v>
      </c>
      <c r="M120" s="267"/>
      <c r="N120" s="268"/>
    </row>
    <row r="121" spans="2:15" x14ac:dyDescent="0.2">
      <c r="B121" s="69"/>
      <c r="C121" s="90"/>
      <c r="D121" s="97"/>
      <c r="E121" s="92"/>
      <c r="F121" s="264"/>
      <c r="G121" s="92"/>
      <c r="H121" s="219">
        <v>0</v>
      </c>
      <c r="I121" s="219">
        <f t="shared" si="3"/>
        <v>0</v>
      </c>
      <c r="J121" s="269">
        <f t="shared" si="4"/>
        <v>0</v>
      </c>
      <c r="K121" s="269">
        <f t="shared" si="5"/>
        <v>0</v>
      </c>
      <c r="L121" s="269">
        <f t="shared" si="5"/>
        <v>0</v>
      </c>
      <c r="M121" s="267"/>
      <c r="N121" s="268"/>
    </row>
    <row r="122" spans="2:15" x14ac:dyDescent="0.2">
      <c r="B122" s="69"/>
      <c r="C122" s="90"/>
      <c r="D122" s="97"/>
      <c r="E122" s="204"/>
      <c r="F122" s="264"/>
      <c r="G122" s="204"/>
      <c r="H122" s="219">
        <v>0</v>
      </c>
      <c r="I122" s="219">
        <f t="shared" si="3"/>
        <v>0</v>
      </c>
      <c r="J122" s="269">
        <f t="shared" si="4"/>
        <v>0</v>
      </c>
      <c r="K122" s="269">
        <f t="shared" si="5"/>
        <v>0</v>
      </c>
      <c r="L122" s="269">
        <f t="shared" si="5"/>
        <v>0</v>
      </c>
      <c r="M122" s="267"/>
      <c r="N122" s="268"/>
    </row>
    <row r="123" spans="2:15" x14ac:dyDescent="0.2">
      <c r="B123" s="69"/>
      <c r="C123" s="90"/>
      <c r="D123" s="97"/>
      <c r="E123" s="92"/>
      <c r="F123" s="264"/>
      <c r="G123" s="92"/>
      <c r="H123" s="270">
        <v>0</v>
      </c>
      <c r="I123" s="219">
        <f t="shared" si="3"/>
        <v>0</v>
      </c>
      <c r="J123" s="269">
        <f t="shared" si="4"/>
        <v>0</v>
      </c>
      <c r="K123" s="269">
        <f t="shared" si="5"/>
        <v>0</v>
      </c>
      <c r="L123" s="269">
        <f t="shared" si="5"/>
        <v>0</v>
      </c>
      <c r="M123" s="267"/>
      <c r="N123" s="268"/>
    </row>
    <row r="124" spans="2:15" x14ac:dyDescent="0.2">
      <c r="B124" s="69"/>
      <c r="C124" s="90"/>
      <c r="D124" s="97"/>
      <c r="E124" s="92"/>
      <c r="F124" s="264"/>
      <c r="G124" s="92"/>
      <c r="H124" s="270">
        <v>0</v>
      </c>
      <c r="I124" s="219">
        <f t="shared" si="3"/>
        <v>0</v>
      </c>
      <c r="J124" s="269">
        <f t="shared" si="4"/>
        <v>0</v>
      </c>
      <c r="K124" s="269">
        <f t="shared" si="5"/>
        <v>0</v>
      </c>
      <c r="L124" s="269">
        <f t="shared" si="5"/>
        <v>0</v>
      </c>
      <c r="M124" s="267"/>
      <c r="N124" s="268"/>
    </row>
    <row r="125" spans="2:15" x14ac:dyDescent="0.2">
      <c r="B125" s="69"/>
      <c r="C125" s="90"/>
      <c r="D125" s="97"/>
      <c r="E125" s="92"/>
      <c r="F125" s="264"/>
      <c r="G125" s="92"/>
      <c r="H125" s="270">
        <v>0</v>
      </c>
      <c r="I125" s="219">
        <f t="shared" si="3"/>
        <v>0</v>
      </c>
      <c r="J125" s="269">
        <f t="shared" si="4"/>
        <v>0</v>
      </c>
      <c r="K125" s="269">
        <f t="shared" si="5"/>
        <v>0</v>
      </c>
      <c r="L125" s="269">
        <f t="shared" si="5"/>
        <v>0</v>
      </c>
      <c r="M125" s="267"/>
      <c r="N125" s="268"/>
    </row>
    <row r="126" spans="2:15" x14ac:dyDescent="0.2">
      <c r="B126" s="69"/>
      <c r="C126" s="90"/>
      <c r="D126" s="97"/>
      <c r="E126" s="92"/>
      <c r="F126" s="264"/>
      <c r="G126" s="92"/>
      <c r="H126" s="270">
        <v>0</v>
      </c>
      <c r="I126" s="219">
        <f t="shared" si="3"/>
        <v>0</v>
      </c>
      <c r="J126" s="269">
        <f t="shared" si="4"/>
        <v>0</v>
      </c>
      <c r="K126" s="269">
        <f t="shared" si="5"/>
        <v>0</v>
      </c>
      <c r="L126" s="269">
        <f t="shared" si="5"/>
        <v>0</v>
      </c>
      <c r="M126" s="267"/>
      <c r="N126" s="268"/>
    </row>
    <row r="127" spans="2:15" x14ac:dyDescent="0.2">
      <c r="B127" s="69"/>
      <c r="C127" s="90"/>
      <c r="D127" s="97"/>
      <c r="E127" s="92"/>
      <c r="F127" s="264"/>
      <c r="G127" s="92"/>
      <c r="H127" s="270">
        <v>0</v>
      </c>
      <c r="I127" s="219">
        <f t="shared" si="3"/>
        <v>0</v>
      </c>
      <c r="J127" s="269">
        <f t="shared" si="4"/>
        <v>0</v>
      </c>
      <c r="K127" s="269">
        <f t="shared" si="5"/>
        <v>0</v>
      </c>
      <c r="L127" s="269">
        <f t="shared" si="5"/>
        <v>0</v>
      </c>
      <c r="M127" s="267"/>
      <c r="N127" s="268"/>
    </row>
    <row r="128" spans="2:15" x14ac:dyDescent="0.2">
      <c r="B128" s="69"/>
      <c r="C128" s="90"/>
      <c r="D128" s="97"/>
      <c r="E128" s="92"/>
      <c r="F128" s="264"/>
      <c r="G128" s="92"/>
      <c r="H128" s="270">
        <v>0</v>
      </c>
      <c r="I128" s="219">
        <f t="shared" si="3"/>
        <v>0</v>
      </c>
      <c r="J128" s="269">
        <f t="shared" si="4"/>
        <v>0</v>
      </c>
      <c r="K128" s="269">
        <f t="shared" si="5"/>
        <v>0</v>
      </c>
      <c r="L128" s="269">
        <f t="shared" si="5"/>
        <v>0</v>
      </c>
      <c r="M128" s="267"/>
      <c r="N128" s="268"/>
    </row>
    <row r="129" spans="2:14" x14ac:dyDescent="0.2">
      <c r="B129" s="69"/>
      <c r="C129" s="90"/>
      <c r="D129" s="97"/>
      <c r="E129" s="92"/>
      <c r="F129" s="264"/>
      <c r="G129" s="92"/>
      <c r="H129" s="270">
        <v>0</v>
      </c>
      <c r="I129" s="219">
        <f t="shared" si="3"/>
        <v>0</v>
      </c>
      <c r="J129" s="269">
        <f t="shared" si="4"/>
        <v>0</v>
      </c>
      <c r="K129" s="269">
        <f t="shared" si="5"/>
        <v>0</v>
      </c>
      <c r="L129" s="269">
        <f t="shared" si="5"/>
        <v>0</v>
      </c>
      <c r="M129" s="267"/>
      <c r="N129" s="268"/>
    </row>
    <row r="130" spans="2:14" x14ac:dyDescent="0.2">
      <c r="B130" s="69"/>
      <c r="C130" s="90"/>
      <c r="D130" s="97"/>
      <c r="E130" s="92"/>
      <c r="F130" s="264"/>
      <c r="G130" s="92"/>
      <c r="H130" s="270">
        <v>0</v>
      </c>
      <c r="I130" s="219">
        <f t="shared" si="3"/>
        <v>0</v>
      </c>
      <c r="J130" s="269">
        <f t="shared" si="4"/>
        <v>0</v>
      </c>
      <c r="K130" s="269">
        <f t="shared" si="5"/>
        <v>0</v>
      </c>
      <c r="L130" s="269">
        <f t="shared" si="5"/>
        <v>0</v>
      </c>
      <c r="M130" s="267"/>
      <c r="N130" s="268"/>
    </row>
    <row r="131" spans="2:14" x14ac:dyDescent="0.2">
      <c r="B131" s="69"/>
      <c r="C131" s="90"/>
      <c r="D131" s="97"/>
      <c r="E131" s="92"/>
      <c r="F131" s="264"/>
      <c r="G131" s="92"/>
      <c r="H131" s="270">
        <v>0</v>
      </c>
      <c r="I131" s="219">
        <f t="shared" si="3"/>
        <v>0</v>
      </c>
      <c r="J131" s="269">
        <f t="shared" si="4"/>
        <v>0</v>
      </c>
      <c r="K131" s="269">
        <f t="shared" si="5"/>
        <v>0</v>
      </c>
      <c r="L131" s="269">
        <f t="shared" si="5"/>
        <v>0</v>
      </c>
      <c r="M131" s="267"/>
      <c r="N131" s="268"/>
    </row>
    <row r="132" spans="2:14" x14ac:dyDescent="0.2">
      <c r="B132" s="69"/>
      <c r="C132" s="90"/>
      <c r="D132" s="97"/>
      <c r="E132" s="92"/>
      <c r="F132" s="264"/>
      <c r="G132" s="92"/>
      <c r="H132" s="270">
        <v>0</v>
      </c>
      <c r="I132" s="219">
        <f t="shared" si="3"/>
        <v>0</v>
      </c>
      <c r="J132" s="269">
        <f t="shared" si="4"/>
        <v>0</v>
      </c>
      <c r="K132" s="269">
        <f t="shared" si="5"/>
        <v>0</v>
      </c>
      <c r="L132" s="269">
        <f t="shared" si="5"/>
        <v>0</v>
      </c>
      <c r="M132" s="267"/>
      <c r="N132" s="268"/>
    </row>
    <row r="133" spans="2:14" x14ac:dyDescent="0.2">
      <c r="B133" s="69"/>
      <c r="C133" s="98"/>
      <c r="D133" s="271"/>
      <c r="E133" s="227"/>
      <c r="F133" s="264"/>
      <c r="G133" s="227"/>
      <c r="H133" s="272">
        <f>SUM(H119:H132)</f>
        <v>0</v>
      </c>
      <c r="I133" s="272">
        <f>SUM(I119:I132)</f>
        <v>0</v>
      </c>
      <c r="J133" s="272">
        <f>SUM(J119:J132)</f>
        <v>0</v>
      </c>
      <c r="K133" s="272">
        <f>SUM(K119:K132)</f>
        <v>0</v>
      </c>
      <c r="L133" s="272">
        <f>SUM(L119:L132)</f>
        <v>0</v>
      </c>
      <c r="M133" s="130"/>
      <c r="N133" s="268"/>
    </row>
    <row r="134" spans="2:14" x14ac:dyDescent="0.2">
      <c r="B134" s="124"/>
      <c r="C134" s="86"/>
      <c r="D134" s="87"/>
      <c r="E134" s="87"/>
      <c r="F134" s="87"/>
      <c r="G134" s="87"/>
      <c r="H134" s="179"/>
      <c r="I134" s="179"/>
      <c r="J134" s="179"/>
      <c r="K134" s="179"/>
      <c r="L134" s="179"/>
      <c r="M134" s="161"/>
      <c r="N134" s="127"/>
    </row>
    <row r="135" spans="2:14" x14ac:dyDescent="0.2">
      <c r="B135" s="69"/>
      <c r="C135" s="163"/>
      <c r="D135" s="126" t="s">
        <v>408</v>
      </c>
      <c r="E135" s="126"/>
      <c r="F135" s="126"/>
      <c r="G135" s="126"/>
      <c r="H135" s="912">
        <f>H117+H133</f>
        <v>200167.45388788427</v>
      </c>
      <c r="I135" s="912">
        <f>I117+I133</f>
        <v>206100.4548282098</v>
      </c>
      <c r="J135" s="912">
        <f>J117+J133</f>
        <v>212167.36578661844</v>
      </c>
      <c r="K135" s="912">
        <f>K117+K133</f>
        <v>218198.65171790236</v>
      </c>
      <c r="L135" s="912">
        <f>L117+L133</f>
        <v>224129.48267631105</v>
      </c>
      <c r="M135" s="215"/>
      <c r="N135" s="73"/>
    </row>
    <row r="136" spans="2:14" x14ac:dyDescent="0.2">
      <c r="B136" s="158"/>
      <c r="C136" s="98"/>
      <c r="D136" s="99"/>
      <c r="E136" s="99"/>
      <c r="F136" s="99"/>
      <c r="G136" s="99"/>
      <c r="H136" s="191"/>
      <c r="I136" s="191"/>
      <c r="J136" s="191"/>
      <c r="K136" s="191"/>
      <c r="L136" s="191"/>
      <c r="M136" s="130"/>
      <c r="N136" s="166"/>
    </row>
    <row r="137" spans="2:14" x14ac:dyDescent="0.2">
      <c r="B137" s="69"/>
      <c r="C137" s="70"/>
      <c r="D137" s="70"/>
      <c r="E137" s="70"/>
      <c r="F137" s="70"/>
      <c r="G137" s="70"/>
      <c r="H137" s="176"/>
      <c r="I137" s="176"/>
      <c r="J137" s="176"/>
      <c r="K137" s="176"/>
      <c r="L137" s="176"/>
      <c r="M137" s="70"/>
      <c r="N137" s="73"/>
    </row>
    <row r="138" spans="2:14" x14ac:dyDescent="0.2">
      <c r="B138" s="69"/>
      <c r="C138" s="70"/>
      <c r="D138" s="70"/>
      <c r="E138" s="70"/>
      <c r="F138" s="70"/>
      <c r="G138" s="70"/>
      <c r="H138" s="176"/>
      <c r="I138" s="176"/>
      <c r="J138" s="176"/>
      <c r="K138" s="176"/>
      <c r="L138" s="176"/>
      <c r="M138" s="70"/>
      <c r="N138" s="73"/>
    </row>
    <row r="139" spans="2:14" x14ac:dyDescent="0.2">
      <c r="B139" s="69"/>
      <c r="C139" s="86"/>
      <c r="D139" s="87"/>
      <c r="E139" s="87"/>
      <c r="F139" s="87"/>
      <c r="G139" s="87"/>
      <c r="H139" s="179"/>
      <c r="I139" s="179"/>
      <c r="J139" s="179"/>
      <c r="K139" s="179"/>
      <c r="L139" s="179"/>
      <c r="M139" s="161"/>
      <c r="N139" s="73"/>
    </row>
    <row r="140" spans="2:14" x14ac:dyDescent="0.2">
      <c r="B140" s="69"/>
      <c r="C140" s="90"/>
      <c r="D140" s="883" t="s">
        <v>409</v>
      </c>
      <c r="E140" s="92"/>
      <c r="F140" s="92"/>
      <c r="G140" s="92"/>
      <c r="H140" s="912">
        <f>H106-H135</f>
        <v>670202.77611211583</v>
      </c>
      <c r="I140" s="912">
        <f>I106-I135</f>
        <v>664269.77517179027</v>
      </c>
      <c r="J140" s="912">
        <f>J106-J135</f>
        <v>667050.38421338156</v>
      </c>
      <c r="K140" s="912">
        <f>K106-K135</f>
        <v>669866.61828209762</v>
      </c>
      <c r="L140" s="912">
        <f>L106-L135</f>
        <v>672783.30732368899</v>
      </c>
      <c r="M140" s="162"/>
      <c r="N140" s="73"/>
    </row>
    <row r="141" spans="2:14" x14ac:dyDescent="0.2">
      <c r="B141" s="69"/>
      <c r="C141" s="90"/>
      <c r="D141" s="92"/>
      <c r="E141" s="92"/>
      <c r="F141" s="92"/>
      <c r="G141" s="92"/>
      <c r="H141" s="95"/>
      <c r="I141" s="95"/>
      <c r="J141" s="95"/>
      <c r="K141" s="95"/>
      <c r="L141" s="95"/>
      <c r="M141" s="162"/>
      <c r="N141" s="73"/>
    </row>
    <row r="142" spans="2:14" x14ac:dyDescent="0.2">
      <c r="B142" s="69"/>
      <c r="C142" s="70"/>
      <c r="D142" s="70"/>
      <c r="E142" s="70"/>
      <c r="F142" s="70"/>
      <c r="G142" s="70"/>
      <c r="H142" s="176"/>
      <c r="I142" s="176"/>
      <c r="J142" s="176"/>
      <c r="K142" s="176"/>
      <c r="L142" s="176"/>
      <c r="M142" s="70"/>
      <c r="N142" s="73"/>
    </row>
    <row r="143" spans="2:14" s="208" customFormat="1" ht="15" x14ac:dyDescent="0.25">
      <c r="B143" s="148"/>
      <c r="C143" s="149"/>
      <c r="D143" s="252"/>
      <c r="E143" s="252"/>
      <c r="F143" s="252"/>
      <c r="G143" s="252"/>
      <c r="H143" s="253"/>
      <c r="I143" s="253"/>
      <c r="J143" s="253"/>
      <c r="K143" s="253"/>
      <c r="L143" s="253"/>
      <c r="M143" s="152" t="s">
        <v>435</v>
      </c>
      <c r="N143" s="153"/>
    </row>
    <row r="148" spans="3:13" x14ac:dyDescent="0.2">
      <c r="C148" s="68"/>
      <c r="D148" s="950"/>
      <c r="E148" s="950"/>
      <c r="F148" s="950"/>
      <c r="G148" s="950"/>
      <c r="H148" s="951"/>
      <c r="I148" s="951"/>
      <c r="J148" s="951"/>
      <c r="K148" s="951"/>
      <c r="L148" s="952"/>
      <c r="M148" s="273"/>
    </row>
    <row r="149" spans="3:13" x14ac:dyDescent="0.2">
      <c r="C149" s="182"/>
      <c r="D149" s="901" t="s">
        <v>234</v>
      </c>
      <c r="E149" s="901"/>
      <c r="F149" s="901"/>
      <c r="G149" s="901"/>
      <c r="H149" s="902"/>
      <c r="I149" s="903">
        <f>J9</f>
        <v>2016</v>
      </c>
      <c r="J149" s="903">
        <f>I149+1</f>
        <v>2017</v>
      </c>
      <c r="K149" s="903">
        <f>J149+1</f>
        <v>2018</v>
      </c>
      <c r="L149" s="903">
        <f>K149+1</f>
        <v>2019</v>
      </c>
      <c r="M149" s="274"/>
    </row>
    <row r="150" spans="3:13" x14ac:dyDescent="0.2">
      <c r="C150" s="68"/>
      <c r="D150" s="904"/>
      <c r="E150" s="904"/>
      <c r="F150" s="904"/>
      <c r="G150" s="904"/>
      <c r="H150" s="902"/>
      <c r="I150" s="905"/>
      <c r="J150" s="905"/>
      <c r="K150" s="905"/>
      <c r="L150" s="905"/>
      <c r="M150" s="68"/>
    </row>
    <row r="151" spans="3:13" x14ac:dyDescent="0.2">
      <c r="C151" s="68"/>
      <c r="D151" s="906" t="s">
        <v>105</v>
      </c>
      <c r="E151" s="904"/>
      <c r="F151" s="904"/>
      <c r="G151" s="904"/>
      <c r="H151" s="907"/>
      <c r="I151" s="907">
        <f>7/12*H70+5/12*I70</f>
        <v>870370.23000000021</v>
      </c>
      <c r="J151" s="907">
        <f>7/12*I70+5/12*J70</f>
        <v>874056.69666666677</v>
      </c>
      <c r="K151" s="907">
        <f>7/12*J70+5/12*K70</f>
        <v>882904.21666666679</v>
      </c>
      <c r="L151" s="907">
        <f>7/12*K70+5/12*L70</f>
        <v>891751.73666666681</v>
      </c>
      <c r="M151" s="68"/>
    </row>
    <row r="152" spans="3:13" x14ac:dyDescent="0.2">
      <c r="C152" s="68"/>
      <c r="D152" s="906" t="s">
        <v>529</v>
      </c>
      <c r="E152" s="910"/>
      <c r="F152" s="910"/>
      <c r="G152" s="910"/>
      <c r="H152" s="911"/>
      <c r="I152" s="908">
        <f>7/12*H50+5/12*I50</f>
        <v>0</v>
      </c>
      <c r="J152" s="908">
        <f>7/12*I50+5/12*J50</f>
        <v>0</v>
      </c>
      <c r="K152" s="908">
        <f>7/12*J50+5/12*K50</f>
        <v>0</v>
      </c>
      <c r="L152" s="908">
        <f>7/12*K50+5/12*L50</f>
        <v>0</v>
      </c>
      <c r="M152" s="68"/>
    </row>
    <row r="153" spans="3:13" x14ac:dyDescent="0.2">
      <c r="C153" s="68"/>
      <c r="D153" s="906" t="s">
        <v>413</v>
      </c>
      <c r="E153" s="904"/>
      <c r="F153" s="904"/>
      <c r="G153" s="904"/>
      <c r="H153" s="905"/>
      <c r="I153" s="907">
        <f>(7/12*H82)+(5/12*I82)</f>
        <v>0</v>
      </c>
      <c r="J153" s="907">
        <f>(7/12*I82)+(5/12*J82)</f>
        <v>0</v>
      </c>
      <c r="K153" s="907">
        <f>(7/12*J82)+(5/12*K82)</f>
        <v>0</v>
      </c>
      <c r="L153" s="907">
        <f>(7/12*K82)+(5/12*L82)</f>
        <v>0</v>
      </c>
      <c r="M153" s="68"/>
    </row>
    <row r="154" spans="3:13" x14ac:dyDescent="0.2">
      <c r="C154" s="68"/>
      <c r="D154" s="906" t="s">
        <v>420</v>
      </c>
      <c r="E154" s="904"/>
      <c r="F154" s="904"/>
      <c r="G154" s="904"/>
      <c r="H154" s="905"/>
      <c r="I154" s="907">
        <f t="shared" ref="I154:L156" si="6">(7/12*H93)+(5/12*I93)</f>
        <v>0</v>
      </c>
      <c r="J154" s="907">
        <f t="shared" si="6"/>
        <v>0</v>
      </c>
      <c r="K154" s="907">
        <f t="shared" si="6"/>
        <v>0</v>
      </c>
      <c r="L154" s="907">
        <f t="shared" si="6"/>
        <v>0</v>
      </c>
      <c r="M154" s="68"/>
    </row>
    <row r="155" spans="3:13" x14ac:dyDescent="0.2">
      <c r="C155" s="68"/>
      <c r="D155" s="906" t="s">
        <v>351</v>
      </c>
      <c r="E155" s="904"/>
      <c r="F155" s="904"/>
      <c r="G155" s="904"/>
      <c r="H155" s="905"/>
      <c r="I155" s="907">
        <f t="shared" si="6"/>
        <v>0</v>
      </c>
      <c r="J155" s="907">
        <f t="shared" si="6"/>
        <v>0</v>
      </c>
      <c r="K155" s="907">
        <f t="shared" si="6"/>
        <v>0</v>
      </c>
      <c r="L155" s="907">
        <f t="shared" si="6"/>
        <v>0</v>
      </c>
      <c r="M155" s="68"/>
    </row>
    <row r="156" spans="3:13" x14ac:dyDescent="0.2">
      <c r="C156" s="68"/>
      <c r="D156" s="906" t="s">
        <v>352</v>
      </c>
      <c r="E156" s="904"/>
      <c r="F156" s="904"/>
      <c r="G156" s="904"/>
      <c r="H156" s="905"/>
      <c r="I156" s="907">
        <f t="shared" si="6"/>
        <v>0</v>
      </c>
      <c r="J156" s="907">
        <f t="shared" si="6"/>
        <v>0</v>
      </c>
      <c r="K156" s="907">
        <f t="shared" si="6"/>
        <v>0</v>
      </c>
      <c r="L156" s="907">
        <f t="shared" si="6"/>
        <v>0</v>
      </c>
      <c r="M156" s="68"/>
    </row>
    <row r="157" spans="3:13" x14ac:dyDescent="0.2">
      <c r="C157" s="68"/>
      <c r="D157" s="906" t="s">
        <v>282</v>
      </c>
      <c r="E157" s="904"/>
      <c r="F157" s="904"/>
      <c r="G157" s="904"/>
      <c r="H157" s="905"/>
      <c r="I157" s="907">
        <f>(7/12*H102)+(5/12*I102)-I154</f>
        <v>0</v>
      </c>
      <c r="J157" s="907">
        <f>(7/12*I102)+(5/12*J102)-J154</f>
        <v>0</v>
      </c>
      <c r="K157" s="907">
        <f>(7/12*J102)+(5/12*K102)-K154</f>
        <v>0</v>
      </c>
      <c r="L157" s="907">
        <f>(7/12*K102)+(5/12*L102)-L154</f>
        <v>0</v>
      </c>
      <c r="M157" s="68"/>
    </row>
    <row r="158" spans="3:13" x14ac:dyDescent="0.2">
      <c r="C158" s="68"/>
      <c r="D158" s="906" t="s">
        <v>421</v>
      </c>
      <c r="E158" s="904"/>
      <c r="F158" s="904"/>
      <c r="G158" s="904"/>
      <c r="H158" s="905"/>
      <c r="I158" s="907">
        <f>(7/12*H67)+(5/12*I67)</f>
        <v>0</v>
      </c>
      <c r="J158" s="907">
        <f>(7/12*I67)+(5/12*J67)</f>
        <v>0</v>
      </c>
      <c r="K158" s="907">
        <f>(7/12*J67)+(5/12*K67)</f>
        <v>0</v>
      </c>
      <c r="L158" s="907">
        <f>(7/12*K67)+(5/12*L67)</f>
        <v>0</v>
      </c>
      <c r="M158" s="68"/>
    </row>
    <row r="159" spans="3:13" x14ac:dyDescent="0.2">
      <c r="C159" s="68"/>
      <c r="D159" s="906" t="s">
        <v>226</v>
      </c>
      <c r="E159" s="906"/>
      <c r="F159" s="906"/>
      <c r="G159" s="906"/>
      <c r="H159" s="905"/>
      <c r="I159" s="908">
        <f>(7/12*(H114)+(5/12*(I114)))</f>
        <v>59439.637613019899</v>
      </c>
      <c r="J159" s="908">
        <f>(7/12*(I114)+(5/12*(J114)))</f>
        <v>61363.854394213391</v>
      </c>
      <c r="K159" s="908">
        <f>(7/12*(J114)+(5/12*(K114)))</f>
        <v>63286.541591320085</v>
      </c>
      <c r="L159" s="908">
        <f>(7/12*(K114)+(5/12*(L114)))</f>
        <v>65200.051283905981</v>
      </c>
      <c r="M159" s="275"/>
    </row>
    <row r="160" spans="3:13" x14ac:dyDescent="0.2">
      <c r="C160" s="68"/>
      <c r="D160" s="906" t="s">
        <v>225</v>
      </c>
      <c r="E160" s="906"/>
      <c r="F160" s="906"/>
      <c r="G160" s="906"/>
      <c r="H160" s="905"/>
      <c r="I160" s="908">
        <f t="shared" ref="I160:L161" si="7">(7/12*H115)+(5/12*I115)</f>
        <v>90538.560000000012</v>
      </c>
      <c r="J160" s="908">
        <f>(7/12*I115)+(5/12*J115)</f>
        <v>93501.540000000008</v>
      </c>
      <c r="K160" s="908">
        <f t="shared" si="7"/>
        <v>96475.860000000015</v>
      </c>
      <c r="L160" s="908">
        <f t="shared" si="7"/>
        <v>99425.88</v>
      </c>
      <c r="M160" s="275"/>
    </row>
    <row r="161" spans="3:13" x14ac:dyDescent="0.2">
      <c r="C161" s="68"/>
      <c r="D161" s="906" t="s">
        <v>224</v>
      </c>
      <c r="E161" s="906"/>
      <c r="F161" s="906"/>
      <c r="G161" s="906"/>
      <c r="H161" s="905"/>
      <c r="I161" s="908">
        <f t="shared" si="7"/>
        <v>52661.340000000011</v>
      </c>
      <c r="J161" s="908">
        <f>(7/12*I116)+(5/12*J116)</f>
        <v>53762.94</v>
      </c>
      <c r="K161" s="908">
        <f t="shared" si="7"/>
        <v>54918</v>
      </c>
      <c r="L161" s="908">
        <f t="shared" si="7"/>
        <v>56043.900000000009</v>
      </c>
      <c r="M161" s="275"/>
    </row>
    <row r="162" spans="3:13" x14ac:dyDescent="0.2">
      <c r="C162" s="68"/>
      <c r="D162" s="906" t="s">
        <v>235</v>
      </c>
      <c r="E162" s="906"/>
      <c r="F162" s="906"/>
      <c r="G162" s="906"/>
      <c r="H162" s="905"/>
      <c r="I162" s="908">
        <f>(7/12*H117)+(5/12*I117)</f>
        <v>202639.53761301993</v>
      </c>
      <c r="J162" s="908">
        <f>(7/12*I117)+(5/12*J117)</f>
        <v>208628.33439421339</v>
      </c>
      <c r="K162" s="908">
        <f>(7/12*J117)+(5/12*K117)</f>
        <v>214680.40159132009</v>
      </c>
      <c r="L162" s="908">
        <f>(7/12*K117)+(5/12*L117)</f>
        <v>220669.83128390601</v>
      </c>
      <c r="M162" s="275"/>
    </row>
    <row r="163" spans="3:13" x14ac:dyDescent="0.2">
      <c r="C163" s="276"/>
      <c r="D163" s="906" t="s">
        <v>378</v>
      </c>
      <c r="E163" s="909"/>
      <c r="F163" s="909"/>
      <c r="G163" s="909"/>
      <c r="H163" s="905"/>
      <c r="I163" s="908">
        <f>(7/12*pers!H133)+(5/12*pers!I133)</f>
        <v>0</v>
      </c>
      <c r="J163" s="907">
        <f>(7/12*pers!I133)+(5/12*pers!J133)</f>
        <v>0</v>
      </c>
      <c r="K163" s="907">
        <f>(7/12*pers!J133)+(5/12*pers!K133)</f>
        <v>0</v>
      </c>
      <c r="L163" s="907">
        <f>(7/12*pers!K133)+(5/12*pers!L133)</f>
        <v>0</v>
      </c>
      <c r="M163" s="276"/>
    </row>
    <row r="164" spans="3:13" x14ac:dyDescent="0.2">
      <c r="D164" s="906" t="s">
        <v>119</v>
      </c>
      <c r="E164" s="910"/>
      <c r="F164" s="910"/>
      <c r="G164" s="910"/>
      <c r="H164" s="911"/>
      <c r="I164" s="908">
        <f>7/12*(dir!AH26+op!AH71+obp!AH36)+5/12*(dir!AH48+op!AH139+obp!AH68)</f>
        <v>3139.2900000000004</v>
      </c>
      <c r="J164" s="908">
        <f>7/12*(dir!AH48+op!AH139+obp!AH68)+5/12*(dir!AH72+op!AH207+obp!AH101)</f>
        <v>0</v>
      </c>
      <c r="K164" s="908">
        <f>7/12*(dir!AH72+op!AH207+obp!AH101)+5/12*(dir!AH95+op!AH274+obp!AH133)</f>
        <v>0</v>
      </c>
      <c r="L164" s="908">
        <f>7/12*(dir!AH95+op!AH274+obp!AH133)+5/12*(dir!AH117+op!AH341+obp!AH165)</f>
        <v>0</v>
      </c>
    </row>
    <row r="165" spans="3:13" x14ac:dyDescent="0.2">
      <c r="D165" s="906" t="s">
        <v>120</v>
      </c>
      <c r="E165" s="910"/>
      <c r="F165" s="910"/>
      <c r="G165" s="910"/>
      <c r="H165" s="911"/>
      <c r="I165" s="908">
        <f>7/12*H119+5/12*I119</f>
        <v>0</v>
      </c>
      <c r="J165" s="908">
        <f>(7/12*pers!I119)+(5/12*pers!J119)</f>
        <v>0</v>
      </c>
      <c r="K165" s="908">
        <f>(7/12*pers!J119)+(5/12*pers!K119)</f>
        <v>0</v>
      </c>
      <c r="L165" s="908">
        <f>(7/12*pers!K119)+(5/12*pers!L119)</f>
        <v>0</v>
      </c>
    </row>
    <row r="166" spans="3:13" x14ac:dyDescent="0.2">
      <c r="D166" s="910" t="s">
        <v>426</v>
      </c>
      <c r="E166" s="910"/>
      <c r="F166" s="910"/>
      <c r="G166" s="910"/>
      <c r="H166" s="911"/>
      <c r="I166" s="908">
        <f>(7/12*pers!H106)+(5/12*pers!I106)</f>
        <v>870370.23000000021</v>
      </c>
      <c r="J166" s="908">
        <f>(7/12*pers!I106)+(5/12*pers!J106)</f>
        <v>874056.69666666677</v>
      </c>
      <c r="K166" s="908">
        <f>(7/12*pers!J106)+(5/12*pers!K106)</f>
        <v>882904.21666666679</v>
      </c>
      <c r="L166" s="908">
        <f>(7/12*pers!K106)+(5/12*pers!L106)</f>
        <v>891751.73666666681</v>
      </c>
    </row>
    <row r="167" spans="3:13" x14ac:dyDescent="0.2">
      <c r="D167" s="910" t="s">
        <v>427</v>
      </c>
      <c r="E167" s="910"/>
      <c r="F167" s="910"/>
      <c r="G167" s="910"/>
      <c r="H167" s="911"/>
      <c r="I167" s="908">
        <f>(7/12*pers!H135)+(5/12*pers!I135)</f>
        <v>202639.53761301993</v>
      </c>
      <c r="J167" s="908">
        <f>(7/12*pers!I135)+(5/12*pers!J135)</f>
        <v>208628.33439421339</v>
      </c>
      <c r="K167" s="908">
        <f>(7/12*pers!J135)+(5/12*pers!K135)</f>
        <v>214680.40159132009</v>
      </c>
      <c r="L167" s="908">
        <f>(7/12*pers!K135)+(5/12*pers!L135)</f>
        <v>220669.83128390601</v>
      </c>
    </row>
    <row r="168" spans="3:13" x14ac:dyDescent="0.2">
      <c r="D168" s="910"/>
      <c r="E168" s="910"/>
      <c r="F168" s="910"/>
      <c r="G168" s="910"/>
      <c r="H168" s="911"/>
      <c r="I168" s="911"/>
      <c r="J168" s="911"/>
      <c r="K168" s="911"/>
      <c r="L168" s="911"/>
    </row>
    <row r="1175" spans="4:31" x14ac:dyDescent="0.2">
      <c r="D1175" s="278"/>
      <c r="E1175" s="278"/>
      <c r="F1175" s="278"/>
      <c r="G1175" s="278"/>
      <c r="H1175" s="279"/>
      <c r="I1175" s="279"/>
      <c r="J1175" s="279"/>
      <c r="K1175" s="279"/>
      <c r="L1175" s="279"/>
      <c r="M1175" s="278"/>
      <c r="N1175" s="278"/>
      <c r="O1175" s="278"/>
      <c r="P1175" s="278"/>
      <c r="Q1175" s="278"/>
      <c r="R1175" s="278"/>
      <c r="S1175" s="278"/>
      <c r="T1175" s="278"/>
      <c r="U1175" s="278"/>
      <c r="V1175" s="278"/>
      <c r="W1175" s="278"/>
      <c r="X1175" s="278"/>
      <c r="Y1175" s="278"/>
      <c r="Z1175" s="278"/>
      <c r="AA1175" s="278"/>
      <c r="AB1175" s="278"/>
      <c r="AC1175" s="278"/>
      <c r="AD1175" s="278"/>
      <c r="AE1175" s="278"/>
    </row>
    <row r="1176" spans="4:31" x14ac:dyDescent="0.2">
      <c r="D1176" s="278"/>
      <c r="E1176" s="278"/>
      <c r="F1176" s="278"/>
      <c r="G1176" s="278"/>
      <c r="H1176" s="279"/>
      <c r="I1176" s="279"/>
      <c r="J1176" s="279"/>
      <c r="K1176" s="279"/>
      <c r="L1176" s="279"/>
      <c r="M1176" s="278"/>
      <c r="N1176" s="278"/>
      <c r="O1176" s="278"/>
      <c r="P1176" s="278"/>
      <c r="Q1176" s="278"/>
      <c r="R1176" s="278"/>
      <c r="S1176" s="278"/>
      <c r="T1176" s="278"/>
      <c r="U1176" s="278"/>
      <c r="V1176" s="278"/>
      <c r="W1176" s="278"/>
      <c r="X1176" s="278"/>
      <c r="Y1176" s="278"/>
      <c r="Z1176" s="278"/>
      <c r="AA1176" s="278"/>
      <c r="AB1176" s="278"/>
      <c r="AC1176" s="278"/>
      <c r="AD1176" s="278"/>
      <c r="AE1176" s="278"/>
    </row>
    <row r="1177" spans="4:31" x14ac:dyDescent="0.2">
      <c r="D1177" s="278"/>
      <c r="E1177" s="278"/>
      <c r="F1177" s="278"/>
      <c r="G1177" s="278"/>
      <c r="H1177" s="279"/>
      <c r="I1177" s="279"/>
      <c r="J1177" s="279"/>
      <c r="K1177" s="279"/>
      <c r="L1177" s="279"/>
      <c r="M1177" s="278"/>
      <c r="N1177" s="278"/>
      <c r="O1177" s="278"/>
      <c r="P1177" s="278"/>
      <c r="Q1177" s="278"/>
      <c r="R1177" s="278"/>
      <c r="S1177" s="278"/>
      <c r="T1177" s="278"/>
      <c r="U1177" s="278"/>
      <c r="V1177" s="278"/>
      <c r="W1177" s="278"/>
      <c r="X1177" s="278"/>
      <c r="Y1177" s="278"/>
      <c r="Z1177" s="278"/>
      <c r="AA1177" s="278"/>
      <c r="AB1177" s="278"/>
      <c r="AC1177" s="278"/>
      <c r="AD1177" s="278"/>
      <c r="AE1177" s="278"/>
    </row>
    <row r="1178" spans="4:31" x14ac:dyDescent="0.2">
      <c r="D1178" s="278"/>
      <c r="E1178" s="278"/>
      <c r="F1178" s="278"/>
      <c r="G1178" s="278"/>
      <c r="H1178" s="279"/>
      <c r="I1178" s="279"/>
      <c r="J1178" s="279"/>
      <c r="K1178" s="279"/>
      <c r="L1178" s="279"/>
      <c r="M1178" s="278"/>
      <c r="N1178" s="278"/>
      <c r="O1178" s="278"/>
      <c r="P1178" s="278"/>
      <c r="Q1178" s="278"/>
      <c r="R1178" s="278"/>
      <c r="S1178" s="278"/>
      <c r="T1178" s="278"/>
      <c r="U1178" s="278"/>
      <c r="V1178" s="278"/>
      <c r="W1178" s="278"/>
      <c r="X1178" s="278"/>
      <c r="Y1178" s="278"/>
      <c r="Z1178" s="278"/>
      <c r="AA1178" s="278"/>
      <c r="AB1178" s="278"/>
      <c r="AC1178" s="278"/>
      <c r="AD1178" s="278"/>
      <c r="AE1178" s="278"/>
    </row>
    <row r="1179" spans="4:31" x14ac:dyDescent="0.2">
      <c r="D1179" s="278"/>
      <c r="E1179" s="278"/>
      <c r="F1179" s="278"/>
      <c r="G1179" s="278"/>
      <c r="H1179" s="279"/>
      <c r="I1179" s="279"/>
      <c r="J1179" s="279"/>
      <c r="K1179" s="279"/>
      <c r="L1179" s="279"/>
      <c r="M1179" s="278"/>
      <c r="N1179" s="278"/>
      <c r="O1179" s="278"/>
      <c r="P1179" s="278"/>
      <c r="Q1179" s="278"/>
      <c r="R1179" s="278"/>
      <c r="S1179" s="278"/>
      <c r="T1179" s="278"/>
      <c r="U1179" s="278"/>
      <c r="V1179" s="278"/>
      <c r="W1179" s="278"/>
      <c r="X1179" s="278"/>
      <c r="Y1179" s="278"/>
      <c r="Z1179" s="278"/>
      <c r="AA1179" s="278"/>
      <c r="AB1179" s="278"/>
      <c r="AC1179" s="278"/>
      <c r="AD1179" s="278"/>
      <c r="AE1179" s="278"/>
    </row>
    <row r="1180" spans="4:31" x14ac:dyDescent="0.2">
      <c r="D1180" s="278"/>
      <c r="E1180" s="278"/>
      <c r="F1180" s="278"/>
      <c r="G1180" s="278"/>
      <c r="H1180" s="279"/>
      <c r="I1180" s="279"/>
      <c r="J1180" s="279"/>
      <c r="K1180" s="279"/>
      <c r="L1180" s="279"/>
      <c r="M1180" s="278"/>
      <c r="N1180" s="278"/>
      <c r="O1180" s="278"/>
      <c r="P1180" s="278"/>
      <c r="Q1180" s="278"/>
      <c r="R1180" s="278"/>
      <c r="S1180" s="278"/>
      <c r="T1180" s="278"/>
      <c r="U1180" s="278"/>
      <c r="V1180" s="278"/>
      <c r="W1180" s="278"/>
      <c r="X1180" s="278"/>
      <c r="Y1180" s="278"/>
      <c r="Z1180" s="278"/>
      <c r="AA1180" s="278"/>
      <c r="AB1180" s="278"/>
      <c r="AC1180" s="278"/>
      <c r="AD1180" s="278"/>
      <c r="AE1180" s="278"/>
    </row>
    <row r="1181" spans="4:31" x14ac:dyDescent="0.2">
      <c r="D1181" s="278"/>
      <c r="E1181" s="278"/>
      <c r="F1181" s="278"/>
      <c r="G1181" s="278"/>
      <c r="H1181" s="279"/>
      <c r="I1181" s="279"/>
      <c r="J1181" s="279"/>
      <c r="K1181" s="279"/>
      <c r="L1181" s="279"/>
      <c r="M1181" s="278"/>
      <c r="N1181" s="278"/>
      <c r="O1181" s="278"/>
      <c r="P1181" s="278"/>
      <c r="Q1181" s="278"/>
      <c r="R1181" s="278"/>
      <c r="S1181" s="278"/>
      <c r="T1181" s="278"/>
      <c r="U1181" s="278"/>
      <c r="V1181" s="278"/>
      <c r="W1181" s="278"/>
      <c r="X1181" s="278"/>
      <c r="Y1181" s="278"/>
      <c r="Z1181" s="278"/>
      <c r="AA1181" s="278"/>
      <c r="AB1181" s="278"/>
      <c r="AC1181" s="278"/>
      <c r="AD1181" s="278"/>
      <c r="AE1181" s="278"/>
    </row>
    <row r="1182" spans="4:31" x14ac:dyDescent="0.2">
      <c r="D1182" s="278"/>
      <c r="E1182" s="278"/>
      <c r="F1182" s="278"/>
      <c r="G1182" s="278"/>
      <c r="H1182" s="279"/>
      <c r="I1182" s="279"/>
      <c r="J1182" s="279"/>
      <c r="K1182" s="279"/>
      <c r="L1182" s="279"/>
      <c r="M1182" s="278"/>
      <c r="N1182" s="278"/>
      <c r="O1182" s="278"/>
      <c r="P1182" s="278"/>
      <c r="Q1182" s="278"/>
      <c r="R1182" s="278"/>
      <c r="S1182" s="278"/>
      <c r="T1182" s="278"/>
      <c r="U1182" s="278"/>
      <c r="V1182" s="278"/>
      <c r="W1182" s="278"/>
      <c r="X1182" s="278"/>
      <c r="Y1182" s="278"/>
      <c r="Z1182" s="278"/>
      <c r="AA1182" s="278"/>
      <c r="AB1182" s="278"/>
      <c r="AC1182" s="278"/>
      <c r="AD1182" s="278"/>
      <c r="AE1182" s="278"/>
    </row>
    <row r="1183" spans="4:31" x14ac:dyDescent="0.2">
      <c r="D1183" s="278"/>
      <c r="E1183" s="278"/>
      <c r="F1183" s="278"/>
      <c r="G1183" s="278"/>
      <c r="H1183" s="279"/>
      <c r="I1183" s="279"/>
      <c r="J1183" s="279"/>
      <c r="K1183" s="279"/>
      <c r="L1183" s="279"/>
      <c r="M1183" s="278"/>
      <c r="N1183" s="278"/>
      <c r="O1183" s="278"/>
      <c r="P1183" s="278"/>
      <c r="Q1183" s="278"/>
      <c r="R1183" s="278"/>
      <c r="S1183" s="278"/>
      <c r="T1183" s="278"/>
      <c r="U1183" s="278"/>
      <c r="V1183" s="278"/>
      <c r="W1183" s="278"/>
      <c r="X1183" s="278"/>
      <c r="Y1183" s="278"/>
      <c r="Z1183" s="278"/>
      <c r="AA1183" s="278"/>
      <c r="AB1183" s="278"/>
      <c r="AC1183" s="278"/>
      <c r="AD1183" s="278"/>
      <c r="AE1183" s="278"/>
    </row>
    <row r="1184" spans="4:31" x14ac:dyDescent="0.2">
      <c r="D1184" s="278"/>
      <c r="E1184" s="278"/>
      <c r="F1184" s="278"/>
      <c r="G1184" s="278"/>
      <c r="H1184" s="279"/>
      <c r="I1184" s="279"/>
      <c r="J1184" s="279"/>
      <c r="K1184" s="279"/>
      <c r="L1184" s="279"/>
      <c r="M1184" s="278"/>
      <c r="N1184" s="278"/>
      <c r="O1184" s="278"/>
      <c r="P1184" s="278"/>
      <c r="Q1184" s="278"/>
      <c r="R1184" s="278"/>
      <c r="S1184" s="278"/>
      <c r="T1184" s="278"/>
      <c r="U1184" s="278"/>
      <c r="V1184" s="278"/>
      <c r="W1184" s="278"/>
      <c r="X1184" s="278"/>
      <c r="Y1184" s="278"/>
      <c r="Z1184" s="278"/>
      <c r="AA1184" s="278"/>
      <c r="AB1184" s="278"/>
      <c r="AC1184" s="278"/>
      <c r="AD1184" s="278"/>
      <c r="AE1184" s="278"/>
    </row>
    <row r="1185" spans="4:31" x14ac:dyDescent="0.2">
      <c r="D1185" s="278"/>
      <c r="E1185" s="278"/>
      <c r="F1185" s="278"/>
      <c r="G1185" s="278"/>
      <c r="H1185" s="279"/>
      <c r="I1185" s="279"/>
      <c r="J1185" s="279"/>
      <c r="K1185" s="279"/>
      <c r="L1185" s="279"/>
      <c r="M1185" s="278"/>
      <c r="N1185" s="278"/>
      <c r="O1185" s="278"/>
      <c r="P1185" s="278"/>
      <c r="Q1185" s="278"/>
      <c r="R1185" s="278"/>
      <c r="S1185" s="278"/>
      <c r="T1185" s="278"/>
      <c r="U1185" s="278"/>
      <c r="V1185" s="278"/>
      <c r="W1185" s="278"/>
      <c r="X1185" s="278"/>
      <c r="Y1185" s="278"/>
      <c r="Z1185" s="278"/>
      <c r="AA1185" s="278"/>
      <c r="AB1185" s="278"/>
      <c r="AC1185" s="278"/>
      <c r="AD1185" s="278"/>
      <c r="AE1185" s="278"/>
    </row>
    <row r="1186" spans="4:31" x14ac:dyDescent="0.2">
      <c r="D1186" s="278"/>
      <c r="E1186" s="278"/>
      <c r="F1186" s="278"/>
      <c r="G1186" s="278"/>
      <c r="H1186" s="279"/>
      <c r="I1186" s="279"/>
      <c r="J1186" s="279"/>
      <c r="K1186" s="279"/>
      <c r="L1186" s="279"/>
      <c r="M1186" s="278"/>
      <c r="N1186" s="278"/>
      <c r="O1186" s="278"/>
      <c r="P1186" s="278"/>
      <c r="Q1186" s="278"/>
      <c r="R1186" s="278"/>
      <c r="S1186" s="278"/>
      <c r="T1186" s="278"/>
      <c r="U1186" s="278"/>
      <c r="V1186" s="278"/>
      <c r="W1186" s="278"/>
      <c r="X1186" s="278"/>
      <c r="Y1186" s="278"/>
      <c r="Z1186" s="278"/>
      <c r="AA1186" s="278"/>
      <c r="AB1186" s="278"/>
      <c r="AC1186" s="278"/>
      <c r="AD1186" s="278"/>
      <c r="AE1186" s="278"/>
    </row>
    <row r="1187" spans="4:31" x14ac:dyDescent="0.2">
      <c r="D1187" s="278"/>
      <c r="E1187" s="278"/>
      <c r="F1187" s="278"/>
      <c r="G1187" s="278"/>
      <c r="H1187" s="279"/>
      <c r="I1187" s="279"/>
      <c r="J1187" s="279"/>
      <c r="K1187" s="279"/>
      <c r="L1187" s="279"/>
      <c r="M1187" s="278"/>
      <c r="N1187" s="278"/>
      <c r="O1187" s="278"/>
      <c r="P1187" s="278"/>
      <c r="Q1187" s="278"/>
      <c r="R1187" s="278"/>
      <c r="S1187" s="278"/>
      <c r="T1187" s="278"/>
      <c r="U1187" s="278"/>
      <c r="V1187" s="278"/>
      <c r="W1187" s="278"/>
      <c r="X1187" s="278"/>
      <c r="Y1187" s="278"/>
      <c r="Z1187" s="278"/>
      <c r="AA1187" s="278"/>
      <c r="AB1187" s="278"/>
      <c r="AC1187" s="278"/>
      <c r="AD1187" s="278"/>
      <c r="AE1187" s="278"/>
    </row>
    <row r="1188" spans="4:31" x14ac:dyDescent="0.2">
      <c r="D1188" s="278"/>
      <c r="E1188" s="278"/>
      <c r="F1188" s="278"/>
      <c r="G1188" s="278"/>
      <c r="H1188" s="279"/>
      <c r="I1188" s="279"/>
      <c r="J1188" s="279"/>
      <c r="K1188" s="279"/>
      <c r="L1188" s="279"/>
      <c r="M1188" s="278"/>
      <c r="N1188" s="278"/>
      <c r="O1188" s="278"/>
      <c r="P1188" s="278"/>
      <c r="Q1188" s="278"/>
      <c r="R1188" s="278"/>
      <c r="S1188" s="278"/>
      <c r="T1188" s="278"/>
      <c r="U1188" s="278"/>
      <c r="V1188" s="278"/>
      <c r="W1188" s="278"/>
      <c r="X1188" s="278"/>
      <c r="Y1188" s="278"/>
      <c r="Z1188" s="278"/>
      <c r="AA1188" s="278"/>
      <c r="AB1188" s="278"/>
      <c r="AC1188" s="278"/>
      <c r="AD1188" s="278"/>
      <c r="AE1188" s="278"/>
    </row>
    <row r="1189" spans="4:31" x14ac:dyDescent="0.2">
      <c r="D1189" s="278"/>
      <c r="E1189" s="278"/>
      <c r="F1189" s="278"/>
      <c r="G1189" s="278"/>
      <c r="H1189" s="279"/>
      <c r="I1189" s="279"/>
      <c r="J1189" s="279"/>
      <c r="K1189" s="279"/>
      <c r="L1189" s="279"/>
      <c r="M1189" s="278"/>
      <c r="N1189" s="278"/>
      <c r="O1189" s="278"/>
      <c r="P1189" s="278"/>
      <c r="Q1189" s="278"/>
      <c r="R1189" s="278"/>
      <c r="S1189" s="278"/>
      <c r="T1189" s="278"/>
      <c r="U1189" s="278"/>
      <c r="V1189" s="278"/>
      <c r="W1189" s="278"/>
      <c r="X1189" s="278"/>
      <c r="Y1189" s="278"/>
      <c r="Z1189" s="278"/>
      <c r="AA1189" s="278"/>
      <c r="AB1189" s="278"/>
      <c r="AC1189" s="278"/>
      <c r="AD1189" s="278"/>
      <c r="AE1189" s="278"/>
    </row>
    <row r="1190" spans="4:31" x14ac:dyDescent="0.2">
      <c r="D1190" s="278"/>
      <c r="E1190" s="278"/>
      <c r="F1190" s="278"/>
      <c r="G1190" s="278"/>
      <c r="H1190" s="279"/>
      <c r="I1190" s="279"/>
      <c r="J1190" s="279"/>
      <c r="K1190" s="279"/>
      <c r="L1190" s="279"/>
      <c r="M1190" s="278"/>
      <c r="N1190" s="278"/>
      <c r="O1190" s="278"/>
      <c r="P1190" s="278"/>
      <c r="Q1190" s="278"/>
      <c r="R1190" s="278"/>
      <c r="S1190" s="278"/>
      <c r="T1190" s="278"/>
      <c r="U1190" s="278"/>
      <c r="V1190" s="278"/>
      <c r="W1190" s="278"/>
      <c r="X1190" s="278"/>
      <c r="Y1190" s="278"/>
      <c r="Z1190" s="278"/>
      <c r="AA1190" s="278"/>
      <c r="AB1190" s="278"/>
      <c r="AC1190" s="278"/>
      <c r="AD1190" s="278"/>
      <c r="AE1190" s="278"/>
    </row>
    <row r="1191" spans="4:31" x14ac:dyDescent="0.2">
      <c r="D1191" s="278"/>
      <c r="E1191" s="278"/>
      <c r="F1191" s="278"/>
      <c r="G1191" s="278"/>
      <c r="H1191" s="279"/>
      <c r="I1191" s="279"/>
      <c r="J1191" s="279"/>
      <c r="K1191" s="279"/>
      <c r="L1191" s="279"/>
      <c r="M1191" s="278"/>
      <c r="N1191" s="278"/>
      <c r="O1191" s="278"/>
      <c r="P1191" s="278"/>
      <c r="Q1191" s="278"/>
      <c r="R1191" s="278"/>
      <c r="S1191" s="278"/>
      <c r="T1191" s="278"/>
      <c r="U1191" s="278"/>
      <c r="V1191" s="278"/>
      <c r="W1191" s="278"/>
      <c r="X1191" s="278"/>
      <c r="Y1191" s="278"/>
      <c r="Z1191" s="278"/>
      <c r="AA1191" s="278"/>
      <c r="AB1191" s="278"/>
      <c r="AC1191" s="278"/>
      <c r="AD1191" s="278"/>
      <c r="AE1191" s="278"/>
    </row>
    <row r="1192" spans="4:31" x14ac:dyDescent="0.2">
      <c r="D1192" s="278"/>
      <c r="E1192" s="278"/>
      <c r="F1192" s="278"/>
      <c r="G1192" s="278"/>
      <c r="H1192" s="279"/>
      <c r="I1192" s="279"/>
      <c r="J1192" s="279"/>
      <c r="K1192" s="279"/>
      <c r="L1192" s="279"/>
      <c r="M1192" s="278"/>
      <c r="N1192" s="278"/>
      <c r="O1192" s="278"/>
      <c r="P1192" s="278"/>
      <c r="Q1192" s="278"/>
      <c r="R1192" s="278"/>
      <c r="S1192" s="278"/>
      <c r="T1192" s="278"/>
      <c r="U1192" s="278"/>
      <c r="V1192" s="278"/>
      <c r="W1192" s="278"/>
      <c r="X1192" s="278"/>
      <c r="Y1192" s="278"/>
      <c r="Z1192" s="278"/>
      <c r="AA1192" s="278"/>
      <c r="AB1192" s="278"/>
      <c r="AC1192" s="278"/>
      <c r="AD1192" s="278"/>
      <c r="AE1192" s="278"/>
    </row>
    <row r="1193" spans="4:31" x14ac:dyDescent="0.2">
      <c r="D1193" s="278"/>
      <c r="E1193" s="278"/>
      <c r="F1193" s="278"/>
      <c r="G1193" s="278"/>
      <c r="H1193" s="279"/>
      <c r="I1193" s="279"/>
      <c r="J1193" s="279"/>
      <c r="K1193" s="279"/>
      <c r="L1193" s="279"/>
      <c r="M1193" s="278"/>
      <c r="N1193" s="278"/>
      <c r="O1193" s="278"/>
      <c r="P1193" s="278"/>
      <c r="Q1193" s="278"/>
      <c r="R1193" s="278"/>
      <c r="S1193" s="278"/>
      <c r="T1193" s="278"/>
      <c r="U1193" s="278"/>
      <c r="V1193" s="278"/>
      <c r="W1193" s="278"/>
      <c r="X1193" s="278"/>
      <c r="Y1193" s="278"/>
      <c r="Z1193" s="278"/>
      <c r="AA1193" s="278"/>
      <c r="AB1193" s="278"/>
      <c r="AC1193" s="278"/>
      <c r="AD1193" s="278"/>
      <c r="AE1193" s="278"/>
    </row>
    <row r="1194" spans="4:31" x14ac:dyDescent="0.2">
      <c r="D1194" s="278"/>
      <c r="E1194" s="278"/>
      <c r="F1194" s="278"/>
      <c r="G1194" s="278"/>
      <c r="H1194" s="279"/>
      <c r="I1194" s="279"/>
      <c r="J1194" s="279"/>
      <c r="K1194" s="279"/>
      <c r="L1194" s="279"/>
      <c r="M1194" s="278"/>
      <c r="N1194" s="278"/>
      <c r="O1194" s="278"/>
      <c r="P1194" s="278"/>
      <c r="Q1194" s="278"/>
      <c r="R1194" s="278"/>
      <c r="S1194" s="278"/>
      <c r="T1194" s="278"/>
      <c r="U1194" s="278"/>
      <c r="V1194" s="278"/>
      <c r="W1194" s="278"/>
      <c r="X1194" s="278"/>
      <c r="Y1194" s="278"/>
      <c r="Z1194" s="278"/>
      <c r="AA1194" s="278"/>
      <c r="AB1194" s="278"/>
      <c r="AC1194" s="278"/>
      <c r="AD1194" s="278"/>
      <c r="AE1194" s="278"/>
    </row>
    <row r="1195" spans="4:31" x14ac:dyDescent="0.2">
      <c r="D1195" s="278"/>
      <c r="E1195" s="278"/>
      <c r="F1195" s="278"/>
      <c r="G1195" s="278"/>
      <c r="H1195" s="279"/>
      <c r="I1195" s="279"/>
      <c r="J1195" s="279"/>
      <c r="K1195" s="279"/>
      <c r="L1195" s="279"/>
      <c r="M1195" s="278"/>
      <c r="N1195" s="278"/>
      <c r="O1195" s="278"/>
      <c r="P1195" s="278"/>
      <c r="Q1195" s="278"/>
      <c r="R1195" s="278"/>
      <c r="S1195" s="278"/>
      <c r="T1195" s="278"/>
      <c r="U1195" s="278"/>
      <c r="V1195" s="278"/>
      <c r="W1195" s="278"/>
      <c r="X1195" s="278"/>
      <c r="Y1195" s="278"/>
      <c r="Z1195" s="278"/>
      <c r="AA1195" s="278"/>
      <c r="AB1195" s="278"/>
      <c r="AC1195" s="278"/>
      <c r="AD1195" s="278"/>
      <c r="AE1195" s="278"/>
    </row>
    <row r="1196" spans="4:31" x14ac:dyDescent="0.2">
      <c r="D1196" s="278"/>
      <c r="E1196" s="278"/>
      <c r="F1196" s="278"/>
      <c r="G1196" s="278"/>
      <c r="H1196" s="279"/>
      <c r="I1196" s="279"/>
      <c r="J1196" s="279"/>
      <c r="K1196" s="279"/>
      <c r="L1196" s="279"/>
      <c r="M1196" s="278"/>
      <c r="N1196" s="278"/>
      <c r="O1196" s="278"/>
      <c r="P1196" s="278"/>
      <c r="Q1196" s="278"/>
      <c r="R1196" s="278"/>
      <c r="S1196" s="278"/>
      <c r="T1196" s="278"/>
      <c r="U1196" s="278"/>
      <c r="V1196" s="278"/>
      <c r="W1196" s="278"/>
      <c r="X1196" s="278"/>
      <c r="Y1196" s="278"/>
      <c r="Z1196" s="278"/>
      <c r="AA1196" s="278"/>
      <c r="AB1196" s="278"/>
      <c r="AC1196" s="278"/>
      <c r="AD1196" s="278"/>
      <c r="AE1196" s="278"/>
    </row>
    <row r="1197" spans="4:31" x14ac:dyDescent="0.2">
      <c r="D1197" s="278"/>
      <c r="E1197" s="278"/>
      <c r="F1197" s="278"/>
      <c r="G1197" s="278"/>
      <c r="H1197" s="279"/>
      <c r="I1197" s="279"/>
      <c r="J1197" s="279"/>
      <c r="K1197" s="279"/>
      <c r="L1197" s="279"/>
      <c r="M1197" s="278"/>
      <c r="N1197" s="278"/>
      <c r="O1197" s="278"/>
      <c r="P1197" s="278"/>
      <c r="Q1197" s="278"/>
      <c r="R1197" s="278"/>
      <c r="S1197" s="278"/>
      <c r="T1197" s="278"/>
      <c r="U1197" s="278"/>
      <c r="V1197" s="278"/>
      <c r="W1197" s="278"/>
      <c r="X1197" s="278"/>
      <c r="Y1197" s="278"/>
      <c r="Z1197" s="278"/>
      <c r="AA1197" s="278"/>
      <c r="AB1197" s="278"/>
      <c r="AC1197" s="278"/>
      <c r="AD1197" s="278"/>
      <c r="AE1197" s="278"/>
    </row>
    <row r="1198" spans="4:31" x14ac:dyDescent="0.2">
      <c r="D1198" s="278"/>
      <c r="E1198" s="278"/>
      <c r="F1198" s="278"/>
      <c r="G1198" s="278"/>
      <c r="H1198" s="279"/>
      <c r="I1198" s="279"/>
      <c r="J1198" s="279"/>
      <c r="K1198" s="279"/>
      <c r="L1198" s="279"/>
      <c r="M1198" s="278"/>
      <c r="N1198" s="278"/>
      <c r="O1198" s="278"/>
      <c r="P1198" s="278"/>
      <c r="Q1198" s="278"/>
      <c r="R1198" s="278"/>
      <c r="S1198" s="278"/>
      <c r="T1198" s="278"/>
      <c r="U1198" s="278"/>
      <c r="V1198" s="278"/>
      <c r="W1198" s="278"/>
      <c r="X1198" s="278"/>
      <c r="Y1198" s="278"/>
      <c r="Z1198" s="278"/>
      <c r="AA1198" s="278"/>
      <c r="AB1198" s="278"/>
      <c r="AC1198" s="278"/>
      <c r="AD1198" s="278"/>
      <c r="AE1198" s="278"/>
    </row>
    <row r="1199" spans="4:31" x14ac:dyDescent="0.2">
      <c r="D1199" s="278"/>
      <c r="E1199" s="278"/>
      <c r="F1199" s="278"/>
      <c r="G1199" s="278"/>
      <c r="H1199" s="279"/>
      <c r="I1199" s="279"/>
      <c r="J1199" s="279"/>
      <c r="K1199" s="279"/>
      <c r="L1199" s="279"/>
      <c r="M1199" s="278"/>
      <c r="N1199" s="278"/>
      <c r="O1199" s="278"/>
      <c r="P1199" s="278"/>
      <c r="Q1199" s="278"/>
      <c r="R1199" s="278"/>
      <c r="S1199" s="278"/>
      <c r="T1199" s="278"/>
      <c r="U1199" s="278"/>
      <c r="V1199" s="278"/>
      <c r="W1199" s="278"/>
      <c r="X1199" s="278"/>
      <c r="Y1199" s="278"/>
      <c r="Z1199" s="278"/>
      <c r="AA1199" s="278"/>
      <c r="AB1199" s="278"/>
      <c r="AC1199" s="278"/>
      <c r="AD1199" s="278"/>
      <c r="AE1199" s="278"/>
    </row>
    <row r="1200" spans="4:31" x14ac:dyDescent="0.2">
      <c r="D1200" s="278"/>
      <c r="E1200" s="278"/>
      <c r="F1200" s="278"/>
      <c r="G1200" s="278"/>
      <c r="H1200" s="279"/>
      <c r="I1200" s="279"/>
      <c r="J1200" s="279"/>
      <c r="K1200" s="279"/>
      <c r="L1200" s="279"/>
      <c r="M1200" s="278"/>
      <c r="N1200" s="278"/>
      <c r="O1200" s="278"/>
      <c r="P1200" s="278"/>
      <c r="Q1200" s="278"/>
      <c r="R1200" s="278"/>
      <c r="S1200" s="278"/>
      <c r="T1200" s="278"/>
      <c r="U1200" s="278"/>
      <c r="V1200" s="278"/>
      <c r="W1200" s="278"/>
      <c r="X1200" s="278"/>
      <c r="Y1200" s="278"/>
      <c r="Z1200" s="278"/>
      <c r="AA1200" s="278"/>
      <c r="AB1200" s="278"/>
      <c r="AC1200" s="278"/>
      <c r="AD1200" s="278"/>
      <c r="AE1200" s="278"/>
    </row>
    <row r="1201" spans="4:31" x14ac:dyDescent="0.2">
      <c r="D1201" s="278"/>
      <c r="E1201" s="278"/>
      <c r="F1201" s="278"/>
      <c r="G1201" s="278"/>
      <c r="H1201" s="279"/>
      <c r="I1201" s="279"/>
      <c r="J1201" s="279"/>
      <c r="K1201" s="279"/>
      <c r="L1201" s="279"/>
      <c r="M1201" s="278"/>
      <c r="N1201" s="278"/>
      <c r="O1201" s="278"/>
      <c r="P1201" s="278"/>
      <c r="Q1201" s="278"/>
      <c r="R1201" s="278"/>
      <c r="S1201" s="278"/>
      <c r="T1201" s="278"/>
      <c r="U1201" s="278"/>
      <c r="V1201" s="278"/>
      <c r="W1201" s="278"/>
      <c r="X1201" s="278"/>
      <c r="Y1201" s="278"/>
      <c r="Z1201" s="278"/>
      <c r="AA1201" s="278"/>
      <c r="AB1201" s="278"/>
      <c r="AC1201" s="278"/>
      <c r="AD1201" s="278"/>
      <c r="AE1201" s="278"/>
    </row>
    <row r="1202" spans="4:31" x14ac:dyDescent="0.2">
      <c r="D1202" s="278"/>
      <c r="E1202" s="278"/>
      <c r="F1202" s="278"/>
      <c r="G1202" s="278"/>
      <c r="H1202" s="279"/>
      <c r="I1202" s="279"/>
      <c r="J1202" s="279"/>
      <c r="K1202" s="279"/>
      <c r="L1202" s="279"/>
      <c r="M1202" s="278"/>
      <c r="N1202" s="278"/>
      <c r="O1202" s="278"/>
      <c r="P1202" s="278"/>
      <c r="Q1202" s="278"/>
      <c r="R1202" s="278"/>
      <c r="S1202" s="278"/>
      <c r="T1202" s="278"/>
      <c r="U1202" s="278"/>
      <c r="V1202" s="278"/>
      <c r="W1202" s="278"/>
      <c r="X1202" s="278"/>
      <c r="Y1202" s="278"/>
      <c r="Z1202" s="278"/>
      <c r="AA1202" s="278"/>
      <c r="AB1202" s="278"/>
      <c r="AC1202" s="278"/>
      <c r="AD1202" s="278"/>
      <c r="AE1202" s="278"/>
    </row>
    <row r="1203" spans="4:31" x14ac:dyDescent="0.2">
      <c r="D1203" s="278"/>
      <c r="E1203" s="278"/>
      <c r="F1203" s="278"/>
      <c r="G1203" s="278"/>
      <c r="H1203" s="279"/>
      <c r="I1203" s="279"/>
      <c r="J1203" s="279"/>
      <c r="K1203" s="279"/>
      <c r="L1203" s="279"/>
      <c r="M1203" s="278"/>
      <c r="N1203" s="278"/>
      <c r="O1203" s="278"/>
      <c r="P1203" s="278"/>
      <c r="Q1203" s="278"/>
      <c r="R1203" s="278"/>
      <c r="S1203" s="278"/>
      <c r="T1203" s="278"/>
      <c r="U1203" s="278"/>
      <c r="V1203" s="278"/>
      <c r="W1203" s="278"/>
      <c r="X1203" s="278"/>
      <c r="Y1203" s="278"/>
      <c r="Z1203" s="278"/>
      <c r="AA1203" s="278"/>
      <c r="AB1203" s="278"/>
      <c r="AC1203" s="278"/>
      <c r="AD1203" s="278"/>
      <c r="AE1203" s="278"/>
    </row>
    <row r="1204" spans="4:31" x14ac:dyDescent="0.2">
      <c r="D1204" s="278"/>
      <c r="E1204" s="278"/>
      <c r="F1204" s="278"/>
      <c r="G1204" s="278"/>
      <c r="H1204" s="279"/>
      <c r="I1204" s="279"/>
      <c r="J1204" s="279"/>
      <c r="K1204" s="279"/>
      <c r="L1204" s="279"/>
      <c r="M1204" s="278"/>
      <c r="N1204" s="278"/>
      <c r="O1204" s="278"/>
      <c r="P1204" s="278"/>
      <c r="Q1204" s="278"/>
      <c r="R1204" s="278"/>
      <c r="S1204" s="278"/>
      <c r="T1204" s="278"/>
      <c r="U1204" s="278"/>
      <c r="V1204" s="278"/>
      <c r="W1204" s="278"/>
      <c r="X1204" s="278"/>
      <c r="Y1204" s="278"/>
      <c r="Z1204" s="278"/>
      <c r="AA1204" s="278"/>
      <c r="AB1204" s="278"/>
      <c r="AC1204" s="278"/>
      <c r="AD1204" s="278"/>
      <c r="AE1204" s="278"/>
    </row>
    <row r="1205" spans="4:31" x14ac:dyDescent="0.2">
      <c r="D1205" s="278"/>
      <c r="E1205" s="278"/>
      <c r="F1205" s="278"/>
      <c r="G1205" s="278"/>
      <c r="H1205" s="279"/>
      <c r="I1205" s="279"/>
      <c r="J1205" s="279"/>
      <c r="K1205" s="279"/>
      <c r="L1205" s="279"/>
      <c r="M1205" s="278"/>
      <c r="N1205" s="278"/>
      <c r="O1205" s="278"/>
      <c r="P1205" s="278"/>
      <c r="Q1205" s="278"/>
      <c r="R1205" s="278"/>
      <c r="S1205" s="278"/>
      <c r="T1205" s="278"/>
      <c r="U1205" s="278"/>
      <c r="V1205" s="278"/>
      <c r="W1205" s="278"/>
      <c r="X1205" s="278"/>
      <c r="Y1205" s="278"/>
      <c r="Z1205" s="278"/>
      <c r="AA1205" s="278"/>
      <c r="AB1205" s="278"/>
      <c r="AC1205" s="278"/>
      <c r="AD1205" s="278"/>
      <c r="AE1205" s="278"/>
    </row>
    <row r="1206" spans="4:31" x14ac:dyDescent="0.2">
      <c r="D1206" s="278"/>
      <c r="E1206" s="278"/>
      <c r="F1206" s="278"/>
      <c r="G1206" s="278"/>
      <c r="H1206" s="279"/>
      <c r="I1206" s="279"/>
      <c r="J1206" s="279"/>
      <c r="K1206" s="279"/>
      <c r="L1206" s="279"/>
      <c r="M1206" s="278"/>
      <c r="N1206" s="278"/>
      <c r="O1206" s="278"/>
      <c r="P1206" s="278"/>
      <c r="Q1206" s="278"/>
      <c r="R1206" s="278"/>
      <c r="S1206" s="278"/>
      <c r="T1206" s="278"/>
      <c r="U1206" s="278"/>
      <c r="V1206" s="278"/>
      <c r="W1206" s="278"/>
      <c r="X1206" s="278"/>
      <c r="Y1206" s="278"/>
      <c r="Z1206" s="278"/>
      <c r="AA1206" s="278"/>
      <c r="AB1206" s="278"/>
      <c r="AC1206" s="278"/>
      <c r="AD1206" s="278"/>
      <c r="AE1206" s="278"/>
    </row>
    <row r="1207" spans="4:31" x14ac:dyDescent="0.2">
      <c r="D1207" s="278"/>
      <c r="E1207" s="278"/>
      <c r="F1207" s="278"/>
      <c r="G1207" s="278"/>
      <c r="H1207" s="279"/>
      <c r="I1207" s="279"/>
      <c r="J1207" s="279"/>
      <c r="K1207" s="279"/>
      <c r="L1207" s="279"/>
      <c r="M1207" s="278"/>
      <c r="N1207" s="278"/>
      <c r="O1207" s="278"/>
      <c r="P1207" s="278"/>
      <c r="Q1207" s="278"/>
      <c r="R1207" s="278"/>
      <c r="S1207" s="278"/>
      <c r="T1207" s="278"/>
      <c r="U1207" s="278"/>
      <c r="V1207" s="278"/>
      <c r="W1207" s="278"/>
      <c r="X1207" s="278"/>
      <c r="Y1207" s="278"/>
      <c r="Z1207" s="278"/>
      <c r="AA1207" s="278"/>
      <c r="AB1207" s="278"/>
      <c r="AC1207" s="278"/>
      <c r="AD1207" s="278"/>
      <c r="AE1207" s="278"/>
    </row>
    <row r="1208" spans="4:31" x14ac:dyDescent="0.2">
      <c r="D1208" s="278"/>
      <c r="E1208" s="278"/>
      <c r="F1208" s="278"/>
      <c r="G1208" s="278"/>
      <c r="H1208" s="279"/>
      <c r="I1208" s="279"/>
      <c r="J1208" s="279"/>
      <c r="K1208" s="279"/>
      <c r="L1208" s="279"/>
      <c r="M1208" s="278"/>
      <c r="N1208" s="278"/>
      <c r="O1208" s="278"/>
      <c r="P1208" s="278"/>
      <c r="Q1208" s="278"/>
      <c r="R1208" s="278"/>
      <c r="S1208" s="278"/>
      <c r="T1208" s="278"/>
      <c r="U1208" s="278"/>
      <c r="V1208" s="278"/>
      <c r="W1208" s="278"/>
      <c r="X1208" s="278"/>
      <c r="Y1208" s="278"/>
      <c r="Z1208" s="278"/>
      <c r="AA1208" s="278"/>
      <c r="AB1208" s="278"/>
      <c r="AC1208" s="278"/>
      <c r="AD1208" s="278"/>
      <c r="AE1208" s="278"/>
    </row>
    <row r="1209" spans="4:31" x14ac:dyDescent="0.2">
      <c r="D1209" s="278"/>
      <c r="E1209" s="278"/>
      <c r="F1209" s="278"/>
      <c r="G1209" s="278"/>
      <c r="H1209" s="279"/>
      <c r="I1209" s="279"/>
      <c r="J1209" s="279"/>
      <c r="K1209" s="279"/>
      <c r="L1209" s="279"/>
      <c r="M1209" s="278"/>
      <c r="N1209" s="278"/>
      <c r="O1209" s="278"/>
      <c r="P1209" s="278"/>
      <c r="Q1209" s="278"/>
      <c r="R1209" s="278"/>
      <c r="S1209" s="278"/>
      <c r="T1209" s="278"/>
      <c r="U1209" s="278"/>
      <c r="V1209" s="278"/>
      <c r="W1209" s="278"/>
      <c r="X1209" s="278"/>
      <c r="Y1209" s="278"/>
      <c r="Z1209" s="278"/>
      <c r="AA1209" s="278"/>
      <c r="AB1209" s="278"/>
      <c r="AC1209" s="278"/>
      <c r="AD1209" s="278"/>
      <c r="AE1209" s="278"/>
    </row>
    <row r="1210" spans="4:31" x14ac:dyDescent="0.2">
      <c r="D1210" s="278"/>
      <c r="E1210" s="278"/>
      <c r="F1210" s="278"/>
      <c r="G1210" s="278"/>
      <c r="H1210" s="279"/>
      <c r="I1210" s="279"/>
      <c r="J1210" s="279"/>
      <c r="K1210" s="279"/>
      <c r="L1210" s="279"/>
      <c r="M1210" s="278"/>
      <c r="N1210" s="278"/>
      <c r="O1210" s="278"/>
      <c r="P1210" s="278"/>
      <c r="Q1210" s="278"/>
      <c r="R1210" s="278"/>
      <c r="S1210" s="278"/>
      <c r="T1210" s="278"/>
      <c r="U1210" s="278"/>
      <c r="V1210" s="278"/>
      <c r="W1210" s="278"/>
      <c r="X1210" s="278"/>
      <c r="Y1210" s="278"/>
      <c r="Z1210" s="278"/>
      <c r="AA1210" s="278"/>
      <c r="AB1210" s="278"/>
      <c r="AC1210" s="278"/>
      <c r="AD1210" s="278"/>
      <c r="AE1210" s="278"/>
    </row>
    <row r="1211" spans="4:31" x14ac:dyDescent="0.2">
      <c r="D1211" s="278"/>
      <c r="E1211" s="278"/>
      <c r="F1211" s="278"/>
      <c r="G1211" s="278"/>
      <c r="H1211" s="279"/>
      <c r="I1211" s="279"/>
      <c r="J1211" s="279"/>
      <c r="K1211" s="279"/>
      <c r="L1211" s="279"/>
      <c r="M1211" s="278"/>
      <c r="N1211" s="278"/>
      <c r="O1211" s="278"/>
      <c r="P1211" s="278"/>
      <c r="Q1211" s="278"/>
      <c r="R1211" s="278"/>
      <c r="S1211" s="278"/>
      <c r="T1211" s="278"/>
      <c r="U1211" s="278"/>
      <c r="V1211" s="278"/>
      <c r="W1211" s="278"/>
      <c r="X1211" s="278"/>
      <c r="Y1211" s="278"/>
      <c r="Z1211" s="278"/>
      <c r="AA1211" s="278"/>
      <c r="AB1211" s="278"/>
      <c r="AC1211" s="278"/>
      <c r="AD1211" s="278"/>
      <c r="AE1211" s="278"/>
    </row>
    <row r="1212" spans="4:31" x14ac:dyDescent="0.2">
      <c r="D1212" s="278"/>
      <c r="E1212" s="278"/>
      <c r="F1212" s="278"/>
      <c r="G1212" s="278"/>
      <c r="H1212" s="279"/>
      <c r="I1212" s="279"/>
      <c r="J1212" s="279"/>
      <c r="K1212" s="279"/>
      <c r="L1212" s="279"/>
      <c r="M1212" s="278"/>
      <c r="N1212" s="278"/>
      <c r="O1212" s="278"/>
      <c r="P1212" s="278"/>
      <c r="Q1212" s="278"/>
      <c r="R1212" s="278"/>
      <c r="S1212" s="278"/>
      <c r="T1212" s="278"/>
      <c r="U1212" s="278"/>
      <c r="V1212" s="278"/>
      <c r="W1212" s="278"/>
      <c r="X1212" s="278"/>
      <c r="Y1212" s="278"/>
      <c r="Z1212" s="278"/>
      <c r="AA1212" s="278"/>
      <c r="AB1212" s="278"/>
      <c r="AC1212" s="278"/>
      <c r="AD1212" s="278"/>
      <c r="AE1212" s="278"/>
    </row>
    <row r="1213" spans="4:31" x14ac:dyDescent="0.2">
      <c r="D1213" s="278"/>
      <c r="E1213" s="278"/>
      <c r="F1213" s="278"/>
      <c r="G1213" s="278"/>
      <c r="H1213" s="279"/>
      <c r="I1213" s="279"/>
      <c r="J1213" s="279"/>
      <c r="K1213" s="279"/>
      <c r="L1213" s="279"/>
      <c r="M1213" s="278"/>
      <c r="N1213" s="278"/>
      <c r="O1213" s="278"/>
      <c r="P1213" s="278"/>
      <c r="Q1213" s="278"/>
      <c r="R1213" s="278"/>
      <c r="S1213" s="278"/>
      <c r="T1213" s="278"/>
      <c r="U1213" s="278"/>
      <c r="V1213" s="278"/>
      <c r="W1213" s="278"/>
      <c r="X1213" s="278"/>
      <c r="Y1213" s="278"/>
      <c r="Z1213" s="278"/>
      <c r="AA1213" s="278"/>
      <c r="AB1213" s="278"/>
      <c r="AC1213" s="278"/>
      <c r="AD1213" s="278"/>
      <c r="AE1213" s="278"/>
    </row>
    <row r="1214" spans="4:31" x14ac:dyDescent="0.2">
      <c r="D1214" s="278"/>
      <c r="E1214" s="278"/>
      <c r="F1214" s="278"/>
      <c r="G1214" s="278"/>
      <c r="H1214" s="279"/>
      <c r="I1214" s="279"/>
      <c r="J1214" s="279"/>
      <c r="K1214" s="279"/>
      <c r="L1214" s="279"/>
      <c r="M1214" s="278"/>
      <c r="N1214" s="278"/>
      <c r="O1214" s="278"/>
      <c r="P1214" s="278"/>
      <c r="Q1214" s="278"/>
      <c r="R1214" s="278"/>
      <c r="S1214" s="278"/>
      <c r="T1214" s="278"/>
      <c r="U1214" s="278"/>
      <c r="V1214" s="278"/>
      <c r="W1214" s="278"/>
      <c r="X1214" s="278"/>
      <c r="Y1214" s="278"/>
      <c r="Z1214" s="278"/>
      <c r="AA1214" s="278"/>
      <c r="AB1214" s="278"/>
      <c r="AC1214" s="278"/>
      <c r="AD1214" s="278"/>
      <c r="AE1214" s="278"/>
    </row>
    <row r="1215" spans="4:31" x14ac:dyDescent="0.2">
      <c r="D1215" s="278"/>
      <c r="E1215" s="278"/>
      <c r="F1215" s="278"/>
      <c r="G1215" s="278"/>
      <c r="H1215" s="279"/>
      <c r="I1215" s="279"/>
      <c r="J1215" s="279"/>
      <c r="K1215" s="279"/>
      <c r="L1215" s="279"/>
      <c r="M1215" s="278"/>
      <c r="N1215" s="278"/>
      <c r="O1215" s="278"/>
      <c r="P1215" s="278"/>
      <c r="Q1215" s="278"/>
      <c r="R1215" s="278"/>
      <c r="S1215" s="278"/>
      <c r="T1215" s="278"/>
      <c r="U1215" s="278"/>
      <c r="V1215" s="278"/>
      <c r="W1215" s="278"/>
      <c r="X1215" s="278"/>
      <c r="Y1215" s="278"/>
      <c r="Z1215" s="278"/>
      <c r="AA1215" s="278"/>
      <c r="AB1215" s="278"/>
      <c r="AC1215" s="278"/>
      <c r="AD1215" s="278"/>
      <c r="AE1215" s="278"/>
    </row>
    <row r="1216" spans="4:31" x14ac:dyDescent="0.2">
      <c r="D1216" s="278"/>
      <c r="E1216" s="278"/>
      <c r="F1216" s="278"/>
      <c r="G1216" s="278"/>
      <c r="H1216" s="279"/>
      <c r="I1216" s="279"/>
      <c r="J1216" s="279"/>
      <c r="K1216" s="279"/>
      <c r="L1216" s="279"/>
      <c r="M1216" s="278"/>
      <c r="N1216" s="278"/>
      <c r="O1216" s="278"/>
      <c r="P1216" s="278"/>
      <c r="Q1216" s="278"/>
      <c r="R1216" s="278"/>
      <c r="S1216" s="278"/>
      <c r="T1216" s="278"/>
      <c r="U1216" s="278"/>
      <c r="V1216" s="278"/>
      <c r="W1216" s="278"/>
      <c r="X1216" s="278"/>
      <c r="Y1216" s="278"/>
      <c r="Z1216" s="278"/>
      <c r="AA1216" s="278"/>
      <c r="AB1216" s="278"/>
      <c r="AC1216" s="278"/>
      <c r="AD1216" s="278"/>
      <c r="AE1216" s="278"/>
    </row>
    <row r="1217" spans="4:31" x14ac:dyDescent="0.2">
      <c r="D1217" s="278"/>
      <c r="E1217" s="278"/>
      <c r="F1217" s="278"/>
      <c r="G1217" s="278"/>
      <c r="H1217" s="279"/>
      <c r="I1217" s="279"/>
      <c r="J1217" s="279"/>
      <c r="K1217" s="279"/>
      <c r="L1217" s="279"/>
      <c r="M1217" s="278"/>
      <c r="N1217" s="278"/>
      <c r="O1217" s="278"/>
      <c r="P1217" s="278"/>
      <c r="Q1217" s="278"/>
      <c r="R1217" s="278"/>
      <c r="S1217" s="278"/>
      <c r="T1217" s="278"/>
      <c r="U1217" s="278"/>
      <c r="V1217" s="278"/>
      <c r="W1217" s="278"/>
      <c r="X1217" s="278"/>
      <c r="Y1217" s="278"/>
      <c r="Z1217" s="278"/>
      <c r="AA1217" s="278"/>
      <c r="AB1217" s="278"/>
      <c r="AC1217" s="278"/>
      <c r="AD1217" s="278"/>
      <c r="AE1217" s="278"/>
    </row>
    <row r="1218" spans="4:31" x14ac:dyDescent="0.2">
      <c r="D1218" s="278"/>
      <c r="E1218" s="278"/>
      <c r="F1218" s="278"/>
      <c r="G1218" s="278"/>
      <c r="H1218" s="279"/>
      <c r="I1218" s="279"/>
      <c r="J1218" s="279"/>
      <c r="K1218" s="279"/>
      <c r="L1218" s="279"/>
      <c r="M1218" s="278"/>
      <c r="N1218" s="278"/>
      <c r="O1218" s="278"/>
      <c r="P1218" s="278"/>
      <c r="Q1218" s="278"/>
      <c r="R1218" s="278"/>
      <c r="S1218" s="278"/>
      <c r="T1218" s="278"/>
      <c r="U1218" s="278"/>
      <c r="V1218" s="278"/>
      <c r="W1218" s="278"/>
      <c r="X1218" s="278"/>
      <c r="Y1218" s="278"/>
      <c r="Z1218" s="278"/>
      <c r="AA1218" s="278"/>
      <c r="AB1218" s="278"/>
      <c r="AC1218" s="278"/>
      <c r="AD1218" s="278"/>
      <c r="AE1218" s="278"/>
    </row>
    <row r="1219" spans="4:31" x14ac:dyDescent="0.2">
      <c r="D1219" s="278"/>
      <c r="E1219" s="278"/>
      <c r="F1219" s="278"/>
      <c r="G1219" s="278"/>
      <c r="H1219" s="279"/>
      <c r="I1219" s="279"/>
      <c r="J1219" s="279"/>
      <c r="K1219" s="279"/>
      <c r="L1219" s="279"/>
      <c r="M1219" s="278"/>
      <c r="N1219" s="278"/>
      <c r="O1219" s="278"/>
      <c r="P1219" s="278"/>
      <c r="Q1219" s="278"/>
      <c r="R1219" s="278"/>
      <c r="S1219" s="278"/>
      <c r="T1219" s="278"/>
      <c r="U1219" s="278"/>
      <c r="V1219" s="278"/>
      <c r="W1219" s="278"/>
      <c r="X1219" s="278"/>
      <c r="Y1219" s="278"/>
      <c r="Z1219" s="278"/>
      <c r="AA1219" s="278"/>
      <c r="AB1219" s="278"/>
      <c r="AC1219" s="278"/>
      <c r="AD1219" s="278"/>
      <c r="AE1219" s="278"/>
    </row>
    <row r="1220" spans="4:31" x14ac:dyDescent="0.2">
      <c r="D1220" s="278"/>
      <c r="E1220" s="278"/>
      <c r="F1220" s="278"/>
      <c r="G1220" s="278"/>
      <c r="H1220" s="279"/>
      <c r="I1220" s="279"/>
      <c r="J1220" s="279"/>
      <c r="K1220" s="279"/>
      <c r="L1220" s="279"/>
      <c r="M1220" s="278"/>
      <c r="N1220" s="278"/>
      <c r="O1220" s="278"/>
      <c r="P1220" s="278"/>
      <c r="Q1220" s="278"/>
      <c r="R1220" s="278"/>
      <c r="S1220" s="278"/>
      <c r="T1220" s="278"/>
      <c r="U1220" s="278"/>
      <c r="V1220" s="278"/>
      <c r="W1220" s="278"/>
      <c r="X1220" s="278"/>
      <c r="Y1220" s="278"/>
      <c r="Z1220" s="278"/>
      <c r="AA1220" s="278"/>
      <c r="AB1220" s="278"/>
      <c r="AC1220" s="278"/>
      <c r="AD1220" s="278"/>
      <c r="AE1220" s="278"/>
    </row>
    <row r="1221" spans="4:31" x14ac:dyDescent="0.2">
      <c r="D1221" s="278"/>
      <c r="E1221" s="278"/>
      <c r="F1221" s="278"/>
      <c r="G1221" s="278"/>
      <c r="H1221" s="279"/>
      <c r="I1221" s="279"/>
      <c r="J1221" s="279"/>
      <c r="K1221" s="279"/>
      <c r="L1221" s="279"/>
      <c r="M1221" s="278"/>
      <c r="N1221" s="278"/>
      <c r="O1221" s="278"/>
      <c r="P1221" s="278"/>
      <c r="Q1221" s="278"/>
      <c r="R1221" s="278"/>
      <c r="S1221" s="278"/>
      <c r="T1221" s="278"/>
      <c r="U1221" s="278"/>
      <c r="V1221" s="278"/>
      <c r="W1221" s="278"/>
      <c r="X1221" s="278"/>
      <c r="Y1221" s="278"/>
      <c r="Z1221" s="278"/>
      <c r="AA1221" s="278"/>
      <c r="AB1221" s="278"/>
      <c r="AC1221" s="278"/>
      <c r="AD1221" s="278"/>
      <c r="AE1221" s="278"/>
    </row>
    <row r="1222" spans="4:31" x14ac:dyDescent="0.2">
      <c r="D1222" s="278"/>
      <c r="E1222" s="278"/>
      <c r="F1222" s="278"/>
      <c r="G1222" s="278"/>
      <c r="H1222" s="279"/>
      <c r="I1222" s="279"/>
      <c r="J1222" s="279"/>
      <c r="K1222" s="279"/>
      <c r="L1222" s="279"/>
      <c r="M1222" s="278"/>
      <c r="N1222" s="278"/>
      <c r="O1222" s="278"/>
      <c r="P1222" s="278"/>
      <c r="Q1222" s="278"/>
      <c r="R1222" s="278"/>
      <c r="S1222" s="278"/>
      <c r="T1222" s="278"/>
      <c r="U1222" s="278"/>
      <c r="V1222" s="278"/>
      <c r="W1222" s="278"/>
      <c r="X1222" s="278"/>
      <c r="Y1222" s="278"/>
      <c r="Z1222" s="278"/>
      <c r="AA1222" s="278"/>
      <c r="AB1222" s="278"/>
      <c r="AC1222" s="278"/>
      <c r="AD1222" s="278"/>
      <c r="AE1222" s="278"/>
    </row>
    <row r="1223" spans="4:31" x14ac:dyDescent="0.2">
      <c r="D1223" s="278"/>
      <c r="E1223" s="278"/>
      <c r="F1223" s="278"/>
      <c r="G1223" s="278"/>
      <c r="H1223" s="279"/>
      <c r="I1223" s="279"/>
      <c r="J1223" s="279"/>
      <c r="K1223" s="279"/>
      <c r="L1223" s="279"/>
      <c r="M1223" s="278"/>
      <c r="N1223" s="278"/>
      <c r="O1223" s="278"/>
      <c r="P1223" s="278"/>
      <c r="Q1223" s="278"/>
      <c r="R1223" s="278"/>
      <c r="S1223" s="278"/>
      <c r="T1223" s="278"/>
      <c r="U1223" s="278"/>
      <c r="V1223" s="278"/>
      <c r="W1223" s="278"/>
      <c r="X1223" s="278"/>
      <c r="Y1223" s="278"/>
      <c r="Z1223" s="278"/>
      <c r="AA1223" s="278"/>
      <c r="AB1223" s="278"/>
      <c r="AC1223" s="278"/>
      <c r="AD1223" s="278"/>
      <c r="AE1223" s="278"/>
    </row>
    <row r="1224" spans="4:31" x14ac:dyDescent="0.2">
      <c r="D1224" s="278"/>
      <c r="E1224" s="278"/>
      <c r="F1224" s="278"/>
      <c r="G1224" s="278"/>
      <c r="H1224" s="279"/>
      <c r="I1224" s="279"/>
      <c r="J1224" s="279"/>
      <c r="K1224" s="279"/>
      <c r="L1224" s="279"/>
      <c r="M1224" s="278"/>
      <c r="N1224" s="278"/>
      <c r="O1224" s="278"/>
      <c r="P1224" s="278"/>
      <c r="Q1224" s="278"/>
      <c r="R1224" s="278"/>
      <c r="S1224" s="278"/>
      <c r="T1224" s="278"/>
      <c r="U1224" s="278"/>
      <c r="V1224" s="278"/>
      <c r="W1224" s="278"/>
      <c r="X1224" s="278"/>
      <c r="Y1224" s="278"/>
      <c r="Z1224" s="278"/>
      <c r="AA1224" s="278"/>
      <c r="AB1224" s="278"/>
      <c r="AC1224" s="278"/>
      <c r="AD1224" s="278"/>
      <c r="AE1224" s="278"/>
    </row>
    <row r="1225" spans="4:31" x14ac:dyDescent="0.2">
      <c r="D1225" s="278"/>
      <c r="E1225" s="278"/>
      <c r="F1225" s="278"/>
      <c r="G1225" s="278"/>
      <c r="H1225" s="279"/>
      <c r="I1225" s="279"/>
      <c r="J1225" s="279"/>
      <c r="K1225" s="279"/>
      <c r="L1225" s="279"/>
      <c r="M1225" s="278"/>
      <c r="N1225" s="278"/>
      <c r="O1225" s="278"/>
      <c r="P1225" s="278"/>
      <c r="Q1225" s="278"/>
      <c r="R1225" s="278"/>
      <c r="S1225" s="278"/>
      <c r="T1225" s="278"/>
      <c r="U1225" s="278"/>
      <c r="V1225" s="278"/>
      <c r="W1225" s="278"/>
      <c r="X1225" s="278"/>
      <c r="Y1225" s="278"/>
      <c r="Z1225" s="278"/>
      <c r="AA1225" s="278"/>
      <c r="AB1225" s="278"/>
      <c r="AC1225" s="278"/>
      <c r="AD1225" s="278"/>
      <c r="AE1225" s="278"/>
    </row>
    <row r="1226" spans="4:31" x14ac:dyDescent="0.2">
      <c r="D1226" s="278"/>
      <c r="E1226" s="278"/>
      <c r="F1226" s="278"/>
      <c r="G1226" s="278"/>
      <c r="H1226" s="279"/>
      <c r="I1226" s="279"/>
      <c r="J1226" s="279"/>
      <c r="K1226" s="279"/>
      <c r="L1226" s="279"/>
      <c r="M1226" s="278"/>
      <c r="N1226" s="278"/>
      <c r="O1226" s="278"/>
      <c r="P1226" s="278"/>
      <c r="Q1226" s="278"/>
      <c r="R1226" s="278"/>
      <c r="S1226" s="278"/>
      <c r="T1226" s="278"/>
      <c r="U1226" s="278"/>
      <c r="V1226" s="278"/>
      <c r="W1226" s="278"/>
      <c r="X1226" s="278"/>
      <c r="Y1226" s="278"/>
      <c r="Z1226" s="278"/>
      <c r="AA1226" s="278"/>
      <c r="AB1226" s="278"/>
      <c r="AC1226" s="278"/>
      <c r="AD1226" s="278"/>
      <c r="AE1226" s="278"/>
    </row>
    <row r="1227" spans="4:31" x14ac:dyDescent="0.2">
      <c r="D1227" s="278"/>
      <c r="E1227" s="278"/>
      <c r="F1227" s="278"/>
      <c r="G1227" s="278"/>
      <c r="H1227" s="279"/>
      <c r="I1227" s="279"/>
      <c r="J1227" s="279"/>
      <c r="K1227" s="279"/>
      <c r="L1227" s="279"/>
      <c r="M1227" s="278"/>
      <c r="N1227" s="278"/>
      <c r="O1227" s="278"/>
      <c r="P1227" s="278"/>
      <c r="Q1227" s="278"/>
      <c r="R1227" s="278"/>
      <c r="S1227" s="278"/>
      <c r="T1227" s="278"/>
      <c r="U1227" s="278"/>
      <c r="V1227" s="278"/>
      <c r="W1227" s="278"/>
      <c r="X1227" s="278"/>
      <c r="Y1227" s="278"/>
      <c r="Z1227" s="278"/>
      <c r="AA1227" s="278"/>
      <c r="AB1227" s="278"/>
      <c r="AC1227" s="278"/>
      <c r="AD1227" s="278"/>
      <c r="AE1227" s="278"/>
    </row>
    <row r="1228" spans="4:31" x14ac:dyDescent="0.2">
      <c r="D1228" s="278"/>
      <c r="E1228" s="278"/>
      <c r="F1228" s="278"/>
      <c r="G1228" s="278"/>
      <c r="H1228" s="279"/>
      <c r="I1228" s="279"/>
      <c r="J1228" s="279"/>
      <c r="K1228" s="279"/>
      <c r="L1228" s="279"/>
      <c r="M1228" s="278"/>
      <c r="N1228" s="278"/>
      <c r="O1228" s="278"/>
      <c r="P1228" s="278"/>
      <c r="Q1228" s="278"/>
      <c r="R1228" s="278"/>
      <c r="S1228" s="278"/>
      <c r="T1228" s="278"/>
      <c r="U1228" s="278"/>
      <c r="V1228" s="278"/>
      <c r="W1228" s="278"/>
      <c r="X1228" s="278"/>
      <c r="Y1228" s="278"/>
      <c r="Z1228" s="278"/>
      <c r="AA1228" s="278"/>
      <c r="AB1228" s="278"/>
      <c r="AC1228" s="278"/>
      <c r="AD1228" s="278"/>
      <c r="AE1228" s="278"/>
    </row>
    <row r="1229" spans="4:31" x14ac:dyDescent="0.2">
      <c r="D1229" s="278"/>
      <c r="E1229" s="278"/>
      <c r="F1229" s="278"/>
      <c r="G1229" s="278"/>
      <c r="H1229" s="279"/>
      <c r="I1229" s="279"/>
      <c r="J1229" s="279"/>
      <c r="K1229" s="279"/>
      <c r="L1229" s="279"/>
      <c r="M1229" s="278"/>
      <c r="N1229" s="278"/>
      <c r="O1229" s="278"/>
      <c r="P1229" s="278"/>
      <c r="Q1229" s="278"/>
      <c r="R1229" s="278"/>
      <c r="S1229" s="278"/>
      <c r="T1229" s="278"/>
      <c r="U1229" s="278"/>
      <c r="V1229" s="278"/>
      <c r="W1229" s="278"/>
      <c r="X1229" s="278"/>
      <c r="Y1229" s="278"/>
      <c r="Z1229" s="278"/>
      <c r="AA1229" s="278"/>
      <c r="AB1229" s="278"/>
      <c r="AC1229" s="278"/>
      <c r="AD1229" s="278"/>
      <c r="AE1229" s="278"/>
    </row>
    <row r="1230" spans="4:31" x14ac:dyDescent="0.2">
      <c r="D1230" s="278"/>
      <c r="E1230" s="278"/>
      <c r="F1230" s="278"/>
      <c r="G1230" s="278"/>
      <c r="H1230" s="279"/>
      <c r="I1230" s="279"/>
      <c r="J1230" s="279"/>
      <c r="K1230" s="279"/>
      <c r="L1230" s="279"/>
      <c r="M1230" s="278"/>
      <c r="N1230" s="278"/>
      <c r="O1230" s="278"/>
      <c r="P1230" s="278"/>
      <c r="Q1230" s="278"/>
      <c r="R1230" s="278"/>
      <c r="S1230" s="278"/>
      <c r="T1230" s="278"/>
      <c r="U1230" s="278"/>
      <c r="V1230" s="278"/>
      <c r="W1230" s="278"/>
      <c r="X1230" s="278"/>
      <c r="Y1230" s="278"/>
      <c r="Z1230" s="278"/>
      <c r="AA1230" s="278"/>
      <c r="AB1230" s="278"/>
      <c r="AC1230" s="278"/>
      <c r="AD1230" s="278"/>
      <c r="AE1230" s="278"/>
    </row>
    <row r="1231" spans="4:31" x14ac:dyDescent="0.2">
      <c r="D1231" s="278"/>
      <c r="E1231" s="278"/>
      <c r="F1231" s="278"/>
      <c r="G1231" s="278"/>
      <c r="H1231" s="279"/>
      <c r="I1231" s="279"/>
      <c r="J1231" s="279"/>
      <c r="K1231" s="279"/>
      <c r="L1231" s="279"/>
      <c r="M1231" s="278"/>
      <c r="N1231" s="278"/>
      <c r="O1231" s="278"/>
      <c r="P1231" s="278"/>
      <c r="Q1231" s="278"/>
      <c r="R1231" s="278"/>
      <c r="S1231" s="278"/>
      <c r="T1231" s="278"/>
      <c r="U1231" s="278"/>
      <c r="V1231" s="278"/>
      <c r="W1231" s="278"/>
      <c r="X1231" s="278"/>
      <c r="Y1231" s="278"/>
      <c r="Z1231" s="278"/>
      <c r="AA1231" s="278"/>
      <c r="AB1231" s="278"/>
      <c r="AC1231" s="278"/>
      <c r="AD1231" s="278"/>
      <c r="AE1231" s="278"/>
    </row>
    <row r="1232" spans="4:31" x14ac:dyDescent="0.2">
      <c r="D1232" s="278"/>
      <c r="E1232" s="278"/>
      <c r="F1232" s="278"/>
      <c r="G1232" s="278"/>
      <c r="H1232" s="279"/>
      <c r="I1232" s="279"/>
      <c r="J1232" s="279"/>
      <c r="K1232" s="279"/>
      <c r="L1232" s="279"/>
      <c r="M1232" s="278"/>
      <c r="N1232" s="278"/>
      <c r="O1232" s="278"/>
      <c r="P1232" s="278"/>
      <c r="Q1232" s="278"/>
      <c r="R1232" s="278"/>
      <c r="S1232" s="278"/>
      <c r="T1232" s="278"/>
      <c r="U1232" s="278"/>
      <c r="V1232" s="278"/>
      <c r="W1232" s="278"/>
      <c r="X1232" s="278"/>
      <c r="Y1232" s="278"/>
      <c r="Z1232" s="278"/>
      <c r="AA1232" s="278"/>
      <c r="AB1232" s="278"/>
      <c r="AC1232" s="278"/>
      <c r="AD1232" s="278"/>
      <c r="AE1232" s="278"/>
    </row>
    <row r="1233" spans="4:31" x14ac:dyDescent="0.2">
      <c r="D1233" s="278"/>
      <c r="E1233" s="278"/>
      <c r="F1233" s="278"/>
      <c r="G1233" s="278"/>
      <c r="H1233" s="279"/>
      <c r="I1233" s="279"/>
      <c r="J1233" s="279"/>
      <c r="K1233" s="279"/>
      <c r="L1233" s="279"/>
      <c r="M1233" s="278"/>
      <c r="N1233" s="278"/>
      <c r="O1233" s="278"/>
      <c r="P1233" s="278"/>
      <c r="Q1233" s="278"/>
      <c r="R1233" s="278"/>
      <c r="S1233" s="278"/>
      <c r="T1233" s="278"/>
      <c r="U1233" s="278"/>
      <c r="V1233" s="278"/>
      <c r="W1233" s="278"/>
      <c r="X1233" s="278"/>
      <c r="Y1233" s="278"/>
      <c r="Z1233" s="278"/>
      <c r="AA1233" s="278"/>
      <c r="AB1233" s="278"/>
      <c r="AC1233" s="278"/>
      <c r="AD1233" s="278"/>
      <c r="AE1233" s="278"/>
    </row>
    <row r="1234" spans="4:31" x14ac:dyDescent="0.2">
      <c r="D1234" s="278"/>
      <c r="E1234" s="278"/>
      <c r="F1234" s="278"/>
      <c r="G1234" s="278"/>
      <c r="H1234" s="279"/>
      <c r="I1234" s="279"/>
      <c r="J1234" s="279"/>
      <c r="K1234" s="279"/>
      <c r="L1234" s="279"/>
      <c r="M1234" s="278"/>
      <c r="N1234" s="278"/>
      <c r="O1234" s="278"/>
      <c r="P1234" s="278"/>
      <c r="Q1234" s="278"/>
      <c r="R1234" s="278"/>
      <c r="S1234" s="278"/>
      <c r="T1234" s="278"/>
      <c r="U1234" s="278"/>
      <c r="V1234" s="278"/>
      <c r="W1234" s="278"/>
      <c r="X1234" s="278"/>
      <c r="Y1234" s="278"/>
      <c r="Z1234" s="278"/>
      <c r="AA1234" s="278"/>
      <c r="AB1234" s="278"/>
      <c r="AC1234" s="278"/>
      <c r="AD1234" s="278"/>
      <c r="AE1234" s="278"/>
    </row>
    <row r="1235" spans="4:31" x14ac:dyDescent="0.2">
      <c r="D1235" s="278"/>
      <c r="E1235" s="278"/>
      <c r="F1235" s="278"/>
      <c r="G1235" s="278"/>
      <c r="H1235" s="279"/>
      <c r="I1235" s="279"/>
      <c r="J1235" s="279"/>
      <c r="K1235" s="279"/>
      <c r="L1235" s="279"/>
      <c r="M1235" s="278"/>
      <c r="N1235" s="278"/>
      <c r="O1235" s="278"/>
      <c r="P1235" s="278"/>
      <c r="Q1235" s="278"/>
      <c r="R1235" s="278"/>
      <c r="S1235" s="278"/>
      <c r="T1235" s="278"/>
      <c r="U1235" s="278"/>
      <c r="V1235" s="278"/>
      <c r="W1235" s="278"/>
      <c r="X1235" s="278"/>
      <c r="Y1235" s="278"/>
      <c r="Z1235" s="278"/>
      <c r="AA1235" s="278"/>
      <c r="AB1235" s="278"/>
      <c r="AC1235" s="278"/>
      <c r="AD1235" s="278"/>
      <c r="AE1235" s="278"/>
    </row>
    <row r="1236" spans="4:31" x14ac:dyDescent="0.2">
      <c r="D1236" s="278"/>
      <c r="E1236" s="278"/>
      <c r="F1236" s="278"/>
      <c r="G1236" s="278"/>
      <c r="H1236" s="279"/>
      <c r="I1236" s="279"/>
      <c r="J1236" s="279"/>
      <c r="K1236" s="279"/>
      <c r="L1236" s="279"/>
      <c r="M1236" s="278"/>
      <c r="N1236" s="278"/>
      <c r="O1236" s="278"/>
      <c r="P1236" s="278"/>
      <c r="Q1236" s="278"/>
      <c r="R1236" s="278"/>
      <c r="S1236" s="278"/>
      <c r="T1236" s="278"/>
      <c r="U1236" s="278"/>
      <c r="V1236" s="278"/>
      <c r="W1236" s="278"/>
      <c r="X1236" s="278"/>
      <c r="Y1236" s="278"/>
      <c r="Z1236" s="278"/>
      <c r="AA1236" s="278"/>
      <c r="AB1236" s="278"/>
      <c r="AC1236" s="278"/>
      <c r="AD1236" s="278"/>
      <c r="AE1236" s="278"/>
    </row>
    <row r="1237" spans="4:31" x14ac:dyDescent="0.2">
      <c r="D1237" s="278"/>
      <c r="E1237" s="278"/>
      <c r="F1237" s="278"/>
      <c r="G1237" s="278"/>
      <c r="H1237" s="279"/>
      <c r="I1237" s="279"/>
      <c r="J1237" s="279"/>
      <c r="K1237" s="279"/>
      <c r="L1237" s="279"/>
      <c r="M1237" s="278"/>
      <c r="N1237" s="278"/>
      <c r="O1237" s="278"/>
      <c r="P1237" s="278"/>
      <c r="Q1237" s="278"/>
      <c r="R1237" s="278"/>
      <c r="S1237" s="278"/>
      <c r="T1237" s="278"/>
      <c r="U1237" s="278"/>
      <c r="V1237" s="278"/>
      <c r="W1237" s="278"/>
      <c r="X1237" s="278"/>
      <c r="Y1237" s="278"/>
      <c r="Z1237" s="278"/>
      <c r="AA1237" s="278"/>
      <c r="AB1237" s="278"/>
      <c r="AC1237" s="278"/>
      <c r="AD1237" s="278"/>
      <c r="AE1237" s="278"/>
    </row>
    <row r="1238" spans="4:31" x14ac:dyDescent="0.2">
      <c r="D1238" s="278"/>
      <c r="E1238" s="278"/>
      <c r="F1238" s="278"/>
      <c r="G1238" s="278"/>
      <c r="H1238" s="279"/>
      <c r="I1238" s="279"/>
      <c r="J1238" s="279"/>
      <c r="K1238" s="279"/>
      <c r="L1238" s="279"/>
      <c r="M1238" s="278"/>
      <c r="N1238" s="278"/>
      <c r="O1238" s="278"/>
      <c r="P1238" s="278"/>
      <c r="Q1238" s="278"/>
      <c r="R1238" s="278"/>
      <c r="S1238" s="278"/>
      <c r="T1238" s="278"/>
      <c r="U1238" s="278"/>
      <c r="V1238" s="278"/>
      <c r="W1238" s="278"/>
      <c r="X1238" s="278"/>
      <c r="Y1238" s="278"/>
      <c r="Z1238" s="278"/>
      <c r="AA1238" s="278"/>
      <c r="AB1238" s="278"/>
      <c r="AC1238" s="278"/>
      <c r="AD1238" s="278"/>
      <c r="AE1238" s="278"/>
    </row>
    <row r="1239" spans="4:31" x14ac:dyDescent="0.2">
      <c r="D1239" s="278"/>
      <c r="E1239" s="278"/>
      <c r="F1239" s="278"/>
      <c r="G1239" s="278"/>
      <c r="H1239" s="279"/>
      <c r="I1239" s="279"/>
      <c r="J1239" s="279"/>
      <c r="K1239" s="279"/>
      <c r="L1239" s="279"/>
      <c r="M1239" s="278"/>
      <c r="N1239" s="278"/>
      <c r="O1239" s="278"/>
      <c r="P1239" s="278"/>
      <c r="Q1239" s="278"/>
      <c r="R1239" s="278"/>
      <c r="S1239" s="278"/>
      <c r="T1239" s="278"/>
      <c r="U1239" s="278"/>
      <c r="V1239" s="278"/>
      <c r="W1239" s="278"/>
      <c r="X1239" s="278"/>
      <c r="Y1239" s="278"/>
      <c r="Z1239" s="278"/>
      <c r="AA1239" s="278"/>
      <c r="AB1239" s="278"/>
      <c r="AC1239" s="278"/>
      <c r="AD1239" s="278"/>
      <c r="AE1239" s="278"/>
    </row>
    <row r="1240" spans="4:31" x14ac:dyDescent="0.2">
      <c r="D1240" s="278"/>
      <c r="E1240" s="278"/>
      <c r="F1240" s="278"/>
      <c r="G1240" s="278"/>
      <c r="H1240" s="279"/>
      <c r="I1240" s="279"/>
      <c r="J1240" s="279"/>
      <c r="K1240" s="279"/>
      <c r="L1240" s="279"/>
      <c r="M1240" s="278"/>
      <c r="N1240" s="278"/>
      <c r="O1240" s="278"/>
      <c r="P1240" s="278"/>
      <c r="Q1240" s="278"/>
      <c r="R1240" s="278"/>
      <c r="S1240" s="278"/>
      <c r="T1240" s="278"/>
      <c r="U1240" s="278"/>
      <c r="V1240" s="278"/>
      <c r="W1240" s="278"/>
      <c r="X1240" s="278"/>
      <c r="Y1240" s="278"/>
      <c r="Z1240" s="278"/>
      <c r="AA1240" s="278"/>
      <c r="AB1240" s="278"/>
      <c r="AC1240" s="278"/>
      <c r="AD1240" s="278"/>
      <c r="AE1240" s="278"/>
    </row>
    <row r="1241" spans="4:31" x14ac:dyDescent="0.2">
      <c r="D1241" s="278"/>
      <c r="E1241" s="278"/>
      <c r="F1241" s="278"/>
      <c r="G1241" s="278"/>
      <c r="H1241" s="279"/>
      <c r="I1241" s="279"/>
      <c r="J1241" s="279"/>
      <c r="K1241" s="279"/>
      <c r="L1241" s="279"/>
      <c r="M1241" s="278"/>
      <c r="N1241" s="278"/>
      <c r="O1241" s="278"/>
      <c r="P1241" s="278"/>
      <c r="Q1241" s="278"/>
      <c r="R1241" s="278"/>
      <c r="S1241" s="278"/>
      <c r="T1241" s="278"/>
      <c r="U1241" s="278"/>
      <c r="V1241" s="278"/>
      <c r="W1241" s="278"/>
      <c r="X1241" s="278"/>
      <c r="Y1241" s="278"/>
      <c r="Z1241" s="278"/>
      <c r="AA1241" s="278"/>
      <c r="AB1241" s="278"/>
      <c r="AC1241" s="278"/>
      <c r="AD1241" s="278"/>
      <c r="AE1241" s="278"/>
    </row>
    <row r="1242" spans="4:31" x14ac:dyDescent="0.2">
      <c r="D1242" s="278"/>
      <c r="E1242" s="278"/>
      <c r="F1242" s="278"/>
      <c r="G1242" s="278"/>
      <c r="H1242" s="279"/>
      <c r="I1242" s="279"/>
      <c r="J1242" s="279"/>
      <c r="K1242" s="279"/>
      <c r="L1242" s="279"/>
      <c r="M1242" s="278"/>
      <c r="N1242" s="278"/>
      <c r="O1242" s="278"/>
      <c r="P1242" s="278"/>
      <c r="Q1242" s="278"/>
      <c r="R1242" s="278"/>
      <c r="S1242" s="278"/>
      <c r="T1242" s="278"/>
      <c r="U1242" s="278"/>
      <c r="V1242" s="278"/>
      <c r="W1242" s="278"/>
      <c r="X1242" s="278"/>
      <c r="Y1242" s="278"/>
      <c r="Z1242" s="278"/>
      <c r="AA1242" s="278"/>
      <c r="AB1242" s="278"/>
      <c r="AC1242" s="278"/>
      <c r="AD1242" s="278"/>
      <c r="AE1242" s="278"/>
    </row>
    <row r="1243" spans="4:31" x14ac:dyDescent="0.2">
      <c r="D1243" s="278"/>
      <c r="E1243" s="278"/>
      <c r="F1243" s="278"/>
      <c r="G1243" s="278"/>
      <c r="H1243" s="279"/>
      <c r="I1243" s="279"/>
      <c r="J1243" s="279"/>
      <c r="K1243" s="279"/>
      <c r="L1243" s="279"/>
      <c r="M1243" s="278"/>
      <c r="N1243" s="278"/>
      <c r="O1243" s="278"/>
      <c r="P1243" s="278"/>
      <c r="Q1243" s="278"/>
      <c r="R1243" s="278"/>
      <c r="S1243" s="278"/>
      <c r="T1243" s="278"/>
      <c r="U1243" s="278"/>
      <c r="V1243" s="278"/>
      <c r="W1243" s="278"/>
      <c r="X1243" s="278"/>
      <c r="Y1243" s="278"/>
      <c r="Z1243" s="278"/>
      <c r="AA1243" s="278"/>
      <c r="AB1243" s="278"/>
      <c r="AC1243" s="278"/>
      <c r="AD1243" s="278"/>
      <c r="AE1243" s="278"/>
    </row>
    <row r="1244" spans="4:31" x14ac:dyDescent="0.2">
      <c r="D1244" s="278"/>
      <c r="E1244" s="278"/>
      <c r="F1244" s="278"/>
      <c r="G1244" s="278"/>
      <c r="H1244" s="279"/>
      <c r="I1244" s="279"/>
      <c r="J1244" s="279"/>
      <c r="K1244" s="279"/>
      <c r="L1244" s="279"/>
      <c r="M1244" s="278"/>
      <c r="N1244" s="278"/>
      <c r="O1244" s="278"/>
      <c r="P1244" s="278"/>
      <c r="Q1244" s="278"/>
      <c r="R1244" s="278"/>
      <c r="S1244" s="278"/>
      <c r="T1244" s="278"/>
      <c r="U1244" s="278"/>
      <c r="V1244" s="278"/>
      <c r="W1244" s="278"/>
      <c r="X1244" s="278"/>
      <c r="Y1244" s="278"/>
      <c r="Z1244" s="278"/>
      <c r="AA1244" s="278"/>
      <c r="AB1244" s="278"/>
      <c r="AC1244" s="278"/>
      <c r="AD1244" s="278"/>
      <c r="AE1244" s="278"/>
    </row>
    <row r="1245" spans="4:31" x14ac:dyDescent="0.2">
      <c r="D1245" s="278"/>
      <c r="E1245" s="278"/>
      <c r="F1245" s="278"/>
      <c r="G1245" s="278"/>
      <c r="H1245" s="279"/>
      <c r="I1245" s="279"/>
      <c r="J1245" s="279"/>
      <c r="K1245" s="279"/>
      <c r="L1245" s="279"/>
      <c r="M1245" s="278"/>
      <c r="N1245" s="278"/>
      <c r="O1245" s="278"/>
      <c r="P1245" s="278"/>
      <c r="Q1245" s="278"/>
      <c r="R1245" s="278"/>
      <c r="S1245" s="278"/>
      <c r="T1245" s="278"/>
      <c r="U1245" s="278"/>
      <c r="V1245" s="278"/>
      <c r="W1245" s="278"/>
      <c r="X1245" s="278"/>
      <c r="Y1245" s="278"/>
      <c r="Z1245" s="278"/>
      <c r="AA1245" s="278"/>
      <c r="AB1245" s="278"/>
      <c r="AC1245" s="278"/>
      <c r="AD1245" s="278"/>
      <c r="AE1245" s="278"/>
    </row>
    <row r="1246" spans="4:31" x14ac:dyDescent="0.2">
      <c r="D1246" s="278"/>
      <c r="E1246" s="278"/>
      <c r="F1246" s="278"/>
      <c r="G1246" s="278"/>
      <c r="H1246" s="279"/>
      <c r="I1246" s="279"/>
      <c r="J1246" s="279"/>
      <c r="K1246" s="279"/>
      <c r="L1246" s="279"/>
      <c r="M1246" s="278"/>
      <c r="N1246" s="278"/>
      <c r="O1246" s="278"/>
      <c r="P1246" s="278"/>
      <c r="Q1246" s="278"/>
      <c r="R1246" s="278"/>
      <c r="S1246" s="278"/>
      <c r="T1246" s="278"/>
      <c r="U1246" s="278"/>
      <c r="V1246" s="278"/>
      <c r="W1246" s="278"/>
      <c r="X1246" s="278"/>
      <c r="Y1246" s="278"/>
      <c r="Z1246" s="278"/>
      <c r="AA1246" s="278"/>
      <c r="AB1246" s="278"/>
      <c r="AC1246" s="278"/>
      <c r="AD1246" s="278"/>
      <c r="AE1246" s="278"/>
    </row>
    <row r="1247" spans="4:31" x14ac:dyDescent="0.2">
      <c r="D1247" s="278"/>
      <c r="E1247" s="278"/>
      <c r="F1247" s="278"/>
      <c r="G1247" s="278"/>
      <c r="H1247" s="279"/>
      <c r="I1247" s="279"/>
      <c r="J1247" s="279"/>
      <c r="K1247" s="279"/>
      <c r="L1247" s="279"/>
      <c r="M1247" s="278"/>
      <c r="N1247" s="278"/>
      <c r="O1247" s="278"/>
      <c r="P1247" s="278"/>
      <c r="Q1247" s="278"/>
      <c r="R1247" s="278"/>
      <c r="S1247" s="278"/>
      <c r="T1247" s="278"/>
      <c r="U1247" s="278"/>
      <c r="V1247" s="278"/>
      <c r="W1247" s="278"/>
      <c r="X1247" s="278"/>
      <c r="Y1247" s="278"/>
      <c r="Z1247" s="278"/>
      <c r="AA1247" s="278"/>
      <c r="AB1247" s="278"/>
      <c r="AC1247" s="278"/>
      <c r="AD1247" s="278"/>
      <c r="AE1247" s="278"/>
    </row>
    <row r="1248" spans="4:31" x14ac:dyDescent="0.2">
      <c r="D1248" s="278"/>
      <c r="E1248" s="278"/>
      <c r="F1248" s="278"/>
      <c r="G1248" s="278"/>
      <c r="H1248" s="279"/>
      <c r="I1248" s="279"/>
      <c r="J1248" s="279"/>
      <c r="K1248" s="279"/>
      <c r="L1248" s="279"/>
      <c r="M1248" s="278"/>
      <c r="N1248" s="278"/>
      <c r="O1248" s="278"/>
      <c r="P1248" s="278"/>
      <c r="Q1248" s="278"/>
      <c r="R1248" s="278"/>
      <c r="S1248" s="278"/>
      <c r="T1248" s="278"/>
      <c r="U1248" s="278"/>
      <c r="V1248" s="278"/>
      <c r="W1248" s="278"/>
      <c r="X1248" s="278"/>
      <c r="Y1248" s="278"/>
      <c r="Z1248" s="278"/>
      <c r="AA1248" s="278"/>
      <c r="AB1248" s="278"/>
      <c r="AC1248" s="278"/>
      <c r="AD1248" s="278"/>
      <c r="AE1248" s="278"/>
    </row>
    <row r="1249" spans="4:31" x14ac:dyDescent="0.2">
      <c r="D1249" s="278"/>
      <c r="E1249" s="278"/>
      <c r="F1249" s="278"/>
      <c r="G1249" s="278"/>
      <c r="H1249" s="279"/>
      <c r="I1249" s="279"/>
      <c r="J1249" s="279"/>
      <c r="K1249" s="279"/>
      <c r="L1249" s="279"/>
      <c r="M1249" s="278"/>
      <c r="N1249" s="278"/>
      <c r="O1249" s="278"/>
      <c r="P1249" s="278"/>
      <c r="Q1249" s="278"/>
      <c r="R1249" s="278"/>
      <c r="S1249" s="278"/>
      <c r="T1249" s="278"/>
      <c r="U1249" s="278"/>
      <c r="V1249" s="278"/>
      <c r="W1249" s="278"/>
      <c r="X1249" s="278"/>
      <c r="Y1249" s="278"/>
      <c r="Z1249" s="278"/>
      <c r="AA1249" s="278"/>
      <c r="AB1249" s="278"/>
      <c r="AC1249" s="278"/>
      <c r="AD1249" s="278"/>
      <c r="AE1249" s="278"/>
    </row>
    <row r="1250" spans="4:31" x14ac:dyDescent="0.2">
      <c r="D1250" s="278"/>
      <c r="E1250" s="278"/>
      <c r="F1250" s="278"/>
      <c r="G1250" s="278"/>
      <c r="H1250" s="279"/>
      <c r="I1250" s="279"/>
      <c r="J1250" s="279"/>
      <c r="K1250" s="279"/>
      <c r="L1250" s="279"/>
      <c r="M1250" s="278"/>
      <c r="N1250" s="278"/>
      <c r="O1250" s="278"/>
      <c r="P1250" s="278"/>
      <c r="Q1250" s="278"/>
      <c r="R1250" s="278"/>
      <c r="S1250" s="278"/>
      <c r="T1250" s="278"/>
      <c r="U1250" s="278"/>
      <c r="V1250" s="278"/>
      <c r="W1250" s="278"/>
      <c r="X1250" s="278"/>
      <c r="Y1250" s="278"/>
      <c r="Z1250" s="278"/>
      <c r="AA1250" s="278"/>
      <c r="AB1250" s="278"/>
      <c r="AC1250" s="278"/>
      <c r="AD1250" s="278"/>
      <c r="AE1250" s="278"/>
    </row>
    <row r="1251" spans="4:31" x14ac:dyDescent="0.2">
      <c r="D1251" s="278"/>
      <c r="E1251" s="278"/>
      <c r="F1251" s="278"/>
      <c r="G1251" s="278"/>
      <c r="H1251" s="279"/>
      <c r="I1251" s="279"/>
      <c r="J1251" s="279"/>
      <c r="K1251" s="279"/>
      <c r="L1251" s="279"/>
      <c r="M1251" s="278"/>
      <c r="N1251" s="278"/>
      <c r="O1251" s="278"/>
      <c r="P1251" s="278"/>
      <c r="Q1251" s="278"/>
      <c r="R1251" s="278"/>
      <c r="S1251" s="278"/>
      <c r="T1251" s="278"/>
      <c r="U1251" s="278"/>
      <c r="V1251" s="278"/>
      <c r="W1251" s="278"/>
      <c r="X1251" s="278"/>
      <c r="Y1251" s="278"/>
      <c r="Z1251" s="278"/>
      <c r="AA1251" s="278"/>
      <c r="AB1251" s="278"/>
      <c r="AC1251" s="278"/>
      <c r="AD1251" s="278"/>
      <c r="AE1251" s="278"/>
    </row>
    <row r="1252" spans="4:31" x14ac:dyDescent="0.2">
      <c r="D1252" s="278"/>
      <c r="E1252" s="278"/>
      <c r="F1252" s="278"/>
      <c r="G1252" s="278"/>
      <c r="H1252" s="279"/>
      <c r="I1252" s="279"/>
      <c r="J1252" s="279"/>
      <c r="K1252" s="279"/>
      <c r="L1252" s="279"/>
      <c r="M1252" s="278"/>
      <c r="N1252" s="278"/>
      <c r="O1252" s="278"/>
      <c r="P1252" s="278"/>
      <c r="Q1252" s="278"/>
      <c r="R1252" s="278"/>
      <c r="S1252" s="278"/>
      <c r="T1252" s="278"/>
      <c r="U1252" s="278"/>
      <c r="V1252" s="278"/>
      <c r="W1252" s="278"/>
      <c r="X1252" s="278"/>
      <c r="Y1252" s="278"/>
      <c r="Z1252" s="278"/>
      <c r="AA1252" s="278"/>
      <c r="AB1252" s="278"/>
      <c r="AC1252" s="278"/>
      <c r="AD1252" s="278"/>
      <c r="AE1252" s="278"/>
    </row>
    <row r="1253" spans="4:31" x14ac:dyDescent="0.2">
      <c r="D1253" s="278"/>
      <c r="E1253" s="278"/>
      <c r="F1253" s="278"/>
      <c r="G1253" s="278"/>
      <c r="H1253" s="279"/>
      <c r="I1253" s="279"/>
      <c r="J1253" s="279"/>
      <c r="K1253" s="279"/>
      <c r="L1253" s="279"/>
      <c r="M1253" s="278"/>
      <c r="N1253" s="278"/>
      <c r="O1253" s="278"/>
      <c r="P1253" s="278"/>
      <c r="Q1253" s="278"/>
      <c r="R1253" s="278"/>
      <c r="S1253" s="278"/>
      <c r="T1253" s="278"/>
      <c r="U1253" s="278"/>
      <c r="V1253" s="278"/>
      <c r="W1253" s="278"/>
      <c r="X1253" s="278"/>
      <c r="Y1253" s="278"/>
      <c r="Z1253" s="278"/>
      <c r="AA1253" s="278"/>
      <c r="AB1253" s="278"/>
      <c r="AC1253" s="278"/>
      <c r="AD1253" s="278"/>
      <c r="AE1253" s="278"/>
    </row>
    <row r="1254" spans="4:31" x14ac:dyDescent="0.2">
      <c r="D1254" s="278"/>
      <c r="E1254" s="278"/>
      <c r="F1254" s="278"/>
      <c r="G1254" s="278"/>
      <c r="H1254" s="279"/>
      <c r="I1254" s="279"/>
      <c r="J1254" s="279"/>
      <c r="K1254" s="279"/>
      <c r="L1254" s="279"/>
      <c r="M1254" s="278"/>
      <c r="N1254" s="278"/>
      <c r="O1254" s="278"/>
      <c r="P1254" s="278"/>
      <c r="Q1254" s="278"/>
      <c r="R1254" s="278"/>
      <c r="S1254" s="278"/>
      <c r="T1254" s="278"/>
      <c r="U1254" s="278"/>
      <c r="V1254" s="278"/>
      <c r="W1254" s="278"/>
      <c r="X1254" s="278"/>
      <c r="Y1254" s="278"/>
      <c r="Z1254" s="278"/>
      <c r="AA1254" s="278"/>
      <c r="AB1254" s="278"/>
      <c r="AC1254" s="278"/>
      <c r="AD1254" s="278"/>
      <c r="AE1254" s="278"/>
    </row>
    <row r="1255" spans="4:31" x14ac:dyDescent="0.2">
      <c r="D1255" s="278"/>
      <c r="E1255" s="278"/>
      <c r="F1255" s="278"/>
      <c r="G1255" s="278"/>
      <c r="H1255" s="279"/>
      <c r="I1255" s="279"/>
      <c r="J1255" s="279"/>
      <c r="K1255" s="279"/>
      <c r="L1255" s="279"/>
      <c r="M1255" s="278"/>
      <c r="N1255" s="278"/>
      <c r="O1255" s="278"/>
      <c r="P1255" s="278"/>
      <c r="Q1255" s="278"/>
      <c r="R1255" s="278"/>
      <c r="S1255" s="278"/>
      <c r="T1255" s="278"/>
      <c r="U1255" s="278"/>
      <c r="V1255" s="278"/>
      <c r="W1255" s="278"/>
      <c r="X1255" s="278"/>
      <c r="Y1255" s="278"/>
      <c r="Z1255" s="278"/>
      <c r="AA1255" s="278"/>
      <c r="AB1255" s="278"/>
      <c r="AC1255" s="278"/>
      <c r="AD1255" s="278"/>
      <c r="AE1255" s="278"/>
    </row>
    <row r="1256" spans="4:31" x14ac:dyDescent="0.2">
      <c r="D1256" s="278"/>
      <c r="E1256" s="278"/>
      <c r="F1256" s="278"/>
      <c r="G1256" s="278"/>
      <c r="H1256" s="279"/>
      <c r="I1256" s="279"/>
      <c r="J1256" s="279"/>
      <c r="K1256" s="279"/>
      <c r="L1256" s="279"/>
      <c r="M1256" s="278"/>
      <c r="N1256" s="278"/>
      <c r="O1256" s="278"/>
      <c r="P1256" s="278"/>
      <c r="Q1256" s="278"/>
      <c r="R1256" s="278"/>
      <c r="S1256" s="278"/>
      <c r="T1256" s="278"/>
      <c r="U1256" s="278"/>
      <c r="V1256" s="278"/>
      <c r="W1256" s="278"/>
      <c r="X1256" s="278"/>
      <c r="Y1256" s="278"/>
      <c r="Z1256" s="278"/>
      <c r="AA1256" s="278"/>
      <c r="AB1256" s="278"/>
      <c r="AC1256" s="278"/>
      <c r="AD1256" s="278"/>
      <c r="AE1256" s="278"/>
    </row>
    <row r="1257" spans="4:31" x14ac:dyDescent="0.2">
      <c r="D1257" s="278"/>
      <c r="E1257" s="278"/>
      <c r="F1257" s="278"/>
      <c r="G1257" s="278"/>
      <c r="H1257" s="279"/>
      <c r="I1257" s="279"/>
      <c r="J1257" s="279"/>
      <c r="K1257" s="279"/>
      <c r="L1257" s="279"/>
      <c r="M1257" s="278"/>
      <c r="N1257" s="278"/>
      <c r="O1257" s="278"/>
      <c r="P1257" s="278"/>
      <c r="Q1257" s="278"/>
      <c r="R1257" s="278"/>
      <c r="S1257" s="278"/>
      <c r="T1257" s="278"/>
      <c r="U1257" s="278"/>
      <c r="V1257" s="278"/>
      <c r="W1257" s="278"/>
      <c r="X1257" s="278"/>
      <c r="Y1257" s="278"/>
      <c r="Z1257" s="278"/>
      <c r="AA1257" s="278"/>
      <c r="AB1257" s="278"/>
      <c r="AC1257" s="278"/>
      <c r="AD1257" s="278"/>
      <c r="AE1257" s="278"/>
    </row>
    <row r="1258" spans="4:31" x14ac:dyDescent="0.2">
      <c r="D1258" s="278"/>
      <c r="E1258" s="278"/>
      <c r="F1258" s="278"/>
      <c r="G1258" s="278"/>
      <c r="H1258" s="279"/>
      <c r="I1258" s="279"/>
      <c r="J1258" s="279"/>
      <c r="K1258" s="279"/>
      <c r="L1258" s="279"/>
      <c r="M1258" s="278"/>
      <c r="N1258" s="278"/>
      <c r="O1258" s="278"/>
      <c r="P1258" s="278"/>
      <c r="Q1258" s="278"/>
      <c r="R1258" s="278"/>
      <c r="S1258" s="278"/>
      <c r="T1258" s="278"/>
      <c r="U1258" s="278"/>
      <c r="V1258" s="278"/>
      <c r="W1258" s="278"/>
      <c r="X1258" s="278"/>
      <c r="Y1258" s="278"/>
      <c r="Z1258" s="278"/>
      <c r="AA1258" s="278"/>
      <c r="AB1258" s="278"/>
      <c r="AC1258" s="278"/>
      <c r="AD1258" s="278"/>
      <c r="AE1258" s="278"/>
    </row>
    <row r="1259" spans="4:31" x14ac:dyDescent="0.2">
      <c r="D1259" s="278"/>
      <c r="E1259" s="278"/>
      <c r="F1259" s="278"/>
      <c r="G1259" s="278"/>
      <c r="H1259" s="279"/>
      <c r="I1259" s="279"/>
      <c r="J1259" s="279"/>
      <c r="K1259" s="279"/>
      <c r="L1259" s="279"/>
      <c r="M1259" s="278"/>
      <c r="N1259" s="278"/>
      <c r="O1259" s="278"/>
      <c r="P1259" s="278"/>
      <c r="Q1259" s="278"/>
      <c r="R1259" s="278"/>
      <c r="S1259" s="278"/>
      <c r="T1259" s="278"/>
      <c r="U1259" s="278"/>
      <c r="V1259" s="278"/>
      <c r="W1259" s="278"/>
      <c r="X1259" s="278"/>
      <c r="Y1259" s="278"/>
      <c r="Z1259" s="278"/>
      <c r="AA1259" s="278"/>
      <c r="AB1259" s="278"/>
      <c r="AC1259" s="278"/>
      <c r="AD1259" s="278"/>
      <c r="AE1259" s="278"/>
    </row>
    <row r="1260" spans="4:31" x14ac:dyDescent="0.2">
      <c r="D1260" s="278"/>
      <c r="E1260" s="278"/>
      <c r="F1260" s="278"/>
      <c r="G1260" s="278"/>
      <c r="H1260" s="279"/>
      <c r="I1260" s="279"/>
      <c r="J1260" s="279"/>
      <c r="K1260" s="279"/>
      <c r="L1260" s="279"/>
      <c r="M1260" s="278"/>
      <c r="N1260" s="278"/>
      <c r="O1260" s="278"/>
      <c r="P1260" s="278"/>
      <c r="Q1260" s="278"/>
      <c r="R1260" s="278"/>
      <c r="S1260" s="278"/>
      <c r="T1260" s="278"/>
      <c r="U1260" s="278"/>
      <c r="V1260" s="278"/>
      <c r="W1260" s="278"/>
      <c r="X1260" s="278"/>
      <c r="Y1260" s="278"/>
      <c r="Z1260" s="278"/>
      <c r="AA1260" s="278"/>
      <c r="AB1260" s="278"/>
      <c r="AC1260" s="278"/>
      <c r="AD1260" s="278"/>
      <c r="AE1260" s="278"/>
    </row>
    <row r="1261" spans="4:31" x14ac:dyDescent="0.2">
      <c r="D1261" s="278"/>
      <c r="E1261" s="278"/>
      <c r="F1261" s="278"/>
      <c r="G1261" s="278"/>
      <c r="H1261" s="279"/>
      <c r="I1261" s="279"/>
      <c r="J1261" s="279"/>
      <c r="K1261" s="279"/>
      <c r="L1261" s="279"/>
      <c r="M1261" s="278"/>
      <c r="N1261" s="278"/>
      <c r="O1261" s="278"/>
      <c r="P1261" s="278"/>
      <c r="Q1261" s="278"/>
      <c r="R1261" s="278"/>
      <c r="S1261" s="278"/>
      <c r="T1261" s="278"/>
      <c r="U1261" s="278"/>
      <c r="V1261" s="278"/>
      <c r="W1261" s="278"/>
      <c r="X1261" s="278"/>
      <c r="Y1261" s="278"/>
      <c r="Z1261" s="278"/>
      <c r="AA1261" s="278"/>
      <c r="AB1261" s="278"/>
      <c r="AC1261" s="278"/>
      <c r="AD1261" s="278"/>
      <c r="AE1261" s="278"/>
    </row>
    <row r="1262" spans="4:31" x14ac:dyDescent="0.2">
      <c r="D1262" s="278"/>
      <c r="E1262" s="278"/>
      <c r="F1262" s="278"/>
      <c r="G1262" s="278"/>
      <c r="H1262" s="279"/>
      <c r="I1262" s="279"/>
      <c r="J1262" s="279"/>
      <c r="K1262" s="279"/>
      <c r="L1262" s="279"/>
      <c r="M1262" s="278"/>
      <c r="N1262" s="278"/>
      <c r="O1262" s="278"/>
      <c r="P1262" s="278"/>
      <c r="Q1262" s="278"/>
      <c r="R1262" s="278"/>
      <c r="S1262" s="278"/>
      <c r="T1262" s="278"/>
      <c r="U1262" s="278"/>
      <c r="V1262" s="278"/>
      <c r="W1262" s="278"/>
      <c r="X1262" s="278"/>
      <c r="Y1262" s="278"/>
      <c r="Z1262" s="278"/>
      <c r="AA1262" s="278"/>
      <c r="AB1262" s="278"/>
      <c r="AC1262" s="278"/>
      <c r="AD1262" s="278"/>
      <c r="AE1262" s="278"/>
    </row>
    <row r="1263" spans="4:31" x14ac:dyDescent="0.2">
      <c r="D1263" s="278"/>
      <c r="E1263" s="278"/>
      <c r="F1263" s="278"/>
      <c r="G1263" s="278"/>
      <c r="H1263" s="279"/>
      <c r="I1263" s="279"/>
      <c r="J1263" s="279"/>
      <c r="K1263" s="279"/>
      <c r="L1263" s="279"/>
      <c r="M1263" s="278"/>
      <c r="N1263" s="278"/>
      <c r="O1263" s="278"/>
      <c r="P1263" s="278"/>
      <c r="Q1263" s="278"/>
      <c r="R1263" s="278"/>
      <c r="S1263" s="278"/>
      <c r="T1263" s="278"/>
      <c r="U1263" s="278"/>
      <c r="V1263" s="278"/>
      <c r="W1263" s="278"/>
      <c r="X1263" s="278"/>
      <c r="Y1263" s="278"/>
      <c r="Z1263" s="278"/>
      <c r="AA1263" s="278"/>
      <c r="AB1263" s="278"/>
      <c r="AC1263" s="278"/>
      <c r="AD1263" s="278"/>
      <c r="AE1263" s="278"/>
    </row>
    <row r="1264" spans="4:31" x14ac:dyDescent="0.2">
      <c r="D1264" s="278"/>
      <c r="E1264" s="278"/>
      <c r="F1264" s="278"/>
      <c r="G1264" s="278"/>
      <c r="H1264" s="279"/>
      <c r="I1264" s="279"/>
      <c r="J1264" s="279"/>
      <c r="K1264" s="279"/>
      <c r="L1264" s="279"/>
      <c r="M1264" s="278"/>
      <c r="N1264" s="278"/>
      <c r="O1264" s="278"/>
      <c r="P1264" s="278"/>
      <c r="Q1264" s="278"/>
      <c r="R1264" s="278"/>
      <c r="S1264" s="278"/>
      <c r="T1264" s="278"/>
      <c r="U1264" s="278"/>
      <c r="V1264" s="278"/>
      <c r="W1264" s="278"/>
      <c r="X1264" s="278"/>
      <c r="Y1264" s="278"/>
      <c r="Z1264" s="278"/>
      <c r="AA1264" s="278"/>
      <c r="AB1264" s="278"/>
      <c r="AC1264" s="278"/>
      <c r="AD1264" s="278"/>
      <c r="AE1264" s="278"/>
    </row>
    <row r="1265" spans="4:31" x14ac:dyDescent="0.2">
      <c r="D1265" s="278"/>
      <c r="E1265" s="278"/>
      <c r="F1265" s="278"/>
      <c r="G1265" s="278"/>
      <c r="H1265" s="279"/>
      <c r="I1265" s="279"/>
      <c r="J1265" s="279"/>
      <c r="K1265" s="279"/>
      <c r="L1265" s="279"/>
      <c r="M1265" s="278"/>
      <c r="N1265" s="278"/>
      <c r="O1265" s="278"/>
      <c r="P1265" s="278"/>
      <c r="Q1265" s="278"/>
      <c r="R1265" s="278"/>
      <c r="S1265" s="278"/>
      <c r="T1265" s="278"/>
      <c r="U1265" s="278"/>
      <c r="V1265" s="278"/>
      <c r="W1265" s="278"/>
      <c r="X1265" s="278"/>
      <c r="Y1265" s="278"/>
      <c r="Z1265" s="278"/>
      <c r="AA1265" s="278"/>
      <c r="AB1265" s="278"/>
      <c r="AC1265" s="278"/>
      <c r="AD1265" s="278"/>
      <c r="AE1265" s="278"/>
    </row>
    <row r="1266" spans="4:31" x14ac:dyDescent="0.2">
      <c r="D1266" s="278"/>
      <c r="E1266" s="278"/>
      <c r="F1266" s="278"/>
      <c r="G1266" s="278"/>
      <c r="H1266" s="279"/>
      <c r="I1266" s="279"/>
      <c r="J1266" s="279"/>
      <c r="K1266" s="279"/>
      <c r="L1266" s="279"/>
      <c r="M1266" s="278"/>
      <c r="N1266" s="278"/>
      <c r="O1266" s="278"/>
      <c r="P1266" s="278"/>
      <c r="Q1266" s="278"/>
      <c r="R1266" s="278"/>
      <c r="S1266" s="278"/>
      <c r="T1266" s="278"/>
      <c r="U1266" s="278"/>
      <c r="V1266" s="278"/>
      <c r="W1266" s="278"/>
      <c r="X1266" s="278"/>
      <c r="Y1266" s="278"/>
      <c r="Z1266" s="278"/>
      <c r="AA1266" s="278"/>
      <c r="AB1266" s="278"/>
      <c r="AC1266" s="278"/>
      <c r="AD1266" s="278"/>
      <c r="AE1266" s="278"/>
    </row>
    <row r="1267" spans="4:31" x14ac:dyDescent="0.2">
      <c r="D1267" s="278"/>
      <c r="E1267" s="278"/>
      <c r="F1267" s="278"/>
      <c r="G1267" s="278"/>
      <c r="H1267" s="279"/>
      <c r="I1267" s="279"/>
      <c r="J1267" s="279"/>
      <c r="K1267" s="279"/>
      <c r="L1267" s="279"/>
      <c r="M1267" s="278"/>
      <c r="N1267" s="278"/>
      <c r="O1267" s="278"/>
      <c r="P1267" s="278"/>
      <c r="Q1267" s="278"/>
      <c r="R1267" s="278"/>
      <c r="S1267" s="278"/>
      <c r="T1267" s="278"/>
      <c r="U1267" s="278"/>
      <c r="V1267" s="278"/>
      <c r="W1267" s="278"/>
      <c r="X1267" s="278"/>
      <c r="Y1267" s="278"/>
      <c r="Z1267" s="278"/>
      <c r="AA1267" s="278"/>
      <c r="AB1267" s="278"/>
      <c r="AC1267" s="278"/>
      <c r="AD1267" s="278"/>
      <c r="AE1267" s="278"/>
    </row>
    <row r="1268" spans="4:31" x14ac:dyDescent="0.2">
      <c r="D1268" s="278"/>
      <c r="E1268" s="278"/>
      <c r="F1268" s="278"/>
      <c r="G1268" s="278"/>
      <c r="H1268" s="279"/>
      <c r="I1268" s="279"/>
      <c r="J1268" s="279"/>
      <c r="K1268" s="279"/>
      <c r="L1268" s="279"/>
      <c r="M1268" s="278"/>
      <c r="N1268" s="278"/>
      <c r="O1268" s="278"/>
      <c r="P1268" s="278"/>
      <c r="Q1268" s="278"/>
      <c r="R1268" s="278"/>
      <c r="S1268" s="278"/>
      <c r="T1268" s="278"/>
      <c r="U1268" s="278"/>
      <c r="V1268" s="278"/>
      <c r="W1268" s="278"/>
      <c r="X1268" s="278"/>
      <c r="Y1268" s="278"/>
      <c r="Z1268" s="278"/>
      <c r="AA1268" s="278"/>
      <c r="AB1268" s="278"/>
      <c r="AC1268" s="278"/>
      <c r="AD1268" s="278"/>
      <c r="AE1268" s="278"/>
    </row>
    <row r="1269" spans="4:31" x14ac:dyDescent="0.2">
      <c r="D1269" s="278"/>
      <c r="E1269" s="278"/>
      <c r="F1269" s="278"/>
      <c r="G1269" s="278"/>
      <c r="H1269" s="279"/>
      <c r="I1269" s="279"/>
      <c r="J1269" s="279"/>
      <c r="K1269" s="279"/>
      <c r="L1269" s="279"/>
      <c r="M1269" s="278"/>
      <c r="N1269" s="278"/>
      <c r="O1269" s="278"/>
      <c r="P1269" s="278"/>
      <c r="Q1269" s="278"/>
      <c r="R1269" s="278"/>
      <c r="S1269" s="278"/>
      <c r="T1269" s="278"/>
      <c r="U1269" s="278"/>
      <c r="V1269" s="278"/>
      <c r="W1269" s="278"/>
      <c r="X1269" s="278"/>
      <c r="Y1269" s="278"/>
      <c r="Z1269" s="278"/>
      <c r="AA1269" s="278"/>
      <c r="AB1269" s="278"/>
      <c r="AC1269" s="278"/>
      <c r="AD1269" s="278"/>
      <c r="AE1269" s="278"/>
    </row>
    <row r="1270" spans="4:31" x14ac:dyDescent="0.2">
      <c r="D1270" s="278"/>
      <c r="E1270" s="278"/>
      <c r="F1270" s="278"/>
      <c r="G1270" s="278"/>
      <c r="H1270" s="279"/>
      <c r="I1270" s="279"/>
      <c r="J1270" s="279"/>
      <c r="K1270" s="279"/>
      <c r="L1270" s="279"/>
      <c r="M1270" s="278"/>
      <c r="N1270" s="278"/>
      <c r="O1270" s="278"/>
      <c r="P1270" s="278"/>
      <c r="Q1270" s="278"/>
      <c r="R1270" s="278"/>
      <c r="S1270" s="278"/>
      <c r="T1270" s="278"/>
      <c r="U1270" s="278"/>
      <c r="V1270" s="278"/>
      <c r="W1270" s="278"/>
      <c r="X1270" s="278"/>
      <c r="Y1270" s="278"/>
      <c r="Z1270" s="278"/>
      <c r="AA1270" s="278"/>
      <c r="AB1270" s="278"/>
      <c r="AC1270" s="278"/>
      <c r="AD1270" s="278"/>
      <c r="AE1270" s="278"/>
    </row>
    <row r="1271" spans="4:31" x14ac:dyDescent="0.2">
      <c r="D1271" s="278"/>
      <c r="E1271" s="278"/>
      <c r="F1271" s="278"/>
      <c r="G1271" s="278"/>
      <c r="H1271" s="279"/>
      <c r="I1271" s="279"/>
      <c r="J1271" s="279"/>
      <c r="K1271" s="279"/>
      <c r="L1271" s="279"/>
      <c r="M1271" s="278"/>
      <c r="N1271" s="278"/>
      <c r="O1271" s="278"/>
      <c r="P1271" s="278"/>
      <c r="Q1271" s="278"/>
      <c r="R1271" s="278"/>
      <c r="S1271" s="278"/>
      <c r="T1271" s="278"/>
      <c r="U1271" s="278"/>
      <c r="V1271" s="278"/>
      <c r="W1271" s="278"/>
      <c r="X1271" s="278"/>
      <c r="Y1271" s="278"/>
      <c r="Z1271" s="278"/>
      <c r="AA1271" s="278"/>
      <c r="AB1271" s="278"/>
      <c r="AC1271" s="278"/>
      <c r="AD1271" s="278"/>
      <c r="AE1271" s="278"/>
    </row>
    <row r="1272" spans="4:31" x14ac:dyDescent="0.2">
      <c r="D1272" s="278"/>
      <c r="E1272" s="278"/>
      <c r="F1272" s="278"/>
      <c r="G1272" s="278"/>
      <c r="H1272" s="279"/>
      <c r="I1272" s="279"/>
      <c r="J1272" s="279"/>
      <c r="K1272" s="279"/>
      <c r="L1272" s="279"/>
      <c r="M1272" s="278"/>
      <c r="N1272" s="278"/>
      <c r="O1272" s="278"/>
      <c r="P1272" s="278"/>
      <c r="Q1272" s="278"/>
      <c r="R1272" s="278"/>
      <c r="S1272" s="278"/>
      <c r="T1272" s="278"/>
      <c r="U1272" s="278"/>
      <c r="V1272" s="278"/>
      <c r="W1272" s="278"/>
      <c r="X1272" s="278"/>
      <c r="Y1272" s="278"/>
      <c r="Z1272" s="278"/>
      <c r="AA1272" s="278"/>
      <c r="AB1272" s="278"/>
      <c r="AC1272" s="278"/>
      <c r="AD1272" s="278"/>
      <c r="AE1272" s="278"/>
    </row>
    <row r="1273" spans="4:31" x14ac:dyDescent="0.2">
      <c r="D1273" s="278"/>
      <c r="E1273" s="278"/>
      <c r="F1273" s="278"/>
      <c r="G1273" s="278"/>
      <c r="H1273" s="279"/>
      <c r="I1273" s="279"/>
      <c r="J1273" s="279"/>
      <c r="K1273" s="279"/>
      <c r="L1273" s="279"/>
      <c r="M1273" s="278"/>
      <c r="N1273" s="278"/>
      <c r="O1273" s="278"/>
      <c r="P1273" s="278"/>
      <c r="Q1273" s="278"/>
      <c r="R1273" s="278"/>
      <c r="S1273" s="278"/>
      <c r="T1273" s="278"/>
      <c r="U1273" s="278"/>
      <c r="V1273" s="278"/>
      <c r="W1273" s="278"/>
      <c r="X1273" s="278"/>
      <c r="Y1273" s="278"/>
      <c r="Z1273" s="278"/>
      <c r="AA1273" s="278"/>
      <c r="AB1273" s="278"/>
      <c r="AC1273" s="278"/>
      <c r="AD1273" s="278"/>
      <c r="AE1273" s="278"/>
    </row>
    <row r="1274" spans="4:31" x14ac:dyDescent="0.2">
      <c r="D1274" s="278"/>
      <c r="E1274" s="278"/>
      <c r="F1274" s="278"/>
      <c r="G1274" s="278"/>
      <c r="H1274" s="279"/>
      <c r="I1274" s="279"/>
      <c r="J1274" s="279"/>
      <c r="K1274" s="279"/>
      <c r="L1274" s="279"/>
      <c r="M1274" s="278"/>
      <c r="N1274" s="278"/>
      <c r="O1274" s="278"/>
      <c r="P1274" s="278"/>
      <c r="Q1274" s="278"/>
      <c r="R1274" s="278"/>
      <c r="S1274" s="278"/>
      <c r="T1274" s="278"/>
      <c r="U1274" s="278"/>
      <c r="V1274" s="278"/>
      <c r="W1274" s="278"/>
      <c r="X1274" s="278"/>
      <c r="Y1274" s="278"/>
      <c r="Z1274" s="278"/>
      <c r="AA1274" s="278"/>
      <c r="AB1274" s="278"/>
      <c r="AC1274" s="278"/>
      <c r="AD1274" s="278"/>
      <c r="AE1274" s="278"/>
    </row>
    <row r="1275" spans="4:31" x14ac:dyDescent="0.2">
      <c r="D1275" s="278"/>
      <c r="E1275" s="278"/>
      <c r="F1275" s="278"/>
      <c r="G1275" s="278"/>
      <c r="H1275" s="279"/>
      <c r="I1275" s="279"/>
      <c r="J1275" s="279"/>
      <c r="K1275" s="279"/>
      <c r="L1275" s="279"/>
      <c r="M1275" s="278"/>
      <c r="N1275" s="278"/>
      <c r="O1275" s="278"/>
      <c r="P1275" s="278"/>
      <c r="Q1275" s="278"/>
      <c r="R1275" s="278"/>
      <c r="S1275" s="278"/>
      <c r="T1275" s="278"/>
      <c r="U1275" s="278"/>
      <c r="V1275" s="278"/>
      <c r="W1275" s="278"/>
      <c r="X1275" s="278"/>
      <c r="Y1275" s="278"/>
      <c r="Z1275" s="278"/>
      <c r="AA1275" s="278"/>
      <c r="AB1275" s="278"/>
      <c r="AC1275" s="278"/>
      <c r="AD1275" s="278"/>
      <c r="AE1275" s="278"/>
    </row>
    <row r="1276" spans="4:31" x14ac:dyDescent="0.2">
      <c r="D1276" s="278"/>
      <c r="E1276" s="278"/>
      <c r="F1276" s="278"/>
      <c r="G1276" s="278"/>
      <c r="H1276" s="279"/>
      <c r="I1276" s="279"/>
      <c r="J1276" s="279"/>
      <c r="K1276" s="279"/>
      <c r="L1276" s="279"/>
      <c r="M1276" s="278"/>
      <c r="N1276" s="278"/>
      <c r="O1276" s="278"/>
      <c r="P1276" s="278"/>
      <c r="Q1276" s="278"/>
      <c r="R1276" s="278"/>
      <c r="S1276" s="278"/>
      <c r="T1276" s="278"/>
      <c r="U1276" s="278"/>
      <c r="V1276" s="278"/>
      <c r="W1276" s="278"/>
      <c r="X1276" s="278"/>
      <c r="Y1276" s="278"/>
      <c r="Z1276" s="278"/>
      <c r="AA1276" s="278"/>
      <c r="AB1276" s="278"/>
      <c r="AC1276" s="278"/>
      <c r="AD1276" s="278"/>
      <c r="AE1276" s="278"/>
    </row>
    <row r="1277" spans="4:31" x14ac:dyDescent="0.2">
      <c r="D1277" s="278"/>
      <c r="E1277" s="278"/>
      <c r="F1277" s="278"/>
      <c r="G1277" s="278"/>
      <c r="H1277" s="279"/>
      <c r="I1277" s="279"/>
      <c r="J1277" s="279"/>
      <c r="K1277" s="279"/>
      <c r="L1277" s="279"/>
      <c r="M1277" s="278"/>
      <c r="N1277" s="278"/>
      <c r="O1277" s="278"/>
      <c r="P1277" s="278"/>
      <c r="Q1277" s="278"/>
      <c r="R1277" s="278"/>
      <c r="S1277" s="278"/>
      <c r="T1277" s="278"/>
      <c r="U1277" s="278"/>
      <c r="V1277" s="278"/>
      <c r="W1277" s="278"/>
      <c r="X1277" s="278"/>
      <c r="Y1277" s="278"/>
      <c r="Z1277" s="278"/>
      <c r="AA1277" s="278"/>
      <c r="AB1277" s="278"/>
      <c r="AC1277" s="278"/>
      <c r="AD1277" s="278"/>
      <c r="AE1277" s="278"/>
    </row>
    <row r="1278" spans="4:31" x14ac:dyDescent="0.2">
      <c r="D1278" s="278"/>
      <c r="E1278" s="278"/>
      <c r="F1278" s="278"/>
      <c r="G1278" s="278"/>
      <c r="H1278" s="279"/>
      <c r="I1278" s="279"/>
      <c r="J1278" s="279"/>
      <c r="K1278" s="279"/>
      <c r="L1278" s="279"/>
      <c r="M1278" s="278"/>
      <c r="N1278" s="278"/>
      <c r="O1278" s="278"/>
      <c r="P1278" s="278"/>
      <c r="Q1278" s="278"/>
      <c r="R1278" s="278"/>
      <c r="S1278" s="278"/>
      <c r="T1278" s="278"/>
      <c r="U1278" s="278"/>
      <c r="V1278" s="278"/>
      <c r="W1278" s="278"/>
      <c r="X1278" s="278"/>
      <c r="Y1278" s="278"/>
      <c r="Z1278" s="278"/>
      <c r="AA1278" s="278"/>
      <c r="AB1278" s="278"/>
      <c r="AC1278" s="278"/>
      <c r="AD1278" s="278"/>
      <c r="AE1278" s="278"/>
    </row>
    <row r="1279" spans="4:31" x14ac:dyDescent="0.2">
      <c r="D1279" s="278"/>
      <c r="E1279" s="278"/>
      <c r="F1279" s="278"/>
      <c r="G1279" s="278"/>
      <c r="H1279" s="279"/>
      <c r="I1279" s="279"/>
      <c r="J1279" s="279"/>
      <c r="K1279" s="279"/>
      <c r="L1279" s="279"/>
      <c r="M1279" s="278"/>
      <c r="N1279" s="278"/>
      <c r="O1279" s="278"/>
      <c r="P1279" s="278"/>
      <c r="Q1279" s="278"/>
      <c r="R1279" s="278"/>
      <c r="S1279" s="278"/>
      <c r="T1279" s="278"/>
      <c r="U1279" s="278"/>
      <c r="V1279" s="278"/>
      <c r="W1279" s="278"/>
      <c r="X1279" s="278"/>
      <c r="Y1279" s="278"/>
      <c r="Z1279" s="278"/>
      <c r="AA1279" s="278"/>
      <c r="AB1279" s="278"/>
      <c r="AC1279" s="278"/>
      <c r="AD1279" s="278"/>
      <c r="AE1279" s="278"/>
    </row>
    <row r="1280" spans="4:31" x14ac:dyDescent="0.2">
      <c r="D1280" s="278"/>
      <c r="E1280" s="278"/>
      <c r="F1280" s="278"/>
      <c r="G1280" s="278"/>
      <c r="H1280" s="279"/>
      <c r="I1280" s="279"/>
      <c r="J1280" s="279"/>
      <c r="K1280" s="279"/>
      <c r="L1280" s="279"/>
      <c r="M1280" s="278"/>
      <c r="N1280" s="278"/>
      <c r="O1280" s="278"/>
      <c r="P1280" s="278"/>
      <c r="Q1280" s="278"/>
      <c r="R1280" s="278"/>
      <c r="S1280" s="278"/>
      <c r="T1280" s="278"/>
      <c r="U1280" s="278"/>
      <c r="V1280" s="278"/>
      <c r="W1280" s="278"/>
      <c r="X1280" s="278"/>
      <c r="Y1280" s="278"/>
      <c r="Z1280" s="278"/>
      <c r="AA1280" s="278"/>
      <c r="AB1280" s="278"/>
      <c r="AC1280" s="278"/>
      <c r="AD1280" s="278"/>
      <c r="AE1280" s="278"/>
    </row>
    <row r="1281" spans="4:31" x14ac:dyDescent="0.2">
      <c r="D1281" s="278"/>
      <c r="E1281" s="278"/>
      <c r="F1281" s="278"/>
      <c r="G1281" s="278"/>
      <c r="H1281" s="279"/>
      <c r="I1281" s="279"/>
      <c r="J1281" s="279"/>
      <c r="K1281" s="279"/>
      <c r="L1281" s="279"/>
      <c r="M1281" s="278"/>
      <c r="N1281" s="278"/>
      <c r="O1281" s="278"/>
      <c r="P1281" s="278"/>
      <c r="Q1281" s="278"/>
      <c r="R1281" s="278"/>
      <c r="S1281" s="278"/>
      <c r="T1281" s="278"/>
      <c r="U1281" s="278"/>
      <c r="V1281" s="278"/>
      <c r="W1281" s="278"/>
      <c r="X1281" s="278"/>
      <c r="Y1281" s="278"/>
      <c r="Z1281" s="278"/>
      <c r="AA1281" s="278"/>
      <c r="AB1281" s="278"/>
      <c r="AC1281" s="278"/>
      <c r="AD1281" s="278"/>
      <c r="AE1281" s="278"/>
    </row>
    <row r="1282" spans="4:31" x14ac:dyDescent="0.2">
      <c r="D1282" s="278"/>
      <c r="E1282" s="278"/>
      <c r="F1282" s="278"/>
      <c r="G1282" s="278"/>
      <c r="H1282" s="279"/>
      <c r="I1282" s="279"/>
      <c r="J1282" s="279"/>
      <c r="K1282" s="279"/>
      <c r="L1282" s="279"/>
      <c r="M1282" s="278"/>
      <c r="N1282" s="278"/>
      <c r="O1282" s="278"/>
      <c r="P1282" s="278"/>
      <c r="Q1282" s="278"/>
      <c r="R1282" s="278"/>
      <c r="S1282" s="278"/>
      <c r="T1282" s="278"/>
      <c r="U1282" s="278"/>
      <c r="V1282" s="278"/>
      <c r="W1282" s="278"/>
      <c r="X1282" s="278"/>
      <c r="Y1282" s="278"/>
      <c r="Z1282" s="278"/>
      <c r="AA1282" s="278"/>
      <c r="AB1282" s="278"/>
      <c r="AC1282" s="278"/>
      <c r="AD1282" s="278"/>
      <c r="AE1282" s="278"/>
    </row>
    <row r="1283" spans="4:31" x14ac:dyDescent="0.2">
      <c r="D1283" s="278"/>
      <c r="E1283" s="278"/>
      <c r="F1283" s="278"/>
      <c r="G1283" s="278"/>
      <c r="H1283" s="279"/>
      <c r="I1283" s="279"/>
      <c r="J1283" s="279"/>
      <c r="K1283" s="279"/>
      <c r="L1283" s="279"/>
      <c r="M1283" s="278"/>
      <c r="N1283" s="278"/>
      <c r="O1283" s="278"/>
      <c r="P1283" s="278"/>
      <c r="Q1283" s="278"/>
      <c r="R1283" s="278"/>
      <c r="S1283" s="278"/>
      <c r="T1283" s="278"/>
      <c r="U1283" s="278"/>
      <c r="V1283" s="278"/>
      <c r="W1283" s="278"/>
      <c r="X1283" s="278"/>
      <c r="Y1283" s="278"/>
      <c r="Z1283" s="278"/>
      <c r="AA1283" s="278"/>
      <c r="AB1283" s="278"/>
      <c r="AC1283" s="278"/>
      <c r="AD1283" s="278"/>
      <c r="AE1283" s="278"/>
    </row>
    <row r="1284" spans="4:31" x14ac:dyDescent="0.2">
      <c r="D1284" s="278"/>
      <c r="E1284" s="278"/>
      <c r="F1284" s="278"/>
      <c r="G1284" s="278"/>
      <c r="H1284" s="279"/>
      <c r="I1284" s="279"/>
      <c r="J1284" s="279"/>
      <c r="K1284" s="279"/>
      <c r="L1284" s="279"/>
      <c r="M1284" s="278"/>
      <c r="N1284" s="278"/>
      <c r="O1284" s="278"/>
      <c r="P1284" s="278"/>
      <c r="Q1284" s="278"/>
      <c r="R1284" s="278"/>
      <c r="S1284" s="278"/>
      <c r="T1284" s="278"/>
      <c r="U1284" s="278"/>
      <c r="V1284" s="278"/>
      <c r="W1284" s="278"/>
      <c r="X1284" s="278"/>
      <c r="Y1284" s="278"/>
      <c r="Z1284" s="278"/>
      <c r="AA1284" s="278"/>
      <c r="AB1284" s="278"/>
      <c r="AC1284" s="278"/>
      <c r="AD1284" s="278"/>
      <c r="AE1284" s="278"/>
    </row>
    <row r="1285" spans="4:31" x14ac:dyDescent="0.2">
      <c r="D1285" s="278"/>
      <c r="E1285" s="278"/>
      <c r="F1285" s="278"/>
      <c r="G1285" s="278"/>
      <c r="H1285" s="279"/>
      <c r="I1285" s="279"/>
      <c r="J1285" s="279"/>
      <c r="K1285" s="279"/>
      <c r="L1285" s="279"/>
      <c r="M1285" s="278"/>
      <c r="N1285" s="278"/>
      <c r="O1285" s="278"/>
      <c r="P1285" s="278"/>
      <c r="Q1285" s="278"/>
      <c r="R1285" s="278"/>
      <c r="S1285" s="278"/>
      <c r="T1285" s="278"/>
      <c r="U1285" s="278"/>
      <c r="V1285" s="278"/>
      <c r="W1285" s="278"/>
      <c r="X1285" s="278"/>
      <c r="Y1285" s="278"/>
      <c r="Z1285" s="278"/>
      <c r="AA1285" s="278"/>
      <c r="AB1285" s="278"/>
      <c r="AC1285" s="278"/>
      <c r="AD1285" s="278"/>
      <c r="AE1285" s="278"/>
    </row>
    <row r="1286" spans="4:31" x14ac:dyDescent="0.2">
      <c r="D1286" s="278"/>
      <c r="E1286" s="278"/>
      <c r="F1286" s="278"/>
      <c r="G1286" s="278"/>
      <c r="H1286" s="279"/>
      <c r="I1286" s="279"/>
      <c r="J1286" s="279"/>
      <c r="K1286" s="279"/>
      <c r="L1286" s="279"/>
      <c r="M1286" s="278"/>
      <c r="N1286" s="278"/>
      <c r="O1286" s="278"/>
      <c r="P1286" s="278"/>
      <c r="Q1286" s="278"/>
      <c r="R1286" s="278"/>
      <c r="S1286" s="278"/>
      <c r="T1286" s="278"/>
      <c r="U1286" s="278"/>
      <c r="V1286" s="278"/>
      <c r="W1286" s="278"/>
      <c r="X1286" s="278"/>
      <c r="Y1286" s="278"/>
      <c r="Z1286" s="278"/>
      <c r="AA1286" s="278"/>
      <c r="AB1286" s="278"/>
      <c r="AC1286" s="278"/>
      <c r="AD1286" s="278"/>
      <c r="AE1286" s="278"/>
    </row>
    <row r="1287" spans="4:31" x14ac:dyDescent="0.2">
      <c r="D1287" s="278"/>
      <c r="E1287" s="278"/>
      <c r="F1287" s="278"/>
      <c r="G1287" s="278"/>
      <c r="H1287" s="279"/>
      <c r="I1287" s="279"/>
      <c r="J1287" s="279"/>
      <c r="K1287" s="279"/>
      <c r="L1287" s="279"/>
      <c r="M1287" s="278"/>
      <c r="N1287" s="278"/>
      <c r="O1287" s="278"/>
      <c r="P1287" s="278"/>
      <c r="Q1287" s="278"/>
      <c r="R1287" s="278"/>
      <c r="S1287" s="278"/>
      <c r="T1287" s="278"/>
      <c r="U1287" s="278"/>
      <c r="V1287" s="278"/>
      <c r="W1287" s="278"/>
      <c r="X1287" s="278"/>
      <c r="Y1287" s="278"/>
      <c r="Z1287" s="278"/>
      <c r="AA1287" s="278"/>
      <c r="AB1287" s="278"/>
      <c r="AC1287" s="278"/>
      <c r="AD1287" s="278"/>
      <c r="AE1287" s="278"/>
    </row>
    <row r="1288" spans="4:31" x14ac:dyDescent="0.2">
      <c r="D1288" s="278"/>
      <c r="E1288" s="278"/>
      <c r="F1288" s="278"/>
      <c r="G1288" s="278"/>
      <c r="H1288" s="279"/>
      <c r="I1288" s="279"/>
      <c r="J1288" s="279"/>
      <c r="K1288" s="279"/>
      <c r="L1288" s="279"/>
      <c r="M1288" s="278"/>
      <c r="N1288" s="278"/>
      <c r="O1288" s="278"/>
      <c r="P1288" s="278"/>
      <c r="Q1288" s="278"/>
      <c r="R1288" s="278"/>
      <c r="S1288" s="278"/>
      <c r="T1288" s="278"/>
      <c r="U1288" s="278"/>
      <c r="V1288" s="278"/>
      <c r="W1288" s="278"/>
      <c r="X1288" s="278"/>
      <c r="Y1288" s="278"/>
      <c r="Z1288" s="278"/>
      <c r="AA1288" s="278"/>
      <c r="AB1288" s="278"/>
      <c r="AC1288" s="278"/>
      <c r="AD1288" s="278"/>
      <c r="AE1288" s="278"/>
    </row>
    <row r="1289" spans="4:31" x14ac:dyDescent="0.2">
      <c r="D1289" s="278"/>
      <c r="E1289" s="278"/>
      <c r="F1289" s="278"/>
      <c r="G1289" s="278"/>
      <c r="H1289" s="279"/>
      <c r="I1289" s="279"/>
      <c r="J1289" s="279"/>
      <c r="K1289" s="279"/>
      <c r="L1289" s="279"/>
      <c r="M1289" s="278"/>
      <c r="N1289" s="278"/>
      <c r="O1289" s="278"/>
      <c r="P1289" s="278"/>
      <c r="Q1289" s="278"/>
      <c r="R1289" s="278"/>
      <c r="S1289" s="278"/>
      <c r="T1289" s="278"/>
      <c r="U1289" s="278"/>
      <c r="V1289" s="278"/>
      <c r="W1289" s="278"/>
      <c r="X1289" s="278"/>
      <c r="Y1289" s="278"/>
      <c r="Z1289" s="278"/>
      <c r="AA1289" s="278"/>
      <c r="AB1289" s="278"/>
      <c r="AC1289" s="278"/>
      <c r="AD1289" s="278"/>
      <c r="AE1289" s="278"/>
    </row>
    <row r="1290" spans="4:31" x14ac:dyDescent="0.2">
      <c r="D1290" s="278"/>
      <c r="E1290" s="278"/>
      <c r="F1290" s="278"/>
      <c r="G1290" s="278"/>
      <c r="H1290" s="279"/>
      <c r="I1290" s="279"/>
      <c r="J1290" s="279"/>
      <c r="K1290" s="279"/>
      <c r="L1290" s="279"/>
      <c r="M1290" s="278"/>
      <c r="N1290" s="278"/>
      <c r="O1290" s="278"/>
      <c r="P1290" s="278"/>
      <c r="Q1290" s="278"/>
      <c r="R1290" s="278"/>
      <c r="S1290" s="278"/>
      <c r="T1290" s="278"/>
      <c r="U1290" s="278"/>
      <c r="V1290" s="278"/>
      <c r="W1290" s="278"/>
      <c r="X1290" s="278"/>
      <c r="Y1290" s="278"/>
      <c r="Z1290" s="278"/>
      <c r="AA1290" s="278"/>
      <c r="AB1290" s="278"/>
      <c r="AC1290" s="278"/>
      <c r="AD1290" s="278"/>
      <c r="AE1290" s="278"/>
    </row>
    <row r="1291" spans="4:31" x14ac:dyDescent="0.2">
      <c r="D1291" s="278"/>
      <c r="E1291" s="278"/>
      <c r="F1291" s="278"/>
      <c r="G1291" s="278"/>
      <c r="H1291" s="279"/>
      <c r="I1291" s="279"/>
      <c r="J1291" s="279"/>
      <c r="K1291" s="279"/>
      <c r="L1291" s="279"/>
      <c r="M1291" s="278"/>
      <c r="N1291" s="278"/>
      <c r="O1291" s="278"/>
      <c r="P1291" s="278"/>
      <c r="Q1291" s="278"/>
      <c r="R1291" s="278"/>
      <c r="S1291" s="278"/>
      <c r="T1291" s="278"/>
      <c r="U1291" s="278"/>
      <c r="V1291" s="278"/>
      <c r="W1291" s="278"/>
      <c r="X1291" s="278"/>
      <c r="Y1291" s="278"/>
      <c r="Z1291" s="278"/>
      <c r="AA1291" s="278"/>
      <c r="AB1291" s="278"/>
      <c r="AC1291" s="278"/>
      <c r="AD1291" s="278"/>
      <c r="AE1291" s="278"/>
    </row>
    <row r="1292" spans="4:31" x14ac:dyDescent="0.2">
      <c r="D1292" s="278"/>
      <c r="E1292" s="278"/>
      <c r="F1292" s="278"/>
      <c r="G1292" s="278"/>
      <c r="H1292" s="279"/>
      <c r="I1292" s="279"/>
      <c r="J1292" s="279"/>
      <c r="K1292" s="279"/>
      <c r="L1292" s="279"/>
      <c r="M1292" s="278"/>
      <c r="N1292" s="278"/>
      <c r="O1292" s="278"/>
      <c r="P1292" s="278"/>
      <c r="Q1292" s="278"/>
      <c r="R1292" s="278"/>
      <c r="S1292" s="278"/>
      <c r="T1292" s="278"/>
      <c r="U1292" s="278"/>
      <c r="V1292" s="278"/>
      <c r="W1292" s="278"/>
      <c r="X1292" s="278"/>
      <c r="Y1292" s="278"/>
      <c r="Z1292" s="278"/>
      <c r="AA1292" s="278"/>
      <c r="AB1292" s="278"/>
      <c r="AC1292" s="278"/>
      <c r="AD1292" s="278"/>
      <c r="AE1292" s="278"/>
    </row>
    <row r="1293" spans="4:31" x14ac:dyDescent="0.2">
      <c r="D1293" s="278"/>
      <c r="E1293" s="278"/>
      <c r="F1293" s="278"/>
      <c r="G1293" s="278"/>
      <c r="H1293" s="279"/>
      <c r="I1293" s="279"/>
      <c r="J1293" s="279"/>
      <c r="K1293" s="279"/>
      <c r="L1293" s="279"/>
      <c r="M1293" s="278"/>
      <c r="N1293" s="278"/>
      <c r="O1293" s="278"/>
      <c r="P1293" s="278"/>
      <c r="Q1293" s="278"/>
      <c r="R1293" s="278"/>
      <c r="S1293" s="278"/>
      <c r="T1293" s="278"/>
      <c r="U1293" s="278"/>
      <c r="V1293" s="278"/>
      <c r="W1293" s="278"/>
      <c r="X1293" s="278"/>
      <c r="Y1293" s="278"/>
      <c r="Z1293" s="278"/>
      <c r="AA1293" s="278"/>
      <c r="AB1293" s="278"/>
      <c r="AC1293" s="278"/>
      <c r="AD1293" s="278"/>
      <c r="AE1293" s="278"/>
    </row>
    <row r="1294" spans="4:31" x14ac:dyDescent="0.2">
      <c r="D1294" s="278"/>
      <c r="E1294" s="278"/>
      <c r="F1294" s="278"/>
      <c r="G1294" s="278"/>
      <c r="H1294" s="279"/>
      <c r="I1294" s="279"/>
      <c r="J1294" s="279"/>
      <c r="K1294" s="279"/>
      <c r="L1294" s="279"/>
      <c r="M1294" s="278"/>
      <c r="N1294" s="278"/>
      <c r="O1294" s="278"/>
      <c r="P1294" s="278"/>
      <c r="Q1294" s="278"/>
      <c r="R1294" s="278"/>
      <c r="S1294" s="278"/>
      <c r="T1294" s="278"/>
      <c r="U1294" s="278"/>
      <c r="V1294" s="278"/>
      <c r="W1294" s="278"/>
      <c r="X1294" s="278"/>
      <c r="Y1294" s="278"/>
      <c r="Z1294" s="278"/>
      <c r="AA1294" s="278"/>
      <c r="AB1294" s="278"/>
      <c r="AC1294" s="278"/>
      <c r="AD1294" s="278"/>
      <c r="AE1294" s="278"/>
    </row>
    <row r="1295" spans="4:31" x14ac:dyDescent="0.2">
      <c r="D1295" s="278"/>
      <c r="E1295" s="278"/>
      <c r="F1295" s="278"/>
      <c r="G1295" s="278"/>
      <c r="H1295" s="279"/>
      <c r="I1295" s="279"/>
      <c r="J1295" s="279"/>
      <c r="K1295" s="279"/>
      <c r="L1295" s="279"/>
      <c r="M1295" s="278"/>
      <c r="N1295" s="278"/>
      <c r="O1295" s="278"/>
      <c r="P1295" s="278"/>
      <c r="Q1295" s="278"/>
      <c r="R1295" s="278"/>
      <c r="S1295" s="278"/>
      <c r="T1295" s="278"/>
      <c r="U1295" s="278"/>
      <c r="V1295" s="278"/>
      <c r="W1295" s="278"/>
      <c r="X1295" s="278"/>
      <c r="Y1295" s="278"/>
      <c r="Z1295" s="278"/>
      <c r="AA1295" s="278"/>
      <c r="AB1295" s="278"/>
      <c r="AC1295" s="278"/>
      <c r="AD1295" s="278"/>
      <c r="AE1295" s="278"/>
    </row>
    <row r="1296" spans="4:31" x14ac:dyDescent="0.2">
      <c r="D1296" s="278"/>
      <c r="E1296" s="278"/>
      <c r="F1296" s="278"/>
      <c r="G1296" s="278"/>
      <c r="H1296" s="279"/>
      <c r="I1296" s="279"/>
      <c r="J1296" s="279"/>
      <c r="K1296" s="279"/>
      <c r="L1296" s="279"/>
      <c r="M1296" s="278"/>
      <c r="N1296" s="278"/>
      <c r="O1296" s="278"/>
      <c r="P1296" s="278"/>
      <c r="Q1296" s="278"/>
      <c r="R1296" s="278"/>
      <c r="S1296" s="278"/>
      <c r="T1296" s="278"/>
      <c r="U1296" s="278"/>
      <c r="V1296" s="278"/>
      <c r="W1296" s="278"/>
      <c r="X1296" s="278"/>
      <c r="Y1296" s="278"/>
      <c r="Z1296" s="278"/>
      <c r="AA1296" s="278"/>
      <c r="AB1296" s="278"/>
      <c r="AC1296" s="278"/>
      <c r="AD1296" s="278"/>
      <c r="AE1296" s="278"/>
    </row>
    <row r="1297" spans="4:31" x14ac:dyDescent="0.2">
      <c r="D1297" s="278"/>
      <c r="E1297" s="278"/>
      <c r="F1297" s="278"/>
      <c r="G1297" s="278"/>
      <c r="H1297" s="279"/>
      <c r="I1297" s="279"/>
      <c r="J1297" s="279"/>
      <c r="K1297" s="279"/>
      <c r="L1297" s="279"/>
      <c r="M1297" s="278"/>
      <c r="N1297" s="278"/>
      <c r="O1297" s="278"/>
      <c r="P1297" s="278"/>
      <c r="Q1297" s="278"/>
      <c r="R1297" s="278"/>
      <c r="S1297" s="278"/>
      <c r="T1297" s="278"/>
      <c r="U1297" s="278"/>
      <c r="V1297" s="278"/>
      <c r="W1297" s="278"/>
      <c r="X1297" s="278"/>
      <c r="Y1297" s="278"/>
      <c r="Z1297" s="278"/>
      <c r="AA1297" s="278"/>
      <c r="AB1297" s="278"/>
      <c r="AC1297" s="278"/>
      <c r="AD1297" s="278"/>
      <c r="AE1297" s="278"/>
    </row>
    <row r="1298" spans="4:31" x14ac:dyDescent="0.2">
      <c r="D1298" s="278"/>
      <c r="E1298" s="278"/>
      <c r="F1298" s="278"/>
      <c r="G1298" s="278"/>
      <c r="H1298" s="279"/>
      <c r="I1298" s="279"/>
      <c r="J1298" s="279"/>
      <c r="K1298" s="279"/>
      <c r="L1298" s="279"/>
      <c r="M1298" s="278"/>
      <c r="N1298" s="278"/>
      <c r="O1298" s="278"/>
      <c r="P1298" s="278"/>
      <c r="Q1298" s="278"/>
      <c r="R1298" s="278"/>
      <c r="S1298" s="278"/>
      <c r="T1298" s="278"/>
      <c r="U1298" s="278"/>
      <c r="V1298" s="278"/>
      <c r="W1298" s="278"/>
      <c r="X1298" s="278"/>
      <c r="Y1298" s="278"/>
      <c r="Z1298" s="278"/>
      <c r="AA1298" s="278"/>
      <c r="AB1298" s="278"/>
      <c r="AC1298" s="278"/>
      <c r="AD1298" s="278"/>
      <c r="AE1298" s="278"/>
    </row>
    <row r="1299" spans="4:31" x14ac:dyDescent="0.2">
      <c r="D1299" s="278"/>
      <c r="E1299" s="278"/>
      <c r="F1299" s="278"/>
      <c r="G1299" s="278"/>
      <c r="H1299" s="279"/>
      <c r="I1299" s="279"/>
      <c r="J1299" s="279"/>
      <c r="K1299" s="279"/>
      <c r="L1299" s="279"/>
      <c r="M1299" s="278"/>
      <c r="N1299" s="278"/>
      <c r="O1299" s="278"/>
      <c r="P1299" s="278"/>
      <c r="Q1299" s="278"/>
      <c r="R1299" s="278"/>
      <c r="S1299" s="278"/>
      <c r="T1299" s="278"/>
      <c r="U1299" s="278"/>
      <c r="V1299" s="278"/>
      <c r="W1299" s="278"/>
      <c r="X1299" s="278"/>
      <c r="Y1299" s="278"/>
      <c r="Z1299" s="278"/>
      <c r="AA1299" s="278"/>
      <c r="AB1299" s="278"/>
      <c r="AC1299" s="278"/>
      <c r="AD1299" s="278"/>
      <c r="AE1299" s="278"/>
    </row>
    <row r="1300" spans="4:31" x14ac:dyDescent="0.2">
      <c r="D1300" s="278"/>
      <c r="E1300" s="278"/>
      <c r="F1300" s="278"/>
      <c r="G1300" s="278"/>
      <c r="H1300" s="279"/>
      <c r="I1300" s="279"/>
      <c r="J1300" s="279"/>
      <c r="K1300" s="279"/>
      <c r="L1300" s="279"/>
      <c r="M1300" s="278"/>
      <c r="N1300" s="278"/>
      <c r="O1300" s="278"/>
      <c r="P1300" s="278"/>
      <c r="Q1300" s="278"/>
      <c r="R1300" s="278"/>
      <c r="S1300" s="278"/>
      <c r="T1300" s="278"/>
      <c r="U1300" s="278"/>
      <c r="V1300" s="278"/>
      <c r="W1300" s="278"/>
      <c r="X1300" s="278"/>
      <c r="Y1300" s="278"/>
      <c r="Z1300" s="278"/>
      <c r="AA1300" s="278"/>
      <c r="AB1300" s="278"/>
      <c r="AC1300" s="278"/>
      <c r="AD1300" s="278"/>
      <c r="AE1300" s="278"/>
    </row>
    <row r="1301" spans="4:31" x14ac:dyDescent="0.2">
      <c r="D1301" s="278"/>
      <c r="E1301" s="278"/>
      <c r="F1301" s="278"/>
      <c r="G1301" s="278"/>
      <c r="H1301" s="279"/>
      <c r="I1301" s="279"/>
      <c r="J1301" s="279"/>
      <c r="K1301" s="279"/>
      <c r="L1301" s="279"/>
      <c r="M1301" s="278"/>
      <c r="N1301" s="278"/>
      <c r="O1301" s="278"/>
      <c r="P1301" s="278"/>
      <c r="Q1301" s="278"/>
      <c r="R1301" s="278"/>
      <c r="S1301" s="278"/>
      <c r="T1301" s="278"/>
      <c r="U1301" s="278"/>
      <c r="V1301" s="278"/>
      <c r="W1301" s="278"/>
      <c r="X1301" s="278"/>
      <c r="Y1301" s="278"/>
      <c r="Z1301" s="278"/>
      <c r="AA1301" s="278"/>
      <c r="AB1301" s="278"/>
      <c r="AC1301" s="278"/>
      <c r="AD1301" s="278"/>
      <c r="AE1301" s="278"/>
    </row>
    <row r="1302" spans="4:31" x14ac:dyDescent="0.2">
      <c r="D1302" s="278"/>
      <c r="E1302" s="278"/>
      <c r="F1302" s="278"/>
      <c r="G1302" s="278"/>
      <c r="H1302" s="279"/>
      <c r="I1302" s="279"/>
      <c r="J1302" s="279"/>
      <c r="K1302" s="279"/>
      <c r="L1302" s="279"/>
      <c r="M1302" s="278"/>
      <c r="N1302" s="278"/>
      <c r="O1302" s="278"/>
      <c r="P1302" s="278"/>
      <c r="Q1302" s="278"/>
      <c r="R1302" s="278"/>
      <c r="S1302" s="278"/>
      <c r="T1302" s="278"/>
      <c r="U1302" s="278"/>
      <c r="V1302" s="278"/>
      <c r="W1302" s="278"/>
      <c r="X1302" s="278"/>
      <c r="Y1302" s="278"/>
      <c r="Z1302" s="278"/>
      <c r="AA1302" s="278"/>
      <c r="AB1302" s="278"/>
      <c r="AC1302" s="278"/>
      <c r="AD1302" s="278"/>
      <c r="AE1302" s="278"/>
    </row>
    <row r="1303" spans="4:31" x14ac:dyDescent="0.2">
      <c r="D1303" s="278"/>
      <c r="E1303" s="278"/>
      <c r="F1303" s="278"/>
      <c r="G1303" s="278"/>
      <c r="H1303" s="279"/>
      <c r="I1303" s="279"/>
      <c r="J1303" s="279"/>
      <c r="K1303" s="279"/>
      <c r="L1303" s="279"/>
      <c r="M1303" s="278"/>
      <c r="N1303" s="278"/>
      <c r="O1303" s="278"/>
      <c r="P1303" s="278"/>
      <c r="Q1303" s="278"/>
      <c r="R1303" s="278"/>
      <c r="S1303" s="278"/>
      <c r="T1303" s="278"/>
      <c r="U1303" s="278"/>
      <c r="V1303" s="278"/>
      <c r="W1303" s="278"/>
      <c r="X1303" s="278"/>
      <c r="Y1303" s="278"/>
      <c r="Z1303" s="278"/>
      <c r="AA1303" s="278"/>
      <c r="AB1303" s="278"/>
      <c r="AC1303" s="278"/>
      <c r="AD1303" s="278"/>
      <c r="AE1303" s="278"/>
    </row>
    <row r="1304" spans="4:31" x14ac:dyDescent="0.2">
      <c r="D1304" s="278"/>
      <c r="E1304" s="278"/>
      <c r="F1304" s="278"/>
      <c r="G1304" s="278"/>
      <c r="H1304" s="279"/>
      <c r="I1304" s="279"/>
      <c r="J1304" s="279"/>
      <c r="K1304" s="279"/>
      <c r="L1304" s="279"/>
      <c r="M1304" s="278"/>
      <c r="N1304" s="278"/>
      <c r="O1304" s="278"/>
      <c r="P1304" s="278"/>
      <c r="Q1304" s="278"/>
      <c r="R1304" s="278"/>
      <c r="S1304" s="278"/>
      <c r="T1304" s="278"/>
      <c r="U1304" s="278"/>
      <c r="V1304" s="278"/>
      <c r="W1304" s="278"/>
      <c r="X1304" s="278"/>
      <c r="Y1304" s="278"/>
      <c r="Z1304" s="278"/>
      <c r="AA1304" s="278"/>
      <c r="AB1304" s="278"/>
      <c r="AC1304" s="278"/>
      <c r="AD1304" s="278"/>
      <c r="AE1304" s="278"/>
    </row>
    <row r="1305" spans="4:31" x14ac:dyDescent="0.2">
      <c r="D1305" s="278"/>
      <c r="E1305" s="278"/>
      <c r="F1305" s="278"/>
      <c r="G1305" s="278"/>
      <c r="H1305" s="279"/>
      <c r="I1305" s="279"/>
      <c r="J1305" s="279"/>
      <c r="K1305" s="279"/>
      <c r="L1305" s="279"/>
      <c r="M1305" s="278"/>
      <c r="N1305" s="278"/>
      <c r="O1305" s="278"/>
      <c r="P1305" s="278"/>
      <c r="Q1305" s="278"/>
      <c r="R1305" s="278"/>
      <c r="S1305" s="278"/>
      <c r="T1305" s="278"/>
      <c r="U1305" s="278"/>
      <c r="V1305" s="278"/>
      <c r="W1305" s="278"/>
      <c r="X1305" s="278"/>
      <c r="Y1305" s="278"/>
      <c r="Z1305" s="278"/>
      <c r="AA1305" s="278"/>
      <c r="AB1305" s="278"/>
      <c r="AC1305" s="278"/>
      <c r="AD1305" s="278"/>
      <c r="AE1305" s="278"/>
    </row>
    <row r="1306" spans="4:31" x14ac:dyDescent="0.2">
      <c r="D1306" s="278"/>
      <c r="E1306" s="278"/>
      <c r="F1306" s="278"/>
      <c r="G1306" s="278"/>
      <c r="H1306" s="279"/>
      <c r="I1306" s="279"/>
      <c r="J1306" s="279"/>
      <c r="K1306" s="279"/>
      <c r="L1306" s="279"/>
      <c r="M1306" s="278"/>
      <c r="N1306" s="278"/>
      <c r="O1306" s="278"/>
      <c r="P1306" s="278"/>
      <c r="Q1306" s="278"/>
      <c r="R1306" s="278"/>
      <c r="S1306" s="278"/>
      <c r="T1306" s="278"/>
      <c r="U1306" s="278"/>
      <c r="V1306" s="278"/>
      <c r="W1306" s="278"/>
      <c r="X1306" s="278"/>
      <c r="Y1306" s="278"/>
      <c r="Z1306" s="278"/>
      <c r="AA1306" s="278"/>
      <c r="AB1306" s="278"/>
      <c r="AC1306" s="278"/>
      <c r="AD1306" s="278"/>
      <c r="AE1306" s="278"/>
    </row>
    <row r="1307" spans="4:31" x14ac:dyDescent="0.2">
      <c r="D1307" s="278"/>
      <c r="E1307" s="278"/>
      <c r="F1307" s="278"/>
      <c r="G1307" s="278"/>
      <c r="H1307" s="279"/>
      <c r="I1307" s="279"/>
      <c r="J1307" s="279"/>
      <c r="K1307" s="279"/>
      <c r="L1307" s="279"/>
      <c r="M1307" s="278"/>
      <c r="N1307" s="278"/>
      <c r="O1307" s="278"/>
      <c r="P1307" s="278"/>
      <c r="Q1307" s="278"/>
      <c r="R1307" s="278"/>
      <c r="S1307" s="278"/>
      <c r="T1307" s="278"/>
      <c r="U1307" s="278"/>
      <c r="V1307" s="278"/>
      <c r="W1307" s="278"/>
      <c r="X1307" s="278"/>
      <c r="Y1307" s="278"/>
      <c r="Z1307" s="278"/>
      <c r="AA1307" s="278"/>
      <c r="AB1307" s="278"/>
      <c r="AC1307" s="278"/>
      <c r="AD1307" s="278"/>
      <c r="AE1307" s="278"/>
    </row>
    <row r="1308" spans="4:31" x14ac:dyDescent="0.2">
      <c r="D1308" s="278"/>
      <c r="E1308" s="278"/>
      <c r="F1308" s="278"/>
      <c r="G1308" s="278"/>
      <c r="H1308" s="279"/>
      <c r="I1308" s="279"/>
      <c r="J1308" s="279"/>
      <c r="K1308" s="279"/>
      <c r="L1308" s="279"/>
      <c r="M1308" s="278"/>
      <c r="N1308" s="278"/>
      <c r="O1308" s="278"/>
      <c r="P1308" s="278"/>
      <c r="Q1308" s="278"/>
      <c r="R1308" s="278"/>
      <c r="S1308" s="278"/>
      <c r="T1308" s="278"/>
      <c r="U1308" s="278"/>
      <c r="V1308" s="278"/>
      <c r="W1308" s="278"/>
      <c r="X1308" s="278"/>
      <c r="Y1308" s="278"/>
      <c r="Z1308" s="278"/>
      <c r="AA1308" s="278"/>
      <c r="AB1308" s="278"/>
      <c r="AC1308" s="278"/>
      <c r="AD1308" s="278"/>
      <c r="AE1308" s="278"/>
    </row>
    <row r="1309" spans="4:31" x14ac:dyDescent="0.2">
      <c r="D1309" s="278"/>
      <c r="E1309" s="278"/>
      <c r="F1309" s="278"/>
      <c r="G1309" s="278"/>
      <c r="H1309" s="279"/>
      <c r="I1309" s="279"/>
      <c r="J1309" s="279"/>
      <c r="K1309" s="279"/>
      <c r="L1309" s="279"/>
      <c r="M1309" s="278"/>
      <c r="N1309" s="278"/>
      <c r="O1309" s="278"/>
      <c r="P1309" s="278"/>
      <c r="Q1309" s="278"/>
      <c r="R1309" s="278"/>
      <c r="S1309" s="278"/>
      <c r="T1309" s="278"/>
      <c r="U1309" s="278"/>
      <c r="V1309" s="278"/>
      <c r="W1309" s="278"/>
      <c r="X1309" s="278"/>
      <c r="Y1309" s="278"/>
      <c r="Z1309" s="278"/>
      <c r="AA1309" s="278"/>
      <c r="AB1309" s="278"/>
      <c r="AC1309" s="278"/>
      <c r="AD1309" s="278"/>
      <c r="AE1309" s="278"/>
    </row>
    <row r="1310" spans="4:31" x14ac:dyDescent="0.2">
      <c r="D1310" s="278"/>
      <c r="E1310" s="278"/>
      <c r="F1310" s="278"/>
      <c r="G1310" s="278"/>
      <c r="H1310" s="279"/>
      <c r="I1310" s="279"/>
      <c r="J1310" s="279"/>
      <c r="K1310" s="279"/>
      <c r="L1310" s="279"/>
      <c r="M1310" s="278"/>
      <c r="N1310" s="278"/>
      <c r="O1310" s="278"/>
      <c r="P1310" s="278"/>
      <c r="Q1310" s="278"/>
      <c r="R1310" s="278"/>
      <c r="S1310" s="278"/>
      <c r="T1310" s="278"/>
      <c r="U1310" s="278"/>
      <c r="V1310" s="278"/>
      <c r="W1310" s="278"/>
      <c r="X1310" s="278"/>
      <c r="Y1310" s="278"/>
      <c r="Z1310" s="278"/>
      <c r="AA1310" s="278"/>
      <c r="AB1310" s="278"/>
      <c r="AC1310" s="278"/>
      <c r="AD1310" s="278"/>
      <c r="AE1310" s="278"/>
    </row>
    <row r="1311" spans="4:31" x14ac:dyDescent="0.2">
      <c r="D1311" s="278"/>
      <c r="E1311" s="278"/>
      <c r="F1311" s="278"/>
      <c r="G1311" s="278"/>
      <c r="H1311" s="279"/>
      <c r="I1311" s="279"/>
      <c r="J1311" s="279"/>
      <c r="K1311" s="279"/>
      <c r="L1311" s="279"/>
      <c r="M1311" s="278"/>
      <c r="N1311" s="278"/>
      <c r="O1311" s="278"/>
      <c r="P1311" s="278"/>
      <c r="Q1311" s="278"/>
      <c r="R1311" s="278"/>
      <c r="S1311" s="278"/>
      <c r="T1311" s="278"/>
      <c r="U1311" s="278"/>
      <c r="V1311" s="278"/>
      <c r="W1311" s="278"/>
      <c r="X1311" s="278"/>
      <c r="Y1311" s="278"/>
      <c r="Z1311" s="278"/>
      <c r="AA1311" s="278"/>
      <c r="AB1311" s="278"/>
      <c r="AC1311" s="278"/>
      <c r="AD1311" s="278"/>
      <c r="AE1311" s="278"/>
    </row>
    <row r="1312" spans="4:31" x14ac:dyDescent="0.2">
      <c r="D1312" s="278"/>
      <c r="E1312" s="278"/>
      <c r="F1312" s="278"/>
      <c r="G1312" s="278"/>
      <c r="H1312" s="279"/>
      <c r="I1312" s="279"/>
      <c r="J1312" s="279"/>
      <c r="K1312" s="279"/>
      <c r="L1312" s="279"/>
      <c r="M1312" s="278"/>
      <c r="N1312" s="278"/>
      <c r="O1312" s="278"/>
      <c r="P1312" s="278"/>
      <c r="Q1312" s="278"/>
      <c r="R1312" s="278"/>
      <c r="S1312" s="278"/>
      <c r="T1312" s="278"/>
      <c r="U1312" s="278"/>
      <c r="V1312" s="278"/>
      <c r="W1312" s="278"/>
      <c r="X1312" s="278"/>
      <c r="Y1312" s="278"/>
      <c r="Z1312" s="278"/>
      <c r="AA1312" s="278"/>
      <c r="AB1312" s="278"/>
      <c r="AC1312" s="278"/>
      <c r="AD1312" s="278"/>
      <c r="AE1312" s="278"/>
    </row>
    <row r="1313" spans="4:31" x14ac:dyDescent="0.2">
      <c r="D1313" s="278"/>
      <c r="E1313" s="278"/>
      <c r="F1313" s="278"/>
      <c r="G1313" s="278"/>
      <c r="H1313" s="279"/>
      <c r="I1313" s="279"/>
      <c r="J1313" s="279"/>
      <c r="K1313" s="279"/>
      <c r="L1313" s="279"/>
      <c r="M1313" s="278"/>
      <c r="N1313" s="278"/>
      <c r="O1313" s="278"/>
      <c r="P1313" s="278"/>
      <c r="Q1313" s="278"/>
      <c r="R1313" s="278"/>
      <c r="S1313" s="278"/>
      <c r="T1313" s="278"/>
      <c r="U1313" s="278"/>
      <c r="V1313" s="278"/>
      <c r="W1313" s="278"/>
      <c r="X1313" s="278"/>
      <c r="Y1313" s="278"/>
      <c r="Z1313" s="278"/>
      <c r="AA1313" s="278"/>
      <c r="AB1313" s="278"/>
      <c r="AC1313" s="278"/>
      <c r="AD1313" s="278"/>
      <c r="AE1313" s="278"/>
    </row>
    <row r="1314" spans="4:31" x14ac:dyDescent="0.2">
      <c r="D1314" s="278"/>
      <c r="E1314" s="278"/>
      <c r="F1314" s="278"/>
      <c r="G1314" s="278"/>
      <c r="H1314" s="279"/>
      <c r="I1314" s="279"/>
      <c r="J1314" s="279"/>
      <c r="K1314" s="279"/>
      <c r="L1314" s="279"/>
      <c r="M1314" s="278"/>
      <c r="N1314" s="278"/>
      <c r="O1314" s="278"/>
      <c r="P1314" s="278"/>
      <c r="Q1314" s="278"/>
      <c r="R1314" s="278"/>
      <c r="S1314" s="278"/>
      <c r="T1314" s="278"/>
      <c r="U1314" s="278"/>
      <c r="V1314" s="278"/>
      <c r="W1314" s="278"/>
      <c r="X1314" s="278"/>
      <c r="Y1314" s="278"/>
      <c r="Z1314" s="278"/>
      <c r="AA1314" s="278"/>
      <c r="AB1314" s="278"/>
      <c r="AC1314" s="278"/>
      <c r="AD1314" s="278"/>
      <c r="AE1314" s="278"/>
    </row>
    <row r="1315" spans="4:31" x14ac:dyDescent="0.2">
      <c r="D1315" s="278"/>
      <c r="E1315" s="278"/>
      <c r="F1315" s="278"/>
      <c r="G1315" s="278"/>
      <c r="H1315" s="279"/>
      <c r="I1315" s="279"/>
      <c r="J1315" s="279"/>
      <c r="K1315" s="279"/>
      <c r="L1315" s="279"/>
      <c r="M1315" s="278"/>
      <c r="N1315" s="278"/>
      <c r="O1315" s="278"/>
      <c r="P1315" s="278"/>
      <c r="Q1315" s="278"/>
      <c r="R1315" s="278"/>
      <c r="S1315" s="278"/>
      <c r="T1315" s="278"/>
      <c r="U1315" s="278"/>
      <c r="V1315" s="278"/>
      <c r="W1315" s="278"/>
      <c r="X1315" s="278"/>
      <c r="Y1315" s="278"/>
      <c r="Z1315" s="278"/>
      <c r="AA1315" s="278"/>
      <c r="AB1315" s="278"/>
      <c r="AC1315" s="278"/>
      <c r="AD1315" s="278"/>
      <c r="AE1315" s="278"/>
    </row>
    <row r="1316" spans="4:31" x14ac:dyDescent="0.2">
      <c r="D1316" s="278"/>
      <c r="E1316" s="278"/>
      <c r="F1316" s="278"/>
      <c r="G1316" s="278"/>
      <c r="H1316" s="279"/>
      <c r="I1316" s="279"/>
      <c r="J1316" s="279"/>
      <c r="K1316" s="279"/>
      <c r="L1316" s="279"/>
      <c r="M1316" s="278"/>
      <c r="N1316" s="278"/>
      <c r="O1316" s="278"/>
      <c r="P1316" s="278"/>
      <c r="Q1316" s="278"/>
      <c r="R1316" s="278"/>
      <c r="S1316" s="278"/>
      <c r="T1316" s="278"/>
      <c r="U1316" s="278"/>
      <c r="V1316" s="278"/>
      <c r="W1316" s="278"/>
      <c r="X1316" s="278"/>
      <c r="Y1316" s="278"/>
      <c r="Z1316" s="278"/>
      <c r="AA1316" s="278"/>
      <c r="AB1316" s="278"/>
      <c r="AC1316" s="278"/>
      <c r="AD1316" s="278"/>
      <c r="AE1316" s="278"/>
    </row>
    <row r="1317" spans="4:31" x14ac:dyDescent="0.2">
      <c r="D1317" s="278"/>
      <c r="E1317" s="278"/>
      <c r="F1317" s="278"/>
      <c r="G1317" s="278"/>
      <c r="H1317" s="279"/>
      <c r="I1317" s="279"/>
      <c r="J1317" s="279"/>
      <c r="K1317" s="279"/>
      <c r="L1317" s="279"/>
      <c r="M1317" s="278"/>
      <c r="N1317" s="278"/>
      <c r="O1317" s="278"/>
      <c r="P1317" s="278"/>
      <c r="Q1317" s="278"/>
      <c r="R1317" s="278"/>
      <c r="S1317" s="278"/>
      <c r="T1317" s="278"/>
      <c r="U1317" s="278"/>
      <c r="V1317" s="278"/>
      <c r="W1317" s="278"/>
      <c r="X1317" s="278"/>
      <c r="Y1317" s="278"/>
      <c r="Z1317" s="278"/>
      <c r="AA1317" s="278"/>
      <c r="AB1317" s="278"/>
      <c r="AC1317" s="278"/>
      <c r="AD1317" s="278"/>
      <c r="AE1317" s="278"/>
    </row>
    <row r="1318" spans="4:31" x14ac:dyDescent="0.2">
      <c r="D1318" s="278"/>
      <c r="E1318" s="278"/>
      <c r="F1318" s="278"/>
      <c r="G1318" s="278"/>
      <c r="H1318" s="279"/>
      <c r="I1318" s="279"/>
      <c r="J1318" s="279"/>
      <c r="K1318" s="279"/>
      <c r="L1318" s="279"/>
      <c r="M1318" s="278"/>
      <c r="N1318" s="278"/>
      <c r="O1318" s="278"/>
      <c r="P1318" s="278"/>
      <c r="Q1318" s="278"/>
      <c r="R1318" s="278"/>
      <c r="S1318" s="278"/>
      <c r="T1318" s="278"/>
      <c r="U1318" s="278"/>
      <c r="V1318" s="278"/>
      <c r="W1318" s="278"/>
      <c r="X1318" s="278"/>
      <c r="Y1318" s="278"/>
      <c r="Z1318" s="278"/>
      <c r="AA1318" s="278"/>
      <c r="AB1318" s="278"/>
      <c r="AC1318" s="278"/>
      <c r="AD1318" s="278"/>
      <c r="AE1318" s="278"/>
    </row>
    <row r="1319" spans="4:31" x14ac:dyDescent="0.2">
      <c r="D1319" s="278"/>
      <c r="E1319" s="278"/>
      <c r="F1319" s="278"/>
      <c r="G1319" s="278"/>
      <c r="H1319" s="279"/>
      <c r="I1319" s="279"/>
      <c r="J1319" s="279"/>
      <c r="K1319" s="279"/>
      <c r="L1319" s="279"/>
      <c r="M1319" s="278"/>
      <c r="N1319" s="278"/>
      <c r="O1319" s="278"/>
      <c r="P1319" s="278"/>
      <c r="Q1319" s="278"/>
      <c r="R1319" s="278"/>
      <c r="S1319" s="278"/>
      <c r="T1319" s="278"/>
      <c r="U1319" s="278"/>
      <c r="V1319" s="278"/>
      <c r="W1319" s="278"/>
      <c r="X1319" s="278"/>
      <c r="Y1319" s="278"/>
      <c r="Z1319" s="278"/>
      <c r="AA1319" s="278"/>
      <c r="AB1319" s="278"/>
      <c r="AC1319" s="278"/>
      <c r="AD1319" s="278"/>
      <c r="AE1319" s="278"/>
    </row>
    <row r="1320" spans="4:31" x14ac:dyDescent="0.2">
      <c r="D1320" s="278"/>
      <c r="E1320" s="278"/>
      <c r="F1320" s="278"/>
      <c r="G1320" s="278"/>
      <c r="H1320" s="279"/>
      <c r="I1320" s="279"/>
      <c r="J1320" s="279"/>
      <c r="K1320" s="279"/>
      <c r="L1320" s="279"/>
      <c r="M1320" s="278"/>
      <c r="N1320" s="278"/>
      <c r="O1320" s="278"/>
      <c r="P1320" s="278"/>
      <c r="Q1320" s="278"/>
      <c r="R1320" s="278"/>
      <c r="S1320" s="278"/>
      <c r="T1320" s="278"/>
      <c r="U1320" s="278"/>
      <c r="V1320" s="278"/>
      <c r="W1320" s="278"/>
      <c r="X1320" s="278"/>
      <c r="Y1320" s="278"/>
      <c r="Z1320" s="278"/>
      <c r="AA1320" s="278"/>
      <c r="AB1320" s="278"/>
      <c r="AC1320" s="278"/>
      <c r="AD1320" s="278"/>
      <c r="AE1320" s="278"/>
    </row>
    <row r="1321" spans="4:31" x14ac:dyDescent="0.2">
      <c r="D1321" s="278"/>
      <c r="E1321" s="278"/>
      <c r="F1321" s="278"/>
      <c r="G1321" s="278"/>
      <c r="H1321" s="279"/>
      <c r="I1321" s="279"/>
      <c r="J1321" s="279"/>
      <c r="K1321" s="279"/>
      <c r="L1321" s="279"/>
      <c r="M1321" s="278"/>
      <c r="N1321" s="278"/>
      <c r="O1321" s="278"/>
      <c r="P1321" s="278"/>
      <c r="Q1321" s="278"/>
      <c r="R1321" s="278"/>
      <c r="S1321" s="278"/>
      <c r="T1321" s="278"/>
      <c r="U1321" s="278"/>
      <c r="V1321" s="278"/>
      <c r="W1321" s="278"/>
      <c r="X1321" s="278"/>
      <c r="Y1321" s="278"/>
      <c r="Z1321" s="278"/>
      <c r="AA1321" s="278"/>
      <c r="AB1321" s="278"/>
      <c r="AC1321" s="278"/>
      <c r="AD1321" s="278"/>
      <c r="AE1321" s="278"/>
    </row>
    <row r="1322" spans="4:31" x14ac:dyDescent="0.2">
      <c r="D1322" s="278"/>
      <c r="E1322" s="278"/>
      <c r="F1322" s="278"/>
      <c r="G1322" s="278"/>
      <c r="H1322" s="279"/>
      <c r="I1322" s="279"/>
      <c r="J1322" s="279"/>
      <c r="K1322" s="279"/>
      <c r="L1322" s="279"/>
      <c r="M1322" s="278"/>
      <c r="N1322" s="278"/>
      <c r="O1322" s="278"/>
      <c r="P1322" s="278"/>
      <c r="Q1322" s="278"/>
      <c r="R1322" s="278"/>
      <c r="S1322" s="278"/>
      <c r="T1322" s="278"/>
      <c r="U1322" s="278"/>
      <c r="V1322" s="278"/>
      <c r="W1322" s="278"/>
      <c r="X1322" s="278"/>
      <c r="Y1322" s="278"/>
      <c r="Z1322" s="278"/>
      <c r="AA1322" s="278"/>
      <c r="AB1322" s="278"/>
      <c r="AC1322" s="278"/>
      <c r="AD1322" s="278"/>
      <c r="AE1322" s="278"/>
    </row>
    <row r="1323" spans="4:31" x14ac:dyDescent="0.2">
      <c r="D1323" s="278"/>
      <c r="E1323" s="278"/>
      <c r="F1323" s="278"/>
      <c r="G1323" s="278"/>
      <c r="H1323" s="279"/>
      <c r="I1323" s="279"/>
      <c r="J1323" s="279"/>
      <c r="K1323" s="279"/>
      <c r="L1323" s="279"/>
      <c r="M1323" s="278"/>
      <c r="N1323" s="278"/>
      <c r="O1323" s="278"/>
      <c r="P1323" s="278"/>
      <c r="Q1323" s="278"/>
      <c r="R1323" s="278"/>
      <c r="S1323" s="278"/>
      <c r="T1323" s="278"/>
      <c r="U1323" s="278"/>
      <c r="V1323" s="278"/>
      <c r="W1323" s="278"/>
      <c r="X1323" s="278"/>
      <c r="Y1323" s="278"/>
      <c r="Z1323" s="278"/>
      <c r="AA1323" s="278"/>
      <c r="AB1323" s="278"/>
      <c r="AC1323" s="278"/>
      <c r="AD1323" s="278"/>
      <c r="AE1323" s="278"/>
    </row>
    <row r="1324" spans="4:31" x14ac:dyDescent="0.2">
      <c r="D1324" s="278"/>
      <c r="E1324" s="278"/>
      <c r="F1324" s="278"/>
      <c r="G1324" s="278"/>
      <c r="H1324" s="279"/>
      <c r="I1324" s="279"/>
      <c r="J1324" s="279"/>
      <c r="K1324" s="279"/>
      <c r="L1324" s="279"/>
      <c r="M1324" s="278"/>
      <c r="N1324" s="278"/>
      <c r="O1324" s="278"/>
      <c r="P1324" s="278"/>
      <c r="Q1324" s="278"/>
      <c r="R1324" s="278"/>
      <c r="S1324" s="278"/>
      <c r="T1324" s="278"/>
      <c r="U1324" s="278"/>
      <c r="V1324" s="278"/>
      <c r="W1324" s="278"/>
      <c r="X1324" s="278"/>
      <c r="Y1324" s="278"/>
      <c r="Z1324" s="278"/>
      <c r="AA1324" s="278"/>
      <c r="AB1324" s="278"/>
      <c r="AC1324" s="278"/>
      <c r="AD1324" s="278"/>
      <c r="AE1324" s="278"/>
    </row>
    <row r="1325" spans="4:31" x14ac:dyDescent="0.2">
      <c r="D1325" s="278"/>
      <c r="E1325" s="278"/>
      <c r="F1325" s="278"/>
      <c r="G1325" s="278"/>
      <c r="H1325" s="279"/>
      <c r="I1325" s="279"/>
      <c r="J1325" s="279"/>
      <c r="K1325" s="279"/>
      <c r="L1325" s="279"/>
      <c r="M1325" s="278"/>
      <c r="N1325" s="278"/>
      <c r="O1325" s="278"/>
      <c r="P1325" s="278"/>
      <c r="Q1325" s="278"/>
      <c r="R1325" s="278"/>
      <c r="S1325" s="278"/>
      <c r="T1325" s="278"/>
      <c r="U1325" s="278"/>
      <c r="V1325" s="278"/>
      <c r="W1325" s="278"/>
      <c r="X1325" s="278"/>
      <c r="Y1325" s="278"/>
      <c r="Z1325" s="278"/>
      <c r="AA1325" s="278"/>
      <c r="AB1325" s="278"/>
      <c r="AC1325" s="278"/>
      <c r="AD1325" s="278"/>
      <c r="AE1325" s="278"/>
    </row>
    <row r="1326" spans="4:31" x14ac:dyDescent="0.2">
      <c r="D1326" s="278"/>
      <c r="E1326" s="278"/>
      <c r="F1326" s="278"/>
      <c r="G1326" s="278"/>
      <c r="H1326" s="279"/>
      <c r="I1326" s="279"/>
      <c r="J1326" s="279"/>
      <c r="K1326" s="279"/>
      <c r="L1326" s="279"/>
      <c r="M1326" s="278"/>
      <c r="N1326" s="278"/>
      <c r="O1326" s="278"/>
      <c r="P1326" s="278"/>
      <c r="Q1326" s="278"/>
      <c r="R1326" s="278"/>
      <c r="S1326" s="278"/>
      <c r="T1326" s="278"/>
      <c r="U1326" s="278"/>
      <c r="V1326" s="278"/>
      <c r="W1326" s="278"/>
      <c r="X1326" s="278"/>
      <c r="Y1326" s="278"/>
      <c r="Z1326" s="278"/>
      <c r="AA1326" s="278"/>
      <c r="AB1326" s="278"/>
      <c r="AC1326" s="278"/>
      <c r="AD1326" s="278"/>
      <c r="AE1326" s="278"/>
    </row>
    <row r="1327" spans="4:31" x14ac:dyDescent="0.2">
      <c r="D1327" s="278"/>
      <c r="E1327" s="278"/>
      <c r="F1327" s="278"/>
      <c r="G1327" s="278"/>
      <c r="H1327" s="279"/>
      <c r="I1327" s="279"/>
      <c r="J1327" s="279"/>
      <c r="K1327" s="279"/>
      <c r="L1327" s="279"/>
      <c r="M1327" s="278"/>
      <c r="N1327" s="278"/>
      <c r="O1327" s="278"/>
      <c r="P1327" s="278"/>
      <c r="Q1327" s="278"/>
      <c r="R1327" s="278"/>
      <c r="S1327" s="278"/>
      <c r="T1327" s="278"/>
      <c r="U1327" s="278"/>
      <c r="V1327" s="278"/>
      <c r="W1327" s="278"/>
      <c r="X1327" s="278"/>
      <c r="Y1327" s="278"/>
      <c r="Z1327" s="278"/>
      <c r="AA1327" s="278"/>
      <c r="AB1327" s="278"/>
      <c r="AC1327" s="278"/>
      <c r="AD1327" s="278"/>
      <c r="AE1327" s="278"/>
    </row>
    <row r="1328" spans="4:31" x14ac:dyDescent="0.2">
      <c r="D1328" s="278"/>
      <c r="E1328" s="278"/>
      <c r="F1328" s="278"/>
      <c r="G1328" s="278"/>
      <c r="H1328" s="279"/>
      <c r="I1328" s="279"/>
      <c r="J1328" s="279"/>
      <c r="K1328" s="279"/>
      <c r="L1328" s="279"/>
      <c r="M1328" s="278"/>
      <c r="N1328" s="278"/>
      <c r="O1328" s="278"/>
      <c r="P1328" s="278"/>
      <c r="Q1328" s="278"/>
      <c r="R1328" s="278"/>
      <c r="S1328" s="278"/>
      <c r="T1328" s="278"/>
      <c r="U1328" s="278"/>
      <c r="V1328" s="278"/>
      <c r="W1328" s="278"/>
      <c r="X1328" s="278"/>
      <c r="Y1328" s="278"/>
      <c r="Z1328" s="278"/>
      <c r="AA1328" s="278"/>
      <c r="AB1328" s="278"/>
      <c r="AC1328" s="278"/>
      <c r="AD1328" s="278"/>
      <c r="AE1328" s="278"/>
    </row>
    <row r="1329" spans="4:31" x14ac:dyDescent="0.2">
      <c r="D1329" s="278"/>
      <c r="E1329" s="278"/>
      <c r="F1329" s="278"/>
      <c r="G1329" s="278"/>
      <c r="H1329" s="279"/>
      <c r="I1329" s="279"/>
      <c r="J1329" s="279"/>
      <c r="K1329" s="279"/>
      <c r="L1329" s="279"/>
      <c r="M1329" s="278"/>
      <c r="N1329" s="278"/>
      <c r="O1329" s="278"/>
      <c r="P1329" s="278"/>
      <c r="Q1329" s="278"/>
      <c r="R1329" s="278"/>
      <c r="S1329" s="278"/>
      <c r="T1329" s="278"/>
      <c r="U1329" s="278"/>
      <c r="V1329" s="278"/>
      <c r="W1329" s="278"/>
      <c r="X1329" s="278"/>
      <c r="Y1329" s="278"/>
      <c r="Z1329" s="278"/>
      <c r="AA1329" s="278"/>
      <c r="AB1329" s="278"/>
      <c r="AC1329" s="278"/>
      <c r="AD1329" s="278"/>
      <c r="AE1329" s="278"/>
    </row>
    <row r="1330" spans="4:31" x14ac:dyDescent="0.2">
      <c r="D1330" s="278"/>
      <c r="E1330" s="278"/>
      <c r="F1330" s="278"/>
      <c r="G1330" s="278"/>
      <c r="H1330" s="279"/>
      <c r="I1330" s="279"/>
      <c r="J1330" s="279"/>
      <c r="K1330" s="279"/>
      <c r="L1330" s="279"/>
      <c r="M1330" s="278"/>
      <c r="N1330" s="278"/>
      <c r="O1330" s="278"/>
      <c r="P1330" s="278"/>
      <c r="Q1330" s="278"/>
      <c r="R1330" s="278"/>
      <c r="S1330" s="278"/>
      <c r="T1330" s="278"/>
      <c r="U1330" s="278"/>
      <c r="V1330" s="278"/>
      <c r="W1330" s="278"/>
      <c r="X1330" s="278"/>
      <c r="Y1330" s="278"/>
      <c r="Z1330" s="278"/>
      <c r="AA1330" s="278"/>
      <c r="AB1330" s="278"/>
      <c r="AC1330" s="278"/>
      <c r="AD1330" s="278"/>
      <c r="AE1330" s="278"/>
    </row>
    <row r="1331" spans="4:31" x14ac:dyDescent="0.2">
      <c r="D1331" s="278"/>
      <c r="E1331" s="278"/>
      <c r="F1331" s="278"/>
      <c r="G1331" s="278"/>
      <c r="H1331" s="279"/>
      <c r="I1331" s="279"/>
      <c r="J1331" s="279"/>
      <c r="K1331" s="279"/>
      <c r="L1331" s="279"/>
      <c r="M1331" s="278"/>
      <c r="N1331" s="278"/>
      <c r="O1331" s="278"/>
      <c r="P1331" s="278"/>
      <c r="Q1331" s="278"/>
      <c r="R1331" s="278"/>
      <c r="S1331" s="278"/>
      <c r="T1331" s="278"/>
      <c r="U1331" s="278"/>
      <c r="V1331" s="278"/>
      <c r="W1331" s="278"/>
      <c r="X1331" s="278"/>
      <c r="Y1331" s="278"/>
      <c r="Z1331" s="278"/>
      <c r="AA1331" s="278"/>
      <c r="AB1331" s="278"/>
      <c r="AC1331" s="278"/>
      <c r="AD1331" s="278"/>
      <c r="AE1331" s="278"/>
    </row>
    <row r="1332" spans="4:31" x14ac:dyDescent="0.2">
      <c r="D1332" s="278"/>
      <c r="E1332" s="278"/>
      <c r="F1332" s="278"/>
      <c r="G1332" s="278"/>
      <c r="H1332" s="279"/>
      <c r="I1332" s="279"/>
      <c r="J1332" s="279"/>
      <c r="K1332" s="279"/>
      <c r="L1332" s="279"/>
      <c r="M1332" s="278"/>
      <c r="N1332" s="278"/>
      <c r="O1332" s="278"/>
      <c r="P1332" s="278"/>
      <c r="Q1332" s="278"/>
      <c r="R1332" s="278"/>
      <c r="S1332" s="278"/>
      <c r="T1332" s="278"/>
      <c r="U1332" s="278"/>
      <c r="V1332" s="278"/>
      <c r="W1332" s="278"/>
      <c r="X1332" s="278"/>
      <c r="Y1332" s="278"/>
      <c r="Z1332" s="278"/>
      <c r="AA1332" s="278"/>
      <c r="AB1332" s="278"/>
      <c r="AC1332" s="278"/>
      <c r="AD1332" s="278"/>
      <c r="AE1332" s="278"/>
    </row>
    <row r="1333" spans="4:31" x14ac:dyDescent="0.2">
      <c r="D1333" s="278"/>
      <c r="E1333" s="278"/>
      <c r="F1333" s="278"/>
      <c r="G1333" s="278"/>
      <c r="H1333" s="279"/>
      <c r="I1333" s="279"/>
      <c r="J1333" s="279"/>
      <c r="K1333" s="279"/>
      <c r="L1333" s="279"/>
      <c r="M1333" s="278"/>
      <c r="N1333" s="278"/>
      <c r="O1333" s="278"/>
      <c r="P1333" s="278"/>
      <c r="Q1333" s="278"/>
      <c r="R1333" s="278"/>
      <c r="S1333" s="278"/>
      <c r="T1333" s="278"/>
      <c r="U1333" s="278"/>
      <c r="V1333" s="278"/>
      <c r="W1333" s="278"/>
      <c r="X1333" s="278"/>
      <c r="Y1333" s="278"/>
      <c r="Z1333" s="278"/>
      <c r="AA1333" s="278"/>
      <c r="AB1333" s="278"/>
      <c r="AC1333" s="278"/>
      <c r="AD1333" s="278"/>
      <c r="AE1333" s="278"/>
    </row>
    <row r="1334" spans="4:31" x14ac:dyDescent="0.2">
      <c r="D1334" s="278"/>
      <c r="E1334" s="278"/>
      <c r="F1334" s="278"/>
      <c r="G1334" s="278"/>
      <c r="H1334" s="279"/>
      <c r="I1334" s="279"/>
      <c r="J1334" s="279"/>
      <c r="K1334" s="279"/>
      <c r="L1334" s="279"/>
      <c r="M1334" s="278"/>
      <c r="N1334" s="278"/>
      <c r="O1334" s="278"/>
      <c r="P1334" s="278"/>
      <c r="Q1334" s="278"/>
      <c r="R1334" s="278"/>
      <c r="S1334" s="278"/>
      <c r="T1334" s="278"/>
      <c r="U1334" s="278"/>
      <c r="V1334" s="278"/>
      <c r="W1334" s="278"/>
      <c r="X1334" s="278"/>
      <c r="Y1334" s="278"/>
      <c r="Z1334" s="278"/>
      <c r="AA1334" s="278"/>
      <c r="AB1334" s="278"/>
      <c r="AC1334" s="278"/>
      <c r="AD1334" s="278"/>
      <c r="AE1334" s="278"/>
    </row>
    <row r="1335" spans="4:31" x14ac:dyDescent="0.2">
      <c r="D1335" s="278"/>
      <c r="E1335" s="278"/>
      <c r="F1335" s="278"/>
      <c r="G1335" s="278"/>
      <c r="H1335" s="279"/>
      <c r="I1335" s="279"/>
      <c r="J1335" s="279"/>
      <c r="K1335" s="279"/>
      <c r="L1335" s="279"/>
      <c r="M1335" s="278"/>
      <c r="N1335" s="278"/>
      <c r="O1335" s="278"/>
      <c r="P1335" s="278"/>
      <c r="Q1335" s="278"/>
      <c r="R1335" s="278"/>
      <c r="S1335" s="278"/>
      <c r="T1335" s="278"/>
      <c r="U1335" s="278"/>
      <c r="V1335" s="278"/>
      <c r="W1335" s="278"/>
      <c r="X1335" s="278"/>
      <c r="Y1335" s="278"/>
      <c r="Z1335" s="278"/>
      <c r="AA1335" s="278"/>
      <c r="AB1335" s="278"/>
      <c r="AC1335" s="278"/>
      <c r="AD1335" s="278"/>
      <c r="AE1335" s="278"/>
    </row>
    <row r="1336" spans="4:31" x14ac:dyDescent="0.2">
      <c r="D1336" s="278"/>
      <c r="E1336" s="278"/>
      <c r="F1336" s="278"/>
      <c r="G1336" s="278"/>
      <c r="H1336" s="279"/>
      <c r="I1336" s="279"/>
      <c r="J1336" s="279"/>
      <c r="K1336" s="279"/>
      <c r="L1336" s="279"/>
      <c r="M1336" s="278"/>
      <c r="N1336" s="278"/>
      <c r="O1336" s="278"/>
      <c r="P1336" s="278"/>
      <c r="Q1336" s="278"/>
      <c r="R1336" s="278"/>
      <c r="S1336" s="278"/>
      <c r="T1336" s="278"/>
      <c r="U1336" s="278"/>
      <c r="V1336" s="278"/>
      <c r="W1336" s="278"/>
      <c r="X1336" s="278"/>
      <c r="Y1336" s="278"/>
      <c r="Z1336" s="278"/>
      <c r="AA1336" s="278"/>
      <c r="AB1336" s="278"/>
      <c r="AC1336" s="278"/>
      <c r="AD1336" s="278"/>
      <c r="AE1336" s="278"/>
    </row>
    <row r="1337" spans="4:31" x14ac:dyDescent="0.2">
      <c r="D1337" s="278"/>
      <c r="E1337" s="278"/>
      <c r="F1337" s="278"/>
      <c r="G1337" s="278"/>
      <c r="H1337" s="279"/>
      <c r="I1337" s="279"/>
      <c r="J1337" s="279"/>
      <c r="K1337" s="279"/>
      <c r="L1337" s="279"/>
      <c r="M1337" s="278"/>
      <c r="N1337" s="278"/>
      <c r="O1337" s="278"/>
      <c r="P1337" s="278"/>
      <c r="Q1337" s="278"/>
      <c r="R1337" s="278"/>
      <c r="S1337" s="278"/>
      <c r="T1337" s="278"/>
      <c r="U1337" s="278"/>
      <c r="V1337" s="278"/>
      <c r="W1337" s="278"/>
      <c r="X1337" s="278"/>
      <c r="Y1337" s="278"/>
      <c r="Z1337" s="278"/>
      <c r="AA1337" s="278"/>
      <c r="AB1337" s="278"/>
      <c r="AC1337" s="278"/>
      <c r="AD1337" s="278"/>
      <c r="AE1337" s="278"/>
    </row>
    <row r="1338" spans="4:31" x14ac:dyDescent="0.2">
      <c r="D1338" s="278"/>
      <c r="E1338" s="278"/>
      <c r="F1338" s="278"/>
      <c r="G1338" s="278"/>
      <c r="H1338" s="279"/>
      <c r="I1338" s="279"/>
      <c r="J1338" s="279"/>
      <c r="K1338" s="279"/>
      <c r="L1338" s="279"/>
      <c r="M1338" s="278"/>
      <c r="N1338" s="278"/>
      <c r="O1338" s="278"/>
      <c r="P1338" s="278"/>
      <c r="Q1338" s="278"/>
      <c r="R1338" s="278"/>
      <c r="S1338" s="278"/>
      <c r="T1338" s="278"/>
      <c r="U1338" s="278"/>
      <c r="V1338" s="278"/>
      <c r="W1338" s="278"/>
      <c r="X1338" s="278"/>
      <c r="Y1338" s="278"/>
      <c r="Z1338" s="278"/>
      <c r="AA1338" s="278"/>
      <c r="AB1338" s="278"/>
      <c r="AC1338" s="278"/>
      <c r="AD1338" s="278"/>
      <c r="AE1338" s="278"/>
    </row>
    <row r="1339" spans="4:31" x14ac:dyDescent="0.2">
      <c r="D1339" s="278"/>
      <c r="E1339" s="278"/>
      <c r="F1339" s="278"/>
      <c r="G1339" s="278"/>
      <c r="H1339" s="279"/>
      <c r="I1339" s="279"/>
      <c r="J1339" s="279"/>
      <c r="K1339" s="279"/>
      <c r="L1339" s="279"/>
      <c r="M1339" s="278"/>
      <c r="N1339" s="278"/>
      <c r="O1339" s="278"/>
      <c r="P1339" s="278"/>
      <c r="Q1339" s="278"/>
      <c r="R1339" s="278"/>
      <c r="S1339" s="278"/>
      <c r="T1339" s="278"/>
      <c r="U1339" s="278"/>
      <c r="V1339" s="278"/>
      <c r="W1339" s="278"/>
      <c r="X1339" s="278"/>
      <c r="Y1339" s="278"/>
      <c r="Z1339" s="278"/>
      <c r="AA1339" s="278"/>
      <c r="AB1339" s="278"/>
      <c r="AC1339" s="278"/>
      <c r="AD1339" s="278"/>
      <c r="AE1339" s="278"/>
    </row>
    <row r="1340" spans="4:31" x14ac:dyDescent="0.2">
      <c r="D1340" s="278"/>
      <c r="E1340" s="278"/>
      <c r="F1340" s="278"/>
      <c r="G1340" s="278"/>
      <c r="H1340" s="279"/>
      <c r="I1340" s="279"/>
      <c r="J1340" s="279"/>
      <c r="K1340" s="279"/>
      <c r="L1340" s="279"/>
      <c r="M1340" s="278"/>
      <c r="N1340" s="278"/>
      <c r="O1340" s="278"/>
      <c r="P1340" s="278"/>
      <c r="Q1340" s="278"/>
      <c r="R1340" s="278"/>
      <c r="S1340" s="278"/>
      <c r="T1340" s="278"/>
      <c r="U1340" s="278"/>
      <c r="V1340" s="278"/>
      <c r="W1340" s="278"/>
      <c r="X1340" s="278"/>
      <c r="Y1340" s="278"/>
      <c r="Z1340" s="278"/>
      <c r="AA1340" s="278"/>
      <c r="AB1340" s="278"/>
      <c r="AC1340" s="278"/>
      <c r="AD1340" s="278"/>
      <c r="AE1340" s="278"/>
    </row>
    <row r="1341" spans="4:31" x14ac:dyDescent="0.2">
      <c r="D1341" s="278"/>
      <c r="E1341" s="278"/>
      <c r="F1341" s="278"/>
      <c r="G1341" s="278"/>
      <c r="H1341" s="279"/>
      <c r="I1341" s="279"/>
      <c r="J1341" s="279"/>
      <c r="K1341" s="279"/>
      <c r="L1341" s="279"/>
      <c r="M1341" s="278"/>
      <c r="N1341" s="278"/>
      <c r="O1341" s="278"/>
      <c r="P1341" s="278"/>
      <c r="Q1341" s="278"/>
      <c r="R1341" s="278"/>
      <c r="S1341" s="278"/>
      <c r="T1341" s="278"/>
      <c r="U1341" s="278"/>
      <c r="V1341" s="278"/>
      <c r="W1341" s="278"/>
      <c r="X1341" s="278"/>
      <c r="Y1341" s="278"/>
      <c r="Z1341" s="278"/>
      <c r="AA1341" s="278"/>
      <c r="AB1341" s="278"/>
      <c r="AC1341" s="278"/>
      <c r="AD1341" s="278"/>
      <c r="AE1341" s="278"/>
    </row>
  </sheetData>
  <sheetProtection algorithmName="SHA-512" hashValue="6UB97EAVwr2sDWiLsbwmBRT7XYHrf5PeeQgQ5CFVlNeZY3GEK0esQDuDIHU7DSDhtucFKIxbNg1mLJFAI4elGg==" saltValue="elo++T5jB3cyYbQkD8PyGA==" spinCount="100000" sheet="1" objects="1" scenarios="1"/>
  <phoneticPr fontId="0" type="noConversion"/>
  <pageMargins left="0.74803149606299213" right="0.74803149606299213" top="0.98425196850393704" bottom="0.98425196850393704" header="0.51181102362204722" footer="0.51181102362204722"/>
  <pageSetup paperSize="9" scale="59" orientation="portrait" r:id="rId1"/>
  <headerFooter alignWithMargins="0">
    <oddHeader>&amp;L&amp;"Arial,Vet"&amp;F&amp;R&amp;"Arial,Vet"&amp;A</oddHeader>
    <oddFooter>&amp;L&amp;"Arial,Vet"PO-Raad&amp;C&amp;"Arial,Vet"&amp;D&amp;R&amp;"Arial,Vet"pagina &amp;P</oddFooter>
  </headerFooter>
  <rowBreaks count="1" manualBreakCount="1">
    <brk id="85" min="1" max="1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20"/>
  <dimension ref="B1:AS125"/>
  <sheetViews>
    <sheetView showGridLines="0" zoomScale="85" zoomScaleNormal="85" workbookViewId="0">
      <pane ySplit="15" topLeftCell="A16" activePane="bottomLeft" state="frozen"/>
      <selection activeCell="B2" sqref="B2"/>
      <selection pane="bottomLeft" activeCell="B2" sqref="B2"/>
    </sheetView>
  </sheetViews>
  <sheetFormatPr defaultColWidth="9.140625" defaultRowHeight="12.75" x14ac:dyDescent="0.2"/>
  <cols>
    <col min="1" max="1" width="3.7109375" style="68" customWidth="1"/>
    <col min="2" max="3" width="2.7109375" style="68" customWidth="1"/>
    <col min="4" max="4" width="8.7109375" style="280" customWidth="1"/>
    <col min="5" max="5" width="20.7109375" style="281" customWidth="1"/>
    <col min="6" max="6" width="8.7109375" style="174" customWidth="1"/>
    <col min="7" max="7" width="8.7109375" style="282" customWidth="1"/>
    <col min="8" max="9" width="8.7109375" style="283" customWidth="1"/>
    <col min="10" max="10" width="8.7109375" style="284" customWidth="1"/>
    <col min="11" max="11" width="0.85546875" style="68" customWidth="1"/>
    <col min="12" max="14" width="11" style="283" customWidth="1"/>
    <col min="15" max="15" width="11" style="1080" customWidth="1"/>
    <col min="16" max="16" width="11" style="283" customWidth="1"/>
    <col min="17" max="17" width="0.85546875" style="68" customWidth="1"/>
    <col min="18" max="19" width="10.85546875" style="68" customWidth="1"/>
    <col min="20" max="20" width="10.85546875" style="416" customWidth="1"/>
    <col min="21" max="22" width="2.7109375" style="68" customWidth="1"/>
    <col min="23" max="24" width="21.140625" style="68" customWidth="1"/>
    <col min="25" max="25" width="8.85546875" style="1092" customWidth="1"/>
    <col min="26" max="29" width="10.7109375" style="1094" customWidth="1"/>
    <col min="30" max="31" width="8.85546875" style="1093" customWidth="1"/>
    <col min="32" max="32" width="8.85546875" style="1094" customWidth="1"/>
    <col min="33" max="33" width="8.7109375" style="1143" customWidth="1"/>
    <col min="34" max="34" width="8.7109375" style="1199" customWidth="1"/>
    <col min="35" max="40" width="8.85546875" style="1094" customWidth="1"/>
    <col min="41" max="41" width="8.85546875" style="1096" customWidth="1"/>
    <col min="42" max="42" width="8.85546875" style="1095" customWidth="1"/>
    <col min="43" max="45" width="8.85546875" style="1094" customWidth="1"/>
    <col min="46" max="46" width="10.7109375" style="68" customWidth="1"/>
    <col min="47" max="48" width="2.7109375" style="68" customWidth="1"/>
    <col min="49" max="54" width="9.28515625" style="68" bestFit="1" customWidth="1"/>
    <col min="55" max="16384" width="9.140625" style="68"/>
  </cols>
  <sheetData>
    <row r="1" spans="2:45" ht="12.75" customHeight="1" x14ac:dyDescent="0.2"/>
    <row r="2" spans="2:45" x14ac:dyDescent="0.2">
      <c r="B2" s="63"/>
      <c r="C2" s="64"/>
      <c r="D2" s="289"/>
      <c r="E2" s="290"/>
      <c r="F2" s="175"/>
      <c r="G2" s="291"/>
      <c r="H2" s="292"/>
      <c r="I2" s="292"/>
      <c r="J2" s="293"/>
      <c r="K2" s="64"/>
      <c r="L2" s="292"/>
      <c r="M2" s="292"/>
      <c r="N2" s="292"/>
      <c r="O2" s="1081"/>
      <c r="P2" s="292"/>
      <c r="Q2" s="64"/>
      <c r="R2" s="64"/>
      <c r="S2" s="64"/>
      <c r="T2" s="774"/>
      <c r="U2" s="64"/>
      <c r="V2" s="67"/>
    </row>
    <row r="3" spans="2:45" x14ac:dyDescent="0.2">
      <c r="B3" s="69"/>
      <c r="C3" s="70"/>
      <c r="D3" s="296"/>
      <c r="E3" s="234"/>
      <c r="F3" s="176"/>
      <c r="G3" s="297"/>
      <c r="H3" s="298"/>
      <c r="I3" s="298"/>
      <c r="J3" s="299"/>
      <c r="K3" s="70"/>
      <c r="L3" s="298"/>
      <c r="M3" s="298"/>
      <c r="N3" s="298"/>
      <c r="O3" s="1082"/>
      <c r="P3" s="298"/>
      <c r="Q3" s="70"/>
      <c r="R3" s="70"/>
      <c r="S3" s="70"/>
      <c r="T3" s="396"/>
      <c r="U3" s="70"/>
      <c r="V3" s="73"/>
    </row>
    <row r="4" spans="2:45" s="302" customFormat="1" ht="18.75" x14ac:dyDescent="0.3">
      <c r="B4" s="303"/>
      <c r="C4" s="858" t="s">
        <v>333</v>
      </c>
      <c r="D4" s="304"/>
      <c r="E4" s="305"/>
      <c r="F4" s="306"/>
      <c r="G4" s="307"/>
      <c r="H4" s="308"/>
      <c r="I4" s="1215"/>
      <c r="J4" s="1218"/>
      <c r="K4" s="1219"/>
      <c r="L4" s="1215"/>
      <c r="M4" s="1215"/>
      <c r="N4" s="308"/>
      <c r="O4" s="1083"/>
      <c r="P4" s="308"/>
      <c r="Q4" s="310"/>
      <c r="R4" s="310"/>
      <c r="S4" s="310"/>
      <c r="T4" s="775"/>
      <c r="U4" s="310"/>
      <c r="V4" s="311"/>
      <c r="X4" s="1226"/>
      <c r="Y4" s="1122"/>
      <c r="Z4" s="1102"/>
      <c r="AA4" s="1102"/>
      <c r="AB4" s="1102"/>
      <c r="AC4" s="1102"/>
      <c r="AD4" s="1099"/>
      <c r="AE4" s="1099"/>
      <c r="AF4" s="1102"/>
      <c r="AG4" s="1200"/>
      <c r="AH4" s="1201"/>
      <c r="AI4" s="1097"/>
      <c r="AJ4" s="1097"/>
      <c r="AK4" s="1097"/>
      <c r="AL4" s="1098"/>
      <c r="AM4" s="1099"/>
      <c r="AN4" s="1100"/>
      <c r="AO4" s="1101"/>
      <c r="AP4" s="1098"/>
      <c r="AQ4" s="1102"/>
      <c r="AR4" s="1102"/>
      <c r="AS4" s="1102"/>
    </row>
    <row r="5" spans="2:45" s="317" customFormat="1" ht="18.75" x14ac:dyDescent="0.3">
      <c r="B5" s="318"/>
      <c r="C5" s="319" t="str">
        <f>geg!G12</f>
        <v>Basisschool</v>
      </c>
      <c r="D5" s="320"/>
      <c r="E5" s="321"/>
      <c r="F5" s="1231"/>
      <c r="G5" s="323"/>
      <c r="H5" s="324"/>
      <c r="I5" s="1215"/>
      <c r="J5" s="1218"/>
      <c r="K5" s="1219"/>
      <c r="L5" s="1215"/>
      <c r="M5" s="1215"/>
      <c r="N5" s="324"/>
      <c r="O5" s="1083"/>
      <c r="P5" s="324"/>
      <c r="Q5" s="326"/>
      <c r="R5" s="326"/>
      <c r="S5" s="326"/>
      <c r="T5" s="776"/>
      <c r="U5" s="326"/>
      <c r="V5" s="327"/>
      <c r="X5" s="1226"/>
      <c r="Y5" s="1122"/>
      <c r="Z5" s="1102"/>
      <c r="AA5" s="1102"/>
      <c r="AB5" s="1102"/>
      <c r="AC5" s="1102"/>
      <c r="AD5" s="1099"/>
      <c r="AE5" s="1099"/>
      <c r="AF5" s="1102"/>
      <c r="AG5" s="1200"/>
      <c r="AH5" s="1201"/>
      <c r="AI5" s="1097"/>
      <c r="AJ5" s="1097"/>
      <c r="AK5" s="1097"/>
      <c r="AL5" s="1098"/>
      <c r="AM5" s="1099"/>
      <c r="AN5" s="1100"/>
      <c r="AO5" s="1101"/>
      <c r="AP5" s="1098"/>
      <c r="AQ5" s="1102"/>
      <c r="AR5" s="1102"/>
      <c r="AS5" s="1102"/>
    </row>
    <row r="6" spans="2:45" ht="12.75" customHeight="1" x14ac:dyDescent="0.2">
      <c r="B6" s="69"/>
      <c r="C6" s="70"/>
      <c r="D6" s="296"/>
      <c r="E6" s="234"/>
      <c r="F6" s="1231"/>
      <c r="G6" s="297"/>
      <c r="H6" s="298"/>
      <c r="I6" s="1216"/>
      <c r="J6" s="1217"/>
      <c r="K6" s="419"/>
      <c r="L6" s="1216"/>
      <c r="M6" s="1216"/>
      <c r="N6" s="298"/>
      <c r="O6" s="1082"/>
      <c r="P6" s="298"/>
      <c r="Q6" s="70"/>
      <c r="R6" s="70"/>
      <c r="S6" s="70"/>
      <c r="T6" s="396"/>
      <c r="U6" s="70"/>
      <c r="V6" s="73"/>
      <c r="X6" s="1226"/>
      <c r="AI6" s="1103"/>
      <c r="AJ6" s="1103"/>
      <c r="AK6" s="1103"/>
      <c r="AL6" s="1104"/>
      <c r="AM6" s="1093"/>
      <c r="AN6" s="1105"/>
      <c r="AO6" s="1106"/>
      <c r="AP6" s="1104"/>
    </row>
    <row r="7" spans="2:45" s="335" customFormat="1" ht="12.75" customHeight="1" x14ac:dyDescent="0.25">
      <c r="B7" s="336"/>
      <c r="C7" s="337"/>
      <c r="D7" s="338"/>
      <c r="E7" s="339"/>
      <c r="F7" s="1232"/>
      <c r="G7" s="341"/>
      <c r="H7" s="342"/>
      <c r="I7" s="1216"/>
      <c r="J7" s="1217"/>
      <c r="K7" s="419"/>
      <c r="L7" s="1216"/>
      <c r="M7" s="1216"/>
      <c r="N7" s="342"/>
      <c r="O7" s="1084"/>
      <c r="P7" s="342"/>
      <c r="Q7" s="337"/>
      <c r="R7" s="337"/>
      <c r="S7" s="337"/>
      <c r="T7" s="777"/>
      <c r="U7" s="337"/>
      <c r="V7" s="344"/>
      <c r="X7" s="1229"/>
      <c r="Y7" s="1229"/>
      <c r="Z7" s="1112"/>
      <c r="AA7" s="1112"/>
      <c r="AB7" s="1112"/>
      <c r="AC7" s="1112"/>
      <c r="AD7" s="1109"/>
      <c r="AE7" s="1109"/>
      <c r="AF7" s="1112"/>
      <c r="AG7" s="1202"/>
      <c r="AH7" s="1203"/>
      <c r="AI7" s="1107"/>
      <c r="AJ7" s="1107"/>
      <c r="AK7" s="1107"/>
      <c r="AL7" s="1108"/>
      <c r="AM7" s="1109"/>
      <c r="AN7" s="1110"/>
      <c r="AO7" s="1111"/>
      <c r="AP7" s="1108"/>
      <c r="AQ7" s="1112"/>
      <c r="AR7" s="1112"/>
      <c r="AS7" s="1112"/>
    </row>
    <row r="8" spans="2:45" s="335" customFormat="1" ht="12.75" customHeight="1" x14ac:dyDescent="0.25">
      <c r="B8" s="336"/>
      <c r="C8" s="70" t="s">
        <v>195</v>
      </c>
      <c r="D8" s="296"/>
      <c r="E8" s="350" t="str">
        <f>tab!D2</f>
        <v>2015/16</v>
      </c>
      <c r="F8" s="340"/>
      <c r="G8" s="341"/>
      <c r="H8" s="342"/>
      <c r="I8" s="1216"/>
      <c r="J8" s="1217"/>
      <c r="K8" s="419"/>
      <c r="L8" s="1216"/>
      <c r="M8" s="1216"/>
      <c r="N8" s="342"/>
      <c r="O8" s="1084"/>
      <c r="P8" s="342"/>
      <c r="Q8" s="337"/>
      <c r="R8" s="337"/>
      <c r="S8" s="337"/>
      <c r="T8" s="777"/>
      <c r="U8" s="337"/>
      <c r="V8" s="344"/>
      <c r="Y8" s="1123"/>
      <c r="Z8" s="1112"/>
      <c r="AA8" s="1112"/>
      <c r="AB8" s="1112"/>
      <c r="AC8" s="1112"/>
      <c r="AD8" s="1109"/>
      <c r="AE8" s="1109"/>
      <c r="AF8" s="1112"/>
      <c r="AG8" s="1202"/>
      <c r="AH8" s="1203"/>
      <c r="AI8" s="1107"/>
      <c r="AJ8" s="1107"/>
      <c r="AK8" s="1107"/>
      <c r="AL8" s="1108"/>
      <c r="AM8" s="1109"/>
      <c r="AN8" s="1110"/>
      <c r="AO8" s="1111"/>
      <c r="AP8" s="1108"/>
      <c r="AQ8" s="1112"/>
      <c r="AR8" s="1112"/>
      <c r="AS8" s="1112"/>
    </row>
    <row r="9" spans="2:45" ht="12.75" customHeight="1" x14ac:dyDescent="0.2">
      <c r="B9" s="69"/>
      <c r="C9" s="234" t="s">
        <v>217</v>
      </c>
      <c r="D9" s="296"/>
      <c r="E9" s="350">
        <f>tab!E3</f>
        <v>42278</v>
      </c>
      <c r="F9" s="72"/>
      <c r="G9" s="352"/>
      <c r="H9" s="298"/>
      <c r="I9" s="298"/>
      <c r="J9" s="299"/>
      <c r="K9" s="70"/>
      <c r="L9" s="298"/>
      <c r="M9" s="298"/>
      <c r="N9" s="298"/>
      <c r="O9" s="1082"/>
      <c r="P9" s="298"/>
      <c r="Q9" s="70"/>
      <c r="R9" s="70"/>
      <c r="S9" s="70"/>
      <c r="T9" s="396"/>
      <c r="U9" s="70"/>
      <c r="V9" s="73"/>
      <c r="AI9" s="1103"/>
      <c r="AJ9" s="1103"/>
      <c r="AK9" s="1103"/>
      <c r="AL9" s="1104"/>
      <c r="AM9" s="1093"/>
      <c r="AN9" s="1105"/>
      <c r="AO9" s="1106"/>
      <c r="AP9" s="1104"/>
    </row>
    <row r="10" spans="2:45" ht="12.75" customHeight="1" x14ac:dyDescent="0.25">
      <c r="B10" s="69"/>
      <c r="C10" s="70"/>
      <c r="D10" s="338"/>
      <c r="E10" s="353"/>
      <c r="F10" s="72"/>
      <c r="G10" s="352"/>
      <c r="H10" s="298"/>
      <c r="I10" s="298"/>
      <c r="J10" s="299"/>
      <c r="K10" s="70"/>
      <c r="L10" s="298"/>
      <c r="M10" s="298"/>
      <c r="N10" s="298"/>
      <c r="O10" s="1082"/>
      <c r="P10" s="298"/>
      <c r="Q10" s="70"/>
      <c r="R10" s="70"/>
      <c r="S10" s="70"/>
      <c r="T10" s="396"/>
      <c r="U10" s="70"/>
      <c r="V10" s="73"/>
      <c r="AI10" s="1103"/>
      <c r="AJ10" s="1103"/>
      <c r="AK10" s="1103"/>
      <c r="AL10" s="1104"/>
      <c r="AM10" s="1093"/>
      <c r="AN10" s="1105"/>
      <c r="AO10" s="1106"/>
      <c r="AP10" s="1104"/>
    </row>
    <row r="11" spans="2:45" ht="12.75" customHeight="1" x14ac:dyDescent="0.2">
      <c r="B11" s="69"/>
      <c r="C11" s="86"/>
      <c r="D11" s="921"/>
      <c r="E11" s="920"/>
      <c r="F11" s="900"/>
      <c r="G11" s="922"/>
      <c r="H11" s="923"/>
      <c r="I11" s="923"/>
      <c r="J11" s="924"/>
      <c r="K11" s="925"/>
      <c r="L11" s="1016"/>
      <c r="M11" s="1016"/>
      <c r="N11" s="1016"/>
      <c r="O11" s="1085"/>
      <c r="P11" s="1016"/>
      <c r="Q11" s="925"/>
      <c r="R11" s="925"/>
      <c r="S11" s="925"/>
      <c r="T11" s="926"/>
      <c r="U11" s="161"/>
      <c r="V11" s="73"/>
      <c r="Z11" s="1096"/>
      <c r="AA11" s="1096"/>
      <c r="AB11" s="1096"/>
      <c r="AC11" s="1096"/>
      <c r="AD11" s="1124"/>
      <c r="AE11" s="1124"/>
      <c r="AF11" s="1096"/>
      <c r="AG11" s="1132"/>
      <c r="AI11" s="1103"/>
      <c r="AJ11" s="1103"/>
      <c r="AK11" s="1103"/>
      <c r="AL11" s="1104"/>
      <c r="AM11" s="1093"/>
      <c r="AN11" s="1105"/>
      <c r="AO11" s="1106"/>
      <c r="AP11" s="1104"/>
    </row>
    <row r="12" spans="2:45" s="361" customFormat="1" ht="12.75" customHeight="1" x14ac:dyDescent="0.2">
      <c r="B12" s="362"/>
      <c r="C12" s="363"/>
      <c r="D12" s="1074" t="s">
        <v>335</v>
      </c>
      <c r="E12" s="1075"/>
      <c r="F12" s="1075"/>
      <c r="G12" s="1075"/>
      <c r="H12" s="1076"/>
      <c r="I12" s="1076"/>
      <c r="J12" s="1076"/>
      <c r="K12" s="1191"/>
      <c r="L12" s="1074" t="s">
        <v>561</v>
      </c>
      <c r="M12" s="1064"/>
      <c r="N12" s="1074"/>
      <c r="O12" s="1074"/>
      <c r="P12" s="1170"/>
      <c r="Q12" s="927"/>
      <c r="R12" s="1074" t="s">
        <v>563</v>
      </c>
      <c r="S12" s="1076"/>
      <c r="T12" s="1153"/>
      <c r="U12" s="944"/>
      <c r="V12" s="364"/>
      <c r="W12" s="365"/>
      <c r="X12" s="365"/>
      <c r="Y12" s="1094"/>
      <c r="Z12" s="1126"/>
      <c r="AA12" s="1094"/>
      <c r="AB12" s="1094"/>
      <c r="AC12" s="1094"/>
      <c r="AD12" s="1125"/>
      <c r="AE12" s="1125"/>
      <c r="AF12" s="1126"/>
      <c r="AG12" s="1151"/>
      <c r="AH12" s="1227"/>
      <c r="AI12" s="1141"/>
      <c r="AJ12" s="1141"/>
      <c r="AK12" s="1141"/>
      <c r="AL12" s="1141"/>
      <c r="AM12" s="1141"/>
      <c r="AN12" s="1096"/>
      <c r="AO12" s="1096"/>
      <c r="AP12" s="1096"/>
      <c r="AQ12" s="1113"/>
      <c r="AR12" s="1113"/>
      <c r="AS12" s="1096"/>
    </row>
    <row r="13" spans="2:45" s="361" customFormat="1" ht="12.75" customHeight="1" x14ac:dyDescent="0.2">
      <c r="B13" s="362"/>
      <c r="C13" s="363"/>
      <c r="D13" s="886" t="s">
        <v>549</v>
      </c>
      <c r="E13" s="886" t="s">
        <v>201</v>
      </c>
      <c r="F13" s="929" t="s">
        <v>147</v>
      </c>
      <c r="G13" s="930" t="s">
        <v>325</v>
      </c>
      <c r="H13" s="929" t="s">
        <v>231</v>
      </c>
      <c r="I13" s="929" t="s">
        <v>262</v>
      </c>
      <c r="J13" s="931" t="s">
        <v>150</v>
      </c>
      <c r="K13" s="1192"/>
      <c r="L13" s="932" t="s">
        <v>544</v>
      </c>
      <c r="M13" s="932" t="s">
        <v>537</v>
      </c>
      <c r="N13" s="932" t="s">
        <v>551</v>
      </c>
      <c r="O13" s="932" t="s">
        <v>544</v>
      </c>
      <c r="P13" s="1171" t="s">
        <v>556</v>
      </c>
      <c r="Q13" s="898"/>
      <c r="R13" s="1073" t="s">
        <v>216</v>
      </c>
      <c r="S13" s="934" t="s">
        <v>562</v>
      </c>
      <c r="T13" s="935" t="s">
        <v>216</v>
      </c>
      <c r="U13" s="945"/>
      <c r="V13" s="368"/>
      <c r="W13" s="369"/>
      <c r="X13" s="369"/>
      <c r="Y13" s="1127" t="s">
        <v>361</v>
      </c>
      <c r="Z13" s="1182" t="s">
        <v>548</v>
      </c>
      <c r="AA13" s="1115" t="s">
        <v>557</v>
      </c>
      <c r="AB13" s="1115" t="s">
        <v>557</v>
      </c>
      <c r="AC13" s="1115" t="s">
        <v>560</v>
      </c>
      <c r="AD13" s="1128" t="s">
        <v>542</v>
      </c>
      <c r="AE13" s="1128" t="s">
        <v>543</v>
      </c>
      <c r="AF13" s="1114" t="s">
        <v>539</v>
      </c>
      <c r="AG13" s="1152" t="s">
        <v>343</v>
      </c>
      <c r="AH13" s="1160" t="s">
        <v>468</v>
      </c>
      <c r="AI13" s="1114" t="s">
        <v>328</v>
      </c>
      <c r="AJ13" s="1114" t="s">
        <v>329</v>
      </c>
      <c r="AK13" s="1114" t="s">
        <v>149</v>
      </c>
      <c r="AL13" s="1114" t="s">
        <v>228</v>
      </c>
      <c r="AM13" s="1128" t="s">
        <v>203</v>
      </c>
      <c r="AN13" s="1096"/>
      <c r="AO13" s="1096"/>
      <c r="AP13" s="1096"/>
      <c r="AQ13" s="1113"/>
      <c r="AR13" s="1115"/>
      <c r="AS13" s="1096"/>
    </row>
    <row r="14" spans="2:45" s="361" customFormat="1" ht="12.75" customHeight="1" x14ac:dyDescent="0.2">
      <c r="B14" s="362"/>
      <c r="C14" s="363"/>
      <c r="D14" s="1075"/>
      <c r="E14" s="886"/>
      <c r="F14" s="929" t="s">
        <v>148</v>
      </c>
      <c r="G14" s="930" t="s">
        <v>326</v>
      </c>
      <c r="H14" s="929"/>
      <c r="I14" s="929"/>
      <c r="J14" s="931"/>
      <c r="K14" s="1192"/>
      <c r="L14" s="932" t="s">
        <v>545</v>
      </c>
      <c r="M14" s="932" t="s">
        <v>547</v>
      </c>
      <c r="N14" s="932" t="s">
        <v>552</v>
      </c>
      <c r="O14" s="932" t="s">
        <v>546</v>
      </c>
      <c r="P14" s="1171" t="s">
        <v>320</v>
      </c>
      <c r="Q14" s="898"/>
      <c r="R14" s="902" t="s">
        <v>554</v>
      </c>
      <c r="S14" s="934" t="s">
        <v>538</v>
      </c>
      <c r="T14" s="935" t="s">
        <v>320</v>
      </c>
      <c r="U14" s="906"/>
      <c r="V14" s="78"/>
      <c r="W14" s="106"/>
      <c r="X14" s="106"/>
      <c r="Y14" s="1127" t="s">
        <v>223</v>
      </c>
      <c r="Z14" s="1183">
        <f>tab!$D$64</f>
        <v>0.62</v>
      </c>
      <c r="AA14" s="1115" t="s">
        <v>558</v>
      </c>
      <c r="AB14" s="1115" t="s">
        <v>559</v>
      </c>
      <c r="AC14" s="1115" t="s">
        <v>555</v>
      </c>
      <c r="AD14" s="1128" t="s">
        <v>541</v>
      </c>
      <c r="AE14" s="1128" t="s">
        <v>541</v>
      </c>
      <c r="AF14" s="1114" t="s">
        <v>540</v>
      </c>
      <c r="AG14" s="1152"/>
      <c r="AH14" s="1159" t="s">
        <v>261</v>
      </c>
      <c r="AI14" s="1128" t="s">
        <v>327</v>
      </c>
      <c r="AJ14" s="1128" t="s">
        <v>327</v>
      </c>
      <c r="AK14" s="1114"/>
      <c r="AL14" s="1114" t="s">
        <v>203</v>
      </c>
      <c r="AM14" s="1128"/>
      <c r="AN14" s="1096"/>
      <c r="AO14" s="1096"/>
      <c r="AP14" s="1096"/>
      <c r="AQ14" s="1096"/>
      <c r="AR14" s="1116"/>
      <c r="AS14" s="1096"/>
    </row>
    <row r="15" spans="2:45" ht="12.75" customHeight="1" x14ac:dyDescent="0.2">
      <c r="B15" s="69"/>
      <c r="C15" s="90"/>
      <c r="D15" s="1075"/>
      <c r="E15" s="1075"/>
      <c r="F15" s="899"/>
      <c r="G15" s="946"/>
      <c r="H15" s="929"/>
      <c r="I15" s="929"/>
      <c r="J15" s="931"/>
      <c r="K15" s="1075"/>
      <c r="L15" s="932"/>
      <c r="M15" s="932"/>
      <c r="N15" s="932"/>
      <c r="O15" s="1086"/>
      <c r="P15" s="932"/>
      <c r="Q15" s="1075"/>
      <c r="R15" s="947"/>
      <c r="S15" s="947"/>
      <c r="T15" s="948"/>
      <c r="U15" s="162"/>
      <c r="V15" s="73"/>
      <c r="Y15" s="1127"/>
      <c r="Z15" s="1113"/>
      <c r="AA15" s="1113"/>
      <c r="AB15" s="1113"/>
      <c r="AC15" s="1113"/>
      <c r="AD15" s="1128"/>
      <c r="AE15" s="1128"/>
      <c r="AF15" s="1113"/>
      <c r="AG15" s="1152"/>
      <c r="AH15" s="1204"/>
      <c r="AO15" s="1094"/>
      <c r="AP15" s="1094"/>
      <c r="AR15" s="1117"/>
    </row>
    <row r="16" spans="2:45" ht="12.75" customHeight="1" x14ac:dyDescent="0.2">
      <c r="B16" s="69"/>
      <c r="C16" s="90"/>
      <c r="D16" s="376"/>
      <c r="E16" s="97" t="s">
        <v>437</v>
      </c>
      <c r="F16" s="114"/>
      <c r="G16" s="377"/>
      <c r="H16" s="129" t="s">
        <v>152</v>
      </c>
      <c r="I16" s="129">
        <v>3</v>
      </c>
      <c r="J16" s="378">
        <v>1</v>
      </c>
      <c r="K16" s="380"/>
      <c r="L16" s="1065">
        <v>130</v>
      </c>
      <c r="M16" s="1065">
        <v>170</v>
      </c>
      <c r="N16" s="1077">
        <f t="shared" ref="N16:N25" si="0">IF(J16="","",IF((J16*40)&gt;40,40,((J16*40))))</f>
        <v>40</v>
      </c>
      <c r="O16" s="1077"/>
      <c r="P16" s="1172">
        <f t="shared" ref="P16:P25" si="1">IF(J16="","",(SUM(L16:O16)))</f>
        <v>340</v>
      </c>
      <c r="Q16" s="91"/>
      <c r="R16" s="936">
        <f t="shared" ref="R16:R25" si="2">IF(J16="","",(((1659*J16)-P16)*AB16))</f>
        <v>49381.642676311036</v>
      </c>
      <c r="S16" s="936">
        <f t="shared" ref="S16:S25" si="3">IF(J16="","",(P16*AC16)+(AA16*AD16)+((AE16*AA16*(1-AF16))))</f>
        <v>9262.6112115732394</v>
      </c>
      <c r="T16" s="937">
        <f>IF(J16="","",(R16+S16))</f>
        <v>58644.253887884275</v>
      </c>
      <c r="U16" s="361"/>
      <c r="V16" s="381"/>
      <c r="W16" s="375"/>
      <c r="X16" s="375"/>
      <c r="Y16" s="1120">
        <f>VLOOKUP(H16,tab!$A$73:$V$114,I16+2,FALSE)</f>
        <v>3195</v>
      </c>
      <c r="Z16" s="1211">
        <f>tab!$D$64</f>
        <v>0.62</v>
      </c>
      <c r="AA16" s="1163">
        <f t="shared" ref="AA16:AA25" si="4">(Y16*12/1659)</f>
        <v>23.110307414104881</v>
      </c>
      <c r="AB16" s="1163">
        <f t="shared" ref="AB16:AB25" si="5">(Y16*12*(1+Z16))/1659</f>
        <v>37.438698010849912</v>
      </c>
      <c r="AC16" s="1163">
        <f t="shared" ref="AC16:AC25" si="6">AB16-AA16</f>
        <v>14.328390596745031</v>
      </c>
      <c r="AD16" s="1162">
        <f t="shared" ref="AD16:AD25" si="7">(N16+O16)</f>
        <v>40</v>
      </c>
      <c r="AE16" s="1162">
        <f t="shared" ref="AE16:AE25" si="8">(L16+M16)</f>
        <v>300</v>
      </c>
      <c r="AF16" s="1129">
        <f>IF(H16&gt;8,tab!$D$65,tab!$D$67)</f>
        <v>0.5</v>
      </c>
      <c r="AG16" s="1143">
        <f t="shared" ref="AG16:AG25" si="9">IF(F16&lt;25,0,IF(F16=25,25,IF(F16&lt;40,0,IF(F16=40,40,IF(F16&gt;=40,0)))))</f>
        <v>0</v>
      </c>
      <c r="AH16" s="1204">
        <f t="shared" ref="AH16:AH25" si="10">IF(AG16=25,(Y16*1.08*(J16)/2),IF(AG16=40,(Y16*1.08*(J16)),IF(AG16=0,0)))</f>
        <v>0</v>
      </c>
      <c r="AO16" s="1094"/>
      <c r="AP16" s="1094"/>
      <c r="AQ16" s="1117"/>
      <c r="AR16" s="1118"/>
    </row>
    <row r="17" spans="2:44" ht="12.75" customHeight="1" x14ac:dyDescent="0.2">
      <c r="B17" s="69"/>
      <c r="C17" s="90"/>
      <c r="D17" s="376"/>
      <c r="E17" s="97"/>
      <c r="F17" s="114"/>
      <c r="G17" s="377"/>
      <c r="H17" s="129"/>
      <c r="I17" s="129"/>
      <c r="J17" s="378"/>
      <c r="K17" s="380"/>
      <c r="L17" s="379"/>
      <c r="M17" s="379"/>
      <c r="N17" s="1077" t="str">
        <f t="shared" si="0"/>
        <v/>
      </c>
      <c r="O17" s="1077"/>
      <c r="P17" s="1172" t="str">
        <f t="shared" si="1"/>
        <v/>
      </c>
      <c r="Q17" s="91"/>
      <c r="R17" s="936" t="str">
        <f t="shared" si="2"/>
        <v/>
      </c>
      <c r="S17" s="936" t="str">
        <f t="shared" si="3"/>
        <v/>
      </c>
      <c r="T17" s="937" t="str">
        <f t="shared" ref="T17:T25" si="11">IF(J17="","",(R17+S17))</f>
        <v/>
      </c>
      <c r="U17" s="361"/>
      <c r="V17" s="381"/>
      <c r="W17" s="375"/>
      <c r="X17" s="375"/>
      <c r="Y17" s="1120" t="e">
        <f>VLOOKUP(H17,tab!$A$73:$V$114,I17+2,FALSE)</f>
        <v>#N/A</v>
      </c>
      <c r="Z17" s="1211">
        <f>tab!$D$64</f>
        <v>0.62</v>
      </c>
      <c r="AA17" s="1163" t="e">
        <f t="shared" si="4"/>
        <v>#N/A</v>
      </c>
      <c r="AB17" s="1163" t="e">
        <f t="shared" si="5"/>
        <v>#N/A</v>
      </c>
      <c r="AC17" s="1163" t="e">
        <f t="shared" si="6"/>
        <v>#N/A</v>
      </c>
      <c r="AD17" s="1162" t="e">
        <f t="shared" si="7"/>
        <v>#VALUE!</v>
      </c>
      <c r="AE17" s="1162">
        <f t="shared" si="8"/>
        <v>0</v>
      </c>
      <c r="AF17" s="1129">
        <f>IF(H17&gt;8,tab!$D$65,tab!$D$67)</f>
        <v>0.4</v>
      </c>
      <c r="AG17" s="1143">
        <f t="shared" si="9"/>
        <v>0</v>
      </c>
      <c r="AH17" s="1204">
        <f t="shared" si="10"/>
        <v>0</v>
      </c>
      <c r="AO17" s="1094"/>
      <c r="AP17" s="1094"/>
      <c r="AQ17" s="1118"/>
      <c r="AR17" s="1117"/>
    </row>
    <row r="18" spans="2:44" ht="12.75" customHeight="1" x14ac:dyDescent="0.2">
      <c r="B18" s="69"/>
      <c r="C18" s="90"/>
      <c r="D18" s="376"/>
      <c r="E18" s="97"/>
      <c r="F18" s="114"/>
      <c r="G18" s="377"/>
      <c r="H18" s="129"/>
      <c r="I18" s="129"/>
      <c r="J18" s="378"/>
      <c r="K18" s="380"/>
      <c r="L18" s="379"/>
      <c r="M18" s="379"/>
      <c r="N18" s="1077" t="str">
        <f t="shared" si="0"/>
        <v/>
      </c>
      <c r="O18" s="1077"/>
      <c r="P18" s="1172" t="str">
        <f t="shared" si="1"/>
        <v/>
      </c>
      <c r="Q18" s="91"/>
      <c r="R18" s="936" t="str">
        <f t="shared" si="2"/>
        <v/>
      </c>
      <c r="S18" s="936" t="str">
        <f t="shared" si="3"/>
        <v/>
      </c>
      <c r="T18" s="937" t="str">
        <f t="shared" si="11"/>
        <v/>
      </c>
      <c r="U18" s="361"/>
      <c r="V18" s="381"/>
      <c r="W18" s="375"/>
      <c r="X18" s="375"/>
      <c r="Y18" s="1120" t="e">
        <f>VLOOKUP(H18,tab!$A$73:$V$114,I18+2,FALSE)</f>
        <v>#N/A</v>
      </c>
      <c r="Z18" s="1211">
        <f>tab!$D$64</f>
        <v>0.62</v>
      </c>
      <c r="AA18" s="1163" t="e">
        <f t="shared" si="4"/>
        <v>#N/A</v>
      </c>
      <c r="AB18" s="1163" t="e">
        <f t="shared" si="5"/>
        <v>#N/A</v>
      </c>
      <c r="AC18" s="1163" t="e">
        <f t="shared" si="6"/>
        <v>#N/A</v>
      </c>
      <c r="AD18" s="1162" t="e">
        <f t="shared" si="7"/>
        <v>#VALUE!</v>
      </c>
      <c r="AE18" s="1162">
        <f t="shared" si="8"/>
        <v>0</v>
      </c>
      <c r="AF18" s="1129">
        <f>IF(H18&gt;8,tab!$D$65,tab!$D$67)</f>
        <v>0.4</v>
      </c>
      <c r="AG18" s="1143">
        <f t="shared" si="9"/>
        <v>0</v>
      </c>
      <c r="AH18" s="1204">
        <f t="shared" si="10"/>
        <v>0</v>
      </c>
      <c r="AO18" s="1094"/>
      <c r="AP18" s="1094"/>
      <c r="AQ18" s="1118"/>
      <c r="AR18" s="1117"/>
    </row>
    <row r="19" spans="2:44" ht="12.75" customHeight="1" x14ac:dyDescent="0.2">
      <c r="B19" s="69"/>
      <c r="C19" s="90"/>
      <c r="D19" s="376"/>
      <c r="E19" s="97"/>
      <c r="F19" s="114"/>
      <c r="G19" s="377"/>
      <c r="H19" s="129"/>
      <c r="I19" s="129"/>
      <c r="J19" s="378"/>
      <c r="K19" s="380"/>
      <c r="L19" s="379"/>
      <c r="M19" s="379"/>
      <c r="N19" s="1077" t="str">
        <f t="shared" si="0"/>
        <v/>
      </c>
      <c r="O19" s="1077"/>
      <c r="P19" s="1172" t="str">
        <f t="shared" si="1"/>
        <v/>
      </c>
      <c r="Q19" s="91"/>
      <c r="R19" s="936" t="str">
        <f t="shared" si="2"/>
        <v/>
      </c>
      <c r="S19" s="936" t="str">
        <f t="shared" si="3"/>
        <v/>
      </c>
      <c r="T19" s="937" t="str">
        <f t="shared" si="11"/>
        <v/>
      </c>
      <c r="U19" s="361"/>
      <c r="V19" s="381"/>
      <c r="W19" s="375"/>
      <c r="X19" s="375"/>
      <c r="Y19" s="1120" t="e">
        <f>VLOOKUP(H19,tab!$A$73:$V$114,I19+2,FALSE)</f>
        <v>#N/A</v>
      </c>
      <c r="Z19" s="1211">
        <f>tab!$D$64</f>
        <v>0.62</v>
      </c>
      <c r="AA19" s="1163" t="e">
        <f t="shared" si="4"/>
        <v>#N/A</v>
      </c>
      <c r="AB19" s="1163" t="e">
        <f t="shared" si="5"/>
        <v>#N/A</v>
      </c>
      <c r="AC19" s="1163" t="e">
        <f t="shared" si="6"/>
        <v>#N/A</v>
      </c>
      <c r="AD19" s="1162" t="e">
        <f t="shared" si="7"/>
        <v>#VALUE!</v>
      </c>
      <c r="AE19" s="1162">
        <f t="shared" si="8"/>
        <v>0</v>
      </c>
      <c r="AF19" s="1129">
        <f>IF(H19&gt;8,tab!$D$65,tab!$D$67)</f>
        <v>0.4</v>
      </c>
      <c r="AG19" s="1143">
        <f t="shared" si="9"/>
        <v>0</v>
      </c>
      <c r="AH19" s="1204">
        <f t="shared" si="10"/>
        <v>0</v>
      </c>
      <c r="AO19" s="1094"/>
      <c r="AP19" s="1094"/>
      <c r="AQ19" s="1118"/>
      <c r="AR19" s="1117"/>
    </row>
    <row r="20" spans="2:44" ht="12.75" customHeight="1" x14ac:dyDescent="0.2">
      <c r="B20" s="69"/>
      <c r="C20" s="90"/>
      <c r="D20" s="376"/>
      <c r="E20" s="97"/>
      <c r="F20" s="114"/>
      <c r="G20" s="377"/>
      <c r="H20" s="129"/>
      <c r="I20" s="129"/>
      <c r="J20" s="378"/>
      <c r="K20" s="380"/>
      <c r="L20" s="379"/>
      <c r="M20" s="379"/>
      <c r="N20" s="1077" t="str">
        <f t="shared" si="0"/>
        <v/>
      </c>
      <c r="O20" s="1077"/>
      <c r="P20" s="1172" t="str">
        <f t="shared" si="1"/>
        <v/>
      </c>
      <c r="Q20" s="91"/>
      <c r="R20" s="936" t="str">
        <f t="shared" si="2"/>
        <v/>
      </c>
      <c r="S20" s="936" t="str">
        <f t="shared" si="3"/>
        <v/>
      </c>
      <c r="T20" s="937" t="str">
        <f t="shared" si="11"/>
        <v/>
      </c>
      <c r="U20" s="361"/>
      <c r="V20" s="381"/>
      <c r="W20" s="375"/>
      <c r="X20" s="375"/>
      <c r="Y20" s="1120" t="e">
        <f>VLOOKUP(H20,tab!$A$73:$V$114,I20+2,FALSE)</f>
        <v>#N/A</v>
      </c>
      <c r="Z20" s="1211">
        <f>tab!$D$64</f>
        <v>0.62</v>
      </c>
      <c r="AA20" s="1163" t="e">
        <f t="shared" si="4"/>
        <v>#N/A</v>
      </c>
      <c r="AB20" s="1163" t="e">
        <f t="shared" si="5"/>
        <v>#N/A</v>
      </c>
      <c r="AC20" s="1163" t="e">
        <f t="shared" si="6"/>
        <v>#N/A</v>
      </c>
      <c r="AD20" s="1162" t="e">
        <f t="shared" si="7"/>
        <v>#VALUE!</v>
      </c>
      <c r="AE20" s="1162">
        <f t="shared" si="8"/>
        <v>0</v>
      </c>
      <c r="AF20" s="1129">
        <f>IF(H20&gt;8,tab!$D$65,tab!$D$67)</f>
        <v>0.4</v>
      </c>
      <c r="AG20" s="1143">
        <f t="shared" si="9"/>
        <v>0</v>
      </c>
      <c r="AH20" s="1204">
        <f t="shared" si="10"/>
        <v>0</v>
      </c>
      <c r="AO20" s="1094"/>
      <c r="AP20" s="1094"/>
      <c r="AQ20" s="1118"/>
      <c r="AR20" s="1117"/>
    </row>
    <row r="21" spans="2:44" ht="12.75" customHeight="1" x14ac:dyDescent="0.2">
      <c r="B21" s="69"/>
      <c r="C21" s="90"/>
      <c r="D21" s="376"/>
      <c r="E21" s="97"/>
      <c r="F21" s="114"/>
      <c r="G21" s="377"/>
      <c r="H21" s="129"/>
      <c r="I21" s="129"/>
      <c r="J21" s="378"/>
      <c r="K21" s="380"/>
      <c r="L21" s="379"/>
      <c r="M21" s="379"/>
      <c r="N21" s="1077" t="str">
        <f t="shared" si="0"/>
        <v/>
      </c>
      <c r="O21" s="1077"/>
      <c r="P21" s="1172" t="str">
        <f t="shared" si="1"/>
        <v/>
      </c>
      <c r="Q21" s="91"/>
      <c r="R21" s="936" t="str">
        <f t="shared" si="2"/>
        <v/>
      </c>
      <c r="S21" s="936" t="str">
        <f t="shared" si="3"/>
        <v/>
      </c>
      <c r="T21" s="937" t="str">
        <f t="shared" si="11"/>
        <v/>
      </c>
      <c r="U21" s="361"/>
      <c r="V21" s="381"/>
      <c r="W21" s="375"/>
      <c r="X21" s="375"/>
      <c r="Y21" s="1120" t="e">
        <f>VLOOKUP(H21,tab!$A$73:$V$114,I21+2,FALSE)</f>
        <v>#N/A</v>
      </c>
      <c r="Z21" s="1211">
        <f>tab!$D$64</f>
        <v>0.62</v>
      </c>
      <c r="AA21" s="1163" t="e">
        <f t="shared" si="4"/>
        <v>#N/A</v>
      </c>
      <c r="AB21" s="1163" t="e">
        <f t="shared" si="5"/>
        <v>#N/A</v>
      </c>
      <c r="AC21" s="1163" t="e">
        <f t="shared" si="6"/>
        <v>#N/A</v>
      </c>
      <c r="AD21" s="1162" t="e">
        <f t="shared" si="7"/>
        <v>#VALUE!</v>
      </c>
      <c r="AE21" s="1162">
        <f t="shared" si="8"/>
        <v>0</v>
      </c>
      <c r="AF21" s="1129">
        <f>IF(H21&gt;8,tab!$D$65,tab!$D$67)</f>
        <v>0.4</v>
      </c>
      <c r="AG21" s="1143">
        <f t="shared" si="9"/>
        <v>0</v>
      </c>
      <c r="AH21" s="1204">
        <f t="shared" si="10"/>
        <v>0</v>
      </c>
      <c r="AO21" s="1094"/>
      <c r="AP21" s="1094"/>
      <c r="AQ21" s="1118"/>
      <c r="AR21" s="1117"/>
    </row>
    <row r="22" spans="2:44" ht="12.75" customHeight="1" x14ac:dyDescent="0.2">
      <c r="B22" s="69"/>
      <c r="C22" s="90"/>
      <c r="D22" s="376"/>
      <c r="E22" s="97"/>
      <c r="F22" s="114"/>
      <c r="G22" s="377"/>
      <c r="H22" s="129"/>
      <c r="I22" s="129"/>
      <c r="J22" s="378"/>
      <c r="K22" s="380"/>
      <c r="L22" s="379"/>
      <c r="M22" s="379"/>
      <c r="N22" s="1077" t="str">
        <f t="shared" si="0"/>
        <v/>
      </c>
      <c r="O22" s="1077"/>
      <c r="P22" s="1172" t="str">
        <f t="shared" si="1"/>
        <v/>
      </c>
      <c r="Q22" s="91"/>
      <c r="R22" s="936" t="str">
        <f t="shared" si="2"/>
        <v/>
      </c>
      <c r="S22" s="936" t="str">
        <f t="shared" si="3"/>
        <v/>
      </c>
      <c r="T22" s="937" t="str">
        <f t="shared" si="11"/>
        <v/>
      </c>
      <c r="U22" s="361"/>
      <c r="V22" s="381"/>
      <c r="W22" s="375"/>
      <c r="X22" s="375"/>
      <c r="Y22" s="1120" t="e">
        <f>VLOOKUP(H22,tab!$A$73:$V$114,I22+2,FALSE)</f>
        <v>#N/A</v>
      </c>
      <c r="Z22" s="1211">
        <f>tab!$D$64</f>
        <v>0.62</v>
      </c>
      <c r="AA22" s="1163" t="e">
        <f t="shared" si="4"/>
        <v>#N/A</v>
      </c>
      <c r="AB22" s="1163" t="e">
        <f t="shared" si="5"/>
        <v>#N/A</v>
      </c>
      <c r="AC22" s="1163" t="e">
        <f t="shared" si="6"/>
        <v>#N/A</v>
      </c>
      <c r="AD22" s="1162" t="e">
        <f t="shared" si="7"/>
        <v>#VALUE!</v>
      </c>
      <c r="AE22" s="1162">
        <f t="shared" si="8"/>
        <v>0</v>
      </c>
      <c r="AF22" s="1129">
        <f>IF(H22&gt;8,tab!$D$65,tab!$D$67)</f>
        <v>0.4</v>
      </c>
      <c r="AG22" s="1143">
        <f t="shared" si="9"/>
        <v>0</v>
      </c>
      <c r="AH22" s="1204">
        <f t="shared" si="10"/>
        <v>0</v>
      </c>
      <c r="AO22" s="1094"/>
      <c r="AP22" s="1094"/>
      <c r="AQ22" s="1118"/>
      <c r="AR22" s="1117"/>
    </row>
    <row r="23" spans="2:44" ht="12.75" customHeight="1" x14ac:dyDescent="0.2">
      <c r="B23" s="69"/>
      <c r="C23" s="90"/>
      <c r="D23" s="376"/>
      <c r="E23" s="97"/>
      <c r="F23" s="114"/>
      <c r="G23" s="377"/>
      <c r="H23" s="129"/>
      <c r="I23" s="129"/>
      <c r="J23" s="378"/>
      <c r="K23" s="380"/>
      <c r="L23" s="379"/>
      <c r="M23" s="379"/>
      <c r="N23" s="1077" t="str">
        <f t="shared" si="0"/>
        <v/>
      </c>
      <c r="O23" s="1077"/>
      <c r="P23" s="1172" t="str">
        <f t="shared" si="1"/>
        <v/>
      </c>
      <c r="Q23" s="91"/>
      <c r="R23" s="936" t="str">
        <f t="shared" si="2"/>
        <v/>
      </c>
      <c r="S23" s="936" t="str">
        <f t="shared" si="3"/>
        <v/>
      </c>
      <c r="T23" s="937" t="str">
        <f t="shared" si="11"/>
        <v/>
      </c>
      <c r="U23" s="361"/>
      <c r="V23" s="381"/>
      <c r="W23" s="375"/>
      <c r="X23" s="375"/>
      <c r="Y23" s="1120" t="e">
        <f>VLOOKUP(H23,tab!$A$73:$V$114,I23+2,FALSE)</f>
        <v>#N/A</v>
      </c>
      <c r="Z23" s="1211">
        <f>tab!$D$64</f>
        <v>0.62</v>
      </c>
      <c r="AA23" s="1163" t="e">
        <f t="shared" si="4"/>
        <v>#N/A</v>
      </c>
      <c r="AB23" s="1163" t="e">
        <f t="shared" si="5"/>
        <v>#N/A</v>
      </c>
      <c r="AC23" s="1163" t="e">
        <f t="shared" si="6"/>
        <v>#N/A</v>
      </c>
      <c r="AD23" s="1162" t="e">
        <f t="shared" si="7"/>
        <v>#VALUE!</v>
      </c>
      <c r="AE23" s="1162">
        <f t="shared" si="8"/>
        <v>0</v>
      </c>
      <c r="AF23" s="1129">
        <f>IF(H23&gt;8,tab!$D$65,tab!$D$67)</f>
        <v>0.4</v>
      </c>
      <c r="AG23" s="1143">
        <f t="shared" si="9"/>
        <v>0</v>
      </c>
      <c r="AH23" s="1204">
        <f t="shared" si="10"/>
        <v>0</v>
      </c>
      <c r="AO23" s="1094"/>
      <c r="AP23" s="1094"/>
      <c r="AQ23" s="1118"/>
      <c r="AR23" s="1117"/>
    </row>
    <row r="24" spans="2:44" ht="12.75" customHeight="1" x14ac:dyDescent="0.2">
      <c r="B24" s="69"/>
      <c r="C24" s="90"/>
      <c r="D24" s="376"/>
      <c r="E24" s="97"/>
      <c r="F24" s="114"/>
      <c r="G24" s="377"/>
      <c r="H24" s="129"/>
      <c r="I24" s="129"/>
      <c r="J24" s="378"/>
      <c r="K24" s="380"/>
      <c r="L24" s="379"/>
      <c r="M24" s="379"/>
      <c r="N24" s="1077" t="str">
        <f t="shared" si="0"/>
        <v/>
      </c>
      <c r="O24" s="1077"/>
      <c r="P24" s="1172" t="str">
        <f t="shared" si="1"/>
        <v/>
      </c>
      <c r="Q24" s="91"/>
      <c r="R24" s="936" t="str">
        <f t="shared" si="2"/>
        <v/>
      </c>
      <c r="S24" s="936" t="str">
        <f t="shared" si="3"/>
        <v/>
      </c>
      <c r="T24" s="937" t="str">
        <f t="shared" si="11"/>
        <v/>
      </c>
      <c r="U24" s="361"/>
      <c r="V24" s="381"/>
      <c r="W24" s="375"/>
      <c r="X24" s="375"/>
      <c r="Y24" s="1120" t="e">
        <f>VLOOKUP(H24,tab!$A$73:$V$114,I24+2,FALSE)</f>
        <v>#N/A</v>
      </c>
      <c r="Z24" s="1211">
        <f>tab!$D$64</f>
        <v>0.62</v>
      </c>
      <c r="AA24" s="1163" t="e">
        <f t="shared" si="4"/>
        <v>#N/A</v>
      </c>
      <c r="AB24" s="1163" t="e">
        <f t="shared" si="5"/>
        <v>#N/A</v>
      </c>
      <c r="AC24" s="1163" t="e">
        <f t="shared" si="6"/>
        <v>#N/A</v>
      </c>
      <c r="AD24" s="1162" t="e">
        <f t="shared" si="7"/>
        <v>#VALUE!</v>
      </c>
      <c r="AE24" s="1162">
        <f t="shared" si="8"/>
        <v>0</v>
      </c>
      <c r="AF24" s="1129">
        <f>IF(H24&gt;8,tab!$D$65,tab!$D$67)</f>
        <v>0.4</v>
      </c>
      <c r="AG24" s="1143">
        <f t="shared" si="9"/>
        <v>0</v>
      </c>
      <c r="AH24" s="1204">
        <f t="shared" si="10"/>
        <v>0</v>
      </c>
      <c r="AO24" s="1094"/>
      <c r="AP24" s="1094"/>
      <c r="AQ24" s="1118"/>
      <c r="AR24" s="1117"/>
    </row>
    <row r="25" spans="2:44" ht="12.75" customHeight="1" x14ac:dyDescent="0.2">
      <c r="B25" s="69"/>
      <c r="C25" s="90"/>
      <c r="D25" s="376"/>
      <c r="E25" s="97"/>
      <c r="F25" s="114"/>
      <c r="G25" s="377"/>
      <c r="H25" s="129"/>
      <c r="I25" s="129"/>
      <c r="J25" s="378"/>
      <c r="K25" s="380"/>
      <c r="L25" s="379"/>
      <c r="M25" s="379"/>
      <c r="N25" s="1077" t="str">
        <f t="shared" si="0"/>
        <v/>
      </c>
      <c r="O25" s="1077"/>
      <c r="P25" s="1172" t="str">
        <f t="shared" si="1"/>
        <v/>
      </c>
      <c r="Q25" s="91"/>
      <c r="R25" s="936" t="str">
        <f t="shared" si="2"/>
        <v/>
      </c>
      <c r="S25" s="936" t="str">
        <f t="shared" si="3"/>
        <v/>
      </c>
      <c r="T25" s="937" t="str">
        <f t="shared" si="11"/>
        <v/>
      </c>
      <c r="U25" s="361"/>
      <c r="V25" s="381"/>
      <c r="W25" s="375"/>
      <c r="X25" s="375"/>
      <c r="Y25" s="1120" t="e">
        <f>VLOOKUP(H25,tab!$A$73:$V$114,I25+2,FALSE)</f>
        <v>#N/A</v>
      </c>
      <c r="Z25" s="1211">
        <f>tab!$D$64</f>
        <v>0.62</v>
      </c>
      <c r="AA25" s="1163" t="e">
        <f t="shared" si="4"/>
        <v>#N/A</v>
      </c>
      <c r="AB25" s="1163" t="e">
        <f t="shared" si="5"/>
        <v>#N/A</v>
      </c>
      <c r="AC25" s="1163" t="e">
        <f t="shared" si="6"/>
        <v>#N/A</v>
      </c>
      <c r="AD25" s="1162" t="e">
        <f t="shared" si="7"/>
        <v>#VALUE!</v>
      </c>
      <c r="AE25" s="1162">
        <f t="shared" si="8"/>
        <v>0</v>
      </c>
      <c r="AF25" s="1129">
        <f>IF(H25&gt;8,tab!$D$65,tab!$D$67)</f>
        <v>0.4</v>
      </c>
      <c r="AG25" s="1143">
        <f t="shared" si="9"/>
        <v>0</v>
      </c>
      <c r="AH25" s="1204">
        <f t="shared" si="10"/>
        <v>0</v>
      </c>
      <c r="AO25" s="1094"/>
      <c r="AP25" s="1094"/>
      <c r="AQ25" s="1118"/>
      <c r="AR25" s="1117"/>
    </row>
    <row r="26" spans="2:44" ht="12.75" customHeight="1" x14ac:dyDescent="0.2">
      <c r="B26" s="69"/>
      <c r="C26" s="90"/>
      <c r="D26" s="385"/>
      <c r="E26" s="116"/>
      <c r="F26" s="386"/>
      <c r="G26" s="387"/>
      <c r="H26" s="95"/>
      <c r="I26" s="95"/>
      <c r="J26" s="939">
        <f>SUM(J16:J25)</f>
        <v>1</v>
      </c>
      <c r="K26" s="144"/>
      <c r="L26" s="1079">
        <f>SUM(L16:L25)</f>
        <v>130</v>
      </c>
      <c r="M26" s="1079">
        <f>SUM(M16:M25)</f>
        <v>170</v>
      </c>
      <c r="N26" s="1079">
        <f>SUM(N16:N25)</f>
        <v>40</v>
      </c>
      <c r="O26" s="1087"/>
      <c r="P26" s="1079">
        <f>SUM(P16:P25)</f>
        <v>340</v>
      </c>
      <c r="Q26" s="144"/>
      <c r="R26" s="940">
        <f t="shared" ref="R26:T26" si="12">SUM(R16:R25)</f>
        <v>49381.642676311036</v>
      </c>
      <c r="S26" s="940">
        <f t="shared" si="12"/>
        <v>9262.6112115732394</v>
      </c>
      <c r="T26" s="940">
        <f t="shared" si="12"/>
        <v>58644.253887884275</v>
      </c>
      <c r="U26" s="383"/>
      <c r="V26" s="389"/>
      <c r="W26" s="384"/>
      <c r="X26" s="384"/>
      <c r="Y26" s="1121" t="e">
        <f>SUM(Y16:Y25)</f>
        <v>#N/A</v>
      </c>
      <c r="Z26" s="1121"/>
      <c r="AA26" s="1121"/>
      <c r="AB26" s="1121"/>
      <c r="AC26" s="1121"/>
      <c r="AD26" s="1130" t="e">
        <f>SUM(AD16:AD25)</f>
        <v>#VALUE!</v>
      </c>
      <c r="AE26" s="1130">
        <f>SUM(AE16:AE25)</f>
        <v>300</v>
      </c>
      <c r="AF26" s="1121"/>
      <c r="AG26" s="1151">
        <f>SUM(AG16:AG25)</f>
        <v>0</v>
      </c>
      <c r="AH26" s="1205">
        <f>SUM(AH16:AH25)</f>
        <v>0</v>
      </c>
      <c r="AO26" s="1094"/>
      <c r="AP26" s="1094"/>
      <c r="AQ26" s="1118"/>
      <c r="AR26" s="1117"/>
    </row>
    <row r="27" spans="2:44" ht="12.75" customHeight="1" x14ac:dyDescent="0.2">
      <c r="B27" s="69"/>
      <c r="C27" s="98"/>
      <c r="D27" s="390"/>
      <c r="E27" s="144"/>
      <c r="F27" s="191"/>
      <c r="G27" s="391"/>
      <c r="H27" s="191"/>
      <c r="I27" s="392"/>
      <c r="J27" s="393"/>
      <c r="K27" s="144"/>
      <c r="L27" s="392"/>
      <c r="M27" s="392"/>
      <c r="N27" s="392"/>
      <c r="O27" s="1088"/>
      <c r="P27" s="392"/>
      <c r="Q27" s="144"/>
      <c r="R27" s="388"/>
      <c r="S27" s="388"/>
      <c r="T27" s="388"/>
      <c r="U27" s="395"/>
      <c r="V27" s="389"/>
      <c r="W27" s="384"/>
      <c r="X27" s="384"/>
      <c r="Y27" s="1093"/>
      <c r="Z27" s="1121"/>
      <c r="AA27" s="1121"/>
      <c r="AB27" s="1121"/>
      <c r="AC27" s="1121"/>
      <c r="AF27" s="1121"/>
      <c r="AG27" s="1151"/>
      <c r="AH27" s="1205"/>
      <c r="AO27" s="1094"/>
      <c r="AP27" s="1094"/>
      <c r="AQ27" s="1118"/>
      <c r="AR27" s="1117"/>
    </row>
    <row r="28" spans="2:44" ht="12.75" customHeight="1" x14ac:dyDescent="0.2">
      <c r="B28" s="69"/>
      <c r="C28" s="70"/>
      <c r="D28" s="296"/>
      <c r="E28" s="234"/>
      <c r="F28" s="176"/>
      <c r="G28" s="297"/>
      <c r="H28" s="176"/>
      <c r="I28" s="298"/>
      <c r="J28" s="299"/>
      <c r="K28" s="234"/>
      <c r="L28" s="298"/>
      <c r="M28" s="298"/>
      <c r="N28" s="298"/>
      <c r="O28" s="1082"/>
      <c r="P28" s="298"/>
      <c r="Q28" s="234"/>
      <c r="R28" s="396"/>
      <c r="S28" s="396"/>
      <c r="T28" s="396"/>
      <c r="U28" s="397"/>
      <c r="V28" s="389"/>
      <c r="W28" s="384"/>
      <c r="X28" s="384"/>
      <c r="Y28" s="1093"/>
      <c r="Z28" s="1121"/>
      <c r="AA28" s="1121"/>
      <c r="AB28" s="1121"/>
      <c r="AC28" s="1121"/>
      <c r="AF28" s="1121"/>
      <c r="AG28" s="1151"/>
      <c r="AH28" s="1205"/>
      <c r="AO28" s="1094"/>
      <c r="AP28" s="1094"/>
      <c r="AQ28" s="1118"/>
      <c r="AR28" s="1117"/>
    </row>
    <row r="29" spans="2:44" ht="12.75" customHeight="1" x14ac:dyDescent="0.2">
      <c r="B29" s="69"/>
      <c r="C29" s="70"/>
      <c r="D29" s="296"/>
      <c r="E29" s="234"/>
      <c r="F29" s="176"/>
      <c r="G29" s="297"/>
      <c r="H29" s="176"/>
      <c r="I29" s="298"/>
      <c r="J29" s="299"/>
      <c r="K29" s="234"/>
      <c r="L29" s="298"/>
      <c r="M29" s="298"/>
      <c r="N29" s="298"/>
      <c r="O29" s="1082"/>
      <c r="P29" s="298"/>
      <c r="Q29" s="234"/>
      <c r="R29" s="396"/>
      <c r="S29" s="396"/>
      <c r="T29" s="396"/>
      <c r="U29" s="397"/>
      <c r="V29" s="389"/>
      <c r="W29" s="384"/>
      <c r="X29" s="384"/>
      <c r="Y29" s="1093"/>
      <c r="Z29" s="1121"/>
      <c r="AA29" s="1121"/>
      <c r="AB29" s="1121"/>
      <c r="AC29" s="1121"/>
      <c r="AF29" s="1121"/>
      <c r="AG29" s="1151"/>
      <c r="AH29" s="1205"/>
      <c r="AO29" s="1094"/>
      <c r="AP29" s="1094"/>
      <c r="AQ29" s="1118"/>
      <c r="AR29" s="1117"/>
    </row>
    <row r="30" spans="2:44" ht="12.75" customHeight="1" x14ac:dyDescent="0.2">
      <c r="B30" s="69"/>
      <c r="C30" s="70" t="s">
        <v>195</v>
      </c>
      <c r="D30" s="296"/>
      <c r="E30" s="398" t="str">
        <f>tab!E2</f>
        <v>2016/17</v>
      </c>
      <c r="F30" s="176"/>
      <c r="G30" s="297"/>
      <c r="H30" s="176"/>
      <c r="I30" s="298"/>
      <c r="J30" s="299"/>
      <c r="K30" s="234"/>
      <c r="L30" s="298"/>
      <c r="M30" s="298"/>
      <c r="N30" s="298"/>
      <c r="O30" s="1082"/>
      <c r="P30" s="298"/>
      <c r="Q30" s="234"/>
      <c r="R30" s="396"/>
      <c r="S30" s="396"/>
      <c r="T30" s="396"/>
      <c r="U30" s="397"/>
      <c r="V30" s="399"/>
      <c r="W30" s="384"/>
      <c r="X30" s="384"/>
      <c r="Y30" s="1093"/>
      <c r="Z30" s="1121"/>
      <c r="AA30" s="1121"/>
      <c r="AB30" s="1121"/>
      <c r="AC30" s="1121"/>
      <c r="AF30" s="1121"/>
      <c r="AG30" s="1151"/>
      <c r="AH30" s="1205"/>
      <c r="AO30" s="1094"/>
      <c r="AP30" s="1094"/>
      <c r="AQ30" s="1118"/>
      <c r="AR30" s="1117"/>
    </row>
    <row r="31" spans="2:44" ht="12.75" customHeight="1" x14ac:dyDescent="0.2">
      <c r="B31" s="69"/>
      <c r="C31" s="234" t="s">
        <v>217</v>
      </c>
      <c r="D31" s="296"/>
      <c r="E31" s="350">
        <f>tab!F3</f>
        <v>42644</v>
      </c>
      <c r="F31" s="176"/>
      <c r="G31" s="297"/>
      <c r="H31" s="176"/>
      <c r="I31" s="298"/>
      <c r="J31" s="299"/>
      <c r="K31" s="234"/>
      <c r="L31" s="298"/>
      <c r="M31" s="298"/>
      <c r="N31" s="298"/>
      <c r="O31" s="1082"/>
      <c r="P31" s="298"/>
      <c r="Q31" s="234"/>
      <c r="R31" s="396"/>
      <c r="S31" s="396"/>
      <c r="T31" s="396"/>
      <c r="U31" s="397"/>
      <c r="V31" s="399"/>
      <c r="W31" s="384"/>
      <c r="X31" s="384"/>
      <c r="Y31" s="1093"/>
      <c r="Z31" s="1121"/>
      <c r="AA31" s="1121"/>
      <c r="AB31" s="1121"/>
      <c r="AC31" s="1121"/>
      <c r="AF31" s="1121"/>
      <c r="AG31" s="1151"/>
      <c r="AH31" s="1205"/>
      <c r="AO31" s="1094"/>
      <c r="AP31" s="1094"/>
      <c r="AQ31" s="1118"/>
      <c r="AR31" s="1117"/>
    </row>
    <row r="32" spans="2:44" ht="12.75" customHeight="1" x14ac:dyDescent="0.2">
      <c r="B32" s="69"/>
      <c r="C32" s="70"/>
      <c r="D32" s="296"/>
      <c r="E32" s="234"/>
      <c r="F32" s="176"/>
      <c r="G32" s="297"/>
      <c r="H32" s="176"/>
      <c r="I32" s="298"/>
      <c r="J32" s="299"/>
      <c r="K32" s="234"/>
      <c r="L32" s="298"/>
      <c r="M32" s="298"/>
      <c r="N32" s="298"/>
      <c r="O32" s="1082"/>
      <c r="P32" s="298"/>
      <c r="Q32" s="234"/>
      <c r="R32" s="396"/>
      <c r="S32" s="396"/>
      <c r="T32" s="396"/>
      <c r="U32" s="397"/>
      <c r="V32" s="389"/>
      <c r="W32" s="384"/>
      <c r="X32" s="384"/>
      <c r="Y32" s="1093"/>
      <c r="Z32" s="1121"/>
      <c r="AA32" s="1121"/>
      <c r="AB32" s="1121"/>
      <c r="AC32" s="1121"/>
      <c r="AF32" s="1121"/>
      <c r="AG32" s="1151"/>
      <c r="AH32" s="1205"/>
      <c r="AO32" s="1094"/>
      <c r="AP32" s="1094"/>
      <c r="AQ32" s="1118"/>
      <c r="AR32" s="1117"/>
    </row>
    <row r="33" spans="2:45" s="400" customFormat="1" ht="12.75" customHeight="1" x14ac:dyDescent="0.2">
      <c r="B33" s="401"/>
      <c r="C33" s="86"/>
      <c r="D33" s="919"/>
      <c r="E33" s="920"/>
      <c r="F33" s="900"/>
      <c r="G33" s="922"/>
      <c r="H33" s="923"/>
      <c r="I33" s="923"/>
      <c r="J33" s="924"/>
      <c r="K33" s="925"/>
      <c r="L33" s="923"/>
      <c r="M33" s="923"/>
      <c r="N33" s="923"/>
      <c r="O33" s="1089"/>
      <c r="P33" s="923"/>
      <c r="Q33" s="925"/>
      <c r="R33" s="925"/>
      <c r="S33" s="925"/>
      <c r="T33" s="926"/>
      <c r="U33" s="161"/>
      <c r="V33" s="402"/>
      <c r="Y33" s="1092"/>
      <c r="Z33" s="1094"/>
      <c r="AA33" s="1094"/>
      <c r="AB33" s="1094"/>
      <c r="AC33" s="1094"/>
      <c r="AD33" s="1093"/>
      <c r="AE33" s="1093"/>
      <c r="AF33" s="1094"/>
      <c r="AG33" s="1143"/>
      <c r="AH33" s="1199"/>
      <c r="AI33" s="1103"/>
      <c r="AJ33" s="1103"/>
      <c r="AK33" s="1103"/>
      <c r="AL33" s="1104"/>
      <c r="AM33" s="1093"/>
      <c r="AN33" s="1105"/>
      <c r="AO33" s="1106"/>
      <c r="AP33" s="1104"/>
      <c r="AQ33" s="1094"/>
      <c r="AR33" s="1094"/>
      <c r="AS33" s="1094"/>
    </row>
    <row r="34" spans="2:45" s="361" customFormat="1" ht="12.75" customHeight="1" x14ac:dyDescent="0.2">
      <c r="B34" s="362"/>
      <c r="C34" s="363"/>
      <c r="D34" s="1074" t="s">
        <v>335</v>
      </c>
      <c r="E34" s="1075"/>
      <c r="F34" s="1075"/>
      <c r="G34" s="1075"/>
      <c r="H34" s="1076"/>
      <c r="I34" s="1076"/>
      <c r="J34" s="1076"/>
      <c r="K34" s="1191"/>
      <c r="L34" s="1074" t="s">
        <v>561</v>
      </c>
      <c r="M34" s="1064"/>
      <c r="N34" s="1074"/>
      <c r="O34" s="1074"/>
      <c r="P34" s="1170"/>
      <c r="Q34" s="927"/>
      <c r="R34" s="1074" t="s">
        <v>563</v>
      </c>
      <c r="S34" s="1076"/>
      <c r="T34" s="1153"/>
      <c r="U34" s="944"/>
      <c r="V34" s="364"/>
      <c r="W34" s="365"/>
      <c r="X34" s="365"/>
      <c r="Y34" s="1094"/>
      <c r="Z34" s="1126"/>
      <c r="AA34" s="1094"/>
      <c r="AB34" s="1094"/>
      <c r="AC34" s="1094"/>
      <c r="AD34" s="1125"/>
      <c r="AE34" s="1125"/>
      <c r="AF34" s="1126"/>
      <c r="AG34" s="1151"/>
      <c r="AH34" s="1160"/>
      <c r="AI34" s="1141"/>
      <c r="AJ34" s="1141"/>
      <c r="AK34" s="1141"/>
      <c r="AL34" s="1141"/>
      <c r="AM34" s="1141"/>
      <c r="AN34" s="1096"/>
      <c r="AO34" s="1096"/>
      <c r="AP34" s="1096"/>
      <c r="AQ34" s="1113"/>
      <c r="AR34" s="1113"/>
      <c r="AS34" s="1096"/>
    </row>
    <row r="35" spans="2:45" s="361" customFormat="1" ht="12.75" customHeight="1" x14ac:dyDescent="0.2">
      <c r="B35" s="362"/>
      <c r="C35" s="363"/>
      <c r="D35" s="886" t="s">
        <v>549</v>
      </c>
      <c r="E35" s="886" t="s">
        <v>201</v>
      </c>
      <c r="F35" s="929" t="s">
        <v>147</v>
      </c>
      <c r="G35" s="930" t="s">
        <v>325</v>
      </c>
      <c r="H35" s="929" t="s">
        <v>231</v>
      </c>
      <c r="I35" s="929" t="s">
        <v>262</v>
      </c>
      <c r="J35" s="931" t="s">
        <v>150</v>
      </c>
      <c r="K35" s="1192"/>
      <c r="L35" s="932" t="s">
        <v>544</v>
      </c>
      <c r="M35" s="932" t="s">
        <v>537</v>
      </c>
      <c r="N35" s="932" t="s">
        <v>551</v>
      </c>
      <c r="O35" s="932" t="s">
        <v>544</v>
      </c>
      <c r="P35" s="1171" t="s">
        <v>556</v>
      </c>
      <c r="Q35" s="898"/>
      <c r="R35" s="1073" t="s">
        <v>216</v>
      </c>
      <c r="S35" s="934" t="s">
        <v>562</v>
      </c>
      <c r="T35" s="935" t="s">
        <v>216</v>
      </c>
      <c r="U35" s="945"/>
      <c r="V35" s="368"/>
      <c r="W35" s="369"/>
      <c r="X35" s="369"/>
      <c r="Y35" s="1127" t="s">
        <v>361</v>
      </c>
      <c r="Z35" s="1182" t="s">
        <v>548</v>
      </c>
      <c r="AA35" s="1115" t="s">
        <v>557</v>
      </c>
      <c r="AB35" s="1115" t="s">
        <v>557</v>
      </c>
      <c r="AC35" s="1115" t="s">
        <v>560</v>
      </c>
      <c r="AD35" s="1128" t="s">
        <v>542</v>
      </c>
      <c r="AE35" s="1128" t="s">
        <v>543</v>
      </c>
      <c r="AF35" s="1114" t="s">
        <v>539</v>
      </c>
      <c r="AG35" s="1152" t="s">
        <v>343</v>
      </c>
      <c r="AH35" s="1160" t="s">
        <v>468</v>
      </c>
      <c r="AI35" s="1114" t="s">
        <v>328</v>
      </c>
      <c r="AJ35" s="1114" t="s">
        <v>329</v>
      </c>
      <c r="AK35" s="1114" t="s">
        <v>149</v>
      </c>
      <c r="AL35" s="1114" t="s">
        <v>228</v>
      </c>
      <c r="AM35" s="1128" t="s">
        <v>203</v>
      </c>
      <c r="AN35" s="1096"/>
      <c r="AO35" s="1096"/>
      <c r="AP35" s="1096"/>
      <c r="AQ35" s="1113"/>
      <c r="AR35" s="1115"/>
      <c r="AS35" s="1096"/>
    </row>
    <row r="36" spans="2:45" s="361" customFormat="1" ht="12.75" customHeight="1" x14ac:dyDescent="0.2">
      <c r="B36" s="362"/>
      <c r="C36" s="363"/>
      <c r="D36" s="1075"/>
      <c r="E36" s="886"/>
      <c r="F36" s="929" t="s">
        <v>148</v>
      </c>
      <c r="G36" s="930" t="s">
        <v>326</v>
      </c>
      <c r="H36" s="929"/>
      <c r="I36" s="929"/>
      <c r="J36" s="931"/>
      <c r="K36" s="1192"/>
      <c r="L36" s="932" t="s">
        <v>545</v>
      </c>
      <c r="M36" s="932" t="s">
        <v>547</v>
      </c>
      <c r="N36" s="932" t="s">
        <v>552</v>
      </c>
      <c r="O36" s="932" t="s">
        <v>546</v>
      </c>
      <c r="P36" s="1171" t="s">
        <v>320</v>
      </c>
      <c r="Q36" s="898"/>
      <c r="R36" s="902" t="s">
        <v>554</v>
      </c>
      <c r="S36" s="934" t="s">
        <v>538</v>
      </c>
      <c r="T36" s="935" t="s">
        <v>320</v>
      </c>
      <c r="U36" s="906"/>
      <c r="V36" s="78"/>
      <c r="W36" s="106"/>
      <c r="X36" s="106"/>
      <c r="Y36" s="1127" t="s">
        <v>223</v>
      </c>
      <c r="Z36" s="1183">
        <f>tab!$E$64</f>
        <v>0.62</v>
      </c>
      <c r="AA36" s="1115" t="s">
        <v>558</v>
      </c>
      <c r="AB36" s="1115" t="s">
        <v>559</v>
      </c>
      <c r="AC36" s="1115" t="s">
        <v>555</v>
      </c>
      <c r="AD36" s="1128" t="s">
        <v>541</v>
      </c>
      <c r="AE36" s="1128" t="s">
        <v>541</v>
      </c>
      <c r="AF36" s="1114" t="s">
        <v>540</v>
      </c>
      <c r="AG36" s="1152"/>
      <c r="AH36" s="1159" t="s">
        <v>261</v>
      </c>
      <c r="AI36" s="1128" t="s">
        <v>327</v>
      </c>
      <c r="AJ36" s="1128" t="s">
        <v>327</v>
      </c>
      <c r="AK36" s="1114"/>
      <c r="AL36" s="1114" t="s">
        <v>203</v>
      </c>
      <c r="AM36" s="1128"/>
      <c r="AN36" s="1096"/>
      <c r="AO36" s="1096"/>
      <c r="AP36" s="1096"/>
      <c r="AQ36" s="1096"/>
      <c r="AR36" s="1116"/>
      <c r="AS36" s="1096"/>
    </row>
    <row r="37" spans="2:45" ht="12.75" customHeight="1" x14ac:dyDescent="0.2">
      <c r="B37" s="69"/>
      <c r="C37" s="90"/>
      <c r="D37" s="184"/>
      <c r="E37" s="91"/>
      <c r="F37" s="370"/>
      <c r="G37" s="371"/>
      <c r="H37" s="372"/>
      <c r="I37" s="372"/>
      <c r="J37" s="373"/>
      <c r="K37" s="370"/>
      <c r="L37" s="370"/>
      <c r="M37" s="370"/>
      <c r="N37" s="370"/>
      <c r="O37" s="1086"/>
      <c r="P37" s="370"/>
      <c r="Q37" s="370"/>
      <c r="R37" s="374"/>
      <c r="S37" s="374"/>
      <c r="T37" s="465"/>
      <c r="U37" s="162"/>
      <c r="V37" s="73"/>
      <c r="Y37" s="1127"/>
      <c r="Z37" s="1113"/>
      <c r="AA37" s="1113"/>
      <c r="AB37" s="1113"/>
      <c r="AC37" s="1113"/>
      <c r="AD37" s="1128"/>
      <c r="AE37" s="1128"/>
      <c r="AF37" s="1113"/>
      <c r="AG37" s="1152"/>
      <c r="AH37" s="1204"/>
      <c r="AO37" s="1094"/>
      <c r="AP37" s="1094"/>
      <c r="AR37" s="1117"/>
    </row>
    <row r="38" spans="2:45" ht="12.75" customHeight="1" x14ac:dyDescent="0.2">
      <c r="B38" s="69"/>
      <c r="C38" s="90"/>
      <c r="D38" s="376" t="str">
        <f>IF(dir!D16="","",dir!D16)</f>
        <v/>
      </c>
      <c r="E38" s="97" t="str">
        <f>IF(dir!E16=0,"",dir!E16)</f>
        <v>nn</v>
      </c>
      <c r="F38" s="114" t="str">
        <f>IF(dir!F16="","",dir!F16+1)</f>
        <v/>
      </c>
      <c r="G38" s="377" t="str">
        <f>IF(dir!G16="","",dir!G16)</f>
        <v/>
      </c>
      <c r="H38" s="129" t="str">
        <f t="shared" ref="H38:H47" si="13">IF(H16=0,"",H16)</f>
        <v>DB</v>
      </c>
      <c r="I38" s="129">
        <f>IF(J38="","",(IF(dir!I16+1&gt;LOOKUP(H38,schaal2011,regels2011),dir!I16,dir!I16+1)))</f>
        <v>4</v>
      </c>
      <c r="J38" s="378">
        <f>IF(dir!J16="","",dir!J16)</f>
        <v>1</v>
      </c>
      <c r="K38" s="380"/>
      <c r="L38" s="1078">
        <f>IF(dir!L16="",0,dir!L16)</f>
        <v>130</v>
      </c>
      <c r="M38" s="1078">
        <f>IF(dir!M16="",0,dir!M16)</f>
        <v>170</v>
      </c>
      <c r="N38" s="1077">
        <f t="shared" ref="N38:N47" si="14">IF(J38="","",IF((J38*40)&gt;40,40,((J38*40))))</f>
        <v>40</v>
      </c>
      <c r="O38" s="1077"/>
      <c r="P38" s="1172">
        <f t="shared" ref="P38:P47" si="15">IF(J38="","",(SUM(L38:O38)))</f>
        <v>340</v>
      </c>
      <c r="Q38" s="91"/>
      <c r="R38" s="936">
        <f t="shared" ref="R38:R47" si="16">IF(J38="","",(((1659*J38)-P38)*AB38))</f>
        <v>50989.057649186259</v>
      </c>
      <c r="S38" s="936">
        <f t="shared" ref="S38:S47" si="17">IF(J38="","",(P38*AC38)+(AA38*AD38)+((AE38*AA38*(1-AF38))))</f>
        <v>9564.1171790235094</v>
      </c>
      <c r="T38" s="937">
        <f t="shared" ref="T38:T47" si="18">IF(J38="","",(R38+S38))</f>
        <v>60553.174828209769</v>
      </c>
      <c r="U38" s="361"/>
      <c r="V38" s="381"/>
      <c r="W38" s="375"/>
      <c r="X38" s="375"/>
      <c r="Y38" s="1120">
        <f>VLOOKUP(H38,tab!$A$73:$V$114,I38+2,FALSE)</f>
        <v>3299</v>
      </c>
      <c r="Z38" s="1211">
        <f>tab!$E$64</f>
        <v>0.62</v>
      </c>
      <c r="AA38" s="1163">
        <f>(Y38*12/1659)</f>
        <v>23.862567811934902</v>
      </c>
      <c r="AB38" s="1163">
        <f>(Y38*12*(1+Z38))/1659</f>
        <v>38.657359855334541</v>
      </c>
      <c r="AC38" s="1163">
        <f>AB38-AA38</f>
        <v>14.794792043399639</v>
      </c>
      <c r="AD38" s="1162">
        <f t="shared" ref="AD38:AD47" si="19">(N38+O38)</f>
        <v>40</v>
      </c>
      <c r="AE38" s="1162">
        <f t="shared" ref="AE38:AE47" si="20">(L38+M38)</f>
        <v>300</v>
      </c>
      <c r="AF38" s="1129">
        <f>IF(H38&gt;8,tab!$D$65,tab!$D$67)</f>
        <v>0.5</v>
      </c>
      <c r="AG38" s="1143">
        <f t="shared" ref="AG38:AG47" si="21">IF(F38&lt;25,0,IF(F38=25,25,IF(F38&lt;40,0,IF(F38=40,40,IF(F38&gt;=40,0)))))</f>
        <v>0</v>
      </c>
      <c r="AH38" s="1204">
        <f t="shared" ref="AH38:AH47" si="22">IF(AG38=25,(Y38*1.08*(J38)/2),IF(AG38=40,(Y38*1.08*(J38)),IF(AG38=0,0)))</f>
        <v>0</v>
      </c>
      <c r="AM38" s="1119"/>
    </row>
    <row r="39" spans="2:45" ht="12.75" customHeight="1" x14ac:dyDescent="0.2">
      <c r="B39" s="69"/>
      <c r="C39" s="90"/>
      <c r="D39" s="376" t="str">
        <f>IF(dir!D17="","",dir!D17)</f>
        <v/>
      </c>
      <c r="E39" s="97" t="str">
        <f>IF(dir!E17=0,"",dir!E17)</f>
        <v/>
      </c>
      <c r="F39" s="114" t="str">
        <f>IF(dir!F17="","",dir!F17+1)</f>
        <v/>
      </c>
      <c r="G39" s="377" t="str">
        <f>IF(dir!G17="","",dir!G17)</f>
        <v/>
      </c>
      <c r="H39" s="129" t="str">
        <f t="shared" si="13"/>
        <v/>
      </c>
      <c r="I39" s="129" t="str">
        <f>IF(J39="","",(IF(dir!I17+1&gt;LOOKUP(H39,schaal2011,regels2011),dir!I17,dir!I17+1)))</f>
        <v/>
      </c>
      <c r="J39" s="378" t="str">
        <f>IF(dir!J17="","",dir!J17)</f>
        <v/>
      </c>
      <c r="K39" s="380"/>
      <c r="L39" s="1078">
        <f>IF(dir!L17="",0,dir!L17)</f>
        <v>0</v>
      </c>
      <c r="M39" s="1078">
        <f>IF(dir!M17="",0,dir!M17)</f>
        <v>0</v>
      </c>
      <c r="N39" s="1077" t="str">
        <f t="shared" si="14"/>
        <v/>
      </c>
      <c r="O39" s="1077"/>
      <c r="P39" s="1172" t="str">
        <f t="shared" si="15"/>
        <v/>
      </c>
      <c r="Q39" s="91"/>
      <c r="R39" s="936" t="str">
        <f t="shared" si="16"/>
        <v/>
      </c>
      <c r="S39" s="936" t="str">
        <f t="shared" si="17"/>
        <v/>
      </c>
      <c r="T39" s="937" t="str">
        <f t="shared" si="18"/>
        <v/>
      </c>
      <c r="U39" s="361"/>
      <c r="V39" s="381"/>
      <c r="W39" s="375"/>
      <c r="X39" s="375"/>
      <c r="Y39" s="1120" t="e">
        <f>VLOOKUP(H39,tab!$A$73:$V$114,I39+2,FALSE)</f>
        <v>#VALUE!</v>
      </c>
      <c r="Z39" s="1211">
        <f>tab!$E$64</f>
        <v>0.62</v>
      </c>
      <c r="AA39" s="1163" t="e">
        <f t="shared" ref="AA39:AA47" si="23">(Y39*12/1659)</f>
        <v>#VALUE!</v>
      </c>
      <c r="AB39" s="1163" t="e">
        <f t="shared" ref="AB39:AB47" si="24">(Y39*12*(1+Z39))/1659</f>
        <v>#VALUE!</v>
      </c>
      <c r="AC39" s="1163" t="e">
        <f t="shared" ref="AC39:AC47" si="25">AB39-AA39</f>
        <v>#VALUE!</v>
      </c>
      <c r="AD39" s="1162" t="e">
        <f t="shared" si="19"/>
        <v>#VALUE!</v>
      </c>
      <c r="AE39" s="1162">
        <f t="shared" si="20"/>
        <v>0</v>
      </c>
      <c r="AF39" s="1129">
        <f>IF(H39&gt;8,tab!$D$65,tab!$D$67)</f>
        <v>0.5</v>
      </c>
      <c r="AG39" s="1143">
        <f t="shared" si="21"/>
        <v>0</v>
      </c>
      <c r="AH39" s="1204">
        <f t="shared" si="22"/>
        <v>0</v>
      </c>
      <c r="AM39" s="1119"/>
    </row>
    <row r="40" spans="2:45" ht="12.75" customHeight="1" x14ac:dyDescent="0.2">
      <c r="B40" s="69"/>
      <c r="C40" s="90"/>
      <c r="D40" s="376" t="str">
        <f>IF(dir!D18="","",dir!D18)</f>
        <v/>
      </c>
      <c r="E40" s="97" t="str">
        <f>IF(dir!E18=0,"",dir!E18)</f>
        <v/>
      </c>
      <c r="F40" s="114" t="str">
        <f>IF(dir!F18="","",dir!F18+1)</f>
        <v/>
      </c>
      <c r="G40" s="377" t="str">
        <f>IF(dir!G18="","",dir!G18)</f>
        <v/>
      </c>
      <c r="H40" s="129" t="str">
        <f t="shared" si="13"/>
        <v/>
      </c>
      <c r="I40" s="129" t="str">
        <f>IF(J40="","",(IF(dir!I18+1&gt;LOOKUP(H40,schaal2011,regels2011),dir!I18,dir!I18+1)))</f>
        <v/>
      </c>
      <c r="J40" s="378" t="str">
        <f>IF(dir!J18="","",dir!J18)</f>
        <v/>
      </c>
      <c r="K40" s="380"/>
      <c r="L40" s="1078">
        <f>IF(dir!L18="",0,dir!L18)</f>
        <v>0</v>
      </c>
      <c r="M40" s="1078">
        <f>IF(dir!M18="",0,dir!M18)</f>
        <v>0</v>
      </c>
      <c r="N40" s="1077" t="str">
        <f t="shared" si="14"/>
        <v/>
      </c>
      <c r="O40" s="1077"/>
      <c r="P40" s="1172" t="str">
        <f t="shared" si="15"/>
        <v/>
      </c>
      <c r="Q40" s="91"/>
      <c r="R40" s="936" t="str">
        <f t="shared" si="16"/>
        <v/>
      </c>
      <c r="S40" s="936" t="str">
        <f t="shared" si="17"/>
        <v/>
      </c>
      <c r="T40" s="937" t="str">
        <f t="shared" si="18"/>
        <v/>
      </c>
      <c r="U40" s="361"/>
      <c r="V40" s="381"/>
      <c r="W40" s="375"/>
      <c r="X40" s="375"/>
      <c r="Y40" s="1120" t="e">
        <f>VLOOKUP(H40,tab!$A$73:$V$114,I40+2,FALSE)</f>
        <v>#VALUE!</v>
      </c>
      <c r="Z40" s="1211">
        <f>tab!$E$64</f>
        <v>0.62</v>
      </c>
      <c r="AA40" s="1163" t="e">
        <f t="shared" si="23"/>
        <v>#VALUE!</v>
      </c>
      <c r="AB40" s="1163" t="e">
        <f t="shared" si="24"/>
        <v>#VALUE!</v>
      </c>
      <c r="AC40" s="1163" t="e">
        <f t="shared" si="25"/>
        <v>#VALUE!</v>
      </c>
      <c r="AD40" s="1162" t="e">
        <f t="shared" si="19"/>
        <v>#VALUE!</v>
      </c>
      <c r="AE40" s="1162">
        <f t="shared" si="20"/>
        <v>0</v>
      </c>
      <c r="AF40" s="1129">
        <f>IF(H40&gt;8,tab!$D$65,tab!$D$67)</f>
        <v>0.5</v>
      </c>
      <c r="AG40" s="1143">
        <f t="shared" si="21"/>
        <v>0</v>
      </c>
      <c r="AH40" s="1204">
        <f t="shared" si="22"/>
        <v>0</v>
      </c>
      <c r="AM40" s="1119"/>
    </row>
    <row r="41" spans="2:45" ht="12.75" customHeight="1" x14ac:dyDescent="0.2">
      <c r="B41" s="69"/>
      <c r="C41" s="90"/>
      <c r="D41" s="376" t="str">
        <f>IF(dir!D19="","",dir!D19)</f>
        <v/>
      </c>
      <c r="E41" s="97" t="str">
        <f>IF(dir!E19=0,"",dir!E19)</f>
        <v/>
      </c>
      <c r="F41" s="114" t="str">
        <f>IF(dir!F19="","",dir!F19+1)</f>
        <v/>
      </c>
      <c r="G41" s="377" t="str">
        <f>IF(dir!G19="","",dir!G19)</f>
        <v/>
      </c>
      <c r="H41" s="129" t="str">
        <f t="shared" si="13"/>
        <v/>
      </c>
      <c r="I41" s="129" t="str">
        <f>IF(J41="","",(IF(dir!I19+1&gt;LOOKUP(H41,schaal2011,regels2011),dir!I19,dir!I19+1)))</f>
        <v/>
      </c>
      <c r="J41" s="378" t="str">
        <f>IF(dir!J19="","",dir!J19)</f>
        <v/>
      </c>
      <c r="K41" s="380"/>
      <c r="L41" s="1078">
        <f>IF(dir!L19="",0,dir!L19)</f>
        <v>0</v>
      </c>
      <c r="M41" s="1078">
        <f>IF(dir!M19="",0,dir!M19)</f>
        <v>0</v>
      </c>
      <c r="N41" s="1077" t="str">
        <f t="shared" si="14"/>
        <v/>
      </c>
      <c r="O41" s="1077"/>
      <c r="P41" s="1172" t="str">
        <f t="shared" si="15"/>
        <v/>
      </c>
      <c r="Q41" s="91"/>
      <c r="R41" s="936" t="str">
        <f t="shared" si="16"/>
        <v/>
      </c>
      <c r="S41" s="936" t="str">
        <f t="shared" si="17"/>
        <v/>
      </c>
      <c r="T41" s="937" t="str">
        <f t="shared" si="18"/>
        <v/>
      </c>
      <c r="U41" s="361"/>
      <c r="V41" s="381"/>
      <c r="W41" s="375"/>
      <c r="X41" s="375"/>
      <c r="Y41" s="1120" t="e">
        <f>VLOOKUP(H41,tab!$A$73:$V$114,I41+2,FALSE)</f>
        <v>#VALUE!</v>
      </c>
      <c r="Z41" s="1211">
        <f>tab!$E$64</f>
        <v>0.62</v>
      </c>
      <c r="AA41" s="1163" t="e">
        <f t="shared" si="23"/>
        <v>#VALUE!</v>
      </c>
      <c r="AB41" s="1163" t="e">
        <f t="shared" si="24"/>
        <v>#VALUE!</v>
      </c>
      <c r="AC41" s="1163" t="e">
        <f t="shared" si="25"/>
        <v>#VALUE!</v>
      </c>
      <c r="AD41" s="1162" t="e">
        <f t="shared" si="19"/>
        <v>#VALUE!</v>
      </c>
      <c r="AE41" s="1162">
        <f t="shared" si="20"/>
        <v>0</v>
      </c>
      <c r="AF41" s="1129">
        <f>IF(H41&gt;8,tab!$D$65,tab!$D$67)</f>
        <v>0.5</v>
      </c>
      <c r="AG41" s="1143">
        <f t="shared" si="21"/>
        <v>0</v>
      </c>
      <c r="AH41" s="1204">
        <f t="shared" si="22"/>
        <v>0</v>
      </c>
      <c r="AM41" s="1119"/>
    </row>
    <row r="42" spans="2:45" ht="12.75" customHeight="1" x14ac:dyDescent="0.2">
      <c r="B42" s="69"/>
      <c r="C42" s="90"/>
      <c r="D42" s="376" t="str">
        <f>IF(dir!D20="","",dir!D20)</f>
        <v/>
      </c>
      <c r="E42" s="97" t="str">
        <f>IF(dir!E20=0,"",dir!E20)</f>
        <v/>
      </c>
      <c r="F42" s="114" t="str">
        <f>IF(dir!F20="","",dir!F20+1)</f>
        <v/>
      </c>
      <c r="G42" s="377" t="str">
        <f>IF(dir!G20="","",dir!G20)</f>
        <v/>
      </c>
      <c r="H42" s="129" t="str">
        <f t="shared" si="13"/>
        <v/>
      </c>
      <c r="I42" s="129" t="str">
        <f>IF(J42="","",(IF(dir!I20+1&gt;LOOKUP(H42,schaal2011,regels2011),dir!I20,dir!I20+1)))</f>
        <v/>
      </c>
      <c r="J42" s="378" t="str">
        <f>IF(dir!J20="","",dir!J20)</f>
        <v/>
      </c>
      <c r="K42" s="380"/>
      <c r="L42" s="1078">
        <f>IF(dir!L20="",0,dir!L20)</f>
        <v>0</v>
      </c>
      <c r="M42" s="1078">
        <f>IF(dir!M20="",0,dir!M20)</f>
        <v>0</v>
      </c>
      <c r="N42" s="1077" t="str">
        <f t="shared" si="14"/>
        <v/>
      </c>
      <c r="O42" s="1077"/>
      <c r="P42" s="1172" t="str">
        <f t="shared" si="15"/>
        <v/>
      </c>
      <c r="Q42" s="91"/>
      <c r="R42" s="936" t="str">
        <f t="shared" si="16"/>
        <v/>
      </c>
      <c r="S42" s="936" t="str">
        <f t="shared" si="17"/>
        <v/>
      </c>
      <c r="T42" s="937" t="str">
        <f t="shared" si="18"/>
        <v/>
      </c>
      <c r="U42" s="361"/>
      <c r="V42" s="381"/>
      <c r="W42" s="375"/>
      <c r="X42" s="375"/>
      <c r="Y42" s="1120" t="e">
        <f>VLOOKUP(H42,tab!$A$73:$V$114,I42+2,FALSE)</f>
        <v>#VALUE!</v>
      </c>
      <c r="Z42" s="1211">
        <f>tab!$E$64</f>
        <v>0.62</v>
      </c>
      <c r="AA42" s="1163" t="e">
        <f t="shared" si="23"/>
        <v>#VALUE!</v>
      </c>
      <c r="AB42" s="1163" t="e">
        <f t="shared" si="24"/>
        <v>#VALUE!</v>
      </c>
      <c r="AC42" s="1163" t="e">
        <f t="shared" si="25"/>
        <v>#VALUE!</v>
      </c>
      <c r="AD42" s="1162" t="e">
        <f t="shared" si="19"/>
        <v>#VALUE!</v>
      </c>
      <c r="AE42" s="1162">
        <f t="shared" si="20"/>
        <v>0</v>
      </c>
      <c r="AF42" s="1129">
        <f>IF(H42&gt;8,tab!$D$65,tab!$D$67)</f>
        <v>0.5</v>
      </c>
      <c r="AG42" s="1143">
        <f t="shared" si="21"/>
        <v>0</v>
      </c>
      <c r="AH42" s="1204">
        <f t="shared" si="22"/>
        <v>0</v>
      </c>
      <c r="AM42" s="1119"/>
    </row>
    <row r="43" spans="2:45" ht="12.75" customHeight="1" x14ac:dyDescent="0.2">
      <c r="B43" s="69"/>
      <c r="C43" s="90"/>
      <c r="D43" s="376" t="str">
        <f>IF(dir!D21="","",dir!D21)</f>
        <v/>
      </c>
      <c r="E43" s="97" t="str">
        <f>IF(dir!E21=0,"",dir!E21)</f>
        <v/>
      </c>
      <c r="F43" s="114" t="str">
        <f>IF(dir!F21="","",dir!F21+1)</f>
        <v/>
      </c>
      <c r="G43" s="377" t="str">
        <f>IF(dir!G21="","",dir!G21)</f>
        <v/>
      </c>
      <c r="H43" s="129" t="str">
        <f t="shared" si="13"/>
        <v/>
      </c>
      <c r="I43" s="129" t="str">
        <f>IF(J43="","",(IF(dir!I21+1&gt;LOOKUP(H43,schaal2011,regels2011),dir!I21,dir!I21+1)))</f>
        <v/>
      </c>
      <c r="J43" s="378" t="str">
        <f>IF(dir!J21="","",dir!J21)</f>
        <v/>
      </c>
      <c r="K43" s="380"/>
      <c r="L43" s="1078">
        <f>IF(dir!L21="",0,dir!L21)</f>
        <v>0</v>
      </c>
      <c r="M43" s="1078">
        <f>IF(dir!M21="",0,dir!M21)</f>
        <v>0</v>
      </c>
      <c r="N43" s="1077" t="str">
        <f t="shared" si="14"/>
        <v/>
      </c>
      <c r="O43" s="1077"/>
      <c r="P43" s="1172" t="str">
        <f t="shared" si="15"/>
        <v/>
      </c>
      <c r="Q43" s="91"/>
      <c r="R43" s="936" t="str">
        <f t="shared" si="16"/>
        <v/>
      </c>
      <c r="S43" s="936" t="str">
        <f t="shared" si="17"/>
        <v/>
      </c>
      <c r="T43" s="937" t="str">
        <f t="shared" si="18"/>
        <v/>
      </c>
      <c r="U43" s="361"/>
      <c r="V43" s="381"/>
      <c r="W43" s="375"/>
      <c r="X43" s="375"/>
      <c r="Y43" s="1120" t="e">
        <f>VLOOKUP(H43,tab!$A$73:$V$114,I43+2,FALSE)</f>
        <v>#VALUE!</v>
      </c>
      <c r="Z43" s="1211">
        <f>tab!$E$64</f>
        <v>0.62</v>
      </c>
      <c r="AA43" s="1163" t="e">
        <f t="shared" si="23"/>
        <v>#VALUE!</v>
      </c>
      <c r="AB43" s="1163" t="e">
        <f t="shared" si="24"/>
        <v>#VALUE!</v>
      </c>
      <c r="AC43" s="1163" t="e">
        <f t="shared" si="25"/>
        <v>#VALUE!</v>
      </c>
      <c r="AD43" s="1162" t="e">
        <f t="shared" si="19"/>
        <v>#VALUE!</v>
      </c>
      <c r="AE43" s="1162">
        <f t="shared" si="20"/>
        <v>0</v>
      </c>
      <c r="AF43" s="1129">
        <f>IF(H43&gt;8,tab!$D$65,tab!$D$67)</f>
        <v>0.5</v>
      </c>
      <c r="AG43" s="1143">
        <f t="shared" si="21"/>
        <v>0</v>
      </c>
      <c r="AH43" s="1204">
        <f t="shared" si="22"/>
        <v>0</v>
      </c>
      <c r="AM43" s="1119"/>
    </row>
    <row r="44" spans="2:45" ht="12.75" customHeight="1" x14ac:dyDescent="0.2">
      <c r="B44" s="69"/>
      <c r="C44" s="90"/>
      <c r="D44" s="376" t="str">
        <f>IF(dir!D22="","",dir!D22)</f>
        <v/>
      </c>
      <c r="E44" s="97" t="str">
        <f>IF(dir!E22=0,"",dir!E22)</f>
        <v/>
      </c>
      <c r="F44" s="114" t="str">
        <f>IF(dir!F22="","",dir!F22+1)</f>
        <v/>
      </c>
      <c r="G44" s="377" t="str">
        <f>IF(dir!G22="","",dir!G22)</f>
        <v/>
      </c>
      <c r="H44" s="129" t="str">
        <f t="shared" si="13"/>
        <v/>
      </c>
      <c r="I44" s="129" t="str">
        <f>IF(J44="","",(IF(dir!I22+1&gt;LOOKUP(H44,schaal2011,regels2011),dir!I22,dir!I22+1)))</f>
        <v/>
      </c>
      <c r="J44" s="378" t="str">
        <f>IF(dir!J22="","",dir!J22)</f>
        <v/>
      </c>
      <c r="K44" s="380"/>
      <c r="L44" s="1078">
        <f>IF(dir!L22="",0,dir!L22)</f>
        <v>0</v>
      </c>
      <c r="M44" s="1078">
        <f>IF(dir!M22="",0,dir!M22)</f>
        <v>0</v>
      </c>
      <c r="N44" s="1077" t="str">
        <f t="shared" si="14"/>
        <v/>
      </c>
      <c r="O44" s="1077"/>
      <c r="P44" s="1172" t="str">
        <f t="shared" si="15"/>
        <v/>
      </c>
      <c r="Q44" s="91"/>
      <c r="R44" s="936" t="str">
        <f t="shared" si="16"/>
        <v/>
      </c>
      <c r="S44" s="936" t="str">
        <f t="shared" si="17"/>
        <v/>
      </c>
      <c r="T44" s="937" t="str">
        <f t="shared" si="18"/>
        <v/>
      </c>
      <c r="U44" s="361"/>
      <c r="V44" s="381"/>
      <c r="W44" s="375"/>
      <c r="X44" s="375"/>
      <c r="Y44" s="1120" t="e">
        <f>VLOOKUP(H44,tab!$A$73:$V$114,I44+2,FALSE)</f>
        <v>#VALUE!</v>
      </c>
      <c r="Z44" s="1211">
        <f>tab!$E$64</f>
        <v>0.62</v>
      </c>
      <c r="AA44" s="1163" t="e">
        <f t="shared" si="23"/>
        <v>#VALUE!</v>
      </c>
      <c r="AB44" s="1163" t="e">
        <f t="shared" si="24"/>
        <v>#VALUE!</v>
      </c>
      <c r="AC44" s="1163" t="e">
        <f t="shared" si="25"/>
        <v>#VALUE!</v>
      </c>
      <c r="AD44" s="1162" t="e">
        <f t="shared" si="19"/>
        <v>#VALUE!</v>
      </c>
      <c r="AE44" s="1162">
        <f t="shared" si="20"/>
        <v>0</v>
      </c>
      <c r="AF44" s="1129">
        <f>IF(H44&gt;8,tab!$D$65,tab!$D$67)</f>
        <v>0.5</v>
      </c>
      <c r="AG44" s="1143">
        <f t="shared" si="21"/>
        <v>0</v>
      </c>
      <c r="AH44" s="1204">
        <f t="shared" si="22"/>
        <v>0</v>
      </c>
      <c r="AM44" s="1119"/>
    </row>
    <row r="45" spans="2:45" ht="12.75" customHeight="1" x14ac:dyDescent="0.2">
      <c r="B45" s="69"/>
      <c r="C45" s="90"/>
      <c r="D45" s="376" t="str">
        <f>IF(dir!D23="","",dir!D23)</f>
        <v/>
      </c>
      <c r="E45" s="97" t="str">
        <f>IF(dir!E23=0,"",dir!E23)</f>
        <v/>
      </c>
      <c r="F45" s="114" t="str">
        <f>IF(dir!F23="","",dir!F23+1)</f>
        <v/>
      </c>
      <c r="G45" s="377" t="str">
        <f>IF(dir!G23="","",dir!G23)</f>
        <v/>
      </c>
      <c r="H45" s="129" t="str">
        <f t="shared" si="13"/>
        <v/>
      </c>
      <c r="I45" s="129" t="str">
        <f>IF(J45="","",(IF(dir!I23+1&gt;LOOKUP(H45,schaal2011,regels2011),dir!I23,dir!I23+1)))</f>
        <v/>
      </c>
      <c r="J45" s="378" t="str">
        <f>IF(dir!J23="","",dir!J23)</f>
        <v/>
      </c>
      <c r="K45" s="380"/>
      <c r="L45" s="1078">
        <f>IF(dir!L23="",0,dir!L23)</f>
        <v>0</v>
      </c>
      <c r="M45" s="1078">
        <f>IF(dir!M23="",0,dir!M23)</f>
        <v>0</v>
      </c>
      <c r="N45" s="1077" t="str">
        <f t="shared" si="14"/>
        <v/>
      </c>
      <c r="O45" s="1077"/>
      <c r="P45" s="1172" t="str">
        <f t="shared" si="15"/>
        <v/>
      </c>
      <c r="Q45" s="91"/>
      <c r="R45" s="936" t="str">
        <f t="shared" si="16"/>
        <v/>
      </c>
      <c r="S45" s="936" t="str">
        <f t="shared" si="17"/>
        <v/>
      </c>
      <c r="T45" s="937" t="str">
        <f t="shared" si="18"/>
        <v/>
      </c>
      <c r="U45" s="361"/>
      <c r="V45" s="381"/>
      <c r="W45" s="375"/>
      <c r="X45" s="375"/>
      <c r="Y45" s="1120" t="e">
        <f>VLOOKUP(H45,tab!$A$73:$V$114,I45+2,FALSE)</f>
        <v>#VALUE!</v>
      </c>
      <c r="Z45" s="1211">
        <f>tab!$E$64</f>
        <v>0.62</v>
      </c>
      <c r="AA45" s="1163" t="e">
        <f t="shared" si="23"/>
        <v>#VALUE!</v>
      </c>
      <c r="AB45" s="1163" t="e">
        <f t="shared" si="24"/>
        <v>#VALUE!</v>
      </c>
      <c r="AC45" s="1163" t="e">
        <f t="shared" si="25"/>
        <v>#VALUE!</v>
      </c>
      <c r="AD45" s="1162" t="e">
        <f t="shared" si="19"/>
        <v>#VALUE!</v>
      </c>
      <c r="AE45" s="1162">
        <f t="shared" si="20"/>
        <v>0</v>
      </c>
      <c r="AF45" s="1129">
        <f>IF(H45&gt;8,tab!$D$65,tab!$D$67)</f>
        <v>0.5</v>
      </c>
      <c r="AG45" s="1143">
        <f t="shared" si="21"/>
        <v>0</v>
      </c>
      <c r="AH45" s="1204">
        <f t="shared" si="22"/>
        <v>0</v>
      </c>
      <c r="AM45" s="1119"/>
    </row>
    <row r="46" spans="2:45" ht="12.75" customHeight="1" x14ac:dyDescent="0.2">
      <c r="B46" s="69"/>
      <c r="C46" s="90"/>
      <c r="D46" s="376" t="str">
        <f>IF(dir!D24="","",dir!D24)</f>
        <v/>
      </c>
      <c r="E46" s="97" t="str">
        <f>IF(dir!E24=0,"",dir!E24)</f>
        <v/>
      </c>
      <c r="F46" s="114" t="str">
        <f>IF(dir!F24="","",dir!F24+1)</f>
        <v/>
      </c>
      <c r="G46" s="377" t="str">
        <f>IF(dir!G24="","",dir!G24)</f>
        <v/>
      </c>
      <c r="H46" s="129" t="str">
        <f t="shared" si="13"/>
        <v/>
      </c>
      <c r="I46" s="129" t="str">
        <f>IF(J46="","",(IF(dir!I24+1&gt;LOOKUP(H46,schaal2011,regels2011),dir!I24,dir!I24+1)))</f>
        <v/>
      </c>
      <c r="J46" s="378" t="str">
        <f>IF(dir!J24="","",dir!J24)</f>
        <v/>
      </c>
      <c r="K46" s="380"/>
      <c r="L46" s="1078">
        <f>IF(dir!L24="",0,dir!L24)</f>
        <v>0</v>
      </c>
      <c r="M46" s="1078">
        <f>IF(dir!M24="",0,dir!M24)</f>
        <v>0</v>
      </c>
      <c r="N46" s="1077" t="str">
        <f t="shared" si="14"/>
        <v/>
      </c>
      <c r="O46" s="1077"/>
      <c r="P46" s="1172" t="str">
        <f t="shared" si="15"/>
        <v/>
      </c>
      <c r="Q46" s="91"/>
      <c r="R46" s="936" t="str">
        <f t="shared" si="16"/>
        <v/>
      </c>
      <c r="S46" s="936" t="str">
        <f t="shared" si="17"/>
        <v/>
      </c>
      <c r="T46" s="937" t="str">
        <f t="shared" si="18"/>
        <v/>
      </c>
      <c r="U46" s="361"/>
      <c r="V46" s="381"/>
      <c r="W46" s="375"/>
      <c r="X46" s="375"/>
      <c r="Y46" s="1120" t="e">
        <f>VLOOKUP(H46,tab!$A$73:$V$114,I46+2,FALSE)</f>
        <v>#VALUE!</v>
      </c>
      <c r="Z46" s="1211">
        <f>tab!$E$64</f>
        <v>0.62</v>
      </c>
      <c r="AA46" s="1163" t="e">
        <f t="shared" si="23"/>
        <v>#VALUE!</v>
      </c>
      <c r="AB46" s="1163" t="e">
        <f t="shared" si="24"/>
        <v>#VALUE!</v>
      </c>
      <c r="AC46" s="1163" t="e">
        <f t="shared" si="25"/>
        <v>#VALUE!</v>
      </c>
      <c r="AD46" s="1162" t="e">
        <f t="shared" si="19"/>
        <v>#VALUE!</v>
      </c>
      <c r="AE46" s="1162">
        <f t="shared" si="20"/>
        <v>0</v>
      </c>
      <c r="AF46" s="1129">
        <f>IF(H46&gt;8,tab!$D$65,tab!$D$67)</f>
        <v>0.5</v>
      </c>
      <c r="AG46" s="1143">
        <f t="shared" si="21"/>
        <v>0</v>
      </c>
      <c r="AH46" s="1204">
        <f t="shared" si="22"/>
        <v>0</v>
      </c>
      <c r="AM46" s="1119"/>
    </row>
    <row r="47" spans="2:45" ht="12.75" customHeight="1" x14ac:dyDescent="0.2">
      <c r="B47" s="69"/>
      <c r="C47" s="90"/>
      <c r="D47" s="376" t="str">
        <f>IF(dir!D25="","",dir!D25)</f>
        <v/>
      </c>
      <c r="E47" s="97" t="str">
        <f>IF(dir!E25=0,"",dir!E25)</f>
        <v/>
      </c>
      <c r="F47" s="114" t="str">
        <f>IF(dir!F25="","",dir!F25+1)</f>
        <v/>
      </c>
      <c r="G47" s="377" t="str">
        <f>IF(dir!G25="","",dir!G25)</f>
        <v/>
      </c>
      <c r="H47" s="129" t="str">
        <f t="shared" si="13"/>
        <v/>
      </c>
      <c r="I47" s="129" t="str">
        <f>IF(J47="","",(IF(dir!I25+1&gt;LOOKUP(H47,schaal2011,regels2011),dir!I25,dir!I25+1)))</f>
        <v/>
      </c>
      <c r="J47" s="378" t="str">
        <f>IF(dir!J25="","",dir!J25)</f>
        <v/>
      </c>
      <c r="K47" s="380"/>
      <c r="L47" s="1078">
        <f>IF(dir!L25="",0,dir!L25)</f>
        <v>0</v>
      </c>
      <c r="M47" s="1078">
        <f>IF(dir!M25="",0,dir!M25)</f>
        <v>0</v>
      </c>
      <c r="N47" s="1077" t="str">
        <f t="shared" si="14"/>
        <v/>
      </c>
      <c r="O47" s="1077"/>
      <c r="P47" s="1172" t="str">
        <f t="shared" si="15"/>
        <v/>
      </c>
      <c r="Q47" s="91"/>
      <c r="R47" s="936" t="str">
        <f t="shared" si="16"/>
        <v/>
      </c>
      <c r="S47" s="936" t="str">
        <f t="shared" si="17"/>
        <v/>
      </c>
      <c r="T47" s="937" t="str">
        <f t="shared" si="18"/>
        <v/>
      </c>
      <c r="U47" s="361"/>
      <c r="V47" s="381"/>
      <c r="W47" s="375"/>
      <c r="X47" s="375"/>
      <c r="Y47" s="1120" t="e">
        <f>VLOOKUP(H47,tab!$A$73:$V$114,I47+2,FALSE)</f>
        <v>#VALUE!</v>
      </c>
      <c r="Z47" s="1211">
        <f>tab!$E$64</f>
        <v>0.62</v>
      </c>
      <c r="AA47" s="1163" t="e">
        <f t="shared" si="23"/>
        <v>#VALUE!</v>
      </c>
      <c r="AB47" s="1163" t="e">
        <f t="shared" si="24"/>
        <v>#VALUE!</v>
      </c>
      <c r="AC47" s="1163" t="e">
        <f t="shared" si="25"/>
        <v>#VALUE!</v>
      </c>
      <c r="AD47" s="1162" t="e">
        <f t="shared" si="19"/>
        <v>#VALUE!</v>
      </c>
      <c r="AE47" s="1162">
        <f t="shared" si="20"/>
        <v>0</v>
      </c>
      <c r="AF47" s="1129">
        <f>IF(H47&gt;8,tab!$D$65,tab!$D$67)</f>
        <v>0.5</v>
      </c>
      <c r="AG47" s="1143">
        <f t="shared" si="21"/>
        <v>0</v>
      </c>
      <c r="AH47" s="1204">
        <f t="shared" si="22"/>
        <v>0</v>
      </c>
      <c r="AM47" s="1119"/>
    </row>
    <row r="48" spans="2:45" ht="12.75" customHeight="1" x14ac:dyDescent="0.2">
      <c r="B48" s="69"/>
      <c r="C48" s="90"/>
      <c r="D48" s="385"/>
      <c r="E48" s="116"/>
      <c r="F48" s="386"/>
      <c r="G48" s="387"/>
      <c r="H48" s="95"/>
      <c r="I48" s="95"/>
      <c r="J48" s="939">
        <f>SUM(J38:J47)</f>
        <v>1</v>
      </c>
      <c r="K48" s="144"/>
      <c r="L48" s="1079">
        <f>SUM(L38:L47)</f>
        <v>130</v>
      </c>
      <c r="M48" s="1079">
        <f>SUM(M38:M47)</f>
        <v>170</v>
      </c>
      <c r="N48" s="1079">
        <f>SUM(N38:N47)</f>
        <v>40</v>
      </c>
      <c r="O48" s="1087"/>
      <c r="P48" s="1079">
        <f>SUM(P38:P47)</f>
        <v>340</v>
      </c>
      <c r="Q48" s="144"/>
      <c r="R48" s="940">
        <f t="shared" ref="R48:T48" si="26">SUM(R38:R47)</f>
        <v>50989.057649186259</v>
      </c>
      <c r="S48" s="940">
        <f t="shared" si="26"/>
        <v>9564.1171790235094</v>
      </c>
      <c r="T48" s="940">
        <f t="shared" si="26"/>
        <v>60553.174828209769</v>
      </c>
      <c r="U48" s="383"/>
      <c r="V48" s="73"/>
      <c r="Y48" s="1121" t="e">
        <f>SUM(Y38:Y47)</f>
        <v>#VALUE!</v>
      </c>
      <c r="Z48" s="1121"/>
      <c r="AA48" s="1121"/>
      <c r="AB48" s="1121"/>
      <c r="AC48" s="1121"/>
      <c r="AD48" s="1130" t="e">
        <f>SUM(AD38:AD47)</f>
        <v>#VALUE!</v>
      </c>
      <c r="AE48" s="1130">
        <f>SUM(AE38:AE47)</f>
        <v>300</v>
      </c>
      <c r="AF48" s="1121"/>
      <c r="AG48" s="1151">
        <f>SUM(AG38:AG47)</f>
        <v>0</v>
      </c>
      <c r="AH48" s="1205">
        <f>SUM(AH38:AH47)</f>
        <v>0</v>
      </c>
      <c r="AM48" s="1119"/>
    </row>
    <row r="49" spans="2:45" ht="12.75" customHeight="1" x14ac:dyDescent="0.2">
      <c r="B49" s="69"/>
      <c r="C49" s="98"/>
      <c r="D49" s="390"/>
      <c r="E49" s="144"/>
      <c r="F49" s="191"/>
      <c r="G49" s="391"/>
      <c r="H49" s="191"/>
      <c r="I49" s="392"/>
      <c r="J49" s="393"/>
      <c r="K49" s="144"/>
      <c r="L49" s="392"/>
      <c r="M49" s="392"/>
      <c r="N49" s="392"/>
      <c r="O49" s="1088"/>
      <c r="P49" s="392"/>
      <c r="Q49" s="144"/>
      <c r="R49" s="388"/>
      <c r="S49" s="388"/>
      <c r="T49" s="388"/>
      <c r="U49" s="395"/>
      <c r="V49" s="73"/>
      <c r="Y49" s="1093"/>
      <c r="Z49" s="1121"/>
      <c r="AA49" s="1121"/>
      <c r="AB49" s="1121"/>
      <c r="AC49" s="1121"/>
      <c r="AF49" s="1121"/>
      <c r="AG49" s="1151"/>
      <c r="AH49" s="1205"/>
      <c r="AM49" s="1119"/>
    </row>
    <row r="50" spans="2:45" ht="12.75" customHeight="1" x14ac:dyDescent="0.2">
      <c r="B50" s="171"/>
      <c r="C50" s="172"/>
      <c r="D50" s="404"/>
      <c r="E50" s="405"/>
      <c r="F50" s="406"/>
      <c r="G50" s="407"/>
      <c r="H50" s="406"/>
      <c r="I50" s="408"/>
      <c r="J50" s="409"/>
      <c r="K50" s="172"/>
      <c r="L50" s="410"/>
      <c r="M50" s="410"/>
      <c r="N50" s="410"/>
      <c r="O50" s="1090"/>
      <c r="P50" s="410"/>
      <c r="Q50" s="172"/>
      <c r="R50" s="411"/>
      <c r="S50" s="411"/>
      <c r="T50" s="779"/>
      <c r="U50" s="172"/>
      <c r="V50" s="173"/>
      <c r="Y50" s="1120"/>
      <c r="Z50" s="1117"/>
      <c r="AA50" s="1117"/>
      <c r="AB50" s="1117"/>
      <c r="AC50" s="1117"/>
      <c r="AD50" s="1104"/>
      <c r="AE50" s="1104"/>
      <c r="AF50" s="1117"/>
      <c r="AH50" s="1204"/>
    </row>
    <row r="51" spans="2:45" ht="12.75" customHeight="1" x14ac:dyDescent="0.2">
      <c r="H51" s="174"/>
      <c r="J51" s="382"/>
      <c r="L51" s="284"/>
      <c r="M51" s="284"/>
      <c r="N51" s="284"/>
      <c r="O51" s="1091"/>
      <c r="P51" s="284"/>
      <c r="R51" s="375"/>
      <c r="S51" s="375"/>
      <c r="T51" s="780"/>
      <c r="Y51" s="1120"/>
      <c r="Z51" s="1117"/>
      <c r="AA51" s="1117"/>
      <c r="AB51" s="1117"/>
      <c r="AC51" s="1117"/>
      <c r="AD51" s="1104"/>
      <c r="AE51" s="1104"/>
      <c r="AF51" s="1117"/>
      <c r="AH51" s="1204"/>
    </row>
    <row r="52" spans="2:45" ht="12.75" customHeight="1" x14ac:dyDescent="0.2">
      <c r="H52" s="174"/>
      <c r="J52" s="382"/>
      <c r="L52" s="284"/>
      <c r="M52" s="284"/>
      <c r="N52" s="284"/>
      <c r="O52" s="1091"/>
      <c r="P52" s="284"/>
      <c r="R52" s="375"/>
      <c r="S52" s="375"/>
      <c r="T52" s="780"/>
      <c r="Y52" s="1120"/>
      <c r="Z52" s="1117"/>
      <c r="AA52" s="1117"/>
      <c r="AB52" s="1117"/>
      <c r="AC52" s="1117"/>
      <c r="AD52" s="1104"/>
      <c r="AE52" s="1104"/>
      <c r="AF52" s="1117"/>
      <c r="AH52" s="1204"/>
    </row>
    <row r="53" spans="2:45" ht="12.75" customHeight="1" x14ac:dyDescent="0.2">
      <c r="H53" s="174"/>
      <c r="J53" s="382"/>
      <c r="L53" s="284"/>
      <c r="M53" s="284"/>
      <c r="N53" s="284"/>
      <c r="O53" s="1091"/>
      <c r="P53" s="284"/>
      <c r="R53" s="375"/>
      <c r="S53" s="375"/>
      <c r="T53" s="780"/>
      <c r="Y53" s="1120"/>
      <c r="Z53" s="1117"/>
      <c r="AA53" s="1117"/>
      <c r="AB53" s="1117"/>
      <c r="AC53" s="1117"/>
      <c r="AD53" s="1104"/>
      <c r="AE53" s="1104"/>
      <c r="AF53" s="1117"/>
      <c r="AH53" s="1204"/>
    </row>
    <row r="54" spans="2:45" ht="12.75" customHeight="1" x14ac:dyDescent="0.2">
      <c r="C54" s="68" t="s">
        <v>195</v>
      </c>
      <c r="E54" s="414" t="str">
        <f>tab!F2</f>
        <v>2017/18</v>
      </c>
      <c r="H54" s="174"/>
      <c r="J54" s="382"/>
      <c r="L54" s="284"/>
      <c r="M54" s="284"/>
      <c r="N54" s="284"/>
      <c r="O54" s="1091"/>
      <c r="P54" s="284"/>
      <c r="R54" s="375"/>
      <c r="S54" s="375"/>
      <c r="T54" s="780"/>
      <c r="Y54" s="1120"/>
      <c r="Z54" s="1117"/>
      <c r="AA54" s="1117"/>
      <c r="AB54" s="1117"/>
      <c r="AC54" s="1117"/>
      <c r="AD54" s="1104"/>
      <c r="AE54" s="1104"/>
      <c r="AF54" s="1117"/>
      <c r="AH54" s="1204"/>
    </row>
    <row r="55" spans="2:45" ht="12.75" customHeight="1" x14ac:dyDescent="0.2">
      <c r="C55" s="281" t="s">
        <v>217</v>
      </c>
      <c r="E55" s="415">
        <f>tab!G3</f>
        <v>43009</v>
      </c>
      <c r="H55" s="174"/>
      <c r="J55" s="382"/>
      <c r="L55" s="284"/>
      <c r="M55" s="284"/>
      <c r="N55" s="284"/>
      <c r="O55" s="1091"/>
      <c r="P55" s="284"/>
      <c r="R55" s="375"/>
      <c r="S55" s="375"/>
      <c r="T55" s="780"/>
      <c r="Y55" s="1120"/>
      <c r="Z55" s="1117"/>
      <c r="AA55" s="1117"/>
      <c r="AB55" s="1117"/>
      <c r="AC55" s="1117"/>
      <c r="AD55" s="1104"/>
      <c r="AE55" s="1104"/>
      <c r="AF55" s="1117"/>
      <c r="AH55" s="1204"/>
    </row>
    <row r="56" spans="2:45" ht="12.75" customHeight="1" x14ac:dyDescent="0.2">
      <c r="H56" s="174"/>
      <c r="J56" s="382"/>
      <c r="L56" s="284"/>
      <c r="M56" s="284"/>
      <c r="N56" s="284"/>
      <c r="O56" s="1091"/>
      <c r="P56" s="284"/>
      <c r="R56" s="375"/>
      <c r="S56" s="375"/>
      <c r="T56" s="780"/>
      <c r="Y56" s="1120"/>
      <c r="Z56" s="1117"/>
      <c r="AA56" s="1117"/>
      <c r="AB56" s="1117"/>
      <c r="AC56" s="1117"/>
      <c r="AD56" s="1104"/>
      <c r="AE56" s="1104"/>
      <c r="AF56" s="1117"/>
      <c r="AH56" s="1204"/>
    </row>
    <row r="57" spans="2:45" ht="12.75" customHeight="1" x14ac:dyDescent="0.2">
      <c r="C57" s="86"/>
      <c r="D57" s="919"/>
      <c r="E57" s="920"/>
      <c r="F57" s="900"/>
      <c r="G57" s="922"/>
      <c r="H57" s="923"/>
      <c r="I57" s="923"/>
      <c r="J57" s="924"/>
      <c r="K57" s="925"/>
      <c r="L57" s="923"/>
      <c r="M57" s="923"/>
      <c r="N57" s="923"/>
      <c r="O57" s="1089"/>
      <c r="P57" s="923"/>
      <c r="Q57" s="925"/>
      <c r="R57" s="925"/>
      <c r="S57" s="925"/>
      <c r="T57" s="926"/>
      <c r="U57" s="161"/>
    </row>
    <row r="58" spans="2:45" s="361" customFormat="1" ht="12.75" customHeight="1" x14ac:dyDescent="0.2">
      <c r="B58" s="280"/>
      <c r="C58" s="363"/>
      <c r="D58" s="1074" t="s">
        <v>335</v>
      </c>
      <c r="E58" s="1075"/>
      <c r="F58" s="1075"/>
      <c r="G58" s="1075"/>
      <c r="H58" s="1076"/>
      <c r="I58" s="1076"/>
      <c r="J58" s="1076"/>
      <c r="K58" s="1191"/>
      <c r="L58" s="1074" t="s">
        <v>561</v>
      </c>
      <c r="M58" s="1064"/>
      <c r="N58" s="1074"/>
      <c r="O58" s="1074"/>
      <c r="P58" s="1170"/>
      <c r="Q58" s="927"/>
      <c r="R58" s="1074" t="s">
        <v>563</v>
      </c>
      <c r="S58" s="1076"/>
      <c r="T58" s="1153"/>
      <c r="U58" s="944"/>
      <c r="V58" s="365"/>
      <c r="W58" s="365"/>
      <c r="X58" s="365"/>
      <c r="Y58" s="1094"/>
      <c r="Z58" s="1126"/>
      <c r="AA58" s="1094"/>
      <c r="AB58" s="1094"/>
      <c r="AC58" s="1094"/>
      <c r="AD58" s="1125"/>
      <c r="AE58" s="1125"/>
      <c r="AF58" s="1126"/>
      <c r="AG58" s="1151"/>
      <c r="AH58" s="1160"/>
      <c r="AI58" s="1141"/>
      <c r="AJ58" s="1141"/>
      <c r="AK58" s="1141"/>
      <c r="AL58" s="1141"/>
      <c r="AM58" s="1141"/>
      <c r="AN58" s="1096"/>
      <c r="AO58" s="1096"/>
      <c r="AP58" s="1096"/>
      <c r="AQ58" s="1113"/>
      <c r="AR58" s="1113"/>
      <c r="AS58" s="1096"/>
    </row>
    <row r="59" spans="2:45" s="361" customFormat="1" ht="12.75" customHeight="1" x14ac:dyDescent="0.2">
      <c r="B59" s="280"/>
      <c r="C59" s="363"/>
      <c r="D59" s="886" t="s">
        <v>549</v>
      </c>
      <c r="E59" s="886" t="s">
        <v>201</v>
      </c>
      <c r="F59" s="929" t="s">
        <v>147</v>
      </c>
      <c r="G59" s="930" t="s">
        <v>325</v>
      </c>
      <c r="H59" s="929" t="s">
        <v>231</v>
      </c>
      <c r="I59" s="929" t="s">
        <v>262</v>
      </c>
      <c r="J59" s="931" t="s">
        <v>150</v>
      </c>
      <c r="K59" s="1192"/>
      <c r="L59" s="932" t="s">
        <v>544</v>
      </c>
      <c r="M59" s="932" t="s">
        <v>537</v>
      </c>
      <c r="N59" s="932" t="s">
        <v>551</v>
      </c>
      <c r="O59" s="932" t="s">
        <v>544</v>
      </c>
      <c r="P59" s="1171" t="s">
        <v>556</v>
      </c>
      <c r="Q59" s="898"/>
      <c r="R59" s="1073" t="s">
        <v>216</v>
      </c>
      <c r="S59" s="934" t="s">
        <v>562</v>
      </c>
      <c r="T59" s="935" t="s">
        <v>216</v>
      </c>
      <c r="U59" s="945"/>
      <c r="V59" s="369"/>
      <c r="W59" s="369"/>
      <c r="X59" s="369"/>
      <c r="Y59" s="1127" t="s">
        <v>361</v>
      </c>
      <c r="Z59" s="1182" t="s">
        <v>548</v>
      </c>
      <c r="AA59" s="1115" t="s">
        <v>557</v>
      </c>
      <c r="AB59" s="1115" t="s">
        <v>557</v>
      </c>
      <c r="AC59" s="1115" t="s">
        <v>560</v>
      </c>
      <c r="AD59" s="1128" t="s">
        <v>542</v>
      </c>
      <c r="AE59" s="1128" t="s">
        <v>543</v>
      </c>
      <c r="AF59" s="1114" t="s">
        <v>539</v>
      </c>
      <c r="AG59" s="1152" t="s">
        <v>343</v>
      </c>
      <c r="AH59" s="1160" t="s">
        <v>468</v>
      </c>
      <c r="AI59" s="1114" t="s">
        <v>328</v>
      </c>
      <c r="AJ59" s="1114" t="s">
        <v>329</v>
      </c>
      <c r="AK59" s="1114" t="s">
        <v>149</v>
      </c>
      <c r="AL59" s="1114" t="s">
        <v>228</v>
      </c>
      <c r="AM59" s="1128" t="s">
        <v>203</v>
      </c>
      <c r="AN59" s="1096"/>
      <c r="AO59" s="1096"/>
      <c r="AP59" s="1096"/>
      <c r="AQ59" s="1113"/>
      <c r="AR59" s="1115"/>
      <c r="AS59" s="1096"/>
    </row>
    <row r="60" spans="2:45" s="361" customFormat="1" ht="12.75" customHeight="1" x14ac:dyDescent="0.2">
      <c r="B60" s="280"/>
      <c r="C60" s="363"/>
      <c r="D60" s="1075"/>
      <c r="E60" s="886"/>
      <c r="F60" s="929" t="s">
        <v>148</v>
      </c>
      <c r="G60" s="930" t="s">
        <v>326</v>
      </c>
      <c r="H60" s="929"/>
      <c r="I60" s="929"/>
      <c r="J60" s="931"/>
      <c r="K60" s="1192"/>
      <c r="L60" s="932" t="s">
        <v>545</v>
      </c>
      <c r="M60" s="932" t="s">
        <v>547</v>
      </c>
      <c r="N60" s="932" t="s">
        <v>552</v>
      </c>
      <c r="O60" s="932" t="s">
        <v>546</v>
      </c>
      <c r="P60" s="1171" t="s">
        <v>320</v>
      </c>
      <c r="Q60" s="898"/>
      <c r="R60" s="902" t="s">
        <v>554</v>
      </c>
      <c r="S60" s="934" t="s">
        <v>538</v>
      </c>
      <c r="T60" s="935" t="s">
        <v>320</v>
      </c>
      <c r="U60" s="906"/>
      <c r="V60" s="106"/>
      <c r="W60" s="106"/>
      <c r="X60" s="106"/>
      <c r="Y60" s="1127" t="s">
        <v>223</v>
      </c>
      <c r="Z60" s="1183">
        <f>tab!$E$64</f>
        <v>0.62</v>
      </c>
      <c r="AA60" s="1115" t="s">
        <v>558</v>
      </c>
      <c r="AB60" s="1115" t="s">
        <v>559</v>
      </c>
      <c r="AC60" s="1115" t="s">
        <v>555</v>
      </c>
      <c r="AD60" s="1128" t="s">
        <v>541</v>
      </c>
      <c r="AE60" s="1128" t="s">
        <v>541</v>
      </c>
      <c r="AF60" s="1114" t="s">
        <v>540</v>
      </c>
      <c r="AG60" s="1152"/>
      <c r="AH60" s="1159" t="s">
        <v>261</v>
      </c>
      <c r="AI60" s="1128" t="s">
        <v>327</v>
      </c>
      <c r="AJ60" s="1128" t="s">
        <v>327</v>
      </c>
      <c r="AK60" s="1114"/>
      <c r="AL60" s="1114" t="s">
        <v>203</v>
      </c>
      <c r="AM60" s="1128"/>
      <c r="AN60" s="1096"/>
      <c r="AO60" s="1096"/>
      <c r="AP60" s="1096"/>
      <c r="AQ60" s="1096"/>
      <c r="AR60" s="1116"/>
      <c r="AS60" s="1096"/>
    </row>
    <row r="61" spans="2:45" ht="12.75" customHeight="1" x14ac:dyDescent="0.2">
      <c r="C61" s="90"/>
      <c r="D61" s="184"/>
      <c r="E61" s="91"/>
      <c r="F61" s="370"/>
      <c r="G61" s="371"/>
      <c r="H61" s="372"/>
      <c r="I61" s="372"/>
      <c r="J61" s="373"/>
      <c r="K61" s="370"/>
      <c r="L61" s="370"/>
      <c r="M61" s="370"/>
      <c r="N61" s="370"/>
      <c r="O61" s="1086"/>
      <c r="P61" s="370"/>
      <c r="Q61" s="370"/>
      <c r="R61" s="374"/>
      <c r="S61" s="374"/>
      <c r="T61" s="465"/>
      <c r="U61" s="162"/>
      <c r="Y61" s="1127"/>
      <c r="Z61" s="1113"/>
      <c r="AA61" s="1113"/>
      <c r="AB61" s="1113"/>
      <c r="AC61" s="1113"/>
      <c r="AD61" s="1128"/>
      <c r="AE61" s="1128"/>
      <c r="AF61" s="1113"/>
      <c r="AG61" s="1152"/>
      <c r="AH61" s="1204"/>
      <c r="AO61" s="1094"/>
      <c r="AP61" s="1094"/>
      <c r="AR61" s="1117"/>
    </row>
    <row r="62" spans="2:45" ht="12.75" customHeight="1" x14ac:dyDescent="0.2">
      <c r="C62" s="90"/>
      <c r="D62" s="376" t="str">
        <f>IF(dir!D38="","",dir!D38)</f>
        <v/>
      </c>
      <c r="E62" s="97" t="str">
        <f>IF(dir!E38=0,"",dir!E38)</f>
        <v>nn</v>
      </c>
      <c r="F62" s="114" t="str">
        <f>IF(dir!F38="","",dir!F38+1)</f>
        <v/>
      </c>
      <c r="G62" s="377" t="str">
        <f>IF(dir!G38="","",dir!G38)</f>
        <v/>
      </c>
      <c r="H62" s="129" t="str">
        <f t="shared" ref="H62:H71" si="27">IF(H38=0,"",H38)</f>
        <v>DB</v>
      </c>
      <c r="I62" s="129">
        <f>IF(J62="","",(IF(dir!I38+1&gt;LOOKUP(H62,schaal2011,regels2011),dir!I38,dir!I38+1)))</f>
        <v>5</v>
      </c>
      <c r="J62" s="378">
        <f>IF(dir!J38="","",dir!J38)</f>
        <v>1</v>
      </c>
      <c r="K62" s="380"/>
      <c r="L62" s="1078">
        <f>IF(dir!L38="","",dir!L38)</f>
        <v>130</v>
      </c>
      <c r="M62" s="1078">
        <f>IF(dir!M38="","",dir!M38)</f>
        <v>170</v>
      </c>
      <c r="N62" s="1077">
        <f t="shared" ref="N62:N71" si="28">IF(J62="","",IF((J62*40)&gt;40,40,((J62*40))))</f>
        <v>40</v>
      </c>
      <c r="O62" s="1077"/>
      <c r="P62" s="1172">
        <f t="shared" ref="P62:P71" si="29">IF(J62="","",(SUM(L62:O62)))</f>
        <v>340</v>
      </c>
      <c r="Q62" s="91"/>
      <c r="R62" s="936">
        <f t="shared" ref="R62:R71" si="30">IF(J62="","",(((1659*J62)-P62)*AB62))</f>
        <v>52627.38444846293</v>
      </c>
      <c r="S62" s="936">
        <f t="shared" ref="S62:S71" si="31">IF(J62="","",(P62*AC62)+(AA62*AD62)+((AE62*AA62*(1-AF62))))</f>
        <v>9871.4213381555146</v>
      </c>
      <c r="T62" s="937">
        <f t="shared" ref="T62:T71" si="32">IF(J62="","",(R62+S62))</f>
        <v>62498.805786618446</v>
      </c>
      <c r="U62" s="361"/>
      <c r="V62" s="375"/>
      <c r="W62" s="375"/>
      <c r="X62" s="375"/>
      <c r="Y62" s="1120">
        <f>VLOOKUP(H62,tab!$A$73:$V$114,I62+2,FALSE)</f>
        <v>3405</v>
      </c>
      <c r="Z62" s="1211">
        <f>tab!$E$64</f>
        <v>0.62</v>
      </c>
      <c r="AA62" s="1163">
        <f>(Y62*12/1659)</f>
        <v>24.629294755877034</v>
      </c>
      <c r="AB62" s="1163">
        <f>(Y62*12*(1+Z62))/1659</f>
        <v>39.899457504520797</v>
      </c>
      <c r="AC62" s="1163">
        <f>AB62-AA62</f>
        <v>15.270162748643763</v>
      </c>
      <c r="AD62" s="1162">
        <f t="shared" ref="AD62:AD71" si="33">(N62+O62)</f>
        <v>40</v>
      </c>
      <c r="AE62" s="1162">
        <f t="shared" ref="AE62:AE71" si="34">(L62+M62)</f>
        <v>300</v>
      </c>
      <c r="AF62" s="1129">
        <f>IF(H62&gt;8,tab!$D$65,tab!$D$67)</f>
        <v>0.5</v>
      </c>
      <c r="AG62" s="1143">
        <f t="shared" ref="AG62:AG71" si="35">IF(F62&lt;25,0,IF(F62=25,25,IF(F62&lt;40,0,IF(F62=40,40,IF(F62&gt;=40,0)))))</f>
        <v>0</v>
      </c>
      <c r="AH62" s="1204">
        <f t="shared" ref="AH62:AH71" si="36">IF(AG62=25,(Y62*1.08*(J62)/2),IF(AG62=40,(Y62*1.08*(J62)),IF(AG62=0,0)))</f>
        <v>0</v>
      </c>
      <c r="AM62" s="1119"/>
    </row>
    <row r="63" spans="2:45" ht="12.75" customHeight="1" x14ac:dyDescent="0.2">
      <c r="C63" s="90"/>
      <c r="D63" s="376" t="str">
        <f>IF(dir!D39="","",dir!D39)</f>
        <v/>
      </c>
      <c r="E63" s="97" t="str">
        <f>IF(dir!E39=0,"",dir!E39)</f>
        <v/>
      </c>
      <c r="F63" s="114" t="str">
        <f>IF(dir!F39="","",dir!F39+1)</f>
        <v/>
      </c>
      <c r="G63" s="377" t="str">
        <f>IF(dir!G39="","",dir!G39)</f>
        <v/>
      </c>
      <c r="H63" s="129" t="str">
        <f t="shared" si="27"/>
        <v/>
      </c>
      <c r="I63" s="129" t="str">
        <f>IF(J63="","",(IF(dir!I39+1&gt;LOOKUP(H63,schaal2011,regels2011),dir!I39,dir!I39+1)))</f>
        <v/>
      </c>
      <c r="J63" s="378" t="str">
        <f>IF(dir!J39="","",dir!J39)</f>
        <v/>
      </c>
      <c r="K63" s="380"/>
      <c r="L63" s="1078">
        <f>IF(dir!L39="","",dir!L39)</f>
        <v>0</v>
      </c>
      <c r="M63" s="1078">
        <f>IF(dir!M39="","",dir!M39)</f>
        <v>0</v>
      </c>
      <c r="N63" s="1077" t="str">
        <f t="shared" si="28"/>
        <v/>
      </c>
      <c r="O63" s="1077"/>
      <c r="P63" s="1172" t="str">
        <f t="shared" si="29"/>
        <v/>
      </c>
      <c r="Q63" s="91"/>
      <c r="R63" s="936" t="str">
        <f t="shared" si="30"/>
        <v/>
      </c>
      <c r="S63" s="936" t="str">
        <f t="shared" si="31"/>
        <v/>
      </c>
      <c r="T63" s="937" t="str">
        <f t="shared" si="32"/>
        <v/>
      </c>
      <c r="U63" s="361"/>
      <c r="V63" s="375"/>
      <c r="W63" s="375"/>
      <c r="X63" s="375"/>
      <c r="Y63" s="1120" t="e">
        <f>VLOOKUP(H63,tab!$A$73:$V$114,I63+2,FALSE)</f>
        <v>#VALUE!</v>
      </c>
      <c r="Z63" s="1211">
        <f>tab!$E$64</f>
        <v>0.62</v>
      </c>
      <c r="AA63" s="1163" t="e">
        <f t="shared" ref="AA63:AA71" si="37">(Y63*12/1659)</f>
        <v>#VALUE!</v>
      </c>
      <c r="AB63" s="1163" t="e">
        <f t="shared" ref="AB63:AB71" si="38">(Y63*12*(1+Z63))/1659</f>
        <v>#VALUE!</v>
      </c>
      <c r="AC63" s="1163" t="e">
        <f t="shared" ref="AC63:AC71" si="39">AB63-AA63</f>
        <v>#VALUE!</v>
      </c>
      <c r="AD63" s="1162" t="e">
        <f t="shared" si="33"/>
        <v>#VALUE!</v>
      </c>
      <c r="AE63" s="1162">
        <f t="shared" si="34"/>
        <v>0</v>
      </c>
      <c r="AF63" s="1129">
        <f>IF(H63&gt;8,tab!$D$65,tab!$D$67)</f>
        <v>0.5</v>
      </c>
      <c r="AG63" s="1143">
        <f t="shared" si="35"/>
        <v>0</v>
      </c>
      <c r="AH63" s="1204">
        <f t="shared" si="36"/>
        <v>0</v>
      </c>
      <c r="AM63" s="1119"/>
    </row>
    <row r="64" spans="2:45" ht="12.75" customHeight="1" x14ac:dyDescent="0.2">
      <c r="C64" s="90"/>
      <c r="D64" s="376" t="str">
        <f>IF(dir!D40="","",dir!D40)</f>
        <v/>
      </c>
      <c r="E64" s="97" t="str">
        <f>IF(dir!E40=0,"",dir!E40)</f>
        <v/>
      </c>
      <c r="F64" s="114" t="str">
        <f>IF(dir!F40="","",dir!F40+1)</f>
        <v/>
      </c>
      <c r="G64" s="377" t="str">
        <f>IF(dir!G40="","",dir!G40)</f>
        <v/>
      </c>
      <c r="H64" s="129" t="str">
        <f t="shared" si="27"/>
        <v/>
      </c>
      <c r="I64" s="129" t="str">
        <f>IF(J64="","",(IF(dir!I40+1&gt;LOOKUP(H64,schaal2011,regels2011),dir!I40,dir!I40+1)))</f>
        <v/>
      </c>
      <c r="J64" s="378" t="str">
        <f>IF(dir!J40="","",dir!J40)</f>
        <v/>
      </c>
      <c r="K64" s="380"/>
      <c r="L64" s="1078">
        <f>IF(dir!L40="","",dir!L40)</f>
        <v>0</v>
      </c>
      <c r="M64" s="1078">
        <f>IF(dir!M40="","",dir!M40)</f>
        <v>0</v>
      </c>
      <c r="N64" s="1077" t="str">
        <f t="shared" si="28"/>
        <v/>
      </c>
      <c r="O64" s="1077"/>
      <c r="P64" s="1172" t="str">
        <f t="shared" si="29"/>
        <v/>
      </c>
      <c r="Q64" s="91"/>
      <c r="R64" s="936" t="str">
        <f t="shared" si="30"/>
        <v/>
      </c>
      <c r="S64" s="936" t="str">
        <f t="shared" si="31"/>
        <v/>
      </c>
      <c r="T64" s="937" t="str">
        <f t="shared" si="32"/>
        <v/>
      </c>
      <c r="U64" s="361"/>
      <c r="V64" s="375"/>
      <c r="W64" s="375"/>
      <c r="X64" s="375"/>
      <c r="Y64" s="1120" t="e">
        <f>VLOOKUP(H64,tab!$A$73:$V$114,I64+2,FALSE)</f>
        <v>#VALUE!</v>
      </c>
      <c r="Z64" s="1211">
        <f>tab!$E$64</f>
        <v>0.62</v>
      </c>
      <c r="AA64" s="1163" t="e">
        <f t="shared" si="37"/>
        <v>#VALUE!</v>
      </c>
      <c r="AB64" s="1163" t="e">
        <f t="shared" si="38"/>
        <v>#VALUE!</v>
      </c>
      <c r="AC64" s="1163" t="e">
        <f t="shared" si="39"/>
        <v>#VALUE!</v>
      </c>
      <c r="AD64" s="1162" t="e">
        <f t="shared" si="33"/>
        <v>#VALUE!</v>
      </c>
      <c r="AE64" s="1162">
        <f t="shared" si="34"/>
        <v>0</v>
      </c>
      <c r="AF64" s="1129">
        <f>IF(H64&gt;8,tab!$D$65,tab!$D$67)</f>
        <v>0.5</v>
      </c>
      <c r="AG64" s="1143">
        <f t="shared" si="35"/>
        <v>0</v>
      </c>
      <c r="AH64" s="1204">
        <f t="shared" si="36"/>
        <v>0</v>
      </c>
      <c r="AM64" s="1119"/>
    </row>
    <row r="65" spans="3:45" ht="12.75" customHeight="1" x14ac:dyDescent="0.2">
      <c r="C65" s="90"/>
      <c r="D65" s="376" t="str">
        <f>IF(dir!D41="","",dir!D41)</f>
        <v/>
      </c>
      <c r="E65" s="97" t="str">
        <f>IF(dir!E41=0,"",dir!E41)</f>
        <v/>
      </c>
      <c r="F65" s="114" t="str">
        <f>IF(dir!F41="","",dir!F41+1)</f>
        <v/>
      </c>
      <c r="G65" s="377" t="str">
        <f>IF(dir!G41="","",dir!G41)</f>
        <v/>
      </c>
      <c r="H65" s="129" t="str">
        <f t="shared" si="27"/>
        <v/>
      </c>
      <c r="I65" s="129" t="str">
        <f>IF(J65="","",(IF(dir!I41+1&gt;LOOKUP(H65,schaal2011,regels2011),dir!I41,dir!I41+1)))</f>
        <v/>
      </c>
      <c r="J65" s="378" t="str">
        <f>IF(dir!J41="","",dir!J41)</f>
        <v/>
      </c>
      <c r="K65" s="380"/>
      <c r="L65" s="1078">
        <f>IF(dir!L41="","",dir!L41)</f>
        <v>0</v>
      </c>
      <c r="M65" s="1078">
        <f>IF(dir!M41="","",dir!M41)</f>
        <v>0</v>
      </c>
      <c r="N65" s="1077" t="str">
        <f t="shared" si="28"/>
        <v/>
      </c>
      <c r="O65" s="1077"/>
      <c r="P65" s="1172" t="str">
        <f t="shared" si="29"/>
        <v/>
      </c>
      <c r="Q65" s="91"/>
      <c r="R65" s="936" t="str">
        <f t="shared" si="30"/>
        <v/>
      </c>
      <c r="S65" s="936" t="str">
        <f t="shared" si="31"/>
        <v/>
      </c>
      <c r="T65" s="937" t="str">
        <f t="shared" si="32"/>
        <v/>
      </c>
      <c r="U65" s="361"/>
      <c r="V65" s="375"/>
      <c r="W65" s="375"/>
      <c r="X65" s="375"/>
      <c r="Y65" s="1120" t="e">
        <f>VLOOKUP(H65,tab!$A$73:$V$114,I65+2,FALSE)</f>
        <v>#VALUE!</v>
      </c>
      <c r="Z65" s="1211">
        <f>tab!$E$64</f>
        <v>0.62</v>
      </c>
      <c r="AA65" s="1163" t="e">
        <f t="shared" si="37"/>
        <v>#VALUE!</v>
      </c>
      <c r="AB65" s="1163" t="e">
        <f t="shared" si="38"/>
        <v>#VALUE!</v>
      </c>
      <c r="AC65" s="1163" t="e">
        <f t="shared" si="39"/>
        <v>#VALUE!</v>
      </c>
      <c r="AD65" s="1162" t="e">
        <f t="shared" si="33"/>
        <v>#VALUE!</v>
      </c>
      <c r="AE65" s="1162">
        <f t="shared" si="34"/>
        <v>0</v>
      </c>
      <c r="AF65" s="1129">
        <f>IF(H65&gt;8,tab!$D$65,tab!$D$67)</f>
        <v>0.5</v>
      </c>
      <c r="AG65" s="1143">
        <f t="shared" si="35"/>
        <v>0</v>
      </c>
      <c r="AH65" s="1204">
        <f t="shared" si="36"/>
        <v>0</v>
      </c>
      <c r="AM65" s="1119"/>
    </row>
    <row r="66" spans="3:45" ht="12.75" customHeight="1" x14ac:dyDescent="0.2">
      <c r="C66" s="90"/>
      <c r="D66" s="376" t="str">
        <f>IF(dir!D42="","",dir!D42)</f>
        <v/>
      </c>
      <c r="E66" s="97" t="str">
        <f>IF(dir!E42=0,"",dir!E42)</f>
        <v/>
      </c>
      <c r="F66" s="114" t="str">
        <f>IF(dir!F42="","",dir!F42+1)</f>
        <v/>
      </c>
      <c r="G66" s="377" t="str">
        <f>IF(dir!G42="","",dir!G42)</f>
        <v/>
      </c>
      <c r="H66" s="129" t="str">
        <f t="shared" si="27"/>
        <v/>
      </c>
      <c r="I66" s="129" t="str">
        <f>IF(J66="","",(IF(dir!I42+1&gt;LOOKUP(H66,schaal2011,regels2011),dir!I42,dir!I42+1)))</f>
        <v/>
      </c>
      <c r="J66" s="378" t="str">
        <f>IF(dir!J42="","",dir!J42)</f>
        <v/>
      </c>
      <c r="K66" s="380"/>
      <c r="L66" s="1078">
        <f>IF(dir!L42="","",dir!L42)</f>
        <v>0</v>
      </c>
      <c r="M66" s="1078">
        <f>IF(dir!M42="","",dir!M42)</f>
        <v>0</v>
      </c>
      <c r="N66" s="1077" t="str">
        <f t="shared" si="28"/>
        <v/>
      </c>
      <c r="O66" s="1077"/>
      <c r="P66" s="1172" t="str">
        <f t="shared" si="29"/>
        <v/>
      </c>
      <c r="Q66" s="91"/>
      <c r="R66" s="936" t="str">
        <f t="shared" si="30"/>
        <v/>
      </c>
      <c r="S66" s="936" t="str">
        <f t="shared" si="31"/>
        <v/>
      </c>
      <c r="T66" s="937" t="str">
        <f t="shared" si="32"/>
        <v/>
      </c>
      <c r="U66" s="361"/>
      <c r="V66" s="375"/>
      <c r="W66" s="375"/>
      <c r="X66" s="375"/>
      <c r="Y66" s="1120" t="e">
        <f>VLOOKUP(H66,tab!$A$73:$V$114,I66+2,FALSE)</f>
        <v>#VALUE!</v>
      </c>
      <c r="Z66" s="1211">
        <f>tab!$E$64</f>
        <v>0.62</v>
      </c>
      <c r="AA66" s="1163" t="e">
        <f t="shared" si="37"/>
        <v>#VALUE!</v>
      </c>
      <c r="AB66" s="1163" t="e">
        <f t="shared" si="38"/>
        <v>#VALUE!</v>
      </c>
      <c r="AC66" s="1163" t="e">
        <f t="shared" si="39"/>
        <v>#VALUE!</v>
      </c>
      <c r="AD66" s="1162" t="e">
        <f t="shared" si="33"/>
        <v>#VALUE!</v>
      </c>
      <c r="AE66" s="1162">
        <f t="shared" si="34"/>
        <v>0</v>
      </c>
      <c r="AF66" s="1129">
        <f>IF(H66&gt;8,tab!$D$65,tab!$D$67)</f>
        <v>0.5</v>
      </c>
      <c r="AG66" s="1143">
        <f t="shared" si="35"/>
        <v>0</v>
      </c>
      <c r="AH66" s="1204">
        <f t="shared" si="36"/>
        <v>0</v>
      </c>
      <c r="AM66" s="1119"/>
    </row>
    <row r="67" spans="3:45" ht="12.75" customHeight="1" x14ac:dyDescent="0.2">
      <c r="C67" s="90"/>
      <c r="D67" s="376" t="str">
        <f>IF(dir!D43="","",dir!D43)</f>
        <v/>
      </c>
      <c r="E67" s="97" t="str">
        <f>IF(dir!E43=0,"",dir!E43)</f>
        <v/>
      </c>
      <c r="F67" s="114" t="str">
        <f>IF(dir!F43="","",dir!F43+1)</f>
        <v/>
      </c>
      <c r="G67" s="377" t="str">
        <f>IF(dir!G43="","",dir!G43)</f>
        <v/>
      </c>
      <c r="H67" s="129" t="str">
        <f t="shared" si="27"/>
        <v/>
      </c>
      <c r="I67" s="129" t="str">
        <f>IF(J67="","",(IF(dir!I43+1&gt;LOOKUP(H67,schaal2011,regels2011),dir!I43,dir!I43+1)))</f>
        <v/>
      </c>
      <c r="J67" s="378" t="str">
        <f>IF(dir!J43="","",dir!J43)</f>
        <v/>
      </c>
      <c r="K67" s="380"/>
      <c r="L67" s="1078">
        <f>IF(dir!L43="","",dir!L43)</f>
        <v>0</v>
      </c>
      <c r="M67" s="1078">
        <f>IF(dir!M43="","",dir!M43)</f>
        <v>0</v>
      </c>
      <c r="N67" s="1077" t="str">
        <f t="shared" si="28"/>
        <v/>
      </c>
      <c r="O67" s="1077"/>
      <c r="P67" s="1172" t="str">
        <f t="shared" si="29"/>
        <v/>
      </c>
      <c r="Q67" s="91"/>
      <c r="R67" s="936" t="str">
        <f t="shared" si="30"/>
        <v/>
      </c>
      <c r="S67" s="936" t="str">
        <f t="shared" si="31"/>
        <v/>
      </c>
      <c r="T67" s="937" t="str">
        <f t="shared" si="32"/>
        <v/>
      </c>
      <c r="U67" s="361"/>
      <c r="V67" s="375"/>
      <c r="W67" s="375"/>
      <c r="X67" s="375"/>
      <c r="Y67" s="1120" t="e">
        <f>VLOOKUP(H67,tab!$A$73:$V$114,I67+2,FALSE)</f>
        <v>#VALUE!</v>
      </c>
      <c r="Z67" s="1211">
        <f>tab!$E$64</f>
        <v>0.62</v>
      </c>
      <c r="AA67" s="1163" t="e">
        <f t="shared" si="37"/>
        <v>#VALUE!</v>
      </c>
      <c r="AB67" s="1163" t="e">
        <f t="shared" si="38"/>
        <v>#VALUE!</v>
      </c>
      <c r="AC67" s="1163" t="e">
        <f t="shared" si="39"/>
        <v>#VALUE!</v>
      </c>
      <c r="AD67" s="1162" t="e">
        <f t="shared" si="33"/>
        <v>#VALUE!</v>
      </c>
      <c r="AE67" s="1162">
        <f t="shared" si="34"/>
        <v>0</v>
      </c>
      <c r="AF67" s="1129">
        <f>IF(H67&gt;8,tab!$D$65,tab!$D$67)</f>
        <v>0.5</v>
      </c>
      <c r="AG67" s="1143">
        <f t="shared" si="35"/>
        <v>0</v>
      </c>
      <c r="AH67" s="1204">
        <f t="shared" si="36"/>
        <v>0</v>
      </c>
      <c r="AM67" s="1119"/>
    </row>
    <row r="68" spans="3:45" ht="12.75" customHeight="1" x14ac:dyDescent="0.2">
      <c r="C68" s="90"/>
      <c r="D68" s="376" t="str">
        <f>IF(dir!D44="","",dir!D44)</f>
        <v/>
      </c>
      <c r="E68" s="97" t="str">
        <f>IF(dir!E44=0,"",dir!E44)</f>
        <v/>
      </c>
      <c r="F68" s="114" t="str">
        <f>IF(dir!F44="","",dir!F44+1)</f>
        <v/>
      </c>
      <c r="G68" s="377" t="str">
        <f>IF(dir!G44="","",dir!G44)</f>
        <v/>
      </c>
      <c r="H68" s="129" t="str">
        <f t="shared" si="27"/>
        <v/>
      </c>
      <c r="I68" s="129" t="str">
        <f>IF(J68="","",(IF(dir!I44+1&gt;LOOKUP(H68,schaal2011,regels2011),dir!I44,dir!I44+1)))</f>
        <v/>
      </c>
      <c r="J68" s="378" t="str">
        <f>IF(dir!J44="","",dir!J44)</f>
        <v/>
      </c>
      <c r="K68" s="380"/>
      <c r="L68" s="1078">
        <f>IF(dir!L44="","",dir!L44)</f>
        <v>0</v>
      </c>
      <c r="M68" s="1078">
        <f>IF(dir!M44="","",dir!M44)</f>
        <v>0</v>
      </c>
      <c r="N68" s="1077" t="str">
        <f t="shared" si="28"/>
        <v/>
      </c>
      <c r="O68" s="1077"/>
      <c r="P68" s="1172" t="str">
        <f t="shared" si="29"/>
        <v/>
      </c>
      <c r="Q68" s="91"/>
      <c r="R68" s="936" t="str">
        <f t="shared" si="30"/>
        <v/>
      </c>
      <c r="S68" s="936" t="str">
        <f t="shared" si="31"/>
        <v/>
      </c>
      <c r="T68" s="937" t="str">
        <f t="shared" si="32"/>
        <v/>
      </c>
      <c r="U68" s="361"/>
      <c r="V68" s="375"/>
      <c r="W68" s="375"/>
      <c r="X68" s="375"/>
      <c r="Y68" s="1120" t="e">
        <f>VLOOKUP(H68,tab!$A$73:$V$114,I68+2,FALSE)</f>
        <v>#VALUE!</v>
      </c>
      <c r="Z68" s="1211">
        <f>tab!$E$64</f>
        <v>0.62</v>
      </c>
      <c r="AA68" s="1163" t="e">
        <f t="shared" si="37"/>
        <v>#VALUE!</v>
      </c>
      <c r="AB68" s="1163" t="e">
        <f t="shared" si="38"/>
        <v>#VALUE!</v>
      </c>
      <c r="AC68" s="1163" t="e">
        <f t="shared" si="39"/>
        <v>#VALUE!</v>
      </c>
      <c r="AD68" s="1162" t="e">
        <f t="shared" si="33"/>
        <v>#VALUE!</v>
      </c>
      <c r="AE68" s="1162">
        <f t="shared" si="34"/>
        <v>0</v>
      </c>
      <c r="AF68" s="1129">
        <f>IF(H68&gt;8,tab!$D$65,tab!$D$67)</f>
        <v>0.5</v>
      </c>
      <c r="AG68" s="1143">
        <f t="shared" si="35"/>
        <v>0</v>
      </c>
      <c r="AH68" s="1204">
        <f t="shared" si="36"/>
        <v>0</v>
      </c>
      <c r="AM68" s="1119"/>
    </row>
    <row r="69" spans="3:45" ht="12.75" customHeight="1" x14ac:dyDescent="0.2">
      <c r="C69" s="90"/>
      <c r="D69" s="376" t="str">
        <f>IF(dir!D45="","",dir!D45)</f>
        <v/>
      </c>
      <c r="E69" s="97" t="str">
        <f>IF(dir!E45=0,"",dir!E45)</f>
        <v/>
      </c>
      <c r="F69" s="114" t="str">
        <f>IF(dir!F45="","",dir!F45+1)</f>
        <v/>
      </c>
      <c r="G69" s="377" t="str">
        <f>IF(dir!G45="","",dir!G45)</f>
        <v/>
      </c>
      <c r="H69" s="129" t="str">
        <f t="shared" si="27"/>
        <v/>
      </c>
      <c r="I69" s="129" t="str">
        <f>IF(J69="","",(IF(dir!I45+1&gt;LOOKUP(H69,schaal2011,regels2011),dir!I45,dir!I45+1)))</f>
        <v/>
      </c>
      <c r="J69" s="378" t="str">
        <f>IF(dir!J45="","",dir!J45)</f>
        <v/>
      </c>
      <c r="K69" s="380"/>
      <c r="L69" s="1078">
        <f>IF(dir!L45="","",dir!L45)</f>
        <v>0</v>
      </c>
      <c r="M69" s="1078">
        <f>IF(dir!M45="","",dir!M45)</f>
        <v>0</v>
      </c>
      <c r="N69" s="1077" t="str">
        <f t="shared" si="28"/>
        <v/>
      </c>
      <c r="O69" s="1077"/>
      <c r="P69" s="1172" t="str">
        <f t="shared" si="29"/>
        <v/>
      </c>
      <c r="Q69" s="91"/>
      <c r="R69" s="936" t="str">
        <f t="shared" si="30"/>
        <v/>
      </c>
      <c r="S69" s="936" t="str">
        <f t="shared" si="31"/>
        <v/>
      </c>
      <c r="T69" s="937" t="str">
        <f t="shared" si="32"/>
        <v/>
      </c>
      <c r="U69" s="361"/>
      <c r="V69" s="375"/>
      <c r="W69" s="375"/>
      <c r="X69" s="375"/>
      <c r="Y69" s="1120" t="e">
        <f>VLOOKUP(H69,tab!$A$73:$V$114,I69+2,FALSE)</f>
        <v>#VALUE!</v>
      </c>
      <c r="Z69" s="1211">
        <f>tab!$E$64</f>
        <v>0.62</v>
      </c>
      <c r="AA69" s="1163" t="e">
        <f t="shared" si="37"/>
        <v>#VALUE!</v>
      </c>
      <c r="AB69" s="1163" t="e">
        <f t="shared" si="38"/>
        <v>#VALUE!</v>
      </c>
      <c r="AC69" s="1163" t="e">
        <f t="shared" si="39"/>
        <v>#VALUE!</v>
      </c>
      <c r="AD69" s="1162" t="e">
        <f t="shared" si="33"/>
        <v>#VALUE!</v>
      </c>
      <c r="AE69" s="1162">
        <f t="shared" si="34"/>
        <v>0</v>
      </c>
      <c r="AF69" s="1129">
        <f>IF(H69&gt;8,tab!$D$65,tab!$D$67)</f>
        <v>0.5</v>
      </c>
      <c r="AG69" s="1143">
        <f t="shared" si="35"/>
        <v>0</v>
      </c>
      <c r="AH69" s="1204">
        <f t="shared" si="36"/>
        <v>0</v>
      </c>
      <c r="AM69" s="1119"/>
    </row>
    <row r="70" spans="3:45" ht="12.75" customHeight="1" x14ac:dyDescent="0.2">
      <c r="C70" s="90"/>
      <c r="D70" s="376" t="str">
        <f>IF(dir!D46="","",dir!D46)</f>
        <v/>
      </c>
      <c r="E70" s="97" t="str">
        <f>IF(dir!E46=0,"",dir!E46)</f>
        <v/>
      </c>
      <c r="F70" s="114" t="str">
        <f>IF(dir!F46="","",dir!F46+1)</f>
        <v/>
      </c>
      <c r="G70" s="377" t="str">
        <f>IF(dir!G46="","",dir!G46)</f>
        <v/>
      </c>
      <c r="H70" s="129" t="str">
        <f t="shared" si="27"/>
        <v/>
      </c>
      <c r="I70" s="129" t="str">
        <f>IF(J70="","",(IF(dir!I46+1&gt;LOOKUP(H70,schaal2011,regels2011),dir!I46,dir!I46+1)))</f>
        <v/>
      </c>
      <c r="J70" s="378" t="str">
        <f>IF(dir!J46="","",dir!J46)</f>
        <v/>
      </c>
      <c r="K70" s="380"/>
      <c r="L70" s="1078">
        <f>IF(dir!L46="","",dir!L46)</f>
        <v>0</v>
      </c>
      <c r="M70" s="1078">
        <f>IF(dir!M46="","",dir!M46)</f>
        <v>0</v>
      </c>
      <c r="N70" s="1077" t="str">
        <f t="shared" si="28"/>
        <v/>
      </c>
      <c r="O70" s="1077"/>
      <c r="P70" s="1172" t="str">
        <f t="shared" si="29"/>
        <v/>
      </c>
      <c r="Q70" s="91"/>
      <c r="R70" s="936" t="str">
        <f t="shared" si="30"/>
        <v/>
      </c>
      <c r="S70" s="936" t="str">
        <f t="shared" si="31"/>
        <v/>
      </c>
      <c r="T70" s="937" t="str">
        <f t="shared" si="32"/>
        <v/>
      </c>
      <c r="U70" s="361"/>
      <c r="V70" s="375"/>
      <c r="W70" s="375"/>
      <c r="X70" s="375"/>
      <c r="Y70" s="1120" t="e">
        <f>VLOOKUP(H70,tab!$A$73:$V$114,I70+2,FALSE)</f>
        <v>#VALUE!</v>
      </c>
      <c r="Z70" s="1211">
        <f>tab!$E$64</f>
        <v>0.62</v>
      </c>
      <c r="AA70" s="1163" t="e">
        <f t="shared" si="37"/>
        <v>#VALUE!</v>
      </c>
      <c r="AB70" s="1163" t="e">
        <f t="shared" si="38"/>
        <v>#VALUE!</v>
      </c>
      <c r="AC70" s="1163" t="e">
        <f t="shared" si="39"/>
        <v>#VALUE!</v>
      </c>
      <c r="AD70" s="1162" t="e">
        <f t="shared" si="33"/>
        <v>#VALUE!</v>
      </c>
      <c r="AE70" s="1162">
        <f t="shared" si="34"/>
        <v>0</v>
      </c>
      <c r="AF70" s="1129">
        <f>IF(H70&gt;8,tab!$D$65,tab!$D$67)</f>
        <v>0.5</v>
      </c>
      <c r="AG70" s="1143">
        <f t="shared" si="35"/>
        <v>0</v>
      </c>
      <c r="AH70" s="1204">
        <f t="shared" si="36"/>
        <v>0</v>
      </c>
      <c r="AM70" s="1119"/>
    </row>
    <row r="71" spans="3:45" ht="12.75" customHeight="1" x14ac:dyDescent="0.2">
      <c r="C71" s="90"/>
      <c r="D71" s="376" t="str">
        <f>IF(dir!D47="","",dir!D47)</f>
        <v/>
      </c>
      <c r="E71" s="97" t="str">
        <f>IF(dir!E47=0,"",dir!E47)</f>
        <v/>
      </c>
      <c r="F71" s="114" t="str">
        <f>IF(dir!F47="","",dir!F47+1)</f>
        <v/>
      </c>
      <c r="G71" s="377" t="str">
        <f>IF(dir!G47="","",dir!G47)</f>
        <v/>
      </c>
      <c r="H71" s="129" t="str">
        <f t="shared" si="27"/>
        <v/>
      </c>
      <c r="I71" s="129" t="str">
        <f>IF(J71="","",(IF(dir!I47+1&gt;LOOKUP(H71,schaal2011,regels2011),dir!I47,dir!I47+1)))</f>
        <v/>
      </c>
      <c r="J71" s="378" t="str">
        <f>IF(dir!J47="","",dir!J47)</f>
        <v/>
      </c>
      <c r="K71" s="380"/>
      <c r="L71" s="1078">
        <f>IF(dir!L47="","",dir!L47)</f>
        <v>0</v>
      </c>
      <c r="M71" s="1078">
        <f>IF(dir!M47="","",dir!M47)</f>
        <v>0</v>
      </c>
      <c r="N71" s="1077" t="str">
        <f t="shared" si="28"/>
        <v/>
      </c>
      <c r="O71" s="1077"/>
      <c r="P71" s="1172" t="str">
        <f t="shared" si="29"/>
        <v/>
      </c>
      <c r="Q71" s="91"/>
      <c r="R71" s="936" t="str">
        <f t="shared" si="30"/>
        <v/>
      </c>
      <c r="S71" s="936" t="str">
        <f t="shared" si="31"/>
        <v/>
      </c>
      <c r="T71" s="937" t="str">
        <f t="shared" si="32"/>
        <v/>
      </c>
      <c r="U71" s="361"/>
      <c r="V71" s="375"/>
      <c r="W71" s="375"/>
      <c r="X71" s="375"/>
      <c r="Y71" s="1120" t="e">
        <f>VLOOKUP(H71,tab!$A$73:$V$114,I71+2,FALSE)</f>
        <v>#VALUE!</v>
      </c>
      <c r="Z71" s="1211">
        <f>tab!$E$64</f>
        <v>0.62</v>
      </c>
      <c r="AA71" s="1163" t="e">
        <f t="shared" si="37"/>
        <v>#VALUE!</v>
      </c>
      <c r="AB71" s="1163" t="e">
        <f t="shared" si="38"/>
        <v>#VALUE!</v>
      </c>
      <c r="AC71" s="1163" t="e">
        <f t="shared" si="39"/>
        <v>#VALUE!</v>
      </c>
      <c r="AD71" s="1162" t="e">
        <f t="shared" si="33"/>
        <v>#VALUE!</v>
      </c>
      <c r="AE71" s="1162">
        <f t="shared" si="34"/>
        <v>0</v>
      </c>
      <c r="AF71" s="1129">
        <f>IF(H71&gt;8,tab!$D$65,tab!$D$67)</f>
        <v>0.5</v>
      </c>
      <c r="AG71" s="1143">
        <f t="shared" si="35"/>
        <v>0</v>
      </c>
      <c r="AH71" s="1204">
        <f t="shared" si="36"/>
        <v>0</v>
      </c>
      <c r="AM71" s="1119"/>
    </row>
    <row r="72" spans="3:45" ht="12.75" customHeight="1" x14ac:dyDescent="0.2">
      <c r="C72" s="90"/>
      <c r="D72" s="385"/>
      <c r="E72" s="116"/>
      <c r="F72" s="386"/>
      <c r="G72" s="387"/>
      <c r="H72" s="95"/>
      <c r="I72" s="95"/>
      <c r="J72" s="939">
        <f>SUM(J62:J71)</f>
        <v>1</v>
      </c>
      <c r="K72" s="144"/>
      <c r="L72" s="1079">
        <f>SUM(L62:L71)</f>
        <v>130</v>
      </c>
      <c r="M72" s="1079">
        <f>SUM(M62:M71)</f>
        <v>170</v>
      </c>
      <c r="N72" s="1079">
        <f>SUM(N62:N71)</f>
        <v>40</v>
      </c>
      <c r="O72" s="1087"/>
      <c r="P72" s="1079">
        <f t="shared" ref="P72" si="40">SUM(P62:P71)</f>
        <v>340</v>
      </c>
      <c r="Q72" s="144"/>
      <c r="R72" s="940">
        <f t="shared" ref="R72:T72" si="41">SUM(R62:R71)</f>
        <v>52627.38444846293</v>
      </c>
      <c r="S72" s="940">
        <f t="shared" si="41"/>
        <v>9871.4213381555146</v>
      </c>
      <c r="T72" s="940">
        <f t="shared" si="41"/>
        <v>62498.805786618446</v>
      </c>
      <c r="U72" s="383"/>
      <c r="Y72" s="1121" t="e">
        <f>SUM(Y62:Y71)</f>
        <v>#VALUE!</v>
      </c>
      <c r="Z72" s="1121"/>
      <c r="AA72" s="1121"/>
      <c r="AB72" s="1121"/>
      <c r="AC72" s="1121"/>
      <c r="AD72" s="1130" t="e">
        <f>SUM(AD62:AD71)</f>
        <v>#VALUE!</v>
      </c>
      <c r="AE72" s="1130">
        <f>SUM(AE62:AE71)</f>
        <v>300</v>
      </c>
      <c r="AF72" s="1121"/>
      <c r="AG72" s="1151">
        <f>SUM(AG62:AG71)</f>
        <v>0</v>
      </c>
      <c r="AH72" s="1205">
        <f>SUM(AH62:AH71)</f>
        <v>0</v>
      </c>
      <c r="AM72" s="1119"/>
    </row>
    <row r="73" spans="3:45" ht="12.75" customHeight="1" x14ac:dyDescent="0.2">
      <c r="C73" s="98"/>
      <c r="D73" s="390"/>
      <c r="E73" s="144"/>
      <c r="F73" s="191"/>
      <c r="G73" s="391"/>
      <c r="H73" s="191"/>
      <c r="I73" s="392"/>
      <c r="J73" s="393"/>
      <c r="K73" s="144"/>
      <c r="L73" s="392"/>
      <c r="M73" s="392"/>
      <c r="N73" s="392"/>
      <c r="O73" s="1088"/>
      <c r="P73" s="392"/>
      <c r="Q73" s="144"/>
      <c r="R73" s="388"/>
      <c r="S73" s="388"/>
      <c r="T73" s="388"/>
      <c r="U73" s="395"/>
      <c r="Y73" s="1093"/>
      <c r="Z73" s="1121"/>
      <c r="AA73" s="1121"/>
      <c r="AB73" s="1121"/>
      <c r="AC73" s="1121"/>
      <c r="AF73" s="1121"/>
      <c r="AG73" s="1151"/>
      <c r="AH73" s="1205"/>
      <c r="AM73" s="1119"/>
    </row>
    <row r="74" spans="3:45" ht="12.75" customHeight="1" x14ac:dyDescent="0.2">
      <c r="H74" s="174"/>
      <c r="K74" s="281"/>
      <c r="Q74" s="281"/>
      <c r="R74" s="416"/>
      <c r="S74" s="416"/>
      <c r="U74" s="333"/>
      <c r="Y74" s="1093"/>
      <c r="Z74" s="1121"/>
      <c r="AA74" s="1121"/>
      <c r="AB74" s="1121"/>
      <c r="AC74" s="1121"/>
      <c r="AF74" s="1121"/>
      <c r="AG74" s="1151"/>
      <c r="AH74" s="1205"/>
      <c r="AM74" s="1119"/>
    </row>
    <row r="75" spans="3:45" ht="12.75" customHeight="1" x14ac:dyDescent="0.2">
      <c r="H75" s="174"/>
      <c r="K75" s="281"/>
      <c r="Q75" s="281"/>
      <c r="R75" s="416"/>
      <c r="S75" s="416"/>
      <c r="U75" s="333"/>
      <c r="Y75" s="1093"/>
      <c r="Z75" s="1121"/>
      <c r="AA75" s="1121"/>
      <c r="AB75" s="1121"/>
      <c r="AC75" s="1121"/>
      <c r="AF75" s="1121"/>
      <c r="AG75" s="1151"/>
      <c r="AH75" s="1205"/>
      <c r="AM75" s="1119"/>
    </row>
    <row r="76" spans="3:45" ht="12.75" customHeight="1" x14ac:dyDescent="0.2">
      <c r="H76" s="174"/>
      <c r="K76" s="281"/>
      <c r="Q76" s="281"/>
      <c r="R76" s="416"/>
      <c r="S76" s="416"/>
      <c r="U76" s="333"/>
      <c r="Y76" s="1093"/>
      <c r="Z76" s="1121"/>
      <c r="AA76" s="1121"/>
      <c r="AB76" s="1121"/>
      <c r="AC76" s="1121"/>
      <c r="AF76" s="1121"/>
      <c r="AG76" s="1151"/>
      <c r="AH76" s="1205"/>
      <c r="AM76" s="1119"/>
    </row>
    <row r="77" spans="3:45" ht="12.75" customHeight="1" x14ac:dyDescent="0.2">
      <c r="C77" s="68" t="s">
        <v>195</v>
      </c>
      <c r="E77" s="414" t="str">
        <f>tab!G2</f>
        <v>2018/19</v>
      </c>
      <c r="H77" s="174"/>
      <c r="J77" s="382"/>
      <c r="L77" s="284"/>
      <c r="M77" s="284"/>
      <c r="N77" s="284"/>
      <c r="O77" s="1091"/>
      <c r="P77" s="284"/>
      <c r="R77" s="375"/>
      <c r="S77" s="375"/>
      <c r="T77" s="780"/>
      <c r="Y77" s="1120"/>
      <c r="Z77" s="1117"/>
      <c r="AA77" s="1117"/>
      <c r="AB77" s="1117"/>
      <c r="AC77" s="1117"/>
      <c r="AD77" s="1104"/>
      <c r="AE77" s="1104"/>
      <c r="AF77" s="1117"/>
      <c r="AH77" s="1204"/>
    </row>
    <row r="78" spans="3:45" ht="12.75" customHeight="1" x14ac:dyDescent="0.2">
      <c r="C78" s="281" t="s">
        <v>217</v>
      </c>
      <c r="E78" s="415">
        <f>tab!H3</f>
        <v>43374</v>
      </c>
      <c r="H78" s="174"/>
      <c r="J78" s="382"/>
      <c r="L78" s="284"/>
      <c r="M78" s="284"/>
      <c r="N78" s="284"/>
      <c r="O78" s="1091"/>
      <c r="P78" s="284"/>
      <c r="R78" s="375"/>
      <c r="S78" s="375"/>
      <c r="T78" s="780"/>
      <c r="Y78" s="1120"/>
      <c r="Z78" s="1117"/>
      <c r="AA78" s="1117"/>
      <c r="AB78" s="1117"/>
      <c r="AC78" s="1117"/>
      <c r="AD78" s="1104"/>
      <c r="AE78" s="1104"/>
      <c r="AF78" s="1117"/>
      <c r="AH78" s="1204"/>
    </row>
    <row r="79" spans="3:45" s="400" customFormat="1" ht="12.75" customHeight="1" x14ac:dyDescent="0.2">
      <c r="C79" s="86"/>
      <c r="D79" s="354"/>
      <c r="E79" s="355"/>
      <c r="F79" s="179"/>
      <c r="G79" s="356"/>
      <c r="H79" s="357"/>
      <c r="I79" s="357"/>
      <c r="J79" s="358"/>
      <c r="K79" s="87"/>
      <c r="L79" s="357"/>
      <c r="M79" s="357"/>
      <c r="N79" s="357"/>
      <c r="O79" s="1089"/>
      <c r="P79" s="357"/>
      <c r="Q79" s="87"/>
      <c r="R79" s="87"/>
      <c r="S79" s="87"/>
      <c r="T79" s="778"/>
      <c r="U79" s="161"/>
      <c r="Y79" s="1092"/>
      <c r="Z79" s="1094"/>
      <c r="AA79" s="1094"/>
      <c r="AB79" s="1094"/>
      <c r="AC79" s="1094"/>
      <c r="AD79" s="1093"/>
      <c r="AE79" s="1093"/>
      <c r="AF79" s="1094"/>
      <c r="AG79" s="1143"/>
      <c r="AH79" s="1199"/>
      <c r="AI79" s="1103"/>
      <c r="AJ79" s="1103"/>
      <c r="AK79" s="1103"/>
      <c r="AL79" s="1104"/>
      <c r="AM79" s="1093"/>
      <c r="AN79" s="1105"/>
      <c r="AO79" s="1106"/>
      <c r="AP79" s="1104"/>
      <c r="AQ79" s="1094"/>
      <c r="AR79" s="1094"/>
      <c r="AS79" s="1094"/>
    </row>
    <row r="80" spans="3:45" s="400" customFormat="1" ht="12.75" customHeight="1" x14ac:dyDescent="0.2">
      <c r="C80" s="86"/>
      <c r="D80" s="919"/>
      <c r="E80" s="920"/>
      <c r="F80" s="900"/>
      <c r="G80" s="922"/>
      <c r="H80" s="923"/>
      <c r="I80" s="923"/>
      <c r="J80" s="924"/>
      <c r="K80" s="925"/>
      <c r="L80" s="923"/>
      <c r="M80" s="923"/>
      <c r="N80" s="923"/>
      <c r="O80" s="1089"/>
      <c r="P80" s="923"/>
      <c r="Q80" s="925"/>
      <c r="R80" s="925"/>
      <c r="S80" s="925"/>
      <c r="T80" s="926"/>
      <c r="U80" s="161"/>
      <c r="Y80" s="1092"/>
      <c r="Z80" s="1094"/>
      <c r="AA80" s="1094"/>
      <c r="AB80" s="1094"/>
      <c r="AC80" s="1094"/>
      <c r="AD80" s="1093"/>
      <c r="AE80" s="1093"/>
      <c r="AF80" s="1094"/>
      <c r="AG80" s="1143"/>
      <c r="AH80" s="1199"/>
      <c r="AI80" s="1103"/>
      <c r="AJ80" s="1103"/>
      <c r="AK80" s="1103"/>
      <c r="AL80" s="1104"/>
      <c r="AM80" s="1093"/>
      <c r="AN80" s="1105"/>
      <c r="AO80" s="1106"/>
      <c r="AP80" s="1104"/>
      <c r="AQ80" s="1094"/>
      <c r="AR80" s="1094"/>
      <c r="AS80" s="1094"/>
    </row>
    <row r="81" spans="2:45" s="361" customFormat="1" ht="12.75" customHeight="1" x14ac:dyDescent="0.2">
      <c r="B81" s="280"/>
      <c r="C81" s="363"/>
      <c r="D81" s="1074" t="s">
        <v>335</v>
      </c>
      <c r="E81" s="1075"/>
      <c r="F81" s="1075"/>
      <c r="G81" s="1075"/>
      <c r="H81" s="1076"/>
      <c r="I81" s="1076"/>
      <c r="J81" s="1076"/>
      <c r="K81" s="1191"/>
      <c r="L81" s="1074" t="s">
        <v>561</v>
      </c>
      <c r="M81" s="1064"/>
      <c r="N81" s="1074"/>
      <c r="O81" s="1074"/>
      <c r="P81" s="1170"/>
      <c r="Q81" s="927"/>
      <c r="R81" s="1074" t="s">
        <v>563</v>
      </c>
      <c r="S81" s="1076"/>
      <c r="T81" s="1153"/>
      <c r="U81" s="944"/>
      <c r="V81" s="365"/>
      <c r="W81" s="365"/>
      <c r="X81" s="365"/>
      <c r="Y81" s="1094"/>
      <c r="Z81" s="1126"/>
      <c r="AA81" s="1094"/>
      <c r="AB81" s="1094"/>
      <c r="AC81" s="1094"/>
      <c r="AD81" s="1125"/>
      <c r="AE81" s="1125"/>
      <c r="AF81" s="1126"/>
      <c r="AG81" s="1151"/>
      <c r="AH81" s="1160"/>
      <c r="AI81" s="1141"/>
      <c r="AJ81" s="1141"/>
      <c r="AK81" s="1141"/>
      <c r="AL81" s="1141"/>
      <c r="AM81" s="1141"/>
      <c r="AN81" s="1096"/>
      <c r="AO81" s="1096"/>
      <c r="AP81" s="1096"/>
      <c r="AQ81" s="1113"/>
      <c r="AR81" s="1113"/>
      <c r="AS81" s="1096"/>
    </row>
    <row r="82" spans="2:45" s="361" customFormat="1" ht="12.75" customHeight="1" x14ac:dyDescent="0.2">
      <c r="B82" s="280"/>
      <c r="C82" s="363"/>
      <c r="D82" s="886" t="s">
        <v>549</v>
      </c>
      <c r="E82" s="886" t="s">
        <v>201</v>
      </c>
      <c r="F82" s="929" t="s">
        <v>147</v>
      </c>
      <c r="G82" s="930" t="s">
        <v>325</v>
      </c>
      <c r="H82" s="929" t="s">
        <v>231</v>
      </c>
      <c r="I82" s="929" t="s">
        <v>262</v>
      </c>
      <c r="J82" s="931" t="s">
        <v>150</v>
      </c>
      <c r="K82" s="1192"/>
      <c r="L82" s="932" t="s">
        <v>544</v>
      </c>
      <c r="M82" s="932" t="s">
        <v>537</v>
      </c>
      <c r="N82" s="932" t="s">
        <v>551</v>
      </c>
      <c r="O82" s="932" t="s">
        <v>544</v>
      </c>
      <c r="P82" s="1171" t="s">
        <v>556</v>
      </c>
      <c r="Q82" s="898"/>
      <c r="R82" s="1073" t="s">
        <v>216</v>
      </c>
      <c r="S82" s="934" t="s">
        <v>562</v>
      </c>
      <c r="T82" s="935" t="s">
        <v>216</v>
      </c>
      <c r="U82" s="945"/>
      <c r="V82" s="369"/>
      <c r="W82" s="369"/>
      <c r="X82" s="369"/>
      <c r="Y82" s="1127" t="s">
        <v>361</v>
      </c>
      <c r="Z82" s="1182" t="s">
        <v>548</v>
      </c>
      <c r="AA82" s="1115" t="s">
        <v>557</v>
      </c>
      <c r="AB82" s="1115" t="s">
        <v>557</v>
      </c>
      <c r="AC82" s="1115" t="s">
        <v>560</v>
      </c>
      <c r="AD82" s="1128" t="s">
        <v>542</v>
      </c>
      <c r="AE82" s="1128" t="s">
        <v>543</v>
      </c>
      <c r="AF82" s="1114" t="s">
        <v>539</v>
      </c>
      <c r="AG82" s="1152" t="s">
        <v>343</v>
      </c>
      <c r="AH82" s="1160" t="s">
        <v>468</v>
      </c>
      <c r="AI82" s="1114" t="s">
        <v>328</v>
      </c>
      <c r="AJ82" s="1114" t="s">
        <v>329</v>
      </c>
      <c r="AK82" s="1114" t="s">
        <v>149</v>
      </c>
      <c r="AL82" s="1114" t="s">
        <v>228</v>
      </c>
      <c r="AM82" s="1128" t="s">
        <v>203</v>
      </c>
      <c r="AN82" s="1096"/>
      <c r="AO82" s="1096"/>
      <c r="AP82" s="1096"/>
      <c r="AQ82" s="1113"/>
      <c r="AR82" s="1115"/>
      <c r="AS82" s="1096"/>
    </row>
    <row r="83" spans="2:45" s="361" customFormat="1" ht="12.75" customHeight="1" x14ac:dyDescent="0.2">
      <c r="B83" s="280"/>
      <c r="C83" s="363"/>
      <c r="D83" s="1075"/>
      <c r="E83" s="886"/>
      <c r="F83" s="929" t="s">
        <v>148</v>
      </c>
      <c r="G83" s="930" t="s">
        <v>326</v>
      </c>
      <c r="H83" s="929"/>
      <c r="I83" s="929"/>
      <c r="J83" s="931"/>
      <c r="K83" s="1192"/>
      <c r="L83" s="932" t="s">
        <v>545</v>
      </c>
      <c r="M83" s="932" t="s">
        <v>547</v>
      </c>
      <c r="N83" s="932" t="s">
        <v>552</v>
      </c>
      <c r="O83" s="932" t="s">
        <v>546</v>
      </c>
      <c r="P83" s="1171" t="s">
        <v>320</v>
      </c>
      <c r="Q83" s="898"/>
      <c r="R83" s="902" t="s">
        <v>554</v>
      </c>
      <c r="S83" s="934" t="s">
        <v>538</v>
      </c>
      <c r="T83" s="935" t="s">
        <v>320</v>
      </c>
      <c r="U83" s="906"/>
      <c r="V83" s="106"/>
      <c r="W83" s="106"/>
      <c r="X83" s="106"/>
      <c r="Y83" s="1127" t="s">
        <v>223</v>
      </c>
      <c r="Z83" s="1183">
        <f>tab!$E$64</f>
        <v>0.62</v>
      </c>
      <c r="AA83" s="1115" t="s">
        <v>558</v>
      </c>
      <c r="AB83" s="1115" t="s">
        <v>559</v>
      </c>
      <c r="AC83" s="1115" t="s">
        <v>555</v>
      </c>
      <c r="AD83" s="1128" t="s">
        <v>541</v>
      </c>
      <c r="AE83" s="1128" t="s">
        <v>541</v>
      </c>
      <c r="AF83" s="1114" t="s">
        <v>540</v>
      </c>
      <c r="AG83" s="1152"/>
      <c r="AH83" s="1159" t="s">
        <v>261</v>
      </c>
      <c r="AI83" s="1128" t="s">
        <v>327</v>
      </c>
      <c r="AJ83" s="1128" t="s">
        <v>327</v>
      </c>
      <c r="AK83" s="1114"/>
      <c r="AL83" s="1114" t="s">
        <v>203</v>
      </c>
      <c r="AM83" s="1128"/>
      <c r="AN83" s="1096"/>
      <c r="AO83" s="1096"/>
      <c r="AP83" s="1096"/>
      <c r="AQ83" s="1096"/>
      <c r="AR83" s="1116"/>
      <c r="AS83" s="1096"/>
    </row>
    <row r="84" spans="2:45" ht="12.75" customHeight="1" x14ac:dyDescent="0.2">
      <c r="C84" s="90"/>
      <c r="D84" s="184"/>
      <c r="E84" s="91"/>
      <c r="F84" s="370"/>
      <c r="G84" s="371"/>
      <c r="H84" s="372"/>
      <c r="I84" s="372"/>
      <c r="J84" s="373"/>
      <c r="K84" s="370"/>
      <c r="L84" s="370"/>
      <c r="M84" s="370"/>
      <c r="N84" s="370"/>
      <c r="O84" s="1086"/>
      <c r="P84" s="370"/>
      <c r="Q84" s="370"/>
      <c r="R84" s="374"/>
      <c r="S84" s="374"/>
      <c r="T84" s="465"/>
      <c r="U84" s="162"/>
      <c r="V84" s="365"/>
      <c r="Y84" s="1127"/>
      <c r="Z84" s="1113"/>
      <c r="AA84" s="1113"/>
      <c r="AB84" s="1113"/>
      <c r="AC84" s="1113"/>
      <c r="AD84" s="1128"/>
      <c r="AE84" s="1128"/>
      <c r="AF84" s="1113"/>
      <c r="AG84" s="1152"/>
      <c r="AH84" s="1204"/>
      <c r="AO84" s="1094"/>
      <c r="AP84" s="1094"/>
      <c r="AR84" s="1117"/>
    </row>
    <row r="85" spans="2:45" ht="12.75" customHeight="1" x14ac:dyDescent="0.2">
      <c r="C85" s="90"/>
      <c r="D85" s="376" t="str">
        <f>IF(dir!D62=0,"",dir!D62)</f>
        <v/>
      </c>
      <c r="E85" s="97" t="str">
        <f>IF(dir!E62=0,"",dir!E62)</f>
        <v>nn</v>
      </c>
      <c r="F85" s="114" t="str">
        <f>IF(dir!F62="","",dir!F62+1)</f>
        <v/>
      </c>
      <c r="G85" s="377" t="str">
        <f>IF(dir!G62="","",dir!G62)</f>
        <v/>
      </c>
      <c r="H85" s="129" t="str">
        <f t="shared" ref="H85:H94" si="42">IF(H62=0,"",H62)</f>
        <v>DB</v>
      </c>
      <c r="I85" s="129">
        <f>IF(J85="","",(IF(dir!I62+1&gt;LOOKUP(H85,schaal2011,regels2011),dir!I62,dir!I62+1)))</f>
        <v>6</v>
      </c>
      <c r="J85" s="378">
        <f>IF(dir!J62="","",dir!J62)</f>
        <v>1</v>
      </c>
      <c r="K85" s="380"/>
      <c r="L85" s="1078">
        <f>IF(dir!L62="","",dir!L62)</f>
        <v>130</v>
      </c>
      <c r="M85" s="1078">
        <f>IF(dir!M62="","",dir!M62)</f>
        <v>170</v>
      </c>
      <c r="N85" s="1077">
        <f t="shared" ref="N85:N94" si="43">IF(J85="","",IF((J85*40)&gt;40,40,((J85*40))))</f>
        <v>40</v>
      </c>
      <c r="O85" s="1077"/>
      <c r="P85" s="1172">
        <f t="shared" ref="P85:P94" si="44">IF(J85="","",(SUM(L85:O85)))</f>
        <v>340</v>
      </c>
      <c r="Q85" s="91"/>
      <c r="R85" s="936">
        <f t="shared" ref="R85:R94" si="45">IF(J85="","",(((1659*J85)-P85)*AB85))</f>
        <v>54219.343508137441</v>
      </c>
      <c r="S85" s="936">
        <f t="shared" ref="S85:S94" si="46">IF(J85="","",(P85*AC85)+(AA85*AD85)+((AE85*AA85*(1-AF85))))</f>
        <v>10170.02820976492</v>
      </c>
      <c r="T85" s="937">
        <f t="shared" ref="T85:T94" si="47">IF(J85="","",(R85+S85))</f>
        <v>64389.371717902359</v>
      </c>
      <c r="U85" s="361"/>
      <c r="V85" s="375"/>
      <c r="W85" s="375"/>
      <c r="X85" s="375"/>
      <c r="Y85" s="1120">
        <f>VLOOKUP(H85,tab!$A$73:$V$114,I85+2,FALSE)</f>
        <v>3508</v>
      </c>
      <c r="Z85" s="1211">
        <f>tab!$E$64</f>
        <v>0.62</v>
      </c>
      <c r="AA85" s="1163">
        <f t="shared" ref="AA85:AA94" si="48">(Y85*12/1659)</f>
        <v>25.374321880650996</v>
      </c>
      <c r="AB85" s="1163">
        <f t="shared" ref="AB85:AB94" si="49">(Y85*12*(1+Z85))/1659</f>
        <v>41.106401446654615</v>
      </c>
      <c r="AC85" s="1163">
        <f t="shared" ref="AC85:AC94" si="50">AB85-AA85</f>
        <v>15.73207956600362</v>
      </c>
      <c r="AD85" s="1162">
        <f t="shared" ref="AD85:AD94" si="51">(N85+O85)</f>
        <v>40</v>
      </c>
      <c r="AE85" s="1162">
        <f t="shared" ref="AE85:AE94" si="52">(L85+M85)</f>
        <v>300</v>
      </c>
      <c r="AF85" s="1129">
        <f>IF(H85&gt;8,tab!$D$65,tab!$D$67)</f>
        <v>0.5</v>
      </c>
      <c r="AG85" s="1143">
        <f t="shared" ref="AG85:AG94" si="53">IF(F85&lt;25,0,IF(F85=25,25,IF(F85&lt;40,0,IF(F85=40,40,IF(F85&gt;=40,0)))))</f>
        <v>0</v>
      </c>
      <c r="AH85" s="1204">
        <f t="shared" ref="AH85:AH94" si="54">IF(AG85=25,(Y85*1.08*(J85)/2),IF(AG85=40,(Y85*1.08*(J85)),IF(AG85=0,0)))</f>
        <v>0</v>
      </c>
      <c r="AM85" s="1119"/>
    </row>
    <row r="86" spans="2:45" ht="12.75" customHeight="1" x14ac:dyDescent="0.2">
      <c r="C86" s="90"/>
      <c r="D86" s="376" t="str">
        <f>IF(dir!D63=0,"",dir!D63)</f>
        <v/>
      </c>
      <c r="E86" s="97" t="str">
        <f>IF(dir!E63=0,"",dir!E63)</f>
        <v/>
      </c>
      <c r="F86" s="114" t="str">
        <f>IF(dir!F63="","",dir!F63+1)</f>
        <v/>
      </c>
      <c r="G86" s="377" t="str">
        <f>IF(dir!G63="","",dir!G63)</f>
        <v/>
      </c>
      <c r="H86" s="129" t="str">
        <f t="shared" si="42"/>
        <v/>
      </c>
      <c r="I86" s="129" t="str">
        <f>IF(J86="","",(IF(dir!I63+1&gt;LOOKUP(H86,schaal2011,regels2011),dir!I63,dir!I63+1)))</f>
        <v/>
      </c>
      <c r="J86" s="378" t="str">
        <f>IF(dir!J63="","",dir!J63)</f>
        <v/>
      </c>
      <c r="K86" s="380"/>
      <c r="L86" s="1078">
        <f>IF(dir!L63="","",dir!L63)</f>
        <v>0</v>
      </c>
      <c r="M86" s="1078">
        <f>IF(dir!M63="","",dir!M63)</f>
        <v>0</v>
      </c>
      <c r="N86" s="1077" t="str">
        <f t="shared" si="43"/>
        <v/>
      </c>
      <c r="O86" s="1077"/>
      <c r="P86" s="1172" t="str">
        <f t="shared" si="44"/>
        <v/>
      </c>
      <c r="Q86" s="91"/>
      <c r="R86" s="936" t="str">
        <f t="shared" si="45"/>
        <v/>
      </c>
      <c r="S86" s="936" t="str">
        <f t="shared" si="46"/>
        <v/>
      </c>
      <c r="T86" s="937" t="str">
        <f t="shared" si="47"/>
        <v/>
      </c>
      <c r="U86" s="361"/>
      <c r="V86" s="375"/>
      <c r="W86" s="375"/>
      <c r="X86" s="375"/>
      <c r="Y86" s="1120" t="e">
        <f>VLOOKUP(H86,tab!$A$73:$V$114,I86+2,FALSE)</f>
        <v>#VALUE!</v>
      </c>
      <c r="Z86" s="1211">
        <f>tab!$E$64</f>
        <v>0.62</v>
      </c>
      <c r="AA86" s="1163" t="e">
        <f t="shared" si="48"/>
        <v>#VALUE!</v>
      </c>
      <c r="AB86" s="1163" t="e">
        <f t="shared" si="49"/>
        <v>#VALUE!</v>
      </c>
      <c r="AC86" s="1163" t="e">
        <f t="shared" si="50"/>
        <v>#VALUE!</v>
      </c>
      <c r="AD86" s="1162" t="e">
        <f t="shared" si="51"/>
        <v>#VALUE!</v>
      </c>
      <c r="AE86" s="1162">
        <f t="shared" si="52"/>
        <v>0</v>
      </c>
      <c r="AF86" s="1129">
        <f>IF(H86&gt;8,tab!$D$65,tab!$D$67)</f>
        <v>0.5</v>
      </c>
      <c r="AG86" s="1143">
        <f t="shared" si="53"/>
        <v>0</v>
      </c>
      <c r="AH86" s="1204">
        <f t="shared" si="54"/>
        <v>0</v>
      </c>
      <c r="AM86" s="1119"/>
    </row>
    <row r="87" spans="2:45" ht="12.75" customHeight="1" x14ac:dyDescent="0.2">
      <c r="C87" s="90"/>
      <c r="D87" s="376" t="str">
        <f>IF(dir!D64=0,"",dir!D64)</f>
        <v/>
      </c>
      <c r="E87" s="97" t="str">
        <f>IF(dir!E64=0,"",dir!E64)</f>
        <v/>
      </c>
      <c r="F87" s="114" t="str">
        <f>IF(dir!F64="","",dir!F64+1)</f>
        <v/>
      </c>
      <c r="G87" s="377" t="str">
        <f>IF(dir!G64="","",dir!G64)</f>
        <v/>
      </c>
      <c r="H87" s="129" t="str">
        <f t="shared" si="42"/>
        <v/>
      </c>
      <c r="I87" s="129" t="str">
        <f>IF(J87="","",(IF(dir!I64+1&gt;LOOKUP(H87,schaal2011,regels2011),dir!I64,dir!I64+1)))</f>
        <v/>
      </c>
      <c r="J87" s="378" t="str">
        <f>IF(dir!J64="","",dir!J64)</f>
        <v/>
      </c>
      <c r="K87" s="380"/>
      <c r="L87" s="1078">
        <f>IF(dir!L64="","",dir!L64)</f>
        <v>0</v>
      </c>
      <c r="M87" s="1078">
        <f>IF(dir!M64="","",dir!M64)</f>
        <v>0</v>
      </c>
      <c r="N87" s="1077" t="str">
        <f t="shared" si="43"/>
        <v/>
      </c>
      <c r="O87" s="1077"/>
      <c r="P87" s="1172" t="str">
        <f t="shared" si="44"/>
        <v/>
      </c>
      <c r="Q87" s="91"/>
      <c r="R87" s="936" t="str">
        <f t="shared" si="45"/>
        <v/>
      </c>
      <c r="S87" s="936" t="str">
        <f t="shared" si="46"/>
        <v/>
      </c>
      <c r="T87" s="937" t="str">
        <f t="shared" si="47"/>
        <v/>
      </c>
      <c r="U87" s="361"/>
      <c r="V87" s="375"/>
      <c r="W87" s="375"/>
      <c r="X87" s="375"/>
      <c r="Y87" s="1120" t="e">
        <f>VLOOKUP(H87,tab!$A$73:$V$114,I87+2,FALSE)</f>
        <v>#VALUE!</v>
      </c>
      <c r="Z87" s="1211">
        <f>tab!$E$64</f>
        <v>0.62</v>
      </c>
      <c r="AA87" s="1163" t="e">
        <f t="shared" si="48"/>
        <v>#VALUE!</v>
      </c>
      <c r="AB87" s="1163" t="e">
        <f t="shared" si="49"/>
        <v>#VALUE!</v>
      </c>
      <c r="AC87" s="1163" t="e">
        <f t="shared" si="50"/>
        <v>#VALUE!</v>
      </c>
      <c r="AD87" s="1162" t="e">
        <f t="shared" si="51"/>
        <v>#VALUE!</v>
      </c>
      <c r="AE87" s="1162">
        <f t="shared" si="52"/>
        <v>0</v>
      </c>
      <c r="AF87" s="1129">
        <f>IF(H87&gt;8,tab!$D$65,tab!$D$67)</f>
        <v>0.5</v>
      </c>
      <c r="AG87" s="1143">
        <f t="shared" si="53"/>
        <v>0</v>
      </c>
      <c r="AH87" s="1204">
        <f t="shared" si="54"/>
        <v>0</v>
      </c>
      <c r="AM87" s="1119"/>
    </row>
    <row r="88" spans="2:45" ht="12.75" customHeight="1" x14ac:dyDescent="0.2">
      <c r="C88" s="90"/>
      <c r="D88" s="376" t="str">
        <f>IF(dir!D65=0,"",dir!D65)</f>
        <v/>
      </c>
      <c r="E88" s="97" t="str">
        <f>IF(dir!E65=0,"",dir!E65)</f>
        <v/>
      </c>
      <c r="F88" s="114" t="str">
        <f>IF(dir!F65="","",dir!F65+1)</f>
        <v/>
      </c>
      <c r="G88" s="377" t="str">
        <f>IF(dir!G65="","",dir!G65)</f>
        <v/>
      </c>
      <c r="H88" s="129" t="str">
        <f t="shared" si="42"/>
        <v/>
      </c>
      <c r="I88" s="129" t="str">
        <f>IF(J88="","",(IF(dir!I65+1&gt;LOOKUP(H88,schaal2011,regels2011),dir!I65,dir!I65+1)))</f>
        <v/>
      </c>
      <c r="J88" s="378" t="str">
        <f>IF(dir!J65="","",dir!J65)</f>
        <v/>
      </c>
      <c r="K88" s="380"/>
      <c r="L88" s="1078">
        <f>IF(dir!L65="","",dir!L65)</f>
        <v>0</v>
      </c>
      <c r="M88" s="1078">
        <f>IF(dir!M65="","",dir!M65)</f>
        <v>0</v>
      </c>
      <c r="N88" s="1077" t="str">
        <f t="shared" si="43"/>
        <v/>
      </c>
      <c r="O88" s="1077"/>
      <c r="P88" s="1172" t="str">
        <f t="shared" si="44"/>
        <v/>
      </c>
      <c r="Q88" s="91"/>
      <c r="R88" s="936" t="str">
        <f t="shared" si="45"/>
        <v/>
      </c>
      <c r="S88" s="936" t="str">
        <f t="shared" si="46"/>
        <v/>
      </c>
      <c r="T88" s="937" t="str">
        <f t="shared" si="47"/>
        <v/>
      </c>
      <c r="U88" s="361"/>
      <c r="V88" s="375"/>
      <c r="W88" s="375"/>
      <c r="X88" s="375"/>
      <c r="Y88" s="1120" t="e">
        <f>VLOOKUP(H88,tab!$A$73:$V$114,I88+2,FALSE)</f>
        <v>#VALUE!</v>
      </c>
      <c r="Z88" s="1211">
        <f>tab!$E$64</f>
        <v>0.62</v>
      </c>
      <c r="AA88" s="1163" t="e">
        <f t="shared" si="48"/>
        <v>#VALUE!</v>
      </c>
      <c r="AB88" s="1163" t="e">
        <f t="shared" si="49"/>
        <v>#VALUE!</v>
      </c>
      <c r="AC88" s="1163" t="e">
        <f t="shared" si="50"/>
        <v>#VALUE!</v>
      </c>
      <c r="AD88" s="1162" t="e">
        <f t="shared" si="51"/>
        <v>#VALUE!</v>
      </c>
      <c r="AE88" s="1162">
        <f t="shared" si="52"/>
        <v>0</v>
      </c>
      <c r="AF88" s="1129">
        <f>IF(H88&gt;8,tab!$D$65,tab!$D$67)</f>
        <v>0.5</v>
      </c>
      <c r="AG88" s="1143">
        <f t="shared" si="53"/>
        <v>0</v>
      </c>
      <c r="AH88" s="1204">
        <f t="shared" si="54"/>
        <v>0</v>
      </c>
      <c r="AM88" s="1119"/>
    </row>
    <row r="89" spans="2:45" ht="12.75" customHeight="1" x14ac:dyDescent="0.2">
      <c r="C89" s="90"/>
      <c r="D89" s="376" t="str">
        <f>IF(dir!D66=0,"",dir!D66)</f>
        <v/>
      </c>
      <c r="E89" s="97" t="str">
        <f>IF(dir!E66=0,"",dir!E66)</f>
        <v/>
      </c>
      <c r="F89" s="114" t="str">
        <f>IF(dir!F66="","",dir!F66+1)</f>
        <v/>
      </c>
      <c r="G89" s="377" t="str">
        <f>IF(dir!G66="","",dir!G66)</f>
        <v/>
      </c>
      <c r="H89" s="129" t="str">
        <f t="shared" si="42"/>
        <v/>
      </c>
      <c r="I89" s="129" t="str">
        <f>IF(J89="","",(IF(dir!I66+1&gt;LOOKUP(H89,schaal2011,regels2011),dir!I66,dir!I66+1)))</f>
        <v/>
      </c>
      <c r="J89" s="378" t="str">
        <f>IF(dir!J66="","",dir!J66)</f>
        <v/>
      </c>
      <c r="K89" s="380"/>
      <c r="L89" s="1078">
        <f>IF(dir!L66="","",dir!L66)</f>
        <v>0</v>
      </c>
      <c r="M89" s="1078">
        <f>IF(dir!M66="","",dir!M66)</f>
        <v>0</v>
      </c>
      <c r="N89" s="1077" t="str">
        <f t="shared" si="43"/>
        <v/>
      </c>
      <c r="O89" s="1077"/>
      <c r="P89" s="1172" t="str">
        <f t="shared" si="44"/>
        <v/>
      </c>
      <c r="Q89" s="91"/>
      <c r="R89" s="936" t="str">
        <f t="shared" si="45"/>
        <v/>
      </c>
      <c r="S89" s="936" t="str">
        <f t="shared" si="46"/>
        <v/>
      </c>
      <c r="T89" s="937" t="str">
        <f t="shared" si="47"/>
        <v/>
      </c>
      <c r="U89" s="361"/>
      <c r="V89" s="375"/>
      <c r="W89" s="375"/>
      <c r="X89" s="375"/>
      <c r="Y89" s="1120" t="e">
        <f>VLOOKUP(H89,tab!$A$73:$V$114,I89+2,FALSE)</f>
        <v>#VALUE!</v>
      </c>
      <c r="Z89" s="1211">
        <f>tab!$E$64</f>
        <v>0.62</v>
      </c>
      <c r="AA89" s="1163" t="e">
        <f t="shared" si="48"/>
        <v>#VALUE!</v>
      </c>
      <c r="AB89" s="1163" t="e">
        <f t="shared" si="49"/>
        <v>#VALUE!</v>
      </c>
      <c r="AC89" s="1163" t="e">
        <f t="shared" si="50"/>
        <v>#VALUE!</v>
      </c>
      <c r="AD89" s="1162" t="e">
        <f t="shared" si="51"/>
        <v>#VALUE!</v>
      </c>
      <c r="AE89" s="1162">
        <f t="shared" si="52"/>
        <v>0</v>
      </c>
      <c r="AF89" s="1129">
        <f>IF(H89&gt;8,tab!$D$65,tab!$D$67)</f>
        <v>0.5</v>
      </c>
      <c r="AG89" s="1143">
        <f t="shared" si="53"/>
        <v>0</v>
      </c>
      <c r="AH89" s="1204">
        <f t="shared" si="54"/>
        <v>0</v>
      </c>
      <c r="AM89" s="1119"/>
    </row>
    <row r="90" spans="2:45" ht="12.75" customHeight="1" x14ac:dyDescent="0.2">
      <c r="C90" s="90"/>
      <c r="D90" s="376" t="str">
        <f>IF(dir!D67=0,"",dir!D67)</f>
        <v/>
      </c>
      <c r="E90" s="97" t="str">
        <f>IF(dir!E67=0,"",dir!E67)</f>
        <v/>
      </c>
      <c r="F90" s="114" t="str">
        <f>IF(dir!F67="","",dir!F67+1)</f>
        <v/>
      </c>
      <c r="G90" s="377" t="str">
        <f>IF(dir!G67="","",dir!G67)</f>
        <v/>
      </c>
      <c r="H90" s="129" t="str">
        <f t="shared" si="42"/>
        <v/>
      </c>
      <c r="I90" s="129" t="str">
        <f>IF(J90="","",(IF(dir!I67+1&gt;LOOKUP(H90,schaal2011,regels2011),dir!I67,dir!I67+1)))</f>
        <v/>
      </c>
      <c r="J90" s="378" t="str">
        <f>IF(dir!J67="","",dir!J67)</f>
        <v/>
      </c>
      <c r="K90" s="380"/>
      <c r="L90" s="1078">
        <f>IF(dir!L67="","",dir!L67)</f>
        <v>0</v>
      </c>
      <c r="M90" s="1078">
        <f>IF(dir!M67="","",dir!M67)</f>
        <v>0</v>
      </c>
      <c r="N90" s="1077" t="str">
        <f t="shared" si="43"/>
        <v/>
      </c>
      <c r="O90" s="1077"/>
      <c r="P90" s="1172" t="str">
        <f t="shared" si="44"/>
        <v/>
      </c>
      <c r="Q90" s="91"/>
      <c r="R90" s="936" t="str">
        <f t="shared" si="45"/>
        <v/>
      </c>
      <c r="S90" s="936" t="str">
        <f t="shared" si="46"/>
        <v/>
      </c>
      <c r="T90" s="937" t="str">
        <f t="shared" si="47"/>
        <v/>
      </c>
      <c r="U90" s="361"/>
      <c r="V90" s="375"/>
      <c r="W90" s="375"/>
      <c r="X90" s="375"/>
      <c r="Y90" s="1120" t="e">
        <f>VLOOKUP(H90,tab!$A$73:$V$114,I90+2,FALSE)</f>
        <v>#VALUE!</v>
      </c>
      <c r="Z90" s="1211">
        <f>tab!$E$64</f>
        <v>0.62</v>
      </c>
      <c r="AA90" s="1163" t="e">
        <f t="shared" si="48"/>
        <v>#VALUE!</v>
      </c>
      <c r="AB90" s="1163" t="e">
        <f t="shared" si="49"/>
        <v>#VALUE!</v>
      </c>
      <c r="AC90" s="1163" t="e">
        <f t="shared" si="50"/>
        <v>#VALUE!</v>
      </c>
      <c r="AD90" s="1162" t="e">
        <f t="shared" si="51"/>
        <v>#VALUE!</v>
      </c>
      <c r="AE90" s="1162">
        <f t="shared" si="52"/>
        <v>0</v>
      </c>
      <c r="AF90" s="1129">
        <f>IF(H90&gt;8,tab!$D$65,tab!$D$67)</f>
        <v>0.5</v>
      </c>
      <c r="AG90" s="1143">
        <f t="shared" si="53"/>
        <v>0</v>
      </c>
      <c r="AH90" s="1204">
        <f t="shared" si="54"/>
        <v>0</v>
      </c>
      <c r="AM90" s="1119"/>
    </row>
    <row r="91" spans="2:45" ht="12.75" customHeight="1" x14ac:dyDescent="0.2">
      <c r="C91" s="90"/>
      <c r="D91" s="376" t="str">
        <f>IF(dir!D68=0,"",dir!D68)</f>
        <v/>
      </c>
      <c r="E91" s="97" t="str">
        <f>IF(dir!E68=0,"",dir!E68)</f>
        <v/>
      </c>
      <c r="F91" s="114" t="str">
        <f>IF(dir!F68="","",dir!F68+1)</f>
        <v/>
      </c>
      <c r="G91" s="377" t="str">
        <f>IF(dir!G68="","",dir!G68)</f>
        <v/>
      </c>
      <c r="H91" s="129" t="str">
        <f t="shared" si="42"/>
        <v/>
      </c>
      <c r="I91" s="129" t="str">
        <f>IF(J91="","",(IF(dir!I68+1&gt;LOOKUP(H91,schaal2011,regels2011),dir!I68,dir!I68+1)))</f>
        <v/>
      </c>
      <c r="J91" s="378" t="str">
        <f>IF(dir!J68="","",dir!J68)</f>
        <v/>
      </c>
      <c r="K91" s="380"/>
      <c r="L91" s="1078">
        <f>IF(dir!L68="","",dir!L68)</f>
        <v>0</v>
      </c>
      <c r="M91" s="1078">
        <f>IF(dir!M68="","",dir!M68)</f>
        <v>0</v>
      </c>
      <c r="N91" s="1077" t="str">
        <f t="shared" si="43"/>
        <v/>
      </c>
      <c r="O91" s="1077"/>
      <c r="P91" s="1172" t="str">
        <f t="shared" si="44"/>
        <v/>
      </c>
      <c r="Q91" s="91"/>
      <c r="R91" s="936" t="str">
        <f t="shared" si="45"/>
        <v/>
      </c>
      <c r="S91" s="936" t="str">
        <f t="shared" si="46"/>
        <v/>
      </c>
      <c r="T91" s="937" t="str">
        <f t="shared" si="47"/>
        <v/>
      </c>
      <c r="U91" s="361"/>
      <c r="V91" s="375"/>
      <c r="W91" s="375"/>
      <c r="X91" s="375"/>
      <c r="Y91" s="1120" t="e">
        <f>VLOOKUP(H91,tab!$A$73:$V$114,I91+2,FALSE)</f>
        <v>#VALUE!</v>
      </c>
      <c r="Z91" s="1211">
        <f>tab!$E$64</f>
        <v>0.62</v>
      </c>
      <c r="AA91" s="1163" t="e">
        <f t="shared" si="48"/>
        <v>#VALUE!</v>
      </c>
      <c r="AB91" s="1163" t="e">
        <f t="shared" si="49"/>
        <v>#VALUE!</v>
      </c>
      <c r="AC91" s="1163" t="e">
        <f t="shared" si="50"/>
        <v>#VALUE!</v>
      </c>
      <c r="AD91" s="1162" t="e">
        <f t="shared" si="51"/>
        <v>#VALUE!</v>
      </c>
      <c r="AE91" s="1162">
        <f t="shared" si="52"/>
        <v>0</v>
      </c>
      <c r="AF91" s="1129">
        <f>IF(H91&gt;8,tab!$D$65,tab!$D$67)</f>
        <v>0.5</v>
      </c>
      <c r="AG91" s="1143">
        <f t="shared" si="53"/>
        <v>0</v>
      </c>
      <c r="AH91" s="1204">
        <f t="shared" si="54"/>
        <v>0</v>
      </c>
      <c r="AM91" s="1119"/>
    </row>
    <row r="92" spans="2:45" ht="12.75" customHeight="1" x14ac:dyDescent="0.2">
      <c r="C92" s="90"/>
      <c r="D92" s="376" t="str">
        <f>IF(dir!D69=0,"",dir!D69)</f>
        <v/>
      </c>
      <c r="E92" s="97" t="str">
        <f>IF(dir!E69=0,"",dir!E69)</f>
        <v/>
      </c>
      <c r="F92" s="114" t="str">
        <f>IF(dir!F69="","",dir!F69+1)</f>
        <v/>
      </c>
      <c r="G92" s="377" t="str">
        <f>IF(dir!G69="","",dir!G69)</f>
        <v/>
      </c>
      <c r="H92" s="129" t="str">
        <f t="shared" si="42"/>
        <v/>
      </c>
      <c r="I92" s="129" t="str">
        <f>IF(J92="","",(IF(dir!I69+1&gt;LOOKUP(H92,schaal2011,regels2011),dir!I69,dir!I69+1)))</f>
        <v/>
      </c>
      <c r="J92" s="378" t="str">
        <f>IF(dir!J69="","",dir!J69)</f>
        <v/>
      </c>
      <c r="K92" s="380"/>
      <c r="L92" s="1078">
        <f>IF(dir!L69="","",dir!L69)</f>
        <v>0</v>
      </c>
      <c r="M92" s="1078">
        <f>IF(dir!M69="","",dir!M69)</f>
        <v>0</v>
      </c>
      <c r="N92" s="1077" t="str">
        <f t="shared" si="43"/>
        <v/>
      </c>
      <c r="O92" s="1077"/>
      <c r="P92" s="1172" t="str">
        <f t="shared" si="44"/>
        <v/>
      </c>
      <c r="Q92" s="91"/>
      <c r="R92" s="936" t="str">
        <f t="shared" si="45"/>
        <v/>
      </c>
      <c r="S92" s="936" t="str">
        <f t="shared" si="46"/>
        <v/>
      </c>
      <c r="T92" s="937" t="str">
        <f t="shared" si="47"/>
        <v/>
      </c>
      <c r="U92" s="361"/>
      <c r="V92" s="375"/>
      <c r="W92" s="375"/>
      <c r="X92" s="375"/>
      <c r="Y92" s="1120" t="e">
        <f>VLOOKUP(H92,tab!$A$73:$V$114,I92+2,FALSE)</f>
        <v>#VALUE!</v>
      </c>
      <c r="Z92" s="1211">
        <f>tab!$E$64</f>
        <v>0.62</v>
      </c>
      <c r="AA92" s="1163" t="e">
        <f t="shared" si="48"/>
        <v>#VALUE!</v>
      </c>
      <c r="AB92" s="1163" t="e">
        <f t="shared" si="49"/>
        <v>#VALUE!</v>
      </c>
      <c r="AC92" s="1163" t="e">
        <f t="shared" si="50"/>
        <v>#VALUE!</v>
      </c>
      <c r="AD92" s="1162" t="e">
        <f t="shared" si="51"/>
        <v>#VALUE!</v>
      </c>
      <c r="AE92" s="1162">
        <f t="shared" si="52"/>
        <v>0</v>
      </c>
      <c r="AF92" s="1129">
        <f>IF(H92&gt;8,tab!$D$65,tab!$D$67)</f>
        <v>0.5</v>
      </c>
      <c r="AG92" s="1143">
        <f t="shared" si="53"/>
        <v>0</v>
      </c>
      <c r="AH92" s="1204">
        <f t="shared" si="54"/>
        <v>0</v>
      </c>
      <c r="AM92" s="1119"/>
    </row>
    <row r="93" spans="2:45" ht="12.75" customHeight="1" x14ac:dyDescent="0.2">
      <c r="C93" s="90"/>
      <c r="D93" s="376" t="str">
        <f>IF(dir!D70=0,"",dir!D70)</f>
        <v/>
      </c>
      <c r="E93" s="97" t="str">
        <f>IF(dir!E70=0,"",dir!E70)</f>
        <v/>
      </c>
      <c r="F93" s="114" t="str">
        <f>IF(dir!F70="","",dir!F70+1)</f>
        <v/>
      </c>
      <c r="G93" s="377" t="str">
        <f>IF(dir!G70="","",dir!G70)</f>
        <v/>
      </c>
      <c r="H93" s="129" t="str">
        <f t="shared" si="42"/>
        <v/>
      </c>
      <c r="I93" s="129" t="str">
        <f>IF(J93="","",(IF(dir!I70+1&gt;LOOKUP(H93,schaal2011,regels2011),dir!I70,dir!I70+1)))</f>
        <v/>
      </c>
      <c r="J93" s="378" t="str">
        <f>IF(dir!J70="","",dir!J70)</f>
        <v/>
      </c>
      <c r="K93" s="380"/>
      <c r="L93" s="1078">
        <f>IF(dir!L70="","",dir!L70)</f>
        <v>0</v>
      </c>
      <c r="M93" s="1078">
        <f>IF(dir!M70="","",dir!M70)</f>
        <v>0</v>
      </c>
      <c r="N93" s="1077" t="str">
        <f t="shared" si="43"/>
        <v/>
      </c>
      <c r="O93" s="1077"/>
      <c r="P93" s="1172" t="str">
        <f t="shared" si="44"/>
        <v/>
      </c>
      <c r="Q93" s="91"/>
      <c r="R93" s="936" t="str">
        <f t="shared" si="45"/>
        <v/>
      </c>
      <c r="S93" s="936" t="str">
        <f t="shared" si="46"/>
        <v/>
      </c>
      <c r="T93" s="937" t="str">
        <f t="shared" si="47"/>
        <v/>
      </c>
      <c r="U93" s="361"/>
      <c r="V93" s="375"/>
      <c r="W93" s="375"/>
      <c r="X93" s="375"/>
      <c r="Y93" s="1120" t="e">
        <f>VLOOKUP(H93,tab!$A$73:$V$114,I93+2,FALSE)</f>
        <v>#VALUE!</v>
      </c>
      <c r="Z93" s="1211">
        <f>tab!$E$64</f>
        <v>0.62</v>
      </c>
      <c r="AA93" s="1163" t="e">
        <f t="shared" si="48"/>
        <v>#VALUE!</v>
      </c>
      <c r="AB93" s="1163" t="e">
        <f t="shared" si="49"/>
        <v>#VALUE!</v>
      </c>
      <c r="AC93" s="1163" t="e">
        <f t="shared" si="50"/>
        <v>#VALUE!</v>
      </c>
      <c r="AD93" s="1162" t="e">
        <f t="shared" si="51"/>
        <v>#VALUE!</v>
      </c>
      <c r="AE93" s="1162">
        <f t="shared" si="52"/>
        <v>0</v>
      </c>
      <c r="AF93" s="1129">
        <f>IF(H93&gt;8,tab!$D$65,tab!$D$67)</f>
        <v>0.5</v>
      </c>
      <c r="AG93" s="1143">
        <f t="shared" si="53"/>
        <v>0</v>
      </c>
      <c r="AH93" s="1204">
        <f t="shared" si="54"/>
        <v>0</v>
      </c>
      <c r="AM93" s="1119"/>
    </row>
    <row r="94" spans="2:45" ht="12.75" customHeight="1" x14ac:dyDescent="0.2">
      <c r="C94" s="90"/>
      <c r="D94" s="376" t="str">
        <f>IF(dir!D71=0,"",dir!D71)</f>
        <v/>
      </c>
      <c r="E94" s="97" t="str">
        <f>IF(dir!E71=0,"",dir!E71)</f>
        <v/>
      </c>
      <c r="F94" s="114" t="str">
        <f>IF(dir!F71="","",dir!F71+1)</f>
        <v/>
      </c>
      <c r="G94" s="377" t="str">
        <f>IF(dir!G71="","",dir!G71)</f>
        <v/>
      </c>
      <c r="H94" s="129" t="str">
        <f t="shared" si="42"/>
        <v/>
      </c>
      <c r="I94" s="129" t="str">
        <f>IF(J94="","",(IF(dir!I71+1&gt;LOOKUP(H94,schaal2011,regels2011),dir!I71,dir!I71+1)))</f>
        <v/>
      </c>
      <c r="J94" s="378" t="str">
        <f>IF(dir!J71="","",dir!J71)</f>
        <v/>
      </c>
      <c r="K94" s="380"/>
      <c r="L94" s="1078">
        <f>IF(dir!L71="","",dir!L71)</f>
        <v>0</v>
      </c>
      <c r="M94" s="1078">
        <f>IF(dir!M71="","",dir!M71)</f>
        <v>0</v>
      </c>
      <c r="N94" s="1077" t="str">
        <f t="shared" si="43"/>
        <v/>
      </c>
      <c r="O94" s="1077"/>
      <c r="P94" s="1172" t="str">
        <f t="shared" si="44"/>
        <v/>
      </c>
      <c r="Q94" s="91"/>
      <c r="R94" s="936" t="str">
        <f t="shared" si="45"/>
        <v/>
      </c>
      <c r="S94" s="936" t="str">
        <f t="shared" si="46"/>
        <v/>
      </c>
      <c r="T94" s="937" t="str">
        <f t="shared" si="47"/>
        <v/>
      </c>
      <c r="U94" s="361"/>
      <c r="V94" s="375"/>
      <c r="W94" s="375"/>
      <c r="X94" s="375"/>
      <c r="Y94" s="1120" t="e">
        <f>VLOOKUP(H94,tab!$A$73:$V$114,I94+2,FALSE)</f>
        <v>#VALUE!</v>
      </c>
      <c r="Z94" s="1211">
        <f>tab!$E$64</f>
        <v>0.62</v>
      </c>
      <c r="AA94" s="1163" t="e">
        <f t="shared" si="48"/>
        <v>#VALUE!</v>
      </c>
      <c r="AB94" s="1163" t="e">
        <f t="shared" si="49"/>
        <v>#VALUE!</v>
      </c>
      <c r="AC94" s="1163" t="e">
        <f t="shared" si="50"/>
        <v>#VALUE!</v>
      </c>
      <c r="AD94" s="1162" t="e">
        <f t="shared" si="51"/>
        <v>#VALUE!</v>
      </c>
      <c r="AE94" s="1162">
        <f t="shared" si="52"/>
        <v>0</v>
      </c>
      <c r="AF94" s="1129">
        <f>IF(H94&gt;8,tab!$D$65,tab!$D$67)</f>
        <v>0.5</v>
      </c>
      <c r="AG94" s="1143">
        <f t="shared" si="53"/>
        <v>0</v>
      </c>
      <c r="AH94" s="1204">
        <f t="shared" si="54"/>
        <v>0</v>
      </c>
      <c r="AM94" s="1119"/>
    </row>
    <row r="95" spans="2:45" ht="12.75" customHeight="1" x14ac:dyDescent="0.2">
      <c r="C95" s="90"/>
      <c r="D95" s="385"/>
      <c r="E95" s="116"/>
      <c r="F95" s="386"/>
      <c r="G95" s="387"/>
      <c r="H95" s="95"/>
      <c r="I95" s="95"/>
      <c r="J95" s="939">
        <f>SUM(J85:J94)</f>
        <v>1</v>
      </c>
      <c r="K95" s="144"/>
      <c r="L95" s="1079">
        <f>SUM(L85:L94)</f>
        <v>130</v>
      </c>
      <c r="M95" s="1079">
        <f>SUM(M85:M94)</f>
        <v>170</v>
      </c>
      <c r="N95" s="1079">
        <f>SUM(N85:N94)</f>
        <v>40</v>
      </c>
      <c r="O95" s="1087"/>
      <c r="P95" s="1079">
        <f t="shared" ref="P95" si="55">SUM(P85:P94)</f>
        <v>340</v>
      </c>
      <c r="Q95" s="144"/>
      <c r="R95" s="940">
        <f t="shared" ref="R95" si="56">SUM(R85:R94)</f>
        <v>54219.343508137441</v>
      </c>
      <c r="S95" s="940">
        <f t="shared" ref="S95:T95" si="57">SUM(S85:S94)</f>
        <v>10170.02820976492</v>
      </c>
      <c r="T95" s="940">
        <f t="shared" si="57"/>
        <v>64389.371717902359</v>
      </c>
      <c r="U95" s="383"/>
      <c r="V95" s="365"/>
      <c r="Y95" s="1121" t="e">
        <f>SUM(Y85:Y94)</f>
        <v>#VALUE!</v>
      </c>
      <c r="Z95" s="1121"/>
      <c r="AA95" s="1121"/>
      <c r="AB95" s="1121"/>
      <c r="AC95" s="1121"/>
      <c r="AD95" s="1130" t="e">
        <f t="shared" ref="AD95" si="58">SUM(AD85:AD94)</f>
        <v>#VALUE!</v>
      </c>
      <c r="AE95" s="1130">
        <f t="shared" ref="AE95" si="59">SUM(AE85:AE94)</f>
        <v>300</v>
      </c>
      <c r="AF95" s="1121"/>
      <c r="AG95" s="1151">
        <f>SUM(AG85:AG94)</f>
        <v>0</v>
      </c>
      <c r="AH95" s="1205">
        <f>SUM(AH85:AH94)</f>
        <v>0</v>
      </c>
      <c r="AM95" s="1119"/>
    </row>
    <row r="96" spans="2:45" ht="12.75" customHeight="1" x14ac:dyDescent="0.2">
      <c r="C96" s="98"/>
      <c r="D96" s="390"/>
      <c r="E96" s="144"/>
      <c r="F96" s="191"/>
      <c r="G96" s="391"/>
      <c r="H96" s="191"/>
      <c r="I96" s="392"/>
      <c r="J96" s="393"/>
      <c r="K96" s="144"/>
      <c r="L96" s="392"/>
      <c r="M96" s="392"/>
      <c r="N96" s="392"/>
      <c r="O96" s="1088"/>
      <c r="P96" s="392"/>
      <c r="Q96" s="144"/>
      <c r="R96" s="388"/>
      <c r="S96" s="388"/>
      <c r="T96" s="388"/>
      <c r="U96" s="395"/>
      <c r="V96" s="365"/>
      <c r="Y96" s="1093"/>
      <c r="Z96" s="1121"/>
      <c r="AA96" s="1121"/>
      <c r="AB96" s="1121"/>
      <c r="AC96" s="1121"/>
      <c r="AF96" s="1121"/>
      <c r="AG96" s="1151"/>
      <c r="AH96" s="1205"/>
    </row>
    <row r="97" spans="2:45" ht="12.75" customHeight="1" x14ac:dyDescent="0.2">
      <c r="H97" s="174"/>
      <c r="J97" s="382"/>
      <c r="R97" s="375"/>
      <c r="S97" s="375"/>
      <c r="T97" s="780"/>
      <c r="V97" s="365"/>
      <c r="Y97" s="1120"/>
      <c r="Z97" s="1117"/>
      <c r="AA97" s="1117"/>
      <c r="AB97" s="1117"/>
      <c r="AC97" s="1117"/>
      <c r="AF97" s="1117"/>
      <c r="AH97" s="1204"/>
    </row>
    <row r="98" spans="2:45" ht="12.75" customHeight="1" x14ac:dyDescent="0.2">
      <c r="H98" s="174"/>
      <c r="J98" s="382"/>
      <c r="R98" s="375"/>
      <c r="S98" s="375"/>
      <c r="T98" s="780"/>
      <c r="V98" s="365"/>
      <c r="Y98" s="1120"/>
      <c r="Z98" s="1117"/>
      <c r="AA98" s="1117"/>
      <c r="AB98" s="1117"/>
      <c r="AC98" s="1117"/>
      <c r="AF98" s="1117"/>
      <c r="AH98" s="1204"/>
    </row>
    <row r="99" spans="2:45" ht="12.75" customHeight="1" x14ac:dyDescent="0.2">
      <c r="C99" s="68" t="s">
        <v>195</v>
      </c>
      <c r="E99" s="414" t="str">
        <f>tab!H2</f>
        <v>2019/20</v>
      </c>
      <c r="H99" s="174"/>
      <c r="J99" s="382"/>
      <c r="R99" s="375"/>
      <c r="S99" s="375"/>
      <c r="T99" s="780"/>
      <c r="V99" s="365"/>
      <c r="Y99" s="1120"/>
      <c r="Z99" s="1117"/>
      <c r="AA99" s="1117"/>
      <c r="AB99" s="1117"/>
      <c r="AC99" s="1117"/>
      <c r="AF99" s="1117"/>
      <c r="AH99" s="1204"/>
    </row>
    <row r="100" spans="2:45" ht="12.75" customHeight="1" x14ac:dyDescent="0.2">
      <c r="C100" s="281" t="s">
        <v>217</v>
      </c>
      <c r="E100" s="415">
        <f>tab!I3</f>
        <v>43739</v>
      </c>
      <c r="H100" s="174"/>
      <c r="J100" s="382"/>
      <c r="R100" s="375"/>
      <c r="S100" s="375"/>
      <c r="T100" s="780"/>
      <c r="V100" s="365"/>
      <c r="Y100" s="1120"/>
      <c r="Z100" s="1117"/>
      <c r="AA100" s="1117"/>
      <c r="AB100" s="1117"/>
      <c r="AC100" s="1117"/>
      <c r="AF100" s="1117"/>
      <c r="AH100" s="1204"/>
    </row>
    <row r="101" spans="2:45" ht="12.75" customHeight="1" x14ac:dyDescent="0.2">
      <c r="H101" s="174"/>
      <c r="J101" s="382"/>
      <c r="R101" s="375"/>
      <c r="S101" s="375"/>
      <c r="T101" s="780"/>
      <c r="V101" s="365"/>
      <c r="Y101" s="1120"/>
      <c r="Z101" s="1117"/>
      <c r="AA101" s="1117"/>
      <c r="AB101" s="1117"/>
      <c r="AC101" s="1117"/>
      <c r="AF101" s="1117"/>
      <c r="AH101" s="1204"/>
    </row>
    <row r="102" spans="2:45" ht="12.75" customHeight="1" x14ac:dyDescent="0.2">
      <c r="C102" s="86"/>
      <c r="D102" s="919"/>
      <c r="E102" s="920"/>
      <c r="F102" s="900"/>
      <c r="G102" s="922"/>
      <c r="H102" s="923"/>
      <c r="I102" s="923"/>
      <c r="J102" s="924"/>
      <c r="K102" s="925"/>
      <c r="L102" s="923"/>
      <c r="M102" s="923"/>
      <c r="N102" s="923"/>
      <c r="O102" s="1089"/>
      <c r="P102" s="923"/>
      <c r="Q102" s="925"/>
      <c r="R102" s="925"/>
      <c r="S102" s="925"/>
      <c r="T102" s="926"/>
      <c r="U102" s="161"/>
      <c r="V102" s="365"/>
    </row>
    <row r="103" spans="2:45" s="361" customFormat="1" ht="12.75" customHeight="1" x14ac:dyDescent="0.2">
      <c r="B103" s="280"/>
      <c r="C103" s="363"/>
      <c r="D103" s="1074" t="s">
        <v>335</v>
      </c>
      <c r="E103" s="1075"/>
      <c r="F103" s="1075"/>
      <c r="G103" s="1075"/>
      <c r="H103" s="1076"/>
      <c r="I103" s="1076"/>
      <c r="J103" s="1076"/>
      <c r="K103" s="1191"/>
      <c r="L103" s="1074" t="s">
        <v>561</v>
      </c>
      <c r="M103" s="1064"/>
      <c r="N103" s="1074"/>
      <c r="O103" s="1074"/>
      <c r="P103" s="1170"/>
      <c r="Q103" s="927"/>
      <c r="R103" s="1074" t="s">
        <v>563</v>
      </c>
      <c r="S103" s="1076"/>
      <c r="T103" s="1153"/>
      <c r="U103" s="944"/>
      <c r="V103" s="365"/>
      <c r="W103" s="365"/>
      <c r="X103" s="365"/>
      <c r="Y103" s="1094"/>
      <c r="Z103" s="1126"/>
      <c r="AA103" s="1094"/>
      <c r="AB103" s="1094"/>
      <c r="AC103" s="1094"/>
      <c r="AD103" s="1125"/>
      <c r="AE103" s="1125"/>
      <c r="AF103" s="1126"/>
      <c r="AG103" s="1151"/>
      <c r="AH103" s="1160"/>
      <c r="AI103" s="1141"/>
      <c r="AJ103" s="1141"/>
      <c r="AK103" s="1141"/>
      <c r="AL103" s="1141"/>
      <c r="AM103" s="1141"/>
      <c r="AN103" s="1096"/>
      <c r="AO103" s="1096"/>
      <c r="AP103" s="1096"/>
      <c r="AQ103" s="1113"/>
      <c r="AR103" s="1113"/>
      <c r="AS103" s="1096"/>
    </row>
    <row r="104" spans="2:45" s="361" customFormat="1" ht="12.75" customHeight="1" x14ac:dyDescent="0.2">
      <c r="B104" s="280"/>
      <c r="C104" s="363"/>
      <c r="D104" s="886" t="s">
        <v>549</v>
      </c>
      <c r="E104" s="886" t="s">
        <v>201</v>
      </c>
      <c r="F104" s="929" t="s">
        <v>147</v>
      </c>
      <c r="G104" s="930" t="s">
        <v>325</v>
      </c>
      <c r="H104" s="929" t="s">
        <v>231</v>
      </c>
      <c r="I104" s="929" t="s">
        <v>262</v>
      </c>
      <c r="J104" s="931" t="s">
        <v>150</v>
      </c>
      <c r="K104" s="1192"/>
      <c r="L104" s="932" t="s">
        <v>544</v>
      </c>
      <c r="M104" s="932" t="s">
        <v>537</v>
      </c>
      <c r="N104" s="932" t="s">
        <v>551</v>
      </c>
      <c r="O104" s="932" t="s">
        <v>544</v>
      </c>
      <c r="P104" s="1171" t="s">
        <v>556</v>
      </c>
      <c r="Q104" s="898"/>
      <c r="R104" s="1073" t="s">
        <v>216</v>
      </c>
      <c r="S104" s="934" t="s">
        <v>562</v>
      </c>
      <c r="T104" s="935" t="s">
        <v>216</v>
      </c>
      <c r="U104" s="945"/>
      <c r="V104" s="369"/>
      <c r="W104" s="369"/>
      <c r="X104" s="369"/>
      <c r="Y104" s="1127" t="s">
        <v>361</v>
      </c>
      <c r="Z104" s="1182" t="s">
        <v>548</v>
      </c>
      <c r="AA104" s="1115" t="s">
        <v>557</v>
      </c>
      <c r="AB104" s="1115" t="s">
        <v>557</v>
      </c>
      <c r="AC104" s="1115" t="s">
        <v>560</v>
      </c>
      <c r="AD104" s="1128" t="s">
        <v>542</v>
      </c>
      <c r="AE104" s="1128" t="s">
        <v>543</v>
      </c>
      <c r="AF104" s="1114" t="s">
        <v>539</v>
      </c>
      <c r="AG104" s="1152" t="s">
        <v>343</v>
      </c>
      <c r="AH104" s="1160" t="s">
        <v>468</v>
      </c>
      <c r="AI104" s="1114" t="s">
        <v>328</v>
      </c>
      <c r="AJ104" s="1114" t="s">
        <v>329</v>
      </c>
      <c r="AK104" s="1114" t="s">
        <v>149</v>
      </c>
      <c r="AL104" s="1114" t="s">
        <v>228</v>
      </c>
      <c r="AM104" s="1128" t="s">
        <v>203</v>
      </c>
      <c r="AN104" s="1096"/>
      <c r="AO104" s="1096"/>
      <c r="AP104" s="1096"/>
      <c r="AQ104" s="1113"/>
      <c r="AR104" s="1115"/>
      <c r="AS104" s="1096"/>
    </row>
    <row r="105" spans="2:45" s="361" customFormat="1" ht="12.75" customHeight="1" x14ac:dyDescent="0.2">
      <c r="B105" s="280"/>
      <c r="C105" s="363"/>
      <c r="D105" s="1075"/>
      <c r="E105" s="886"/>
      <c r="F105" s="929" t="s">
        <v>148</v>
      </c>
      <c r="G105" s="930" t="s">
        <v>326</v>
      </c>
      <c r="H105" s="929"/>
      <c r="I105" s="929"/>
      <c r="J105" s="931"/>
      <c r="K105" s="1192"/>
      <c r="L105" s="932" t="s">
        <v>545</v>
      </c>
      <c r="M105" s="932" t="s">
        <v>547</v>
      </c>
      <c r="N105" s="932" t="s">
        <v>552</v>
      </c>
      <c r="O105" s="932" t="s">
        <v>546</v>
      </c>
      <c r="P105" s="1171" t="s">
        <v>320</v>
      </c>
      <c r="Q105" s="898"/>
      <c r="R105" s="902" t="s">
        <v>554</v>
      </c>
      <c r="S105" s="934" t="s">
        <v>538</v>
      </c>
      <c r="T105" s="935" t="s">
        <v>320</v>
      </c>
      <c r="U105" s="906"/>
      <c r="V105" s="106"/>
      <c r="W105" s="106"/>
      <c r="X105" s="106"/>
      <c r="Y105" s="1127" t="s">
        <v>223</v>
      </c>
      <c r="Z105" s="1183">
        <f>tab!$E$64</f>
        <v>0.62</v>
      </c>
      <c r="AA105" s="1115" t="s">
        <v>558</v>
      </c>
      <c r="AB105" s="1115" t="s">
        <v>559</v>
      </c>
      <c r="AC105" s="1115" t="s">
        <v>555</v>
      </c>
      <c r="AD105" s="1128" t="s">
        <v>541</v>
      </c>
      <c r="AE105" s="1128" t="s">
        <v>541</v>
      </c>
      <c r="AF105" s="1114" t="s">
        <v>540</v>
      </c>
      <c r="AG105" s="1152"/>
      <c r="AH105" s="1159" t="s">
        <v>261</v>
      </c>
      <c r="AI105" s="1128" t="s">
        <v>327</v>
      </c>
      <c r="AJ105" s="1128" t="s">
        <v>327</v>
      </c>
      <c r="AK105" s="1114"/>
      <c r="AL105" s="1114" t="s">
        <v>203</v>
      </c>
      <c r="AM105" s="1128"/>
      <c r="AN105" s="1096"/>
      <c r="AO105" s="1096"/>
      <c r="AP105" s="1096"/>
      <c r="AQ105" s="1096"/>
      <c r="AR105" s="1116"/>
      <c r="AS105" s="1096"/>
    </row>
    <row r="106" spans="2:45" ht="12.75" customHeight="1" x14ac:dyDescent="0.2">
      <c r="C106" s="90"/>
      <c r="D106" s="184"/>
      <c r="E106" s="91"/>
      <c r="F106" s="370"/>
      <c r="G106" s="371"/>
      <c r="H106" s="372"/>
      <c r="I106" s="372"/>
      <c r="J106" s="373"/>
      <c r="K106" s="370"/>
      <c r="L106" s="370"/>
      <c r="M106" s="370"/>
      <c r="N106" s="370"/>
      <c r="O106" s="1086"/>
      <c r="P106" s="370"/>
      <c r="Q106" s="370"/>
      <c r="R106" s="374"/>
      <c r="S106" s="374"/>
      <c r="T106" s="465"/>
      <c r="U106" s="162"/>
      <c r="V106" s="365"/>
      <c r="Y106" s="1127"/>
      <c r="Z106" s="1113"/>
      <c r="AA106" s="1113"/>
      <c r="AB106" s="1113"/>
      <c r="AC106" s="1113"/>
      <c r="AD106" s="1128"/>
      <c r="AE106" s="1128"/>
      <c r="AF106" s="1113"/>
      <c r="AG106" s="1152"/>
      <c r="AH106" s="1204"/>
      <c r="AO106" s="1094"/>
      <c r="AP106" s="1094"/>
      <c r="AR106" s="1117"/>
    </row>
    <row r="107" spans="2:45" ht="12.75" customHeight="1" x14ac:dyDescent="0.2">
      <c r="C107" s="90"/>
      <c r="D107" s="376" t="str">
        <f>IF(dir!D85=0,"",dir!D85)</f>
        <v/>
      </c>
      <c r="E107" s="97" t="str">
        <f>IF(dir!E85=0,"-",dir!E85)</f>
        <v>nn</v>
      </c>
      <c r="F107" s="114" t="str">
        <f>IF(dir!F85="","",dir!F85+1)</f>
        <v/>
      </c>
      <c r="G107" s="377" t="str">
        <f>IF(dir!G85="","",dir!G85)</f>
        <v/>
      </c>
      <c r="H107" s="129" t="str">
        <f t="shared" ref="H107:H116" si="60">IF(H85=0,"",H85)</f>
        <v>DB</v>
      </c>
      <c r="I107" s="129">
        <f>IF(J107="","",(IF(dir!I85+1&gt;LOOKUP(H107,schaal2011,regels2011),dir!I85,dir!I85+1)))</f>
        <v>7</v>
      </c>
      <c r="J107" s="378">
        <f>IF(dir!J85="","",dir!J85)</f>
        <v>1</v>
      </c>
      <c r="K107" s="380"/>
      <c r="L107" s="1078">
        <f>IF(dir!L85="","",dir!L85)</f>
        <v>130</v>
      </c>
      <c r="M107" s="1078">
        <f>IF(dir!M85="","",dir!M85)</f>
        <v>170</v>
      </c>
      <c r="N107" s="1077">
        <f t="shared" ref="N107:N116" si="61">IF(J107="","",IF((J107*40)&gt;40,40,((J107*40))))</f>
        <v>40</v>
      </c>
      <c r="O107" s="1077"/>
      <c r="P107" s="1172">
        <f t="shared" ref="P107:P116" si="62">IF(J107="","",(SUM(L107:O107)))</f>
        <v>340</v>
      </c>
      <c r="Q107" s="91"/>
      <c r="R107" s="936">
        <f t="shared" ref="R107:R116" si="63">IF(J107="","",(((1659*J107)-P107)*AB107))</f>
        <v>55857.670307414111</v>
      </c>
      <c r="S107" s="936">
        <f t="shared" ref="S107:S116" si="64">IF(J107="","",(P107*AC107)+(AA107*AD107)+((AE107*AA107*(1-AF107))))</f>
        <v>10477.332368896927</v>
      </c>
      <c r="T107" s="937">
        <f t="shared" ref="T107:T116" si="65">IF(J107="","",(R107+S107))</f>
        <v>66335.002676311036</v>
      </c>
      <c r="U107" s="361"/>
      <c r="V107" s="375"/>
      <c r="W107" s="375"/>
      <c r="X107" s="375"/>
      <c r="Y107" s="1120">
        <f>VLOOKUP(H107,tab!$A$73:$V$114,I107+2,FALSE)</f>
        <v>3614</v>
      </c>
      <c r="Z107" s="1211">
        <f>tab!$E$64</f>
        <v>0.62</v>
      </c>
      <c r="AA107" s="1163">
        <f t="shared" ref="AA107:AA116" si="66">(Y107*12/1659)</f>
        <v>26.141048824593128</v>
      </c>
      <c r="AB107" s="1163">
        <f t="shared" ref="AB107:AB116" si="67">(Y107*12*(1+Z107))/1659</f>
        <v>42.348499095840872</v>
      </c>
      <c r="AC107" s="1163">
        <f t="shared" ref="AC107:AC116" si="68">AB107-AA107</f>
        <v>16.207450271247744</v>
      </c>
      <c r="AD107" s="1162">
        <f t="shared" ref="AD107:AD116" si="69">(N107+O107)</f>
        <v>40</v>
      </c>
      <c r="AE107" s="1162">
        <f t="shared" ref="AE107:AE116" si="70">(L107+M107)</f>
        <v>300</v>
      </c>
      <c r="AF107" s="1129">
        <f>IF(H107&gt;8,tab!$D$65,tab!$D$67)</f>
        <v>0.5</v>
      </c>
      <c r="AG107" s="1143">
        <f t="shared" ref="AG107:AG116" si="71">IF(F107&lt;25,0,IF(F107=25,25,IF(F107&lt;40,0,IF(F107=40,40,IF(F107&gt;=40,0)))))</f>
        <v>0</v>
      </c>
      <c r="AH107" s="1204">
        <f t="shared" ref="AH107:AH116" si="72">IF(AG107=25,(Y107*1.08*(J107)/2),IF(AG107=40,(Y107*1.08*(J107)),IF(AG107=0,0)))</f>
        <v>0</v>
      </c>
      <c r="AM107" s="1119"/>
    </row>
    <row r="108" spans="2:45" ht="12.75" customHeight="1" x14ac:dyDescent="0.2">
      <c r="C108" s="90"/>
      <c r="D108" s="376" t="str">
        <f>IF(dir!D86=0,"",dir!D86)</f>
        <v/>
      </c>
      <c r="E108" s="97" t="str">
        <f>IF(dir!E86=0,"-",dir!E86)</f>
        <v/>
      </c>
      <c r="F108" s="114" t="str">
        <f>IF(dir!F86="","",dir!F86+1)</f>
        <v/>
      </c>
      <c r="G108" s="377" t="str">
        <f>IF(dir!G86="","",dir!G86)</f>
        <v/>
      </c>
      <c r="H108" s="129" t="str">
        <f t="shared" si="60"/>
        <v/>
      </c>
      <c r="I108" s="129" t="str">
        <f>IF(J108="","",(IF(dir!I86+1&gt;LOOKUP(H108,schaal2011,regels2011),dir!I86,dir!I86+1)))</f>
        <v/>
      </c>
      <c r="J108" s="378" t="str">
        <f>IF(dir!J86="","",dir!J86)</f>
        <v/>
      </c>
      <c r="K108" s="380"/>
      <c r="L108" s="1078">
        <f>IF(dir!L86="","",dir!L86)</f>
        <v>0</v>
      </c>
      <c r="M108" s="1078">
        <f>IF(dir!M86="","",dir!M86)</f>
        <v>0</v>
      </c>
      <c r="N108" s="1077" t="str">
        <f t="shared" si="61"/>
        <v/>
      </c>
      <c r="O108" s="1077"/>
      <c r="P108" s="1172" t="str">
        <f t="shared" si="62"/>
        <v/>
      </c>
      <c r="Q108" s="91"/>
      <c r="R108" s="936" t="str">
        <f t="shared" si="63"/>
        <v/>
      </c>
      <c r="S108" s="936" t="str">
        <f t="shared" si="64"/>
        <v/>
      </c>
      <c r="T108" s="937" t="str">
        <f t="shared" si="65"/>
        <v/>
      </c>
      <c r="U108" s="361"/>
      <c r="V108" s="375"/>
      <c r="W108" s="375"/>
      <c r="X108" s="375"/>
      <c r="Y108" s="1120" t="e">
        <f>VLOOKUP(H108,tab!$A$73:$V$114,I108+2,FALSE)</f>
        <v>#VALUE!</v>
      </c>
      <c r="Z108" s="1211">
        <f>tab!$E$64</f>
        <v>0.62</v>
      </c>
      <c r="AA108" s="1163" t="e">
        <f t="shared" si="66"/>
        <v>#VALUE!</v>
      </c>
      <c r="AB108" s="1163" t="e">
        <f t="shared" si="67"/>
        <v>#VALUE!</v>
      </c>
      <c r="AC108" s="1163" t="e">
        <f t="shared" si="68"/>
        <v>#VALUE!</v>
      </c>
      <c r="AD108" s="1162" t="e">
        <f t="shared" si="69"/>
        <v>#VALUE!</v>
      </c>
      <c r="AE108" s="1162">
        <f t="shared" si="70"/>
        <v>0</v>
      </c>
      <c r="AF108" s="1129">
        <f>IF(H108&gt;8,tab!$D$65,tab!$D$67)</f>
        <v>0.5</v>
      </c>
      <c r="AG108" s="1143">
        <f t="shared" si="71"/>
        <v>0</v>
      </c>
      <c r="AH108" s="1204">
        <f t="shared" si="72"/>
        <v>0</v>
      </c>
      <c r="AM108" s="1119"/>
    </row>
    <row r="109" spans="2:45" ht="12.75" customHeight="1" x14ac:dyDescent="0.2">
      <c r="C109" s="90"/>
      <c r="D109" s="376" t="str">
        <f>IF(dir!D87=0,"",dir!D87)</f>
        <v/>
      </c>
      <c r="E109" s="97" t="str">
        <f>IF(dir!E87=0,"-",dir!E87)</f>
        <v/>
      </c>
      <c r="F109" s="114" t="str">
        <f>IF(dir!F87="","",dir!F87+1)</f>
        <v/>
      </c>
      <c r="G109" s="377" t="str">
        <f>IF(dir!G87="","",dir!G87)</f>
        <v/>
      </c>
      <c r="H109" s="129" t="str">
        <f t="shared" si="60"/>
        <v/>
      </c>
      <c r="I109" s="129" t="str">
        <f>IF(J109="","",(IF(dir!I87+1&gt;LOOKUP(H109,schaal2011,regels2011),dir!I87,dir!I87+1)))</f>
        <v/>
      </c>
      <c r="J109" s="378" t="str">
        <f>IF(dir!J87="","",dir!J87)</f>
        <v/>
      </c>
      <c r="K109" s="380"/>
      <c r="L109" s="1078">
        <f>IF(dir!L87="","",dir!L87)</f>
        <v>0</v>
      </c>
      <c r="M109" s="1078">
        <f>IF(dir!M87="","",dir!M87)</f>
        <v>0</v>
      </c>
      <c r="N109" s="1077" t="str">
        <f t="shared" si="61"/>
        <v/>
      </c>
      <c r="O109" s="1077"/>
      <c r="P109" s="1172" t="str">
        <f t="shared" si="62"/>
        <v/>
      </c>
      <c r="Q109" s="91"/>
      <c r="R109" s="936" t="str">
        <f t="shared" si="63"/>
        <v/>
      </c>
      <c r="S109" s="936" t="str">
        <f t="shared" si="64"/>
        <v/>
      </c>
      <c r="T109" s="937" t="str">
        <f t="shared" si="65"/>
        <v/>
      </c>
      <c r="U109" s="361"/>
      <c r="V109" s="375"/>
      <c r="W109" s="375"/>
      <c r="X109" s="375"/>
      <c r="Y109" s="1120" t="e">
        <f>VLOOKUP(H109,tab!$A$73:$V$114,I109+2,FALSE)</f>
        <v>#VALUE!</v>
      </c>
      <c r="Z109" s="1211">
        <f>tab!$E$64</f>
        <v>0.62</v>
      </c>
      <c r="AA109" s="1163" t="e">
        <f t="shared" si="66"/>
        <v>#VALUE!</v>
      </c>
      <c r="AB109" s="1163" t="e">
        <f t="shared" si="67"/>
        <v>#VALUE!</v>
      </c>
      <c r="AC109" s="1163" t="e">
        <f t="shared" si="68"/>
        <v>#VALUE!</v>
      </c>
      <c r="AD109" s="1162" t="e">
        <f t="shared" si="69"/>
        <v>#VALUE!</v>
      </c>
      <c r="AE109" s="1162">
        <f t="shared" si="70"/>
        <v>0</v>
      </c>
      <c r="AF109" s="1129">
        <f>IF(H109&gt;8,tab!$D$65,tab!$D$67)</f>
        <v>0.5</v>
      </c>
      <c r="AG109" s="1143">
        <f t="shared" si="71"/>
        <v>0</v>
      </c>
      <c r="AH109" s="1204">
        <f t="shared" si="72"/>
        <v>0</v>
      </c>
      <c r="AM109" s="1119"/>
    </row>
    <row r="110" spans="2:45" ht="12.75" customHeight="1" x14ac:dyDescent="0.2">
      <c r="C110" s="90"/>
      <c r="D110" s="376" t="str">
        <f>IF(dir!D88=0,"",dir!D88)</f>
        <v/>
      </c>
      <c r="E110" s="97" t="str">
        <f>IF(dir!E88=0,"-",dir!E88)</f>
        <v/>
      </c>
      <c r="F110" s="114" t="str">
        <f>IF(dir!F88="","",dir!F88+1)</f>
        <v/>
      </c>
      <c r="G110" s="377" t="str">
        <f>IF(dir!G88="","",dir!G88)</f>
        <v/>
      </c>
      <c r="H110" s="129" t="str">
        <f t="shared" si="60"/>
        <v/>
      </c>
      <c r="I110" s="129" t="str">
        <f>IF(J110="","",(IF(dir!I88+1&gt;LOOKUP(H110,schaal2011,regels2011),dir!I88,dir!I88+1)))</f>
        <v/>
      </c>
      <c r="J110" s="378" t="str">
        <f>IF(dir!J88="","",dir!J88)</f>
        <v/>
      </c>
      <c r="K110" s="380"/>
      <c r="L110" s="1078">
        <f>IF(dir!L88="","",dir!L88)</f>
        <v>0</v>
      </c>
      <c r="M110" s="1078">
        <f>IF(dir!M88="","",dir!M88)</f>
        <v>0</v>
      </c>
      <c r="N110" s="1077" t="str">
        <f t="shared" si="61"/>
        <v/>
      </c>
      <c r="O110" s="1077"/>
      <c r="P110" s="1172" t="str">
        <f t="shared" si="62"/>
        <v/>
      </c>
      <c r="Q110" s="91"/>
      <c r="R110" s="936" t="str">
        <f t="shared" si="63"/>
        <v/>
      </c>
      <c r="S110" s="936" t="str">
        <f t="shared" si="64"/>
        <v/>
      </c>
      <c r="T110" s="937" t="str">
        <f t="shared" si="65"/>
        <v/>
      </c>
      <c r="U110" s="361"/>
      <c r="V110" s="375"/>
      <c r="W110" s="375"/>
      <c r="X110" s="375"/>
      <c r="Y110" s="1120" t="e">
        <f>VLOOKUP(H110,tab!$A$73:$V$114,I110+2,FALSE)</f>
        <v>#VALUE!</v>
      </c>
      <c r="Z110" s="1211">
        <f>tab!$E$64</f>
        <v>0.62</v>
      </c>
      <c r="AA110" s="1163" t="e">
        <f t="shared" si="66"/>
        <v>#VALUE!</v>
      </c>
      <c r="AB110" s="1163" t="e">
        <f t="shared" si="67"/>
        <v>#VALUE!</v>
      </c>
      <c r="AC110" s="1163" t="e">
        <f t="shared" si="68"/>
        <v>#VALUE!</v>
      </c>
      <c r="AD110" s="1162" t="e">
        <f t="shared" si="69"/>
        <v>#VALUE!</v>
      </c>
      <c r="AE110" s="1162">
        <f t="shared" si="70"/>
        <v>0</v>
      </c>
      <c r="AF110" s="1129">
        <f>IF(H110&gt;8,tab!$D$65,tab!$D$67)</f>
        <v>0.5</v>
      </c>
      <c r="AG110" s="1143">
        <f t="shared" si="71"/>
        <v>0</v>
      </c>
      <c r="AH110" s="1204">
        <f t="shared" si="72"/>
        <v>0</v>
      </c>
      <c r="AM110" s="1119"/>
    </row>
    <row r="111" spans="2:45" ht="12.75" customHeight="1" x14ac:dyDescent="0.2">
      <c r="C111" s="90"/>
      <c r="D111" s="376" t="str">
        <f>IF(dir!D89=0,"",dir!D89)</f>
        <v/>
      </c>
      <c r="E111" s="97" t="str">
        <f>IF(dir!E89=0,"-",dir!E89)</f>
        <v/>
      </c>
      <c r="F111" s="114" t="str">
        <f>IF(dir!F89="","",dir!F89+1)</f>
        <v/>
      </c>
      <c r="G111" s="377" t="str">
        <f>IF(dir!G89="","",dir!G89)</f>
        <v/>
      </c>
      <c r="H111" s="129" t="str">
        <f t="shared" si="60"/>
        <v/>
      </c>
      <c r="I111" s="129" t="str">
        <f>IF(J111="","",(IF(dir!I89+1&gt;LOOKUP(H111,schaal2011,regels2011),dir!I89,dir!I89+1)))</f>
        <v/>
      </c>
      <c r="J111" s="378" t="str">
        <f>IF(dir!J89="","",dir!J89)</f>
        <v/>
      </c>
      <c r="K111" s="380"/>
      <c r="L111" s="1078">
        <f>IF(dir!L89="","",dir!L89)</f>
        <v>0</v>
      </c>
      <c r="M111" s="1078">
        <f>IF(dir!M89="","",dir!M89)</f>
        <v>0</v>
      </c>
      <c r="N111" s="1077" t="str">
        <f t="shared" si="61"/>
        <v/>
      </c>
      <c r="O111" s="1077"/>
      <c r="P111" s="1172" t="str">
        <f t="shared" si="62"/>
        <v/>
      </c>
      <c r="Q111" s="91"/>
      <c r="R111" s="936" t="str">
        <f t="shared" si="63"/>
        <v/>
      </c>
      <c r="S111" s="936" t="str">
        <f t="shared" si="64"/>
        <v/>
      </c>
      <c r="T111" s="937" t="str">
        <f t="shared" si="65"/>
        <v/>
      </c>
      <c r="U111" s="361"/>
      <c r="V111" s="375"/>
      <c r="W111" s="375"/>
      <c r="X111" s="375"/>
      <c r="Y111" s="1120" t="e">
        <f>VLOOKUP(H111,tab!$A$73:$V$114,I111+2,FALSE)</f>
        <v>#VALUE!</v>
      </c>
      <c r="Z111" s="1211">
        <f>tab!$E$64</f>
        <v>0.62</v>
      </c>
      <c r="AA111" s="1163" t="e">
        <f t="shared" si="66"/>
        <v>#VALUE!</v>
      </c>
      <c r="AB111" s="1163" t="e">
        <f t="shared" si="67"/>
        <v>#VALUE!</v>
      </c>
      <c r="AC111" s="1163" t="e">
        <f t="shared" si="68"/>
        <v>#VALUE!</v>
      </c>
      <c r="AD111" s="1162" t="e">
        <f t="shared" si="69"/>
        <v>#VALUE!</v>
      </c>
      <c r="AE111" s="1162">
        <f t="shared" si="70"/>
        <v>0</v>
      </c>
      <c r="AF111" s="1129">
        <f>IF(H111&gt;8,tab!$D$65,tab!$D$67)</f>
        <v>0.5</v>
      </c>
      <c r="AG111" s="1143">
        <f t="shared" si="71"/>
        <v>0</v>
      </c>
      <c r="AH111" s="1204">
        <f t="shared" si="72"/>
        <v>0</v>
      </c>
      <c r="AM111" s="1119"/>
    </row>
    <row r="112" spans="2:45" ht="12.75" customHeight="1" x14ac:dyDescent="0.2">
      <c r="C112" s="90"/>
      <c r="D112" s="376" t="str">
        <f>IF(dir!D90=0,"",dir!D90)</f>
        <v/>
      </c>
      <c r="E112" s="97" t="str">
        <f>IF(dir!E90=0,"-",dir!E90)</f>
        <v/>
      </c>
      <c r="F112" s="114" t="str">
        <f>IF(dir!F90="","",dir!F90+1)</f>
        <v/>
      </c>
      <c r="G112" s="377" t="str">
        <f>IF(dir!G90="","",dir!G90)</f>
        <v/>
      </c>
      <c r="H112" s="129" t="str">
        <f t="shared" si="60"/>
        <v/>
      </c>
      <c r="I112" s="129" t="str">
        <f>IF(J112="","",(IF(dir!I90+1&gt;LOOKUP(H112,schaal2011,regels2011),dir!I90,dir!I90+1)))</f>
        <v/>
      </c>
      <c r="J112" s="378" t="str">
        <f>IF(dir!J90="","",dir!J90)</f>
        <v/>
      </c>
      <c r="K112" s="380"/>
      <c r="L112" s="1078">
        <f>IF(dir!L90="","",dir!L90)</f>
        <v>0</v>
      </c>
      <c r="M112" s="1078">
        <f>IF(dir!M90="","",dir!M90)</f>
        <v>0</v>
      </c>
      <c r="N112" s="1077" t="str">
        <f t="shared" si="61"/>
        <v/>
      </c>
      <c r="O112" s="1077"/>
      <c r="P112" s="1172" t="str">
        <f t="shared" si="62"/>
        <v/>
      </c>
      <c r="Q112" s="91"/>
      <c r="R112" s="936" t="str">
        <f t="shared" si="63"/>
        <v/>
      </c>
      <c r="S112" s="936" t="str">
        <f t="shared" si="64"/>
        <v/>
      </c>
      <c r="T112" s="937" t="str">
        <f t="shared" si="65"/>
        <v/>
      </c>
      <c r="U112" s="361"/>
      <c r="V112" s="375"/>
      <c r="W112" s="375"/>
      <c r="X112" s="375"/>
      <c r="Y112" s="1120" t="e">
        <f>VLOOKUP(H112,tab!$A$73:$V$114,I112+2,FALSE)</f>
        <v>#VALUE!</v>
      </c>
      <c r="Z112" s="1211">
        <f>tab!$E$64</f>
        <v>0.62</v>
      </c>
      <c r="AA112" s="1163" t="e">
        <f t="shared" si="66"/>
        <v>#VALUE!</v>
      </c>
      <c r="AB112" s="1163" t="e">
        <f t="shared" si="67"/>
        <v>#VALUE!</v>
      </c>
      <c r="AC112" s="1163" t="e">
        <f t="shared" si="68"/>
        <v>#VALUE!</v>
      </c>
      <c r="AD112" s="1162" t="e">
        <f t="shared" si="69"/>
        <v>#VALUE!</v>
      </c>
      <c r="AE112" s="1162">
        <f t="shared" si="70"/>
        <v>0</v>
      </c>
      <c r="AF112" s="1129">
        <f>IF(H112&gt;8,tab!$D$65,tab!$D$67)</f>
        <v>0.5</v>
      </c>
      <c r="AG112" s="1143">
        <f t="shared" si="71"/>
        <v>0</v>
      </c>
      <c r="AH112" s="1204">
        <f t="shared" si="72"/>
        <v>0</v>
      </c>
      <c r="AM112" s="1119"/>
    </row>
    <row r="113" spans="3:39" ht="12.75" customHeight="1" x14ac:dyDescent="0.2">
      <c r="C113" s="90"/>
      <c r="D113" s="376" t="str">
        <f>IF(dir!D91=0,"",dir!D91)</f>
        <v/>
      </c>
      <c r="E113" s="97" t="str">
        <f>IF(dir!E91=0,"-",dir!E91)</f>
        <v/>
      </c>
      <c r="F113" s="114" t="str">
        <f>IF(dir!F91="","",dir!F91+1)</f>
        <v/>
      </c>
      <c r="G113" s="377" t="str">
        <f>IF(dir!G91="","",dir!G91)</f>
        <v/>
      </c>
      <c r="H113" s="129" t="str">
        <f t="shared" si="60"/>
        <v/>
      </c>
      <c r="I113" s="129" t="str">
        <f>IF(J113="","",(IF(dir!I91+1&gt;LOOKUP(H113,schaal2011,regels2011),dir!I91,dir!I91+1)))</f>
        <v/>
      </c>
      <c r="J113" s="378" t="str">
        <f>IF(dir!J91="","",dir!J91)</f>
        <v/>
      </c>
      <c r="K113" s="380"/>
      <c r="L113" s="1078">
        <f>IF(dir!L91="","",dir!L91)</f>
        <v>0</v>
      </c>
      <c r="M113" s="1078">
        <f>IF(dir!M91="","",dir!M91)</f>
        <v>0</v>
      </c>
      <c r="N113" s="1077" t="str">
        <f t="shared" si="61"/>
        <v/>
      </c>
      <c r="O113" s="1077"/>
      <c r="P113" s="1172" t="str">
        <f t="shared" si="62"/>
        <v/>
      </c>
      <c r="Q113" s="91"/>
      <c r="R113" s="936" t="str">
        <f t="shared" si="63"/>
        <v/>
      </c>
      <c r="S113" s="936" t="str">
        <f t="shared" si="64"/>
        <v/>
      </c>
      <c r="T113" s="937" t="str">
        <f t="shared" si="65"/>
        <v/>
      </c>
      <c r="U113" s="361"/>
      <c r="V113" s="375"/>
      <c r="W113" s="375"/>
      <c r="X113" s="375"/>
      <c r="Y113" s="1120" t="e">
        <f>VLOOKUP(H113,tab!$A$73:$V$114,I113+2,FALSE)</f>
        <v>#VALUE!</v>
      </c>
      <c r="Z113" s="1211">
        <f>tab!$E$64</f>
        <v>0.62</v>
      </c>
      <c r="AA113" s="1163" t="e">
        <f t="shared" si="66"/>
        <v>#VALUE!</v>
      </c>
      <c r="AB113" s="1163" t="e">
        <f t="shared" si="67"/>
        <v>#VALUE!</v>
      </c>
      <c r="AC113" s="1163" t="e">
        <f t="shared" si="68"/>
        <v>#VALUE!</v>
      </c>
      <c r="AD113" s="1162" t="e">
        <f t="shared" si="69"/>
        <v>#VALUE!</v>
      </c>
      <c r="AE113" s="1162">
        <f t="shared" si="70"/>
        <v>0</v>
      </c>
      <c r="AF113" s="1129">
        <f>IF(H113&gt;8,tab!$D$65,tab!$D$67)</f>
        <v>0.5</v>
      </c>
      <c r="AG113" s="1143">
        <f t="shared" si="71"/>
        <v>0</v>
      </c>
      <c r="AH113" s="1204">
        <f t="shared" si="72"/>
        <v>0</v>
      </c>
      <c r="AM113" s="1119"/>
    </row>
    <row r="114" spans="3:39" ht="12.75" customHeight="1" x14ac:dyDescent="0.2">
      <c r="C114" s="90"/>
      <c r="D114" s="376" t="str">
        <f>IF(dir!D92=0,"",dir!D92)</f>
        <v/>
      </c>
      <c r="E114" s="97" t="str">
        <f>IF(dir!E92=0,"-",dir!E92)</f>
        <v/>
      </c>
      <c r="F114" s="114" t="str">
        <f>IF(dir!F92="","",dir!F92+1)</f>
        <v/>
      </c>
      <c r="G114" s="377" t="str">
        <f>IF(dir!G92="","",dir!G92)</f>
        <v/>
      </c>
      <c r="H114" s="129" t="str">
        <f t="shared" si="60"/>
        <v/>
      </c>
      <c r="I114" s="129" t="str">
        <f>IF(J114="","",(IF(dir!I92+1&gt;LOOKUP(H114,schaal2011,regels2011),dir!I92,dir!I92+1)))</f>
        <v/>
      </c>
      <c r="J114" s="378" t="str">
        <f>IF(dir!J92="","",dir!J92)</f>
        <v/>
      </c>
      <c r="K114" s="380"/>
      <c r="L114" s="1078">
        <f>IF(dir!L92="","",dir!L92)</f>
        <v>0</v>
      </c>
      <c r="M114" s="1078">
        <f>IF(dir!M92="","",dir!M92)</f>
        <v>0</v>
      </c>
      <c r="N114" s="1077" t="str">
        <f t="shared" si="61"/>
        <v/>
      </c>
      <c r="O114" s="1077"/>
      <c r="P114" s="1172" t="str">
        <f t="shared" si="62"/>
        <v/>
      </c>
      <c r="Q114" s="91"/>
      <c r="R114" s="936" t="str">
        <f t="shared" si="63"/>
        <v/>
      </c>
      <c r="S114" s="936" t="str">
        <f t="shared" si="64"/>
        <v/>
      </c>
      <c r="T114" s="937" t="str">
        <f t="shared" si="65"/>
        <v/>
      </c>
      <c r="U114" s="361"/>
      <c r="V114" s="375"/>
      <c r="W114" s="375"/>
      <c r="X114" s="375"/>
      <c r="Y114" s="1120" t="e">
        <f>VLOOKUP(H114,tab!$A$73:$V$114,I114+2,FALSE)</f>
        <v>#VALUE!</v>
      </c>
      <c r="Z114" s="1211">
        <f>tab!$E$64</f>
        <v>0.62</v>
      </c>
      <c r="AA114" s="1163" t="e">
        <f t="shared" si="66"/>
        <v>#VALUE!</v>
      </c>
      <c r="AB114" s="1163" t="e">
        <f t="shared" si="67"/>
        <v>#VALUE!</v>
      </c>
      <c r="AC114" s="1163" t="e">
        <f t="shared" si="68"/>
        <v>#VALUE!</v>
      </c>
      <c r="AD114" s="1162" t="e">
        <f t="shared" si="69"/>
        <v>#VALUE!</v>
      </c>
      <c r="AE114" s="1162">
        <f t="shared" si="70"/>
        <v>0</v>
      </c>
      <c r="AF114" s="1129">
        <f>IF(H114&gt;8,tab!$D$65,tab!$D$67)</f>
        <v>0.5</v>
      </c>
      <c r="AG114" s="1143">
        <f t="shared" si="71"/>
        <v>0</v>
      </c>
      <c r="AH114" s="1204">
        <f t="shared" si="72"/>
        <v>0</v>
      </c>
      <c r="AM114" s="1119"/>
    </row>
    <row r="115" spans="3:39" ht="12.75" customHeight="1" x14ac:dyDescent="0.2">
      <c r="C115" s="90"/>
      <c r="D115" s="376" t="str">
        <f>IF(dir!D93=0,"",dir!D93)</f>
        <v/>
      </c>
      <c r="E115" s="97" t="str">
        <f>IF(dir!E93=0,"-",dir!E93)</f>
        <v/>
      </c>
      <c r="F115" s="114" t="str">
        <f>IF(dir!F93="","",dir!F93+1)</f>
        <v/>
      </c>
      <c r="G115" s="377" t="str">
        <f>IF(dir!G93="","",dir!G93)</f>
        <v/>
      </c>
      <c r="H115" s="129" t="str">
        <f t="shared" si="60"/>
        <v/>
      </c>
      <c r="I115" s="129" t="str">
        <f>IF(J115="","",(IF(dir!I93+1&gt;LOOKUP(H115,schaal2011,regels2011),dir!I93,dir!I93+1)))</f>
        <v/>
      </c>
      <c r="J115" s="378" t="str">
        <f>IF(dir!J93="","",dir!J93)</f>
        <v/>
      </c>
      <c r="K115" s="380"/>
      <c r="L115" s="1078">
        <f>IF(dir!L93="","",dir!L93)</f>
        <v>0</v>
      </c>
      <c r="M115" s="1078">
        <f>IF(dir!M93="","",dir!M93)</f>
        <v>0</v>
      </c>
      <c r="N115" s="1077" t="str">
        <f t="shared" si="61"/>
        <v/>
      </c>
      <c r="O115" s="1077"/>
      <c r="P115" s="1172" t="str">
        <f t="shared" si="62"/>
        <v/>
      </c>
      <c r="Q115" s="91"/>
      <c r="R115" s="936" t="str">
        <f t="shared" si="63"/>
        <v/>
      </c>
      <c r="S115" s="936" t="str">
        <f t="shared" si="64"/>
        <v/>
      </c>
      <c r="T115" s="937" t="str">
        <f t="shared" si="65"/>
        <v/>
      </c>
      <c r="U115" s="361"/>
      <c r="V115" s="375"/>
      <c r="W115" s="375"/>
      <c r="X115" s="375"/>
      <c r="Y115" s="1120" t="e">
        <f>VLOOKUP(H115,tab!$A$73:$V$114,I115+2,FALSE)</f>
        <v>#VALUE!</v>
      </c>
      <c r="Z115" s="1211">
        <f>tab!$E$64</f>
        <v>0.62</v>
      </c>
      <c r="AA115" s="1163" t="e">
        <f t="shared" si="66"/>
        <v>#VALUE!</v>
      </c>
      <c r="AB115" s="1163" t="e">
        <f t="shared" si="67"/>
        <v>#VALUE!</v>
      </c>
      <c r="AC115" s="1163" t="e">
        <f t="shared" si="68"/>
        <v>#VALUE!</v>
      </c>
      <c r="AD115" s="1162" t="e">
        <f t="shared" si="69"/>
        <v>#VALUE!</v>
      </c>
      <c r="AE115" s="1162">
        <f t="shared" si="70"/>
        <v>0</v>
      </c>
      <c r="AF115" s="1129">
        <f>IF(H115&gt;8,tab!$D$65,tab!$D$67)</f>
        <v>0.5</v>
      </c>
      <c r="AG115" s="1143">
        <f t="shared" si="71"/>
        <v>0</v>
      </c>
      <c r="AH115" s="1204">
        <f t="shared" si="72"/>
        <v>0</v>
      </c>
      <c r="AM115" s="1119"/>
    </row>
    <row r="116" spans="3:39" ht="12.75" customHeight="1" x14ac:dyDescent="0.2">
      <c r="C116" s="90"/>
      <c r="D116" s="376" t="str">
        <f>IF(dir!D94=0,"",dir!D94)</f>
        <v/>
      </c>
      <c r="E116" s="97" t="str">
        <f>IF(dir!E94=0,"-",dir!E94)</f>
        <v/>
      </c>
      <c r="F116" s="114" t="str">
        <f>IF(dir!F94="","",dir!F94+1)</f>
        <v/>
      </c>
      <c r="G116" s="377" t="str">
        <f>IF(dir!G94="","",dir!G94)</f>
        <v/>
      </c>
      <c r="H116" s="129" t="str">
        <f t="shared" si="60"/>
        <v/>
      </c>
      <c r="I116" s="129" t="str">
        <f>IF(J116="","",(IF(dir!I94+1&gt;LOOKUP(H116,schaal2011,regels2011),dir!I94,dir!I94+1)))</f>
        <v/>
      </c>
      <c r="J116" s="378" t="str">
        <f>IF(dir!J94="","",dir!J94)</f>
        <v/>
      </c>
      <c r="K116" s="380"/>
      <c r="L116" s="1078">
        <f>IF(dir!L94="","",dir!L94)</f>
        <v>0</v>
      </c>
      <c r="M116" s="1078">
        <f>IF(dir!M94="","",dir!M94)</f>
        <v>0</v>
      </c>
      <c r="N116" s="1077" t="str">
        <f t="shared" si="61"/>
        <v/>
      </c>
      <c r="O116" s="1077"/>
      <c r="P116" s="1172" t="str">
        <f t="shared" si="62"/>
        <v/>
      </c>
      <c r="Q116" s="91"/>
      <c r="R116" s="936" t="str">
        <f t="shared" si="63"/>
        <v/>
      </c>
      <c r="S116" s="936" t="str">
        <f t="shared" si="64"/>
        <v/>
      </c>
      <c r="T116" s="937" t="str">
        <f t="shared" si="65"/>
        <v/>
      </c>
      <c r="U116" s="361"/>
      <c r="V116" s="375"/>
      <c r="W116" s="375"/>
      <c r="X116" s="375"/>
      <c r="Y116" s="1120" t="e">
        <f>VLOOKUP(H116,tab!$A$73:$V$114,I116+2,FALSE)</f>
        <v>#VALUE!</v>
      </c>
      <c r="Z116" s="1211">
        <f>tab!$E$64</f>
        <v>0.62</v>
      </c>
      <c r="AA116" s="1163" t="e">
        <f t="shared" si="66"/>
        <v>#VALUE!</v>
      </c>
      <c r="AB116" s="1163" t="e">
        <f t="shared" si="67"/>
        <v>#VALUE!</v>
      </c>
      <c r="AC116" s="1163" t="e">
        <f t="shared" si="68"/>
        <v>#VALUE!</v>
      </c>
      <c r="AD116" s="1162" t="e">
        <f t="shared" si="69"/>
        <v>#VALUE!</v>
      </c>
      <c r="AE116" s="1162">
        <f t="shared" si="70"/>
        <v>0</v>
      </c>
      <c r="AF116" s="1129">
        <f>IF(H116&gt;8,tab!$D$65,tab!$D$67)</f>
        <v>0.5</v>
      </c>
      <c r="AG116" s="1143">
        <f t="shared" si="71"/>
        <v>0</v>
      </c>
      <c r="AH116" s="1204">
        <f t="shared" si="72"/>
        <v>0</v>
      </c>
      <c r="AM116" s="1119"/>
    </row>
    <row r="117" spans="3:39" ht="12.75" customHeight="1" x14ac:dyDescent="0.2">
      <c r="C117" s="90"/>
      <c r="D117" s="385"/>
      <c r="E117" s="116"/>
      <c r="F117" s="386"/>
      <c r="G117" s="387"/>
      <c r="H117" s="95"/>
      <c r="I117" s="95"/>
      <c r="J117" s="939">
        <f>SUM(J107:J116)</f>
        <v>1</v>
      </c>
      <c r="K117" s="144"/>
      <c r="L117" s="1079">
        <f>SUM(L107:L116)</f>
        <v>130</v>
      </c>
      <c r="M117" s="1079">
        <f>SUM(M107:M116)</f>
        <v>170</v>
      </c>
      <c r="N117" s="1079">
        <f>SUM(N107:N116)</f>
        <v>40</v>
      </c>
      <c r="O117" s="1087"/>
      <c r="P117" s="1079">
        <f t="shared" ref="P117" si="73">SUM(P107:P116)</f>
        <v>340</v>
      </c>
      <c r="Q117" s="144"/>
      <c r="R117" s="940">
        <f t="shared" ref="R117" si="74">SUM(R107:R116)</f>
        <v>55857.670307414111</v>
      </c>
      <c r="S117" s="940">
        <f t="shared" ref="S117:T117" si="75">SUM(S107:S116)</f>
        <v>10477.332368896927</v>
      </c>
      <c r="T117" s="940">
        <f t="shared" si="75"/>
        <v>66335.002676311036</v>
      </c>
      <c r="U117" s="383"/>
      <c r="V117" s="365"/>
      <c r="Y117" s="1121" t="e">
        <f>SUM(Y107:Y116)</f>
        <v>#VALUE!</v>
      </c>
      <c r="Z117" s="1121"/>
      <c r="AA117" s="1121"/>
      <c r="AB117" s="1121"/>
      <c r="AC117" s="1121"/>
      <c r="AD117" s="1130" t="e">
        <f t="shared" ref="AD117" si="76">SUM(AD107:AD116)</f>
        <v>#VALUE!</v>
      </c>
      <c r="AE117" s="1130">
        <f t="shared" ref="AE117" si="77">SUM(AE107:AE116)</f>
        <v>300</v>
      </c>
      <c r="AF117" s="1121"/>
      <c r="AG117" s="1151">
        <f>SUM(AG107:AG116)</f>
        <v>0</v>
      </c>
      <c r="AH117" s="1205">
        <f>SUM(AH107:AH116)</f>
        <v>0</v>
      </c>
      <c r="AM117" s="1119"/>
    </row>
    <row r="118" spans="3:39" ht="12.75" customHeight="1" x14ac:dyDescent="0.2">
      <c r="C118" s="98"/>
      <c r="D118" s="390"/>
      <c r="E118" s="144"/>
      <c r="F118" s="191"/>
      <c r="G118" s="391"/>
      <c r="H118" s="191"/>
      <c r="I118" s="392"/>
      <c r="J118" s="393"/>
      <c r="K118" s="144"/>
      <c r="L118" s="392"/>
      <c r="M118" s="392"/>
      <c r="N118" s="392"/>
      <c r="O118" s="1088"/>
      <c r="P118" s="392"/>
      <c r="Q118" s="144"/>
      <c r="R118" s="388"/>
      <c r="S118" s="388"/>
      <c r="T118" s="388"/>
      <c r="U118" s="395"/>
      <c r="V118" s="365"/>
      <c r="Y118" s="1093"/>
      <c r="Z118" s="1121"/>
      <c r="AA118" s="1121"/>
      <c r="AB118" s="1121"/>
      <c r="AC118" s="1121"/>
      <c r="AF118" s="1121"/>
      <c r="AG118" s="1151"/>
      <c r="AH118" s="1205"/>
      <c r="AM118" s="1119"/>
    </row>
    <row r="119" spans="3:39" ht="12.75" customHeight="1" x14ac:dyDescent="0.2">
      <c r="H119" s="174"/>
      <c r="J119" s="382"/>
      <c r="R119" s="375"/>
      <c r="S119" s="375"/>
      <c r="T119" s="780"/>
      <c r="V119" s="365"/>
      <c r="Y119" s="1120"/>
      <c r="Z119" s="1117"/>
      <c r="AA119" s="1117"/>
      <c r="AB119" s="1117"/>
      <c r="AC119" s="1117"/>
      <c r="AF119" s="1117"/>
      <c r="AH119" s="1204"/>
    </row>
    <row r="120" spans="3:39" x14ac:dyDescent="0.2">
      <c r="V120" s="365"/>
    </row>
    <row r="121" spans="3:39" x14ac:dyDescent="0.2">
      <c r="V121" s="365"/>
    </row>
    <row r="122" spans="3:39" x14ac:dyDescent="0.2">
      <c r="V122" s="365"/>
    </row>
    <row r="123" spans="3:39" x14ac:dyDescent="0.2">
      <c r="V123" s="365"/>
    </row>
    <row r="124" spans="3:39" x14ac:dyDescent="0.2">
      <c r="V124" s="365"/>
    </row>
    <row r="125" spans="3:39" x14ac:dyDescent="0.2">
      <c r="V125" s="365"/>
    </row>
  </sheetData>
  <sheetProtection algorithmName="SHA-512" hashValue="a+kh7N0UrFEPCN0n3P3cvFfA+ZH5rbS2Kcu5iOm+jzXQEnnifK4bErKRiSNEbAecUuEzqi4ZP9Wx3cq6lS8fCw==" saltValue="dZJP0nc1DnU7NaOGWopAGQ==" spinCount="100000" sheet="1" objects="1" scenarios="1"/>
  <phoneticPr fontId="0" type="noConversion"/>
  <dataValidations count="3">
    <dataValidation type="list" allowBlank="1" showInputMessage="1" showErrorMessage="1" sqref="H119 H96:H102">
      <formula1>"LIOa,LIOb,J1,J2,J3,J4,J5,J6,1,2,3,4,5,6,7,8,9,10,11,12,13,14,15,LA,LB,LC,LD,LE,ID1,ID2,ID3"</formula1>
    </dataValidation>
    <dataValidation type="list" allowBlank="1" showInputMessage="1" showErrorMessage="1" sqref="H107:H116 H16:H25 H62:H71 H85:H94 H38:H47">
      <formula1>"AA,AB,AC,AD,AE,DA,DB,DBuit,DC,DCuit,DD,DE,meerh bas DA11, meerh sbo DB10, meerh sbo DB11, meerh sbo DC13, meerh sbo DCuit15"</formula1>
    </dataValidation>
    <dataValidation type="list" allowBlank="1" showInputMessage="1" showErrorMessage="1" sqref="H77:H78 H50:H57">
      <formula1>"LA,LB,LC,LD,LE"</formula1>
    </dataValidation>
  </dataValidations>
  <pageMargins left="0.74803149606299213" right="0.74803149606299213" top="0.98425196850393704" bottom="0.98425196850393704" header="0.51181102362204722" footer="0.51181102362204722"/>
  <pageSetup paperSize="9" scale="50" orientation="portrait" r:id="rId1"/>
  <headerFooter alignWithMargins="0">
    <oddHeader>&amp;L&amp;"Arial,Vet"&amp;F&amp;R&amp;"Arial,Vet"&amp;A</oddHeader>
    <oddFooter>&amp;L&amp;"Arial,Vet"PO-Raad&amp;C&amp;"Arial,Vet"&amp;D&amp;R&amp;"Arial,Vet"pagina &amp;P</oddFooter>
  </headerFooter>
  <rowBreaks count="1" manualBreakCount="1">
    <brk id="50" min="1" max="30"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9"/>
  <dimension ref="B1:AN342"/>
  <sheetViews>
    <sheetView showGridLines="0" zoomScale="85" zoomScaleNormal="85" workbookViewId="0">
      <pane ySplit="15" topLeftCell="A16" activePane="bottomLeft" state="frozen"/>
      <selection activeCell="B2" sqref="B2"/>
      <selection pane="bottomLeft" activeCell="B2" sqref="B2"/>
    </sheetView>
  </sheetViews>
  <sheetFormatPr defaultColWidth="9.140625" defaultRowHeight="12.75" x14ac:dyDescent="0.2"/>
  <cols>
    <col min="1" max="1" width="3.7109375" style="68" customWidth="1"/>
    <col min="2" max="3" width="2.7109375" style="68" customWidth="1"/>
    <col min="4" max="4" width="8.7109375" style="281" customWidth="1"/>
    <col min="5" max="5" width="20.7109375" style="281" customWidth="1"/>
    <col min="6" max="6" width="8.85546875" style="174" customWidth="1"/>
    <col min="7" max="7" width="8.85546875" style="282" customWidth="1"/>
    <col min="8" max="9" width="8.85546875" style="283" customWidth="1"/>
    <col min="10" max="10" width="8.85546875" style="284" customWidth="1"/>
    <col min="11" max="11" width="0.85546875" style="797" customWidth="1"/>
    <col min="12" max="15" width="10.7109375" style="470" customWidth="1"/>
    <col min="16" max="16" width="10.7109375" style="1165" customWidth="1"/>
    <col min="17" max="17" width="0.85546875" style="68" customWidth="1"/>
    <col min="18" max="18" width="10.85546875" style="417" customWidth="1"/>
    <col min="19" max="19" width="10.85546875" style="68" customWidth="1"/>
    <col min="20" max="20" width="10.85546875" style="416" customWidth="1"/>
    <col min="21" max="21" width="3" style="68" customWidth="1"/>
    <col min="22" max="22" width="2.7109375" style="68" customWidth="1"/>
    <col min="23" max="24" width="20.85546875" style="68" customWidth="1"/>
    <col min="25" max="25" width="8.7109375" style="1092" customWidth="1"/>
    <col min="26" max="26" width="10.7109375" style="1104" customWidth="1"/>
    <col min="27" max="29" width="10.85546875" style="1094" customWidth="1"/>
    <col min="30" max="31" width="8.7109375" style="1124" customWidth="1"/>
    <col min="32" max="32" width="8.7109375" style="1096" customWidth="1"/>
    <col min="33" max="33" width="8.7109375" style="1132" customWidth="1"/>
    <col min="34" max="34" width="8.7109375" style="1154" customWidth="1"/>
    <col min="35" max="38" width="8.7109375" style="1096" customWidth="1"/>
    <col min="39" max="39" width="8.7109375" style="1124" customWidth="1"/>
    <col min="40" max="40" width="8.7109375" style="68" customWidth="1"/>
    <col min="41" max="72" width="8.85546875" style="68" customWidth="1"/>
    <col min="73" max="16384" width="9.140625" style="68"/>
  </cols>
  <sheetData>
    <row r="1" spans="2:40" ht="12.75" customHeight="1" x14ac:dyDescent="0.2"/>
    <row r="2" spans="2:40" x14ac:dyDescent="0.2">
      <c r="B2" s="63"/>
      <c r="C2" s="64"/>
      <c r="D2" s="290"/>
      <c r="E2" s="290"/>
      <c r="F2" s="175"/>
      <c r="G2" s="291"/>
      <c r="H2" s="292"/>
      <c r="I2" s="292"/>
      <c r="J2" s="293"/>
      <c r="K2" s="1185"/>
      <c r="L2" s="1062"/>
      <c r="M2" s="1062"/>
      <c r="N2" s="1062"/>
      <c r="O2" s="1062"/>
      <c r="P2" s="1166"/>
      <c r="Q2" s="64"/>
      <c r="R2" s="418"/>
      <c r="S2" s="64"/>
      <c r="T2" s="774"/>
      <c r="U2" s="64"/>
      <c r="V2" s="67"/>
    </row>
    <row r="3" spans="2:40" x14ac:dyDescent="0.2">
      <c r="B3" s="69"/>
      <c r="C3" s="70"/>
      <c r="D3" s="234"/>
      <c r="E3" s="234"/>
      <c r="F3" s="176"/>
      <c r="G3" s="297"/>
      <c r="H3" s="298"/>
      <c r="I3" s="298"/>
      <c r="J3" s="299"/>
      <c r="K3" s="1186"/>
      <c r="L3" s="590"/>
      <c r="M3" s="590"/>
      <c r="N3" s="590"/>
      <c r="O3" s="590"/>
      <c r="P3" s="147"/>
      <c r="Q3" s="70"/>
      <c r="R3" s="419"/>
      <c r="S3" s="70"/>
      <c r="T3" s="396"/>
      <c r="U3" s="70"/>
      <c r="V3" s="73"/>
      <c r="X3" s="809"/>
      <c r="AD3" s="1143"/>
      <c r="AE3" s="1143"/>
    </row>
    <row r="4" spans="2:40" s="420" customFormat="1" ht="18.75" x14ac:dyDescent="0.3">
      <c r="B4" s="421"/>
      <c r="C4" s="858" t="s">
        <v>334</v>
      </c>
      <c r="D4" s="422"/>
      <c r="E4" s="422"/>
      <c r="F4" s="423"/>
      <c r="G4" s="424"/>
      <c r="H4" s="425"/>
      <c r="I4" s="425"/>
      <c r="J4" s="426"/>
      <c r="K4" s="1187"/>
      <c r="L4" s="1063"/>
      <c r="M4" s="1063"/>
      <c r="N4" s="1063"/>
      <c r="O4" s="1063"/>
      <c r="P4" s="1167"/>
      <c r="Q4" s="422"/>
      <c r="R4" s="427"/>
      <c r="S4" s="422"/>
      <c r="T4" s="782"/>
      <c r="U4" s="422"/>
      <c r="V4" s="428"/>
      <c r="Y4" s="1122"/>
      <c r="Z4" s="1098"/>
      <c r="AA4" s="1102"/>
      <c r="AB4" s="1102"/>
      <c r="AC4" s="1102"/>
      <c r="AD4" s="1134"/>
      <c r="AE4" s="1134"/>
      <c r="AF4" s="1133"/>
      <c r="AG4" s="1135"/>
      <c r="AH4" s="1157"/>
      <c r="AI4" s="1133"/>
      <c r="AJ4" s="1133"/>
      <c r="AK4" s="1133"/>
      <c r="AL4" s="1133"/>
      <c r="AM4" s="1134"/>
    </row>
    <row r="5" spans="2:40" s="317" customFormat="1" ht="18.75" x14ac:dyDescent="0.3">
      <c r="B5" s="318"/>
      <c r="C5" s="319" t="str">
        <f>geg!G12</f>
        <v>Basisschool</v>
      </c>
      <c r="D5" s="326"/>
      <c r="E5" s="326"/>
      <c r="F5" s="322"/>
      <c r="G5" s="323"/>
      <c r="H5" s="324"/>
      <c r="I5" s="324"/>
      <c r="J5" s="325"/>
      <c r="K5" s="1188">
        <v>170</v>
      </c>
      <c r="L5" s="324"/>
      <c r="M5" s="324"/>
      <c r="N5" s="324"/>
      <c r="O5" s="324"/>
      <c r="P5" s="1168"/>
      <c r="Q5" s="324"/>
      <c r="R5" s="427"/>
      <c r="S5" s="326"/>
      <c r="T5" s="776"/>
      <c r="U5" s="326"/>
      <c r="V5" s="327"/>
      <c r="W5" s="1181"/>
      <c r="X5" s="1176"/>
      <c r="Y5" s="1128"/>
      <c r="Z5" s="1098"/>
      <c r="AA5" s="1177"/>
      <c r="AB5" s="1177"/>
      <c r="AC5" s="1177"/>
      <c r="AD5" s="1178"/>
      <c r="AE5" s="1178"/>
      <c r="AF5" s="1114"/>
      <c r="AG5" s="1135"/>
      <c r="AH5" s="1157"/>
      <c r="AI5" s="1133"/>
      <c r="AJ5" s="1133"/>
      <c r="AK5" s="1133"/>
      <c r="AL5" s="1133"/>
      <c r="AM5" s="1134"/>
    </row>
    <row r="6" spans="2:40" ht="12.75" customHeight="1" x14ac:dyDescent="0.3">
      <c r="B6" s="69"/>
      <c r="C6" s="70"/>
      <c r="D6" s="70"/>
      <c r="E6" s="70"/>
      <c r="F6" s="176"/>
      <c r="G6" s="297"/>
      <c r="H6" s="298"/>
      <c r="I6" s="298"/>
      <c r="J6" s="299"/>
      <c r="K6" s="1186"/>
      <c r="L6" s="324"/>
      <c r="M6" s="324"/>
      <c r="N6" s="324"/>
      <c r="O6" s="324"/>
      <c r="P6" s="1168"/>
      <c r="Q6" s="324"/>
      <c r="R6" s="419"/>
      <c r="S6" s="70"/>
      <c r="T6" s="396"/>
      <c r="U6" s="70"/>
      <c r="V6" s="73"/>
      <c r="W6" s="809"/>
      <c r="X6" s="809"/>
      <c r="Y6" s="1178"/>
      <c r="AA6" s="1177"/>
      <c r="AB6" s="1177"/>
      <c r="AC6" s="1177"/>
      <c r="AD6" s="1178"/>
      <c r="AE6" s="1178"/>
    </row>
    <row r="7" spans="2:40" ht="12.75" customHeight="1" x14ac:dyDescent="0.3">
      <c r="B7" s="69"/>
      <c r="C7" s="70"/>
      <c r="D7" s="70"/>
      <c r="E7" s="70"/>
      <c r="F7" s="176"/>
      <c r="G7" s="297"/>
      <c r="H7" s="298"/>
      <c r="I7" s="298"/>
      <c r="J7" s="299"/>
      <c r="K7" s="1186"/>
      <c r="L7" s="324"/>
      <c r="M7" s="324"/>
      <c r="N7" s="324"/>
      <c r="O7" s="324"/>
      <c r="P7" s="1168"/>
      <c r="Q7" s="324"/>
      <c r="R7" s="419"/>
      <c r="S7" s="70"/>
      <c r="T7" s="396"/>
      <c r="U7" s="70"/>
      <c r="V7" s="73"/>
      <c r="W7" s="1179"/>
      <c r="X7" s="809"/>
      <c r="Y7" s="1178"/>
      <c r="AA7" s="1177"/>
      <c r="AB7" s="1177"/>
      <c r="AC7" s="1177"/>
      <c r="AD7" s="1178"/>
      <c r="AE7" s="1178"/>
    </row>
    <row r="8" spans="2:40" s="335" customFormat="1" ht="12.75" customHeight="1" x14ac:dyDescent="0.3">
      <c r="B8" s="336"/>
      <c r="C8" s="70" t="s">
        <v>195</v>
      </c>
      <c r="D8" s="234"/>
      <c r="E8" s="398" t="str">
        <f>dir!E8</f>
        <v>2015/16</v>
      </c>
      <c r="F8" s="340"/>
      <c r="G8" s="341"/>
      <c r="H8" s="342"/>
      <c r="I8" s="342"/>
      <c r="J8" s="343"/>
      <c r="K8" s="1189"/>
      <c r="L8" s="324"/>
      <c r="M8" s="324"/>
      <c r="N8" s="324"/>
      <c r="O8" s="324"/>
      <c r="P8" s="1168"/>
      <c r="Q8" s="324"/>
      <c r="R8" s="429"/>
      <c r="S8" s="337"/>
      <c r="T8" s="777"/>
      <c r="U8" s="337"/>
      <c r="V8" s="344"/>
      <c r="X8" s="286"/>
      <c r="Y8" s="1178"/>
      <c r="Z8" s="1108"/>
      <c r="AA8" s="1178"/>
      <c r="AB8" s="1178"/>
      <c r="AC8" s="1178"/>
      <c r="AD8" s="1178"/>
      <c r="AE8" s="1178"/>
      <c r="AF8" s="1096"/>
      <c r="AG8" s="1139"/>
      <c r="AH8" s="1158"/>
      <c r="AI8" s="1136"/>
      <c r="AJ8" s="1136"/>
      <c r="AK8" s="1137"/>
      <c r="AL8" s="1137"/>
      <c r="AM8" s="1138"/>
    </row>
    <row r="9" spans="2:40" ht="12.75" customHeight="1" x14ac:dyDescent="0.3">
      <c r="B9" s="69"/>
      <c r="C9" s="70" t="s">
        <v>217</v>
      </c>
      <c r="D9" s="234"/>
      <c r="E9" s="350">
        <f>dir!E9</f>
        <v>42278</v>
      </c>
      <c r="F9" s="72"/>
      <c r="G9" s="352"/>
      <c r="H9" s="298"/>
      <c r="I9" s="298"/>
      <c r="J9" s="299"/>
      <c r="K9" s="1186"/>
      <c r="L9" s="324"/>
      <c r="M9" s="324"/>
      <c r="N9" s="324"/>
      <c r="O9" s="324"/>
      <c r="P9" s="1168"/>
      <c r="Q9" s="324"/>
      <c r="R9" s="419"/>
      <c r="S9" s="70"/>
      <c r="T9" s="396"/>
      <c r="U9" s="70"/>
      <c r="V9" s="73"/>
      <c r="W9" s="1179"/>
      <c r="X9" s="286"/>
      <c r="Y9" s="1099"/>
      <c r="AA9" s="1099"/>
      <c r="AB9" s="1099"/>
      <c r="AC9" s="1099"/>
      <c r="AD9" s="1099"/>
      <c r="AE9" s="1099"/>
      <c r="AI9" s="1140"/>
      <c r="AJ9" s="1140"/>
    </row>
    <row r="10" spans="2:40" ht="12.75" customHeight="1" x14ac:dyDescent="0.25">
      <c r="B10" s="69"/>
      <c r="C10" s="70"/>
      <c r="D10" s="430"/>
      <c r="E10" s="431"/>
      <c r="F10" s="72"/>
      <c r="G10" s="352"/>
      <c r="H10" s="298"/>
      <c r="I10" s="298"/>
      <c r="J10" s="299"/>
      <c r="K10" s="1186"/>
      <c r="L10" s="590"/>
      <c r="M10" s="590"/>
      <c r="N10" s="590"/>
      <c r="O10" s="590"/>
      <c r="P10" s="147"/>
      <c r="Q10" s="70"/>
      <c r="R10" s="419"/>
      <c r="S10" s="70"/>
      <c r="T10" s="396"/>
      <c r="U10" s="70"/>
      <c r="V10" s="73"/>
      <c r="AI10" s="1140"/>
      <c r="AJ10" s="1140"/>
    </row>
    <row r="11" spans="2:40" ht="12.75" customHeight="1" x14ac:dyDescent="0.2">
      <c r="B11" s="69"/>
      <c r="C11" s="432"/>
      <c r="D11" s="921"/>
      <c r="E11" s="920"/>
      <c r="F11" s="900"/>
      <c r="G11" s="922"/>
      <c r="H11" s="923"/>
      <c r="I11" s="923"/>
      <c r="J11" s="924"/>
      <c r="K11" s="1190"/>
      <c r="L11" s="1016"/>
      <c r="M11" s="1016"/>
      <c r="N11" s="1016"/>
      <c r="O11" s="1016"/>
      <c r="P11" s="1169"/>
      <c r="Q11" s="925"/>
      <c r="R11" s="925"/>
      <c r="S11" s="925"/>
      <c r="T11" s="926"/>
      <c r="U11" s="906"/>
      <c r="V11" s="73"/>
      <c r="W11" s="1180"/>
    </row>
    <row r="12" spans="2:40" s="106" customFormat="1" ht="12.75" customHeight="1" x14ac:dyDescent="0.2">
      <c r="B12" s="102"/>
      <c r="C12" s="183"/>
      <c r="D12" s="885" t="s">
        <v>335</v>
      </c>
      <c r="E12" s="942"/>
      <c r="F12" s="942"/>
      <c r="G12" s="942"/>
      <c r="H12" s="943"/>
      <c r="I12" s="943"/>
      <c r="J12" s="943"/>
      <c r="K12" s="1191"/>
      <c r="L12" s="1074" t="s">
        <v>561</v>
      </c>
      <c r="M12" s="1064"/>
      <c r="N12" s="1074"/>
      <c r="O12" s="1071"/>
      <c r="P12" s="1170"/>
      <c r="Q12" s="927"/>
      <c r="R12" s="1074" t="s">
        <v>563</v>
      </c>
      <c r="S12" s="1076"/>
      <c r="T12" s="1153"/>
      <c r="U12" s="944"/>
      <c r="V12" s="364"/>
      <c r="W12" s="365"/>
      <c r="X12" s="365"/>
      <c r="Y12" s="1094"/>
      <c r="Z12" s="1126"/>
      <c r="AA12" s="1094"/>
      <c r="AB12" s="1094"/>
      <c r="AC12" s="1094"/>
      <c r="AD12" s="1125"/>
      <c r="AE12" s="1125"/>
      <c r="AF12" s="1126"/>
      <c r="AG12" s="1151"/>
      <c r="AH12" s="1160"/>
      <c r="AI12" s="1141"/>
      <c r="AJ12" s="1141"/>
      <c r="AK12" s="1141"/>
      <c r="AL12" s="1141"/>
      <c r="AM12" s="1141"/>
      <c r="AN12" s="365"/>
    </row>
    <row r="13" spans="2:40" s="106" customFormat="1" ht="12.75" customHeight="1" x14ac:dyDescent="0.2">
      <c r="B13" s="102"/>
      <c r="C13" s="183"/>
      <c r="D13" s="886" t="s">
        <v>549</v>
      </c>
      <c r="E13" s="886" t="s">
        <v>201</v>
      </c>
      <c r="F13" s="929" t="s">
        <v>147</v>
      </c>
      <c r="G13" s="930" t="s">
        <v>325</v>
      </c>
      <c r="H13" s="929" t="s">
        <v>231</v>
      </c>
      <c r="I13" s="929" t="s">
        <v>262</v>
      </c>
      <c r="J13" s="931" t="s">
        <v>150</v>
      </c>
      <c r="K13" s="1192"/>
      <c r="L13" s="932" t="s">
        <v>544</v>
      </c>
      <c r="M13" s="932" t="s">
        <v>537</v>
      </c>
      <c r="N13" s="932" t="s">
        <v>551</v>
      </c>
      <c r="O13" s="932" t="s">
        <v>544</v>
      </c>
      <c r="P13" s="1171" t="s">
        <v>556</v>
      </c>
      <c r="Q13" s="898"/>
      <c r="R13" s="1073" t="s">
        <v>216</v>
      </c>
      <c r="S13" s="934" t="s">
        <v>562</v>
      </c>
      <c r="T13" s="935" t="s">
        <v>216</v>
      </c>
      <c r="U13" s="945"/>
      <c r="V13" s="368"/>
      <c r="W13" s="369"/>
      <c r="X13" s="369"/>
      <c r="Y13" s="1127" t="s">
        <v>361</v>
      </c>
      <c r="Z13" s="1182" t="s">
        <v>548</v>
      </c>
      <c r="AA13" s="1115" t="s">
        <v>557</v>
      </c>
      <c r="AB13" s="1115" t="s">
        <v>557</v>
      </c>
      <c r="AC13" s="1115" t="s">
        <v>560</v>
      </c>
      <c r="AD13" s="1128" t="s">
        <v>542</v>
      </c>
      <c r="AE13" s="1128" t="s">
        <v>543</v>
      </c>
      <c r="AF13" s="1114" t="s">
        <v>539</v>
      </c>
      <c r="AG13" s="1152" t="s">
        <v>343</v>
      </c>
      <c r="AH13" s="1160" t="s">
        <v>468</v>
      </c>
      <c r="AI13" s="1114" t="s">
        <v>328</v>
      </c>
      <c r="AJ13" s="1114" t="s">
        <v>329</v>
      </c>
      <c r="AK13" s="1114" t="s">
        <v>149</v>
      </c>
      <c r="AL13" s="1114" t="s">
        <v>228</v>
      </c>
      <c r="AM13" s="1128" t="s">
        <v>203</v>
      </c>
      <c r="AN13" s="369"/>
    </row>
    <row r="14" spans="2:40" s="106" customFormat="1" ht="12.75" customHeight="1" x14ac:dyDescent="0.2">
      <c r="B14" s="102"/>
      <c r="C14" s="183"/>
      <c r="D14" s="942"/>
      <c r="E14" s="886"/>
      <c r="F14" s="929" t="s">
        <v>148</v>
      </c>
      <c r="G14" s="930" t="s">
        <v>326</v>
      </c>
      <c r="H14" s="929"/>
      <c r="I14" s="929"/>
      <c r="J14" s="931"/>
      <c r="K14" s="1192"/>
      <c r="L14" s="932" t="s">
        <v>545</v>
      </c>
      <c r="M14" s="932" t="s">
        <v>547</v>
      </c>
      <c r="N14" s="932" t="s">
        <v>552</v>
      </c>
      <c r="O14" s="932" t="s">
        <v>546</v>
      </c>
      <c r="P14" s="1171" t="s">
        <v>320</v>
      </c>
      <c r="Q14" s="898"/>
      <c r="R14" s="902" t="s">
        <v>554</v>
      </c>
      <c r="S14" s="934" t="s">
        <v>538</v>
      </c>
      <c r="T14" s="935" t="s">
        <v>320</v>
      </c>
      <c r="U14" s="906"/>
      <c r="V14" s="78"/>
      <c r="Y14" s="1127" t="s">
        <v>223</v>
      </c>
      <c r="Z14" s="1183">
        <f>tab!$D$64</f>
        <v>0.62</v>
      </c>
      <c r="AA14" s="1115" t="s">
        <v>558</v>
      </c>
      <c r="AB14" s="1115" t="s">
        <v>559</v>
      </c>
      <c r="AC14" s="1115" t="s">
        <v>555</v>
      </c>
      <c r="AD14" s="1128" t="s">
        <v>541</v>
      </c>
      <c r="AE14" s="1128" t="s">
        <v>541</v>
      </c>
      <c r="AF14" s="1114" t="s">
        <v>540</v>
      </c>
      <c r="AG14" s="1152"/>
      <c r="AH14" s="1159" t="s">
        <v>261</v>
      </c>
      <c r="AI14" s="1128" t="s">
        <v>327</v>
      </c>
      <c r="AJ14" s="1128" t="s">
        <v>327</v>
      </c>
      <c r="AK14" s="1114"/>
      <c r="AL14" s="1114" t="s">
        <v>203</v>
      </c>
      <c r="AM14" s="1128"/>
      <c r="AN14" s="434"/>
    </row>
    <row r="15" spans="2:40" ht="12.75" customHeight="1" x14ac:dyDescent="0.2">
      <c r="B15" s="69"/>
      <c r="C15" s="90"/>
      <c r="D15" s="942"/>
      <c r="E15" s="942"/>
      <c r="F15" s="899"/>
      <c r="G15" s="946"/>
      <c r="H15" s="929"/>
      <c r="I15" s="929"/>
      <c r="J15" s="931"/>
      <c r="K15" s="1193"/>
      <c r="L15" s="932"/>
      <c r="M15" s="932"/>
      <c r="N15" s="932"/>
      <c r="O15" s="932"/>
      <c r="P15" s="1171"/>
      <c r="Q15" s="942"/>
      <c r="R15" s="947"/>
      <c r="S15" s="947"/>
      <c r="T15" s="948"/>
      <c r="U15" s="906"/>
      <c r="V15" s="73"/>
      <c r="Y15" s="1127"/>
      <c r="Z15" s="1113"/>
      <c r="AA15" s="1113"/>
      <c r="AB15" s="1113"/>
      <c r="AC15" s="1113"/>
      <c r="AD15" s="1128"/>
      <c r="AE15" s="1128"/>
      <c r="AF15" s="1113"/>
      <c r="AG15" s="1152"/>
      <c r="AH15" s="1159"/>
      <c r="AM15" s="1128"/>
      <c r="AN15" s="375"/>
    </row>
    <row r="16" spans="2:40" ht="12.75" customHeight="1" x14ac:dyDescent="0.2">
      <c r="B16" s="69"/>
      <c r="C16" s="90"/>
      <c r="D16" s="97"/>
      <c r="E16" s="1245" t="s">
        <v>437</v>
      </c>
      <c r="F16" s="1246">
        <v>25</v>
      </c>
      <c r="G16" s="1247">
        <v>26665</v>
      </c>
      <c r="H16" s="1246" t="s">
        <v>165</v>
      </c>
      <c r="I16" s="1248">
        <v>10</v>
      </c>
      <c r="J16" s="1249">
        <v>1</v>
      </c>
      <c r="K16" s="1194"/>
      <c r="L16" s="1065"/>
      <c r="M16" s="1065"/>
      <c r="N16" s="1077">
        <f>IF(J16="","",IF((J16*40)&gt;40,40,((J16*40))))</f>
        <v>40</v>
      </c>
      <c r="O16" s="1077">
        <f>IF(J16="","",IF(I16&lt;4,(40*J16),0))</f>
        <v>0</v>
      </c>
      <c r="P16" s="1172">
        <f>IF(J16="","",(SUM(L16:O16)))</f>
        <v>40</v>
      </c>
      <c r="Q16" s="91"/>
      <c r="R16" s="936">
        <f>IF(J16="","",(((1659*J16)-P16)*AB16))</f>
        <v>87154.078264014461</v>
      </c>
      <c r="S16" s="936">
        <f>IF(J16="","",(P16*AC16)+(AA16*AD16)+((AE16*AA16*(1-AF16))))</f>
        <v>2153.2817359855335</v>
      </c>
      <c r="T16" s="937">
        <f>IF(J16="","",(R16+S16))</f>
        <v>89307.36</v>
      </c>
      <c r="U16" s="361"/>
      <c r="V16" s="381"/>
      <c r="W16" s="375"/>
      <c r="X16" s="375"/>
      <c r="Y16" s="1120">
        <f>VLOOKUP(H16,tab!$A$73:$V$114,I16+2,FALSE)</f>
        <v>4594</v>
      </c>
      <c r="Z16" s="1211">
        <f>tab!$D$64</f>
        <v>0.62</v>
      </c>
      <c r="AA16" s="1163">
        <f>(Y16*12/1659)</f>
        <v>33.229656419529839</v>
      </c>
      <c r="AB16" s="1163">
        <f>(Y16*12*(1+Z16))/1659</f>
        <v>53.832043399638337</v>
      </c>
      <c r="AC16" s="1163">
        <f>AB16-AA16</f>
        <v>20.602386980108498</v>
      </c>
      <c r="AD16" s="1162">
        <f>(N16+O16)</f>
        <v>40</v>
      </c>
      <c r="AE16" s="1162">
        <f>(L16+M16)</f>
        <v>0</v>
      </c>
      <c r="AF16" s="1129">
        <f>IF(H16&gt;8,tab!$D$65,tab!$D$67)</f>
        <v>0.5</v>
      </c>
      <c r="AG16" s="1143">
        <f t="shared" ref="AG16:AG47" si="0">IF(F16&lt;25,0,IF(F16=25,25,IF(F16&lt;40,0,IF(F16=40,40,IF(F16&gt;=40,0)))))</f>
        <v>25</v>
      </c>
      <c r="AH16" s="1159">
        <f t="shared" ref="AH16:AH47" si="1">IF(AG16=25,(Y16*1.08*(J16)/2),IF(AG16=40,(Y16*1.08*(J16)),IF(AG16=0,0)))</f>
        <v>2480.7600000000002</v>
      </c>
      <c r="AI16" s="1142" t="b">
        <f>DATE(YEAR(tab!$E$3),MONTH(G16),DAY(G16))&gt;tab!$E$3</f>
        <v>0</v>
      </c>
      <c r="AJ16" s="1143">
        <f t="shared" ref="AJ16:AJ47" si="2">YEAR($E$9)-YEAR(G16)-AI16</f>
        <v>42</v>
      </c>
      <c r="AK16" s="1096">
        <f t="shared" ref="AK16:AK47" si="3">IF((G16=""),30,AJ16)</f>
        <v>42</v>
      </c>
      <c r="AL16" s="1096">
        <f t="shared" ref="AL16:AL47" si="4">IF((AK16)&gt;50,50,(AK16))</f>
        <v>42</v>
      </c>
      <c r="AM16" s="1143">
        <f t="shared" ref="AM16:AM47" si="5">ROUND(AL16*J16,2)</f>
        <v>42</v>
      </c>
      <c r="AN16" s="286"/>
    </row>
    <row r="17" spans="2:40" ht="12.75" customHeight="1" x14ac:dyDescent="0.2">
      <c r="B17" s="69"/>
      <c r="C17" s="90"/>
      <c r="D17" s="97"/>
      <c r="E17" s="97"/>
      <c r="F17" s="114"/>
      <c r="G17" s="377"/>
      <c r="H17" s="114"/>
      <c r="I17" s="129"/>
      <c r="J17" s="378"/>
      <c r="K17" s="1194"/>
      <c r="L17" s="1065"/>
      <c r="M17" s="1065"/>
      <c r="N17" s="1077" t="str">
        <f t="shared" ref="N17:N70" si="6">IF(J17="","",IF((J17*40)&gt;40,40,((J17*40))))</f>
        <v/>
      </c>
      <c r="O17" s="1077" t="str">
        <f t="shared" ref="O17:O70" si="7">IF(J17="","",IF(I17&lt;4,(40*J17),0))</f>
        <v/>
      </c>
      <c r="P17" s="1172" t="str">
        <f t="shared" ref="P17:P70" si="8">IF(J17="","",(SUM(L17:O17)))</f>
        <v/>
      </c>
      <c r="Q17" s="91"/>
      <c r="R17" s="936" t="str">
        <f t="shared" ref="R17:R70" si="9">IF(J17="","",(((1659*J17)-P17)*AB17))</f>
        <v/>
      </c>
      <c r="S17" s="936" t="str">
        <f t="shared" ref="S17:S70" si="10">IF(J17="","",(P17*AC17)+(AA17*AD17)+((AE17*AA17*(1-AF17))))</f>
        <v/>
      </c>
      <c r="T17" s="937" t="str">
        <f t="shared" ref="T17:T70" si="11">IF(J17="","",(R17+S17))</f>
        <v/>
      </c>
      <c r="U17" s="361"/>
      <c r="V17" s="381"/>
      <c r="W17" s="375"/>
      <c r="X17" s="375"/>
      <c r="Y17" s="1120" t="e">
        <f>VLOOKUP(H17,tab!$A$73:$V$114,I17+2,FALSE)</f>
        <v>#N/A</v>
      </c>
      <c r="Z17" s="1211">
        <f>tab!$D$64</f>
        <v>0.62</v>
      </c>
      <c r="AA17" s="1163" t="e">
        <f t="shared" ref="AA17:AA70" si="12">(Y17*12/1659)</f>
        <v>#N/A</v>
      </c>
      <c r="AB17" s="1163" t="e">
        <f t="shared" ref="AB17:AB70" si="13">(Y17*12*(1+Z17))/1659</f>
        <v>#N/A</v>
      </c>
      <c r="AC17" s="1163" t="e">
        <f t="shared" ref="AC17:AC70" si="14">AB17-AA17</f>
        <v>#N/A</v>
      </c>
      <c r="AD17" s="1162" t="e">
        <f t="shared" ref="AD17:AD70" si="15">(N17+O17)</f>
        <v>#VALUE!</v>
      </c>
      <c r="AE17" s="1162">
        <f t="shared" ref="AE17:AE70" si="16">(L17+M17)</f>
        <v>0</v>
      </c>
      <c r="AF17" s="1129">
        <f>IF(H17&gt;8,tab!$D$65,tab!$D$67)</f>
        <v>0.4</v>
      </c>
      <c r="AG17" s="1143">
        <f t="shared" si="0"/>
        <v>0</v>
      </c>
      <c r="AH17" s="1159">
        <f t="shared" si="1"/>
        <v>0</v>
      </c>
      <c r="AI17" s="1142" t="b">
        <f>DATE(YEAR(tab!$E$3),MONTH(G17),DAY(G17))&gt;tab!$E$3</f>
        <v>0</v>
      </c>
      <c r="AJ17" s="1143">
        <f t="shared" si="2"/>
        <v>115</v>
      </c>
      <c r="AK17" s="1096">
        <f t="shared" si="3"/>
        <v>30</v>
      </c>
      <c r="AL17" s="1096">
        <f t="shared" si="4"/>
        <v>30</v>
      </c>
      <c r="AM17" s="1143">
        <f t="shared" si="5"/>
        <v>0</v>
      </c>
      <c r="AN17" s="286"/>
    </row>
    <row r="18" spans="2:40" ht="12.75" customHeight="1" x14ac:dyDescent="0.2">
      <c r="B18" s="69"/>
      <c r="C18" s="90"/>
      <c r="D18" s="97"/>
      <c r="E18" s="97"/>
      <c r="F18" s="114"/>
      <c r="G18" s="377"/>
      <c r="H18" s="114"/>
      <c r="I18" s="129"/>
      <c r="J18" s="378"/>
      <c r="K18" s="1194"/>
      <c r="L18" s="1065"/>
      <c r="M18" s="1065"/>
      <c r="N18" s="1077" t="str">
        <f t="shared" si="6"/>
        <v/>
      </c>
      <c r="O18" s="1077" t="str">
        <f t="shared" si="7"/>
        <v/>
      </c>
      <c r="P18" s="1172" t="str">
        <f t="shared" si="8"/>
        <v/>
      </c>
      <c r="Q18" s="91"/>
      <c r="R18" s="936" t="str">
        <f t="shared" si="9"/>
        <v/>
      </c>
      <c r="S18" s="936" t="str">
        <f t="shared" si="10"/>
        <v/>
      </c>
      <c r="T18" s="937" t="str">
        <f t="shared" si="11"/>
        <v/>
      </c>
      <c r="U18" s="361"/>
      <c r="V18" s="381"/>
      <c r="W18" s="375"/>
      <c r="X18" s="375"/>
      <c r="Y18" s="1120" t="e">
        <f>VLOOKUP(H18,tab!$A$73:$V$114,I18+2,FALSE)</f>
        <v>#N/A</v>
      </c>
      <c r="Z18" s="1211">
        <f>tab!$D$64</f>
        <v>0.62</v>
      </c>
      <c r="AA18" s="1163" t="e">
        <f t="shared" si="12"/>
        <v>#N/A</v>
      </c>
      <c r="AB18" s="1163" t="e">
        <f t="shared" si="13"/>
        <v>#N/A</v>
      </c>
      <c r="AC18" s="1163" t="e">
        <f t="shared" si="14"/>
        <v>#N/A</v>
      </c>
      <c r="AD18" s="1162" t="e">
        <f t="shared" si="15"/>
        <v>#VALUE!</v>
      </c>
      <c r="AE18" s="1162">
        <f t="shared" si="16"/>
        <v>0</v>
      </c>
      <c r="AF18" s="1129">
        <f>IF(H18&gt;8,tab!$D$65,tab!$D$67)</f>
        <v>0.4</v>
      </c>
      <c r="AG18" s="1143">
        <f t="shared" si="0"/>
        <v>0</v>
      </c>
      <c r="AH18" s="1159">
        <f t="shared" si="1"/>
        <v>0</v>
      </c>
      <c r="AI18" s="1142" t="b">
        <f>DATE(YEAR(tab!$E$3),MONTH(G18),DAY(G18))&gt;tab!$E$3</f>
        <v>0</v>
      </c>
      <c r="AJ18" s="1143">
        <f t="shared" si="2"/>
        <v>115</v>
      </c>
      <c r="AK18" s="1096">
        <f t="shared" si="3"/>
        <v>30</v>
      </c>
      <c r="AL18" s="1096">
        <f t="shared" si="4"/>
        <v>30</v>
      </c>
      <c r="AM18" s="1143">
        <f t="shared" si="5"/>
        <v>0</v>
      </c>
      <c r="AN18" s="375"/>
    </row>
    <row r="19" spans="2:40" ht="12.75" customHeight="1" x14ac:dyDescent="0.2">
      <c r="B19" s="69"/>
      <c r="C19" s="90"/>
      <c r="D19" s="97"/>
      <c r="E19" s="97"/>
      <c r="F19" s="114"/>
      <c r="G19" s="377"/>
      <c r="H19" s="114"/>
      <c r="I19" s="129"/>
      <c r="J19" s="378"/>
      <c r="K19" s="1194"/>
      <c r="L19" s="1065"/>
      <c r="M19" s="1065"/>
      <c r="N19" s="1077" t="str">
        <f t="shared" si="6"/>
        <v/>
      </c>
      <c r="O19" s="1077" t="str">
        <f t="shared" si="7"/>
        <v/>
      </c>
      <c r="P19" s="1172" t="str">
        <f t="shared" si="8"/>
        <v/>
      </c>
      <c r="Q19" s="91"/>
      <c r="R19" s="936" t="str">
        <f t="shared" si="9"/>
        <v/>
      </c>
      <c r="S19" s="936" t="str">
        <f t="shared" si="10"/>
        <v/>
      </c>
      <c r="T19" s="937" t="str">
        <f t="shared" si="11"/>
        <v/>
      </c>
      <c r="U19" s="361"/>
      <c r="V19" s="381"/>
      <c r="W19" s="375"/>
      <c r="X19" s="375"/>
      <c r="Y19" s="1120" t="e">
        <f>VLOOKUP(H19,tab!$A$73:$V$114,I19+2,FALSE)</f>
        <v>#N/A</v>
      </c>
      <c r="Z19" s="1211">
        <f>tab!$D$64</f>
        <v>0.62</v>
      </c>
      <c r="AA19" s="1163" t="e">
        <f t="shared" si="12"/>
        <v>#N/A</v>
      </c>
      <c r="AB19" s="1163" t="e">
        <f t="shared" si="13"/>
        <v>#N/A</v>
      </c>
      <c r="AC19" s="1163" t="e">
        <f t="shared" si="14"/>
        <v>#N/A</v>
      </c>
      <c r="AD19" s="1162" t="e">
        <f t="shared" si="15"/>
        <v>#VALUE!</v>
      </c>
      <c r="AE19" s="1162">
        <f t="shared" si="16"/>
        <v>0</v>
      </c>
      <c r="AF19" s="1129">
        <f>IF(H19&gt;8,tab!$D$65,tab!$D$67)</f>
        <v>0.4</v>
      </c>
      <c r="AG19" s="1143">
        <f t="shared" si="0"/>
        <v>0</v>
      </c>
      <c r="AH19" s="1159">
        <f t="shared" si="1"/>
        <v>0</v>
      </c>
      <c r="AI19" s="1142" t="b">
        <f>DATE(YEAR(tab!$E$3),MONTH(G19),DAY(G19))&gt;tab!$E$3</f>
        <v>0</v>
      </c>
      <c r="AJ19" s="1143">
        <f t="shared" si="2"/>
        <v>115</v>
      </c>
      <c r="AK19" s="1096">
        <f t="shared" si="3"/>
        <v>30</v>
      </c>
      <c r="AL19" s="1096">
        <f t="shared" si="4"/>
        <v>30</v>
      </c>
      <c r="AM19" s="1143">
        <f t="shared" si="5"/>
        <v>0</v>
      </c>
      <c r="AN19" s="375"/>
    </row>
    <row r="20" spans="2:40" ht="12.75" customHeight="1" x14ac:dyDescent="0.2">
      <c r="B20" s="69"/>
      <c r="C20" s="90"/>
      <c r="D20" s="97"/>
      <c r="E20" s="97"/>
      <c r="F20" s="114"/>
      <c r="G20" s="377"/>
      <c r="H20" s="114"/>
      <c r="I20" s="129"/>
      <c r="J20" s="378"/>
      <c r="K20" s="1194"/>
      <c r="L20" s="1065"/>
      <c r="M20" s="1065"/>
      <c r="N20" s="1077" t="str">
        <f t="shared" si="6"/>
        <v/>
      </c>
      <c r="O20" s="1077" t="str">
        <f t="shared" si="7"/>
        <v/>
      </c>
      <c r="P20" s="1172" t="str">
        <f t="shared" si="8"/>
        <v/>
      </c>
      <c r="Q20" s="91"/>
      <c r="R20" s="936" t="str">
        <f t="shared" si="9"/>
        <v/>
      </c>
      <c r="S20" s="936" t="str">
        <f t="shared" si="10"/>
        <v/>
      </c>
      <c r="T20" s="937" t="str">
        <f t="shared" si="11"/>
        <v/>
      </c>
      <c r="U20" s="361"/>
      <c r="V20" s="381"/>
      <c r="W20" s="375"/>
      <c r="X20" s="375"/>
      <c r="Y20" s="1120" t="e">
        <f>VLOOKUP(H20,tab!$A$73:$V$114,I20+2,FALSE)</f>
        <v>#N/A</v>
      </c>
      <c r="Z20" s="1211">
        <f>tab!$D$64</f>
        <v>0.62</v>
      </c>
      <c r="AA20" s="1163" t="e">
        <f t="shared" si="12"/>
        <v>#N/A</v>
      </c>
      <c r="AB20" s="1163" t="e">
        <f t="shared" si="13"/>
        <v>#N/A</v>
      </c>
      <c r="AC20" s="1163" t="e">
        <f t="shared" si="14"/>
        <v>#N/A</v>
      </c>
      <c r="AD20" s="1162" t="e">
        <f t="shared" si="15"/>
        <v>#VALUE!</v>
      </c>
      <c r="AE20" s="1162">
        <f t="shared" si="16"/>
        <v>0</v>
      </c>
      <c r="AF20" s="1129">
        <f>IF(H20&gt;8,tab!$D$65,tab!$D$67)</f>
        <v>0.4</v>
      </c>
      <c r="AG20" s="1143">
        <f t="shared" si="0"/>
        <v>0</v>
      </c>
      <c r="AH20" s="1159">
        <f t="shared" si="1"/>
        <v>0</v>
      </c>
      <c r="AI20" s="1142" t="b">
        <f>DATE(YEAR(tab!$E$3),MONTH(G20),DAY(G20))&gt;tab!$E$3</f>
        <v>0</v>
      </c>
      <c r="AJ20" s="1143">
        <f t="shared" si="2"/>
        <v>115</v>
      </c>
      <c r="AK20" s="1096">
        <f t="shared" si="3"/>
        <v>30</v>
      </c>
      <c r="AL20" s="1096">
        <f t="shared" si="4"/>
        <v>30</v>
      </c>
      <c r="AM20" s="1143">
        <f t="shared" si="5"/>
        <v>0</v>
      </c>
    </row>
    <row r="21" spans="2:40" ht="12.75" customHeight="1" x14ac:dyDescent="0.2">
      <c r="B21" s="69"/>
      <c r="C21" s="90"/>
      <c r="D21" s="97"/>
      <c r="E21" s="97"/>
      <c r="F21" s="114"/>
      <c r="G21" s="377"/>
      <c r="H21" s="114"/>
      <c r="I21" s="129"/>
      <c r="J21" s="378"/>
      <c r="K21" s="1194"/>
      <c r="L21" s="1065"/>
      <c r="M21" s="1065"/>
      <c r="N21" s="1077" t="str">
        <f t="shared" si="6"/>
        <v/>
      </c>
      <c r="O21" s="1077" t="str">
        <f t="shared" si="7"/>
        <v/>
      </c>
      <c r="P21" s="1172" t="str">
        <f t="shared" si="8"/>
        <v/>
      </c>
      <c r="Q21" s="91"/>
      <c r="R21" s="936" t="str">
        <f t="shared" si="9"/>
        <v/>
      </c>
      <c r="S21" s="936" t="str">
        <f t="shared" si="10"/>
        <v/>
      </c>
      <c r="T21" s="937" t="str">
        <f t="shared" si="11"/>
        <v/>
      </c>
      <c r="U21" s="361"/>
      <c r="V21" s="381"/>
      <c r="W21" s="375"/>
      <c r="X21" s="375"/>
      <c r="Y21" s="1120" t="e">
        <f>VLOOKUP(H21,tab!$A$73:$V$114,I21+2,FALSE)</f>
        <v>#N/A</v>
      </c>
      <c r="Z21" s="1211">
        <f>tab!$D$64</f>
        <v>0.62</v>
      </c>
      <c r="AA21" s="1163" t="e">
        <f t="shared" si="12"/>
        <v>#N/A</v>
      </c>
      <c r="AB21" s="1163" t="e">
        <f t="shared" si="13"/>
        <v>#N/A</v>
      </c>
      <c r="AC21" s="1163" t="e">
        <f t="shared" si="14"/>
        <v>#N/A</v>
      </c>
      <c r="AD21" s="1162" t="e">
        <f t="shared" si="15"/>
        <v>#VALUE!</v>
      </c>
      <c r="AE21" s="1162">
        <f t="shared" si="16"/>
        <v>0</v>
      </c>
      <c r="AF21" s="1129">
        <f>IF(H21&gt;8,tab!$D$65,tab!$D$67)</f>
        <v>0.4</v>
      </c>
      <c r="AG21" s="1143">
        <f t="shared" si="0"/>
        <v>0</v>
      </c>
      <c r="AH21" s="1159">
        <f t="shared" si="1"/>
        <v>0</v>
      </c>
      <c r="AI21" s="1142" t="b">
        <f>DATE(YEAR(tab!$E$3),MONTH(G21),DAY(G21))&gt;tab!$E$3</f>
        <v>0</v>
      </c>
      <c r="AJ21" s="1143">
        <f t="shared" si="2"/>
        <v>115</v>
      </c>
      <c r="AK21" s="1096">
        <f t="shared" si="3"/>
        <v>30</v>
      </c>
      <c r="AL21" s="1096">
        <f t="shared" si="4"/>
        <v>30</v>
      </c>
      <c r="AM21" s="1143">
        <f t="shared" si="5"/>
        <v>0</v>
      </c>
    </row>
    <row r="22" spans="2:40" ht="12.75" customHeight="1" x14ac:dyDescent="0.2">
      <c r="B22" s="69"/>
      <c r="C22" s="90"/>
      <c r="D22" s="97"/>
      <c r="E22" s="97"/>
      <c r="F22" s="114"/>
      <c r="G22" s="377"/>
      <c r="H22" s="114"/>
      <c r="I22" s="129"/>
      <c r="J22" s="378"/>
      <c r="K22" s="1194"/>
      <c r="L22" s="1065"/>
      <c r="M22" s="1065"/>
      <c r="N22" s="1077" t="str">
        <f t="shared" si="6"/>
        <v/>
      </c>
      <c r="O22" s="1077" t="str">
        <f t="shared" si="7"/>
        <v/>
      </c>
      <c r="P22" s="1172" t="str">
        <f t="shared" si="8"/>
        <v/>
      </c>
      <c r="Q22" s="91"/>
      <c r="R22" s="936" t="str">
        <f t="shared" si="9"/>
        <v/>
      </c>
      <c r="S22" s="936" t="str">
        <f t="shared" si="10"/>
        <v/>
      </c>
      <c r="T22" s="937" t="str">
        <f t="shared" si="11"/>
        <v/>
      </c>
      <c r="U22" s="361"/>
      <c r="V22" s="381"/>
      <c r="W22" s="375"/>
      <c r="X22" s="375"/>
      <c r="Y22" s="1120" t="e">
        <f>VLOOKUP(H22,tab!$A$73:$V$114,I22+2,FALSE)</f>
        <v>#N/A</v>
      </c>
      <c r="Z22" s="1211">
        <f>tab!$D$64</f>
        <v>0.62</v>
      </c>
      <c r="AA22" s="1163" t="e">
        <f t="shared" si="12"/>
        <v>#N/A</v>
      </c>
      <c r="AB22" s="1163" t="e">
        <f t="shared" si="13"/>
        <v>#N/A</v>
      </c>
      <c r="AC22" s="1163" t="e">
        <f t="shared" si="14"/>
        <v>#N/A</v>
      </c>
      <c r="AD22" s="1162" t="e">
        <f t="shared" si="15"/>
        <v>#VALUE!</v>
      </c>
      <c r="AE22" s="1162">
        <f t="shared" si="16"/>
        <v>0</v>
      </c>
      <c r="AF22" s="1129">
        <f>IF(H22&gt;8,tab!$D$65,tab!$D$67)</f>
        <v>0.4</v>
      </c>
      <c r="AG22" s="1143">
        <f t="shared" si="0"/>
        <v>0</v>
      </c>
      <c r="AH22" s="1159">
        <f t="shared" si="1"/>
        <v>0</v>
      </c>
      <c r="AI22" s="1142" t="b">
        <f>DATE(YEAR(tab!$E$3),MONTH(G22),DAY(G22))&gt;tab!$E$3</f>
        <v>0</v>
      </c>
      <c r="AJ22" s="1143">
        <f t="shared" si="2"/>
        <v>115</v>
      </c>
      <c r="AK22" s="1096">
        <f t="shared" si="3"/>
        <v>30</v>
      </c>
      <c r="AL22" s="1096">
        <f t="shared" si="4"/>
        <v>30</v>
      </c>
      <c r="AM22" s="1143">
        <f t="shared" si="5"/>
        <v>0</v>
      </c>
    </row>
    <row r="23" spans="2:40" ht="12.75" customHeight="1" x14ac:dyDescent="0.2">
      <c r="B23" s="69"/>
      <c r="C23" s="90"/>
      <c r="D23" s="97"/>
      <c r="E23" s="97"/>
      <c r="F23" s="114"/>
      <c r="G23" s="377"/>
      <c r="H23" s="114"/>
      <c r="I23" s="129"/>
      <c r="J23" s="378"/>
      <c r="K23" s="1194"/>
      <c r="L23" s="1065"/>
      <c r="M23" s="1065"/>
      <c r="N23" s="1077" t="str">
        <f t="shared" si="6"/>
        <v/>
      </c>
      <c r="O23" s="1077" t="str">
        <f t="shared" si="7"/>
        <v/>
      </c>
      <c r="P23" s="1172" t="str">
        <f t="shared" si="8"/>
        <v/>
      </c>
      <c r="Q23" s="91"/>
      <c r="R23" s="936" t="str">
        <f t="shared" si="9"/>
        <v/>
      </c>
      <c r="S23" s="936" t="str">
        <f t="shared" si="10"/>
        <v/>
      </c>
      <c r="T23" s="937" t="str">
        <f t="shared" si="11"/>
        <v/>
      </c>
      <c r="U23" s="361"/>
      <c r="V23" s="381"/>
      <c r="W23" s="375"/>
      <c r="X23" s="375"/>
      <c r="Y23" s="1120" t="e">
        <f>VLOOKUP(H23,tab!$A$73:$V$114,I23+2,FALSE)</f>
        <v>#N/A</v>
      </c>
      <c r="Z23" s="1211">
        <f>tab!$D$64</f>
        <v>0.62</v>
      </c>
      <c r="AA23" s="1163" t="e">
        <f t="shared" si="12"/>
        <v>#N/A</v>
      </c>
      <c r="AB23" s="1163" t="e">
        <f t="shared" si="13"/>
        <v>#N/A</v>
      </c>
      <c r="AC23" s="1163" t="e">
        <f t="shared" si="14"/>
        <v>#N/A</v>
      </c>
      <c r="AD23" s="1162" t="e">
        <f t="shared" si="15"/>
        <v>#VALUE!</v>
      </c>
      <c r="AE23" s="1162">
        <f t="shared" si="16"/>
        <v>0</v>
      </c>
      <c r="AF23" s="1129">
        <f>IF(H23&gt;8,tab!$D$65,tab!$D$67)</f>
        <v>0.4</v>
      </c>
      <c r="AG23" s="1143">
        <f t="shared" si="0"/>
        <v>0</v>
      </c>
      <c r="AH23" s="1159">
        <f t="shared" si="1"/>
        <v>0</v>
      </c>
      <c r="AI23" s="1142" t="b">
        <f>DATE(YEAR(tab!$E$3),MONTH(G23),DAY(G23))&gt;tab!$E$3</f>
        <v>0</v>
      </c>
      <c r="AJ23" s="1143">
        <f t="shared" si="2"/>
        <v>115</v>
      </c>
      <c r="AK23" s="1096">
        <f t="shared" si="3"/>
        <v>30</v>
      </c>
      <c r="AL23" s="1096">
        <f t="shared" si="4"/>
        <v>30</v>
      </c>
      <c r="AM23" s="1143">
        <f t="shared" si="5"/>
        <v>0</v>
      </c>
    </row>
    <row r="24" spans="2:40" ht="12.75" customHeight="1" x14ac:dyDescent="0.2">
      <c r="B24" s="69"/>
      <c r="C24" s="90"/>
      <c r="D24" s="97"/>
      <c r="E24" s="97"/>
      <c r="F24" s="114"/>
      <c r="G24" s="377"/>
      <c r="H24" s="114"/>
      <c r="I24" s="129"/>
      <c r="J24" s="378"/>
      <c r="K24" s="1194"/>
      <c r="L24" s="1065"/>
      <c r="M24" s="1065"/>
      <c r="N24" s="1077" t="str">
        <f t="shared" si="6"/>
        <v/>
      </c>
      <c r="O24" s="1077" t="str">
        <f t="shared" si="7"/>
        <v/>
      </c>
      <c r="P24" s="1172" t="str">
        <f t="shared" si="8"/>
        <v/>
      </c>
      <c r="Q24" s="91"/>
      <c r="R24" s="936" t="str">
        <f t="shared" si="9"/>
        <v/>
      </c>
      <c r="S24" s="936" t="str">
        <f t="shared" si="10"/>
        <v/>
      </c>
      <c r="T24" s="937" t="str">
        <f t="shared" si="11"/>
        <v/>
      </c>
      <c r="U24" s="361"/>
      <c r="V24" s="381"/>
      <c r="W24" s="375"/>
      <c r="X24" s="375"/>
      <c r="Y24" s="1120" t="e">
        <f>VLOOKUP(H24,tab!$A$73:$V$114,I24+2,FALSE)</f>
        <v>#N/A</v>
      </c>
      <c r="Z24" s="1211">
        <f>tab!$D$64</f>
        <v>0.62</v>
      </c>
      <c r="AA24" s="1163" t="e">
        <f t="shared" si="12"/>
        <v>#N/A</v>
      </c>
      <c r="AB24" s="1163" t="e">
        <f t="shared" si="13"/>
        <v>#N/A</v>
      </c>
      <c r="AC24" s="1163" t="e">
        <f t="shared" si="14"/>
        <v>#N/A</v>
      </c>
      <c r="AD24" s="1162" t="e">
        <f t="shared" si="15"/>
        <v>#VALUE!</v>
      </c>
      <c r="AE24" s="1162">
        <f t="shared" si="16"/>
        <v>0</v>
      </c>
      <c r="AF24" s="1129">
        <f>IF(H24&gt;8,tab!$D$65,tab!$D$67)</f>
        <v>0.4</v>
      </c>
      <c r="AG24" s="1143">
        <f t="shared" si="0"/>
        <v>0</v>
      </c>
      <c r="AH24" s="1159">
        <f t="shared" si="1"/>
        <v>0</v>
      </c>
      <c r="AI24" s="1142" t="b">
        <f>DATE(YEAR(tab!$E$3),MONTH(G24),DAY(G24))&gt;tab!$E$3</f>
        <v>0</v>
      </c>
      <c r="AJ24" s="1143">
        <f t="shared" si="2"/>
        <v>115</v>
      </c>
      <c r="AK24" s="1096">
        <f t="shared" si="3"/>
        <v>30</v>
      </c>
      <c r="AL24" s="1096">
        <f t="shared" si="4"/>
        <v>30</v>
      </c>
      <c r="AM24" s="1143">
        <f t="shared" si="5"/>
        <v>0</v>
      </c>
    </row>
    <row r="25" spans="2:40" ht="12.75" customHeight="1" x14ac:dyDescent="0.2">
      <c r="B25" s="69"/>
      <c r="C25" s="90"/>
      <c r="D25" s="97"/>
      <c r="E25" s="97"/>
      <c r="F25" s="114"/>
      <c r="G25" s="377"/>
      <c r="H25" s="114"/>
      <c r="I25" s="129"/>
      <c r="J25" s="378"/>
      <c r="K25" s="1194"/>
      <c r="L25" s="1065"/>
      <c r="M25" s="1065"/>
      <c r="N25" s="1077" t="str">
        <f t="shared" si="6"/>
        <v/>
      </c>
      <c r="O25" s="1077" t="str">
        <f t="shared" si="7"/>
        <v/>
      </c>
      <c r="P25" s="1172" t="str">
        <f t="shared" si="8"/>
        <v/>
      </c>
      <c r="Q25" s="91"/>
      <c r="R25" s="936" t="str">
        <f t="shared" si="9"/>
        <v/>
      </c>
      <c r="S25" s="936" t="str">
        <f t="shared" si="10"/>
        <v/>
      </c>
      <c r="T25" s="937" t="str">
        <f t="shared" si="11"/>
        <v/>
      </c>
      <c r="U25" s="361"/>
      <c r="V25" s="381"/>
      <c r="W25" s="375"/>
      <c r="X25" s="375"/>
      <c r="Y25" s="1120" t="e">
        <f>VLOOKUP(H25,tab!$A$73:$V$114,I25+2,FALSE)</f>
        <v>#N/A</v>
      </c>
      <c r="Z25" s="1211">
        <f>tab!$D$64</f>
        <v>0.62</v>
      </c>
      <c r="AA25" s="1163" t="e">
        <f t="shared" si="12"/>
        <v>#N/A</v>
      </c>
      <c r="AB25" s="1163" t="e">
        <f t="shared" si="13"/>
        <v>#N/A</v>
      </c>
      <c r="AC25" s="1163" t="e">
        <f t="shared" si="14"/>
        <v>#N/A</v>
      </c>
      <c r="AD25" s="1162" t="e">
        <f t="shared" si="15"/>
        <v>#VALUE!</v>
      </c>
      <c r="AE25" s="1162">
        <f t="shared" si="16"/>
        <v>0</v>
      </c>
      <c r="AF25" s="1129">
        <f>IF(H25&gt;8,tab!$D$65,tab!$D$67)</f>
        <v>0.4</v>
      </c>
      <c r="AG25" s="1143">
        <f t="shared" si="0"/>
        <v>0</v>
      </c>
      <c r="AH25" s="1159">
        <f t="shared" si="1"/>
        <v>0</v>
      </c>
      <c r="AI25" s="1142" t="b">
        <f>DATE(YEAR(tab!$E$3),MONTH(G25),DAY(G25))&gt;tab!$E$3</f>
        <v>0</v>
      </c>
      <c r="AJ25" s="1143">
        <f t="shared" si="2"/>
        <v>115</v>
      </c>
      <c r="AK25" s="1096">
        <f t="shared" si="3"/>
        <v>30</v>
      </c>
      <c r="AL25" s="1096">
        <f t="shared" si="4"/>
        <v>30</v>
      </c>
      <c r="AM25" s="1143">
        <f t="shared" si="5"/>
        <v>0</v>
      </c>
    </row>
    <row r="26" spans="2:40" ht="12.75" customHeight="1" x14ac:dyDescent="0.2">
      <c r="B26" s="69"/>
      <c r="C26" s="90"/>
      <c r="D26" s="97"/>
      <c r="E26" s="97"/>
      <c r="F26" s="114"/>
      <c r="G26" s="377"/>
      <c r="H26" s="114"/>
      <c r="I26" s="129"/>
      <c r="J26" s="378"/>
      <c r="K26" s="1194"/>
      <c r="L26" s="1065"/>
      <c r="M26" s="1065"/>
      <c r="N26" s="1077" t="str">
        <f t="shared" si="6"/>
        <v/>
      </c>
      <c r="O26" s="1077" t="str">
        <f t="shared" si="7"/>
        <v/>
      </c>
      <c r="P26" s="1172" t="str">
        <f t="shared" si="8"/>
        <v/>
      </c>
      <c r="Q26" s="91"/>
      <c r="R26" s="936" t="str">
        <f t="shared" si="9"/>
        <v/>
      </c>
      <c r="S26" s="936" t="str">
        <f t="shared" si="10"/>
        <v/>
      </c>
      <c r="T26" s="937" t="str">
        <f t="shared" si="11"/>
        <v/>
      </c>
      <c r="U26" s="361"/>
      <c r="V26" s="381"/>
      <c r="W26" s="375"/>
      <c r="X26" s="375"/>
      <c r="Y26" s="1120" t="e">
        <f>VLOOKUP(H26,tab!$A$73:$V$114,I26+2,FALSE)</f>
        <v>#N/A</v>
      </c>
      <c r="Z26" s="1211">
        <f>tab!$D$64</f>
        <v>0.62</v>
      </c>
      <c r="AA26" s="1163" t="e">
        <f t="shared" si="12"/>
        <v>#N/A</v>
      </c>
      <c r="AB26" s="1163" t="e">
        <f t="shared" si="13"/>
        <v>#N/A</v>
      </c>
      <c r="AC26" s="1163" t="e">
        <f t="shared" si="14"/>
        <v>#N/A</v>
      </c>
      <c r="AD26" s="1162" t="e">
        <f t="shared" si="15"/>
        <v>#VALUE!</v>
      </c>
      <c r="AE26" s="1162">
        <f t="shared" si="16"/>
        <v>0</v>
      </c>
      <c r="AF26" s="1129">
        <f>IF(H26&gt;8,tab!$D$65,tab!$D$67)</f>
        <v>0.4</v>
      </c>
      <c r="AG26" s="1143">
        <f t="shared" si="0"/>
        <v>0</v>
      </c>
      <c r="AH26" s="1159">
        <f t="shared" si="1"/>
        <v>0</v>
      </c>
      <c r="AI26" s="1142" t="b">
        <f>DATE(YEAR(tab!$E$3),MONTH(G26),DAY(G26))&gt;tab!$E$3</f>
        <v>0</v>
      </c>
      <c r="AJ26" s="1143">
        <f t="shared" si="2"/>
        <v>115</v>
      </c>
      <c r="AK26" s="1096">
        <f t="shared" si="3"/>
        <v>30</v>
      </c>
      <c r="AL26" s="1096">
        <f t="shared" si="4"/>
        <v>30</v>
      </c>
      <c r="AM26" s="1143">
        <f t="shared" si="5"/>
        <v>0</v>
      </c>
    </row>
    <row r="27" spans="2:40" ht="12.75" customHeight="1" x14ac:dyDescent="0.2">
      <c r="B27" s="69"/>
      <c r="C27" s="90"/>
      <c r="D27" s="97"/>
      <c r="E27" s="97"/>
      <c r="F27" s="114"/>
      <c r="G27" s="377"/>
      <c r="H27" s="114"/>
      <c r="I27" s="129"/>
      <c r="J27" s="378"/>
      <c r="K27" s="1194"/>
      <c r="L27" s="1065"/>
      <c r="M27" s="1065"/>
      <c r="N27" s="1077" t="str">
        <f t="shared" si="6"/>
        <v/>
      </c>
      <c r="O27" s="1077" t="str">
        <f t="shared" si="7"/>
        <v/>
      </c>
      <c r="P27" s="1172" t="str">
        <f t="shared" si="8"/>
        <v/>
      </c>
      <c r="Q27" s="91"/>
      <c r="R27" s="936" t="str">
        <f t="shared" si="9"/>
        <v/>
      </c>
      <c r="S27" s="936" t="str">
        <f t="shared" si="10"/>
        <v/>
      </c>
      <c r="T27" s="937" t="str">
        <f t="shared" si="11"/>
        <v/>
      </c>
      <c r="U27" s="361"/>
      <c r="V27" s="381"/>
      <c r="W27" s="375"/>
      <c r="X27" s="375"/>
      <c r="Y27" s="1120" t="e">
        <f>VLOOKUP(H27,tab!$A$73:$V$114,I27+2,FALSE)</f>
        <v>#N/A</v>
      </c>
      <c r="Z27" s="1211">
        <f>tab!$D$64</f>
        <v>0.62</v>
      </c>
      <c r="AA27" s="1163" t="e">
        <f t="shared" si="12"/>
        <v>#N/A</v>
      </c>
      <c r="AB27" s="1163" t="e">
        <f t="shared" si="13"/>
        <v>#N/A</v>
      </c>
      <c r="AC27" s="1163" t="e">
        <f t="shared" si="14"/>
        <v>#N/A</v>
      </c>
      <c r="AD27" s="1162" t="e">
        <f t="shared" si="15"/>
        <v>#VALUE!</v>
      </c>
      <c r="AE27" s="1162">
        <f t="shared" si="16"/>
        <v>0</v>
      </c>
      <c r="AF27" s="1129">
        <f>IF(H27&gt;8,tab!$D$65,tab!$D$67)</f>
        <v>0.4</v>
      </c>
      <c r="AG27" s="1143">
        <f t="shared" si="0"/>
        <v>0</v>
      </c>
      <c r="AH27" s="1159">
        <f t="shared" si="1"/>
        <v>0</v>
      </c>
      <c r="AI27" s="1142" t="b">
        <f>DATE(YEAR(tab!$E$3),MONTH(G27),DAY(G27))&gt;tab!$E$3</f>
        <v>0</v>
      </c>
      <c r="AJ27" s="1143">
        <f t="shared" si="2"/>
        <v>115</v>
      </c>
      <c r="AK27" s="1096">
        <f t="shared" si="3"/>
        <v>30</v>
      </c>
      <c r="AL27" s="1096">
        <f t="shared" si="4"/>
        <v>30</v>
      </c>
      <c r="AM27" s="1143">
        <f t="shared" si="5"/>
        <v>0</v>
      </c>
    </row>
    <row r="28" spans="2:40" ht="12.75" customHeight="1" x14ac:dyDescent="0.2">
      <c r="B28" s="69"/>
      <c r="C28" s="90"/>
      <c r="D28" s="97"/>
      <c r="E28" s="97"/>
      <c r="F28" s="114"/>
      <c r="G28" s="377"/>
      <c r="H28" s="114"/>
      <c r="I28" s="129"/>
      <c r="J28" s="378"/>
      <c r="K28" s="1194"/>
      <c r="L28" s="1065"/>
      <c r="M28" s="1065"/>
      <c r="N28" s="1077" t="str">
        <f t="shared" si="6"/>
        <v/>
      </c>
      <c r="O28" s="1077" t="str">
        <f t="shared" si="7"/>
        <v/>
      </c>
      <c r="P28" s="1172" t="str">
        <f t="shared" si="8"/>
        <v/>
      </c>
      <c r="Q28" s="91"/>
      <c r="R28" s="936" t="str">
        <f t="shared" si="9"/>
        <v/>
      </c>
      <c r="S28" s="936" t="str">
        <f t="shared" si="10"/>
        <v/>
      </c>
      <c r="T28" s="937" t="str">
        <f t="shared" si="11"/>
        <v/>
      </c>
      <c r="U28" s="361"/>
      <c r="V28" s="381"/>
      <c r="W28" s="375"/>
      <c r="X28" s="375"/>
      <c r="Y28" s="1120" t="e">
        <f>VLOOKUP(H28,tab!$A$73:$V$114,I28+2,FALSE)</f>
        <v>#N/A</v>
      </c>
      <c r="Z28" s="1211">
        <f>tab!$D$64</f>
        <v>0.62</v>
      </c>
      <c r="AA28" s="1163" t="e">
        <f t="shared" si="12"/>
        <v>#N/A</v>
      </c>
      <c r="AB28" s="1163" t="e">
        <f t="shared" si="13"/>
        <v>#N/A</v>
      </c>
      <c r="AC28" s="1163" t="e">
        <f t="shared" si="14"/>
        <v>#N/A</v>
      </c>
      <c r="AD28" s="1162" t="e">
        <f t="shared" si="15"/>
        <v>#VALUE!</v>
      </c>
      <c r="AE28" s="1162">
        <f t="shared" si="16"/>
        <v>0</v>
      </c>
      <c r="AF28" s="1129">
        <f>IF(H28&gt;8,tab!$D$65,tab!$D$67)</f>
        <v>0.4</v>
      </c>
      <c r="AG28" s="1143">
        <f t="shared" si="0"/>
        <v>0</v>
      </c>
      <c r="AH28" s="1159">
        <f t="shared" si="1"/>
        <v>0</v>
      </c>
      <c r="AI28" s="1142" t="b">
        <f>DATE(YEAR(tab!$E$3),MONTH(G28),DAY(G28))&gt;tab!$E$3</f>
        <v>0</v>
      </c>
      <c r="AJ28" s="1143">
        <f t="shared" si="2"/>
        <v>115</v>
      </c>
      <c r="AK28" s="1096">
        <f t="shared" si="3"/>
        <v>30</v>
      </c>
      <c r="AL28" s="1096">
        <f t="shared" si="4"/>
        <v>30</v>
      </c>
      <c r="AM28" s="1143">
        <f t="shared" si="5"/>
        <v>0</v>
      </c>
    </row>
    <row r="29" spans="2:40" ht="12.75" customHeight="1" x14ac:dyDescent="0.2">
      <c r="B29" s="69"/>
      <c r="C29" s="90"/>
      <c r="D29" s="97"/>
      <c r="E29" s="97"/>
      <c r="F29" s="114"/>
      <c r="G29" s="377"/>
      <c r="H29" s="114"/>
      <c r="I29" s="129"/>
      <c r="J29" s="378"/>
      <c r="K29" s="1194"/>
      <c r="L29" s="1065"/>
      <c r="M29" s="1065"/>
      <c r="N29" s="1077" t="str">
        <f t="shared" si="6"/>
        <v/>
      </c>
      <c r="O29" s="1077" t="str">
        <f t="shared" si="7"/>
        <v/>
      </c>
      <c r="P29" s="1172" t="str">
        <f t="shared" si="8"/>
        <v/>
      </c>
      <c r="Q29" s="91"/>
      <c r="R29" s="936" t="str">
        <f t="shared" si="9"/>
        <v/>
      </c>
      <c r="S29" s="936" t="str">
        <f t="shared" si="10"/>
        <v/>
      </c>
      <c r="T29" s="937" t="str">
        <f t="shared" si="11"/>
        <v/>
      </c>
      <c r="U29" s="361"/>
      <c r="V29" s="381"/>
      <c r="W29" s="375"/>
      <c r="X29" s="375"/>
      <c r="Y29" s="1120" t="e">
        <f>VLOOKUP(H29,tab!$A$73:$V$114,I29+2,FALSE)</f>
        <v>#N/A</v>
      </c>
      <c r="Z29" s="1211">
        <f>tab!$D$64</f>
        <v>0.62</v>
      </c>
      <c r="AA29" s="1163" t="e">
        <f t="shared" si="12"/>
        <v>#N/A</v>
      </c>
      <c r="AB29" s="1163" t="e">
        <f t="shared" si="13"/>
        <v>#N/A</v>
      </c>
      <c r="AC29" s="1163" t="e">
        <f t="shared" si="14"/>
        <v>#N/A</v>
      </c>
      <c r="AD29" s="1162" t="e">
        <f t="shared" si="15"/>
        <v>#VALUE!</v>
      </c>
      <c r="AE29" s="1162">
        <f t="shared" si="16"/>
        <v>0</v>
      </c>
      <c r="AF29" s="1129">
        <f>IF(H29&gt;8,tab!$D$65,tab!$D$67)</f>
        <v>0.4</v>
      </c>
      <c r="AG29" s="1143">
        <f t="shared" si="0"/>
        <v>0</v>
      </c>
      <c r="AH29" s="1159">
        <f t="shared" si="1"/>
        <v>0</v>
      </c>
      <c r="AI29" s="1142" t="b">
        <f>DATE(YEAR(tab!$E$3),MONTH(G29),DAY(G29))&gt;tab!$E$3</f>
        <v>0</v>
      </c>
      <c r="AJ29" s="1143">
        <f t="shared" si="2"/>
        <v>115</v>
      </c>
      <c r="AK29" s="1096">
        <f t="shared" si="3"/>
        <v>30</v>
      </c>
      <c r="AL29" s="1096">
        <f t="shared" si="4"/>
        <v>30</v>
      </c>
      <c r="AM29" s="1143">
        <f t="shared" si="5"/>
        <v>0</v>
      </c>
    </row>
    <row r="30" spans="2:40" ht="12.75" customHeight="1" x14ac:dyDescent="0.2">
      <c r="B30" s="69"/>
      <c r="C30" s="90"/>
      <c r="D30" s="97"/>
      <c r="E30" s="97"/>
      <c r="F30" s="114"/>
      <c r="G30" s="377"/>
      <c r="H30" s="114"/>
      <c r="I30" s="129"/>
      <c r="J30" s="378"/>
      <c r="K30" s="1194"/>
      <c r="L30" s="1065"/>
      <c r="M30" s="1065"/>
      <c r="N30" s="1077" t="str">
        <f t="shared" si="6"/>
        <v/>
      </c>
      <c r="O30" s="1077" t="str">
        <f t="shared" si="7"/>
        <v/>
      </c>
      <c r="P30" s="1172" t="str">
        <f t="shared" si="8"/>
        <v/>
      </c>
      <c r="Q30" s="91"/>
      <c r="R30" s="936" t="str">
        <f t="shared" si="9"/>
        <v/>
      </c>
      <c r="S30" s="936" t="str">
        <f t="shared" si="10"/>
        <v/>
      </c>
      <c r="T30" s="937" t="str">
        <f t="shared" si="11"/>
        <v/>
      </c>
      <c r="U30" s="361"/>
      <c r="V30" s="381"/>
      <c r="W30" s="375"/>
      <c r="X30" s="375"/>
      <c r="Y30" s="1120" t="e">
        <f>VLOOKUP(H30,tab!$A$73:$V$114,I30+2,FALSE)</f>
        <v>#N/A</v>
      </c>
      <c r="Z30" s="1211">
        <f>tab!$D$64</f>
        <v>0.62</v>
      </c>
      <c r="AA30" s="1163" t="e">
        <f t="shared" si="12"/>
        <v>#N/A</v>
      </c>
      <c r="AB30" s="1163" t="e">
        <f t="shared" si="13"/>
        <v>#N/A</v>
      </c>
      <c r="AC30" s="1163" t="e">
        <f t="shared" si="14"/>
        <v>#N/A</v>
      </c>
      <c r="AD30" s="1162" t="e">
        <f t="shared" si="15"/>
        <v>#VALUE!</v>
      </c>
      <c r="AE30" s="1162">
        <f t="shared" si="16"/>
        <v>0</v>
      </c>
      <c r="AF30" s="1129">
        <f>IF(H30&gt;8,tab!$D$65,tab!$D$67)</f>
        <v>0.4</v>
      </c>
      <c r="AG30" s="1143">
        <f t="shared" si="0"/>
        <v>0</v>
      </c>
      <c r="AH30" s="1159">
        <f t="shared" si="1"/>
        <v>0</v>
      </c>
      <c r="AI30" s="1142" t="b">
        <f>DATE(YEAR(tab!$E$3),MONTH(G30),DAY(G30))&gt;tab!$E$3</f>
        <v>0</v>
      </c>
      <c r="AJ30" s="1143">
        <f t="shared" si="2"/>
        <v>115</v>
      </c>
      <c r="AK30" s="1096">
        <f t="shared" si="3"/>
        <v>30</v>
      </c>
      <c r="AL30" s="1096">
        <f t="shared" si="4"/>
        <v>30</v>
      </c>
      <c r="AM30" s="1143">
        <f t="shared" si="5"/>
        <v>0</v>
      </c>
    </row>
    <row r="31" spans="2:40" ht="12.75" customHeight="1" x14ac:dyDescent="0.2">
      <c r="B31" s="69"/>
      <c r="C31" s="90"/>
      <c r="D31" s="97"/>
      <c r="E31" s="97"/>
      <c r="F31" s="114"/>
      <c r="G31" s="377"/>
      <c r="H31" s="114"/>
      <c r="I31" s="129"/>
      <c r="J31" s="378"/>
      <c r="K31" s="1194"/>
      <c r="L31" s="1065"/>
      <c r="M31" s="1065"/>
      <c r="N31" s="1077" t="str">
        <f t="shared" si="6"/>
        <v/>
      </c>
      <c r="O31" s="1077" t="str">
        <f t="shared" si="7"/>
        <v/>
      </c>
      <c r="P31" s="1172" t="str">
        <f t="shared" si="8"/>
        <v/>
      </c>
      <c r="Q31" s="91"/>
      <c r="R31" s="936" t="str">
        <f t="shared" si="9"/>
        <v/>
      </c>
      <c r="S31" s="936" t="str">
        <f t="shared" si="10"/>
        <v/>
      </c>
      <c r="T31" s="937" t="str">
        <f t="shared" si="11"/>
        <v/>
      </c>
      <c r="U31" s="361"/>
      <c r="V31" s="381"/>
      <c r="W31" s="375"/>
      <c r="X31" s="375"/>
      <c r="Y31" s="1120" t="e">
        <f>VLOOKUP(H31,tab!$A$73:$V$114,I31+2,FALSE)</f>
        <v>#N/A</v>
      </c>
      <c r="Z31" s="1211">
        <f>tab!$D$64</f>
        <v>0.62</v>
      </c>
      <c r="AA31" s="1163" t="e">
        <f t="shared" si="12"/>
        <v>#N/A</v>
      </c>
      <c r="AB31" s="1163" t="e">
        <f t="shared" si="13"/>
        <v>#N/A</v>
      </c>
      <c r="AC31" s="1163" t="e">
        <f t="shared" si="14"/>
        <v>#N/A</v>
      </c>
      <c r="AD31" s="1162" t="e">
        <f t="shared" si="15"/>
        <v>#VALUE!</v>
      </c>
      <c r="AE31" s="1162">
        <f t="shared" si="16"/>
        <v>0</v>
      </c>
      <c r="AF31" s="1129">
        <f>IF(H31&gt;8,tab!$D$65,tab!$D$67)</f>
        <v>0.4</v>
      </c>
      <c r="AG31" s="1143">
        <f t="shared" si="0"/>
        <v>0</v>
      </c>
      <c r="AH31" s="1159">
        <f t="shared" si="1"/>
        <v>0</v>
      </c>
      <c r="AI31" s="1142" t="b">
        <f>DATE(YEAR(tab!$E$3),MONTH(G31),DAY(G31))&gt;tab!$E$3</f>
        <v>0</v>
      </c>
      <c r="AJ31" s="1143">
        <f t="shared" si="2"/>
        <v>115</v>
      </c>
      <c r="AK31" s="1096">
        <f t="shared" si="3"/>
        <v>30</v>
      </c>
      <c r="AL31" s="1096">
        <f t="shared" si="4"/>
        <v>30</v>
      </c>
      <c r="AM31" s="1143">
        <f t="shared" si="5"/>
        <v>0</v>
      </c>
    </row>
    <row r="32" spans="2:40" ht="12.75" customHeight="1" x14ac:dyDescent="0.2">
      <c r="B32" s="69"/>
      <c r="C32" s="90"/>
      <c r="D32" s="97"/>
      <c r="E32" s="97"/>
      <c r="F32" s="114"/>
      <c r="G32" s="377"/>
      <c r="H32" s="114"/>
      <c r="I32" s="129"/>
      <c r="J32" s="378"/>
      <c r="K32" s="1194"/>
      <c r="L32" s="1065"/>
      <c r="M32" s="1065"/>
      <c r="N32" s="1077" t="str">
        <f t="shared" si="6"/>
        <v/>
      </c>
      <c r="O32" s="1077" t="str">
        <f t="shared" si="7"/>
        <v/>
      </c>
      <c r="P32" s="1172" t="str">
        <f t="shared" si="8"/>
        <v/>
      </c>
      <c r="Q32" s="91"/>
      <c r="R32" s="936" t="str">
        <f t="shared" si="9"/>
        <v/>
      </c>
      <c r="S32" s="936" t="str">
        <f t="shared" si="10"/>
        <v/>
      </c>
      <c r="T32" s="937" t="str">
        <f t="shared" si="11"/>
        <v/>
      </c>
      <c r="U32" s="361"/>
      <c r="V32" s="381"/>
      <c r="W32" s="375"/>
      <c r="X32" s="375"/>
      <c r="Y32" s="1120" t="e">
        <f>VLOOKUP(H32,tab!$A$73:$V$114,I32+2,FALSE)</f>
        <v>#N/A</v>
      </c>
      <c r="Z32" s="1211">
        <f>tab!$D$64</f>
        <v>0.62</v>
      </c>
      <c r="AA32" s="1163" t="e">
        <f t="shared" si="12"/>
        <v>#N/A</v>
      </c>
      <c r="AB32" s="1163" t="e">
        <f t="shared" si="13"/>
        <v>#N/A</v>
      </c>
      <c r="AC32" s="1163" t="e">
        <f t="shared" si="14"/>
        <v>#N/A</v>
      </c>
      <c r="AD32" s="1162" t="e">
        <f t="shared" si="15"/>
        <v>#VALUE!</v>
      </c>
      <c r="AE32" s="1162">
        <f t="shared" si="16"/>
        <v>0</v>
      </c>
      <c r="AF32" s="1129">
        <f>IF(H32&gt;8,tab!$D$65,tab!$D$67)</f>
        <v>0.4</v>
      </c>
      <c r="AG32" s="1143">
        <f t="shared" si="0"/>
        <v>0</v>
      </c>
      <c r="AH32" s="1159">
        <f t="shared" si="1"/>
        <v>0</v>
      </c>
      <c r="AI32" s="1142" t="b">
        <f>DATE(YEAR(tab!$E$3),MONTH(G32),DAY(G32))&gt;tab!$E$3</f>
        <v>0</v>
      </c>
      <c r="AJ32" s="1143">
        <f t="shared" si="2"/>
        <v>115</v>
      </c>
      <c r="AK32" s="1096">
        <f t="shared" si="3"/>
        <v>30</v>
      </c>
      <c r="AL32" s="1096">
        <f>IF((AK32)&gt;50,50,(AK32))</f>
        <v>30</v>
      </c>
      <c r="AM32" s="1143">
        <f t="shared" si="5"/>
        <v>0</v>
      </c>
    </row>
    <row r="33" spans="2:39" ht="12.75" customHeight="1" x14ac:dyDescent="0.2">
      <c r="B33" s="69"/>
      <c r="C33" s="90"/>
      <c r="D33" s="97"/>
      <c r="E33" s="97"/>
      <c r="F33" s="114"/>
      <c r="G33" s="377"/>
      <c r="H33" s="114"/>
      <c r="I33" s="129"/>
      <c r="J33" s="378"/>
      <c r="K33" s="1194"/>
      <c r="L33" s="1065"/>
      <c r="M33" s="1065"/>
      <c r="N33" s="1077" t="str">
        <f t="shared" si="6"/>
        <v/>
      </c>
      <c r="O33" s="1077" t="str">
        <f t="shared" si="7"/>
        <v/>
      </c>
      <c r="P33" s="1172" t="str">
        <f t="shared" si="8"/>
        <v/>
      </c>
      <c r="Q33" s="91"/>
      <c r="R33" s="936" t="str">
        <f t="shared" si="9"/>
        <v/>
      </c>
      <c r="S33" s="936" t="str">
        <f t="shared" si="10"/>
        <v/>
      </c>
      <c r="T33" s="937" t="str">
        <f t="shared" si="11"/>
        <v/>
      </c>
      <c r="U33" s="361"/>
      <c r="V33" s="381"/>
      <c r="W33" s="375"/>
      <c r="X33" s="375"/>
      <c r="Y33" s="1120" t="e">
        <f>VLOOKUP(H33,tab!$A$73:$V$114,I33+2,FALSE)</f>
        <v>#N/A</v>
      </c>
      <c r="Z33" s="1211">
        <f>tab!$D$64</f>
        <v>0.62</v>
      </c>
      <c r="AA33" s="1163" t="e">
        <f t="shared" si="12"/>
        <v>#N/A</v>
      </c>
      <c r="AB33" s="1163" t="e">
        <f t="shared" si="13"/>
        <v>#N/A</v>
      </c>
      <c r="AC33" s="1163" t="e">
        <f t="shared" si="14"/>
        <v>#N/A</v>
      </c>
      <c r="AD33" s="1162" t="e">
        <f t="shared" si="15"/>
        <v>#VALUE!</v>
      </c>
      <c r="AE33" s="1162">
        <f t="shared" si="16"/>
        <v>0</v>
      </c>
      <c r="AF33" s="1129">
        <f>IF(H33&gt;8,tab!$D$65,tab!$D$67)</f>
        <v>0.4</v>
      </c>
      <c r="AG33" s="1143">
        <f t="shared" si="0"/>
        <v>0</v>
      </c>
      <c r="AH33" s="1159">
        <f t="shared" si="1"/>
        <v>0</v>
      </c>
      <c r="AI33" s="1142" t="b">
        <f>DATE(YEAR(tab!$E$3),MONTH(G33),DAY(G33))&gt;tab!$E$3</f>
        <v>0</v>
      </c>
      <c r="AJ33" s="1143">
        <f t="shared" si="2"/>
        <v>115</v>
      </c>
      <c r="AK33" s="1096">
        <f t="shared" si="3"/>
        <v>30</v>
      </c>
      <c r="AL33" s="1096">
        <f t="shared" si="4"/>
        <v>30</v>
      </c>
      <c r="AM33" s="1143">
        <f t="shared" si="5"/>
        <v>0</v>
      </c>
    </row>
    <row r="34" spans="2:39" ht="12.75" customHeight="1" x14ac:dyDescent="0.2">
      <c r="B34" s="69"/>
      <c r="C34" s="90"/>
      <c r="D34" s="97"/>
      <c r="E34" s="97"/>
      <c r="F34" s="114"/>
      <c r="G34" s="377"/>
      <c r="H34" s="114"/>
      <c r="I34" s="129"/>
      <c r="J34" s="378"/>
      <c r="K34" s="1194"/>
      <c r="L34" s="1065"/>
      <c r="M34" s="1065"/>
      <c r="N34" s="1077" t="str">
        <f t="shared" si="6"/>
        <v/>
      </c>
      <c r="O34" s="1077" t="str">
        <f t="shared" si="7"/>
        <v/>
      </c>
      <c r="P34" s="1172" t="str">
        <f t="shared" si="8"/>
        <v/>
      </c>
      <c r="Q34" s="91"/>
      <c r="R34" s="936" t="str">
        <f t="shared" si="9"/>
        <v/>
      </c>
      <c r="S34" s="936" t="str">
        <f t="shared" si="10"/>
        <v/>
      </c>
      <c r="T34" s="937" t="str">
        <f t="shared" si="11"/>
        <v/>
      </c>
      <c r="U34" s="361"/>
      <c r="V34" s="381"/>
      <c r="W34" s="375"/>
      <c r="X34" s="375"/>
      <c r="Y34" s="1120" t="e">
        <f>VLOOKUP(H34,tab!$A$73:$V$114,I34+2,FALSE)</f>
        <v>#N/A</v>
      </c>
      <c r="Z34" s="1211">
        <f>tab!$D$64</f>
        <v>0.62</v>
      </c>
      <c r="AA34" s="1163" t="e">
        <f t="shared" si="12"/>
        <v>#N/A</v>
      </c>
      <c r="AB34" s="1163" t="e">
        <f t="shared" si="13"/>
        <v>#N/A</v>
      </c>
      <c r="AC34" s="1163" t="e">
        <f t="shared" si="14"/>
        <v>#N/A</v>
      </c>
      <c r="AD34" s="1162" t="e">
        <f t="shared" si="15"/>
        <v>#VALUE!</v>
      </c>
      <c r="AE34" s="1162">
        <f t="shared" si="16"/>
        <v>0</v>
      </c>
      <c r="AF34" s="1129">
        <f>IF(H34&gt;8,tab!$D$65,tab!$D$67)</f>
        <v>0.4</v>
      </c>
      <c r="AG34" s="1143">
        <f t="shared" si="0"/>
        <v>0</v>
      </c>
      <c r="AH34" s="1159">
        <f t="shared" si="1"/>
        <v>0</v>
      </c>
      <c r="AI34" s="1142" t="b">
        <f>DATE(YEAR(tab!$E$3),MONTH(G34),DAY(G34))&gt;tab!$E$3</f>
        <v>0</v>
      </c>
      <c r="AJ34" s="1143">
        <f t="shared" si="2"/>
        <v>115</v>
      </c>
      <c r="AK34" s="1096">
        <f t="shared" si="3"/>
        <v>30</v>
      </c>
      <c r="AL34" s="1096">
        <f t="shared" si="4"/>
        <v>30</v>
      </c>
      <c r="AM34" s="1143">
        <f t="shared" si="5"/>
        <v>0</v>
      </c>
    </row>
    <row r="35" spans="2:39" ht="12.75" customHeight="1" x14ac:dyDescent="0.2">
      <c r="B35" s="69"/>
      <c r="C35" s="90"/>
      <c r="D35" s="97"/>
      <c r="E35" s="97"/>
      <c r="F35" s="114"/>
      <c r="G35" s="377"/>
      <c r="H35" s="114"/>
      <c r="I35" s="129"/>
      <c r="J35" s="378"/>
      <c r="K35" s="1194"/>
      <c r="L35" s="1065"/>
      <c r="M35" s="1065"/>
      <c r="N35" s="1077" t="str">
        <f t="shared" si="6"/>
        <v/>
      </c>
      <c r="O35" s="1077" t="str">
        <f t="shared" si="7"/>
        <v/>
      </c>
      <c r="P35" s="1172" t="str">
        <f t="shared" si="8"/>
        <v/>
      </c>
      <c r="Q35" s="91"/>
      <c r="R35" s="936" t="str">
        <f t="shared" si="9"/>
        <v/>
      </c>
      <c r="S35" s="936" t="str">
        <f t="shared" si="10"/>
        <v/>
      </c>
      <c r="T35" s="937" t="str">
        <f t="shared" si="11"/>
        <v/>
      </c>
      <c r="U35" s="361"/>
      <c r="V35" s="381"/>
      <c r="W35" s="375"/>
      <c r="X35" s="375"/>
      <c r="Y35" s="1120" t="e">
        <f>VLOOKUP(H35,tab!$A$73:$V$114,I35+2,FALSE)</f>
        <v>#N/A</v>
      </c>
      <c r="Z35" s="1211">
        <f>tab!$D$64</f>
        <v>0.62</v>
      </c>
      <c r="AA35" s="1163" t="e">
        <f t="shared" si="12"/>
        <v>#N/A</v>
      </c>
      <c r="AB35" s="1163" t="e">
        <f t="shared" si="13"/>
        <v>#N/A</v>
      </c>
      <c r="AC35" s="1163" t="e">
        <f t="shared" si="14"/>
        <v>#N/A</v>
      </c>
      <c r="AD35" s="1162" t="e">
        <f t="shared" si="15"/>
        <v>#VALUE!</v>
      </c>
      <c r="AE35" s="1162">
        <f t="shared" si="16"/>
        <v>0</v>
      </c>
      <c r="AF35" s="1129">
        <f>IF(H35&gt;8,tab!$D$65,tab!$D$67)</f>
        <v>0.4</v>
      </c>
      <c r="AG35" s="1143">
        <f t="shared" si="0"/>
        <v>0</v>
      </c>
      <c r="AH35" s="1159">
        <f t="shared" si="1"/>
        <v>0</v>
      </c>
      <c r="AI35" s="1142" t="b">
        <f>DATE(YEAR(tab!$E$3),MONTH(G35),DAY(G35))&gt;tab!$E$3</f>
        <v>0</v>
      </c>
      <c r="AJ35" s="1143">
        <f t="shared" si="2"/>
        <v>115</v>
      </c>
      <c r="AK35" s="1096">
        <f t="shared" si="3"/>
        <v>30</v>
      </c>
      <c r="AL35" s="1096">
        <f t="shared" si="4"/>
        <v>30</v>
      </c>
      <c r="AM35" s="1143">
        <f t="shared" si="5"/>
        <v>0</v>
      </c>
    </row>
    <row r="36" spans="2:39" ht="12.75" customHeight="1" x14ac:dyDescent="0.2">
      <c r="B36" s="69"/>
      <c r="C36" s="90"/>
      <c r="D36" s="97"/>
      <c r="E36" s="97"/>
      <c r="F36" s="114"/>
      <c r="G36" s="377"/>
      <c r="H36" s="114"/>
      <c r="I36" s="129"/>
      <c r="J36" s="378"/>
      <c r="K36" s="1194"/>
      <c r="L36" s="1065"/>
      <c r="M36" s="1065"/>
      <c r="N36" s="1077" t="str">
        <f t="shared" si="6"/>
        <v/>
      </c>
      <c r="O36" s="1077" t="str">
        <f t="shared" si="7"/>
        <v/>
      </c>
      <c r="P36" s="1172" t="str">
        <f t="shared" si="8"/>
        <v/>
      </c>
      <c r="Q36" s="91"/>
      <c r="R36" s="936" t="str">
        <f t="shared" si="9"/>
        <v/>
      </c>
      <c r="S36" s="936" t="str">
        <f t="shared" si="10"/>
        <v/>
      </c>
      <c r="T36" s="937" t="str">
        <f t="shared" si="11"/>
        <v/>
      </c>
      <c r="U36" s="361"/>
      <c r="V36" s="381"/>
      <c r="W36" s="375"/>
      <c r="X36" s="375"/>
      <c r="Y36" s="1120" t="e">
        <f>VLOOKUP(H36,tab!$A$73:$V$114,I36+2,FALSE)</f>
        <v>#N/A</v>
      </c>
      <c r="Z36" s="1211">
        <f>tab!$D$64</f>
        <v>0.62</v>
      </c>
      <c r="AA36" s="1163" t="e">
        <f t="shared" si="12"/>
        <v>#N/A</v>
      </c>
      <c r="AB36" s="1163" t="e">
        <f t="shared" si="13"/>
        <v>#N/A</v>
      </c>
      <c r="AC36" s="1163" t="e">
        <f t="shared" si="14"/>
        <v>#N/A</v>
      </c>
      <c r="AD36" s="1162" t="e">
        <f t="shared" si="15"/>
        <v>#VALUE!</v>
      </c>
      <c r="AE36" s="1162">
        <f t="shared" si="16"/>
        <v>0</v>
      </c>
      <c r="AF36" s="1129">
        <f>IF(H36&gt;8,tab!$D$65,tab!$D$67)</f>
        <v>0.4</v>
      </c>
      <c r="AG36" s="1143">
        <f t="shared" si="0"/>
        <v>0</v>
      </c>
      <c r="AH36" s="1159">
        <f t="shared" si="1"/>
        <v>0</v>
      </c>
      <c r="AI36" s="1142" t="b">
        <f>DATE(YEAR(tab!$E$3),MONTH(G36),DAY(G36))&gt;tab!$E$3</f>
        <v>0</v>
      </c>
      <c r="AJ36" s="1143">
        <f t="shared" si="2"/>
        <v>115</v>
      </c>
      <c r="AK36" s="1096">
        <f t="shared" si="3"/>
        <v>30</v>
      </c>
      <c r="AL36" s="1096">
        <f t="shared" si="4"/>
        <v>30</v>
      </c>
      <c r="AM36" s="1143">
        <f t="shared" si="5"/>
        <v>0</v>
      </c>
    </row>
    <row r="37" spans="2:39" ht="12.75" customHeight="1" x14ac:dyDescent="0.2">
      <c r="B37" s="69"/>
      <c r="C37" s="90"/>
      <c r="D37" s="97"/>
      <c r="E37" s="97"/>
      <c r="F37" s="114"/>
      <c r="G37" s="377"/>
      <c r="H37" s="114"/>
      <c r="I37" s="129"/>
      <c r="J37" s="378"/>
      <c r="K37" s="1194"/>
      <c r="L37" s="1065"/>
      <c r="M37" s="1065"/>
      <c r="N37" s="1077" t="str">
        <f t="shared" si="6"/>
        <v/>
      </c>
      <c r="O37" s="1077" t="str">
        <f t="shared" si="7"/>
        <v/>
      </c>
      <c r="P37" s="1172" t="str">
        <f t="shared" si="8"/>
        <v/>
      </c>
      <c r="Q37" s="91"/>
      <c r="R37" s="936" t="str">
        <f t="shared" si="9"/>
        <v/>
      </c>
      <c r="S37" s="936" t="str">
        <f t="shared" si="10"/>
        <v/>
      </c>
      <c r="T37" s="937" t="str">
        <f t="shared" si="11"/>
        <v/>
      </c>
      <c r="U37" s="361"/>
      <c r="V37" s="381"/>
      <c r="W37" s="375"/>
      <c r="X37" s="375"/>
      <c r="Y37" s="1120" t="e">
        <f>VLOOKUP(H37,tab!$A$73:$V$114,I37+2,FALSE)</f>
        <v>#N/A</v>
      </c>
      <c r="Z37" s="1211">
        <f>tab!$D$64</f>
        <v>0.62</v>
      </c>
      <c r="AA37" s="1163" t="e">
        <f t="shared" si="12"/>
        <v>#N/A</v>
      </c>
      <c r="AB37" s="1163" t="e">
        <f t="shared" si="13"/>
        <v>#N/A</v>
      </c>
      <c r="AC37" s="1163" t="e">
        <f t="shared" si="14"/>
        <v>#N/A</v>
      </c>
      <c r="AD37" s="1162" t="e">
        <f t="shared" si="15"/>
        <v>#VALUE!</v>
      </c>
      <c r="AE37" s="1162">
        <f t="shared" si="16"/>
        <v>0</v>
      </c>
      <c r="AF37" s="1129">
        <f>IF(H37&gt;8,tab!$D$65,tab!$D$67)</f>
        <v>0.4</v>
      </c>
      <c r="AG37" s="1143">
        <f t="shared" si="0"/>
        <v>0</v>
      </c>
      <c r="AH37" s="1159">
        <f t="shared" si="1"/>
        <v>0</v>
      </c>
      <c r="AI37" s="1142" t="b">
        <f>DATE(YEAR(tab!$E$3),MONTH(G37),DAY(G37))&gt;tab!$E$3</f>
        <v>0</v>
      </c>
      <c r="AJ37" s="1143">
        <f t="shared" si="2"/>
        <v>115</v>
      </c>
      <c r="AK37" s="1096">
        <f t="shared" si="3"/>
        <v>30</v>
      </c>
      <c r="AL37" s="1096">
        <f t="shared" si="4"/>
        <v>30</v>
      </c>
      <c r="AM37" s="1143">
        <f t="shared" si="5"/>
        <v>0</v>
      </c>
    </row>
    <row r="38" spans="2:39" ht="12.75" customHeight="1" x14ac:dyDescent="0.2">
      <c r="B38" s="69"/>
      <c r="C38" s="90"/>
      <c r="D38" s="97"/>
      <c r="E38" s="97"/>
      <c r="F38" s="114"/>
      <c r="G38" s="377"/>
      <c r="H38" s="114"/>
      <c r="I38" s="129"/>
      <c r="J38" s="378"/>
      <c r="K38" s="1194"/>
      <c r="L38" s="1065"/>
      <c r="M38" s="1065"/>
      <c r="N38" s="1077" t="str">
        <f t="shared" si="6"/>
        <v/>
      </c>
      <c r="O38" s="1077" t="str">
        <f t="shared" si="7"/>
        <v/>
      </c>
      <c r="P38" s="1172" t="str">
        <f t="shared" si="8"/>
        <v/>
      </c>
      <c r="Q38" s="91"/>
      <c r="R38" s="936" t="str">
        <f t="shared" si="9"/>
        <v/>
      </c>
      <c r="S38" s="936" t="str">
        <f t="shared" si="10"/>
        <v/>
      </c>
      <c r="T38" s="937" t="str">
        <f t="shared" si="11"/>
        <v/>
      </c>
      <c r="U38" s="361"/>
      <c r="V38" s="381"/>
      <c r="W38" s="375"/>
      <c r="X38" s="375"/>
      <c r="Y38" s="1120" t="e">
        <f>VLOOKUP(H38,tab!$A$73:$V$114,I38+2,FALSE)</f>
        <v>#N/A</v>
      </c>
      <c r="Z38" s="1211">
        <f>tab!$D$64</f>
        <v>0.62</v>
      </c>
      <c r="AA38" s="1163" t="e">
        <f t="shared" si="12"/>
        <v>#N/A</v>
      </c>
      <c r="AB38" s="1163" t="e">
        <f t="shared" si="13"/>
        <v>#N/A</v>
      </c>
      <c r="AC38" s="1163" t="e">
        <f t="shared" si="14"/>
        <v>#N/A</v>
      </c>
      <c r="AD38" s="1162" t="e">
        <f t="shared" si="15"/>
        <v>#VALUE!</v>
      </c>
      <c r="AE38" s="1162">
        <f t="shared" si="16"/>
        <v>0</v>
      </c>
      <c r="AF38" s="1129">
        <f>IF(H38&gt;8,tab!$D$65,tab!$D$67)</f>
        <v>0.4</v>
      </c>
      <c r="AG38" s="1143">
        <f t="shared" si="0"/>
        <v>0</v>
      </c>
      <c r="AH38" s="1159">
        <f t="shared" si="1"/>
        <v>0</v>
      </c>
      <c r="AI38" s="1142" t="b">
        <f>DATE(YEAR(tab!$E$3),MONTH(G38),DAY(G38))&gt;tab!$E$3</f>
        <v>0</v>
      </c>
      <c r="AJ38" s="1143">
        <f t="shared" si="2"/>
        <v>115</v>
      </c>
      <c r="AK38" s="1096">
        <f t="shared" si="3"/>
        <v>30</v>
      </c>
      <c r="AL38" s="1096">
        <f t="shared" si="4"/>
        <v>30</v>
      </c>
      <c r="AM38" s="1143">
        <f t="shared" si="5"/>
        <v>0</v>
      </c>
    </row>
    <row r="39" spans="2:39" ht="12.75" customHeight="1" x14ac:dyDescent="0.2">
      <c r="B39" s="69"/>
      <c r="C39" s="90"/>
      <c r="D39" s="97"/>
      <c r="E39" s="97"/>
      <c r="F39" s="114"/>
      <c r="G39" s="377"/>
      <c r="H39" s="114"/>
      <c r="I39" s="129"/>
      <c r="J39" s="378"/>
      <c r="K39" s="1194"/>
      <c r="L39" s="1065"/>
      <c r="M39" s="1065"/>
      <c r="N39" s="1077" t="str">
        <f t="shared" si="6"/>
        <v/>
      </c>
      <c r="O39" s="1077" t="str">
        <f t="shared" si="7"/>
        <v/>
      </c>
      <c r="P39" s="1172" t="str">
        <f t="shared" si="8"/>
        <v/>
      </c>
      <c r="Q39" s="91"/>
      <c r="R39" s="936" t="str">
        <f t="shared" si="9"/>
        <v/>
      </c>
      <c r="S39" s="936" t="str">
        <f t="shared" si="10"/>
        <v/>
      </c>
      <c r="T39" s="937" t="str">
        <f t="shared" si="11"/>
        <v/>
      </c>
      <c r="U39" s="361"/>
      <c r="V39" s="381"/>
      <c r="W39" s="375"/>
      <c r="X39" s="375"/>
      <c r="Y39" s="1120" t="e">
        <f>VLOOKUP(H39,tab!$A$73:$V$114,I39+2,FALSE)</f>
        <v>#N/A</v>
      </c>
      <c r="Z39" s="1211">
        <f>tab!$D$64</f>
        <v>0.62</v>
      </c>
      <c r="AA39" s="1163" t="e">
        <f t="shared" si="12"/>
        <v>#N/A</v>
      </c>
      <c r="AB39" s="1163" t="e">
        <f t="shared" si="13"/>
        <v>#N/A</v>
      </c>
      <c r="AC39" s="1163" t="e">
        <f t="shared" si="14"/>
        <v>#N/A</v>
      </c>
      <c r="AD39" s="1162" t="e">
        <f t="shared" si="15"/>
        <v>#VALUE!</v>
      </c>
      <c r="AE39" s="1162">
        <f t="shared" si="16"/>
        <v>0</v>
      </c>
      <c r="AF39" s="1129">
        <f>IF(H39&gt;8,tab!$D$65,tab!$D$67)</f>
        <v>0.4</v>
      </c>
      <c r="AG39" s="1143">
        <f t="shared" si="0"/>
        <v>0</v>
      </c>
      <c r="AH39" s="1159">
        <f t="shared" si="1"/>
        <v>0</v>
      </c>
      <c r="AI39" s="1142" t="b">
        <f>DATE(YEAR(tab!$E$3),MONTH(G39),DAY(G39))&gt;tab!$E$3</f>
        <v>0</v>
      </c>
      <c r="AJ39" s="1143">
        <f t="shared" si="2"/>
        <v>115</v>
      </c>
      <c r="AK39" s="1096">
        <f t="shared" si="3"/>
        <v>30</v>
      </c>
      <c r="AL39" s="1096">
        <f t="shared" si="4"/>
        <v>30</v>
      </c>
      <c r="AM39" s="1143">
        <f t="shared" si="5"/>
        <v>0</v>
      </c>
    </row>
    <row r="40" spans="2:39" ht="12.75" customHeight="1" x14ac:dyDescent="0.2">
      <c r="B40" s="69"/>
      <c r="C40" s="90"/>
      <c r="D40" s="97"/>
      <c r="E40" s="97"/>
      <c r="F40" s="114"/>
      <c r="G40" s="377"/>
      <c r="H40" s="114"/>
      <c r="I40" s="129"/>
      <c r="J40" s="378"/>
      <c r="K40" s="1194"/>
      <c r="L40" s="1065"/>
      <c r="M40" s="1065"/>
      <c r="N40" s="1077" t="str">
        <f t="shared" si="6"/>
        <v/>
      </c>
      <c r="O40" s="1077" t="str">
        <f t="shared" si="7"/>
        <v/>
      </c>
      <c r="P40" s="1172" t="str">
        <f t="shared" si="8"/>
        <v/>
      </c>
      <c r="Q40" s="91"/>
      <c r="R40" s="936" t="str">
        <f t="shared" si="9"/>
        <v/>
      </c>
      <c r="S40" s="936" t="str">
        <f t="shared" si="10"/>
        <v/>
      </c>
      <c r="T40" s="937" t="str">
        <f t="shared" si="11"/>
        <v/>
      </c>
      <c r="U40" s="361"/>
      <c r="V40" s="381"/>
      <c r="W40" s="375"/>
      <c r="X40" s="375"/>
      <c r="Y40" s="1120" t="e">
        <f>VLOOKUP(H40,tab!$A$73:$V$114,I40+2,FALSE)</f>
        <v>#N/A</v>
      </c>
      <c r="Z40" s="1211">
        <f>tab!$D$64</f>
        <v>0.62</v>
      </c>
      <c r="AA40" s="1163" t="e">
        <f t="shared" si="12"/>
        <v>#N/A</v>
      </c>
      <c r="AB40" s="1163" t="e">
        <f t="shared" si="13"/>
        <v>#N/A</v>
      </c>
      <c r="AC40" s="1163" t="e">
        <f t="shared" si="14"/>
        <v>#N/A</v>
      </c>
      <c r="AD40" s="1162" t="e">
        <f t="shared" si="15"/>
        <v>#VALUE!</v>
      </c>
      <c r="AE40" s="1162">
        <f t="shared" si="16"/>
        <v>0</v>
      </c>
      <c r="AF40" s="1129">
        <f>IF(H40&gt;8,tab!$D$65,tab!$D$67)</f>
        <v>0.4</v>
      </c>
      <c r="AG40" s="1143">
        <f t="shared" si="0"/>
        <v>0</v>
      </c>
      <c r="AH40" s="1159">
        <f t="shared" si="1"/>
        <v>0</v>
      </c>
      <c r="AI40" s="1142" t="b">
        <f>DATE(YEAR(tab!$E$3),MONTH(G40),DAY(G40))&gt;tab!$E$3</f>
        <v>0</v>
      </c>
      <c r="AJ40" s="1143">
        <f t="shared" si="2"/>
        <v>115</v>
      </c>
      <c r="AK40" s="1096">
        <f t="shared" si="3"/>
        <v>30</v>
      </c>
      <c r="AL40" s="1096">
        <f t="shared" si="4"/>
        <v>30</v>
      </c>
      <c r="AM40" s="1143">
        <f t="shared" si="5"/>
        <v>0</v>
      </c>
    </row>
    <row r="41" spans="2:39" ht="12.75" customHeight="1" x14ac:dyDescent="0.2">
      <c r="B41" s="69"/>
      <c r="C41" s="90"/>
      <c r="D41" s="97"/>
      <c r="E41" s="97"/>
      <c r="F41" s="114"/>
      <c r="G41" s="377"/>
      <c r="H41" s="114"/>
      <c r="I41" s="129"/>
      <c r="J41" s="378"/>
      <c r="K41" s="1194"/>
      <c r="L41" s="1065"/>
      <c r="M41" s="1065"/>
      <c r="N41" s="1077" t="str">
        <f t="shared" si="6"/>
        <v/>
      </c>
      <c r="O41" s="1077" t="str">
        <f t="shared" si="7"/>
        <v/>
      </c>
      <c r="P41" s="1172" t="str">
        <f t="shared" si="8"/>
        <v/>
      </c>
      <c r="Q41" s="91"/>
      <c r="R41" s="936" t="str">
        <f t="shared" si="9"/>
        <v/>
      </c>
      <c r="S41" s="936" t="str">
        <f t="shared" si="10"/>
        <v/>
      </c>
      <c r="T41" s="937" t="str">
        <f t="shared" si="11"/>
        <v/>
      </c>
      <c r="U41" s="361"/>
      <c r="V41" s="381"/>
      <c r="W41" s="375"/>
      <c r="X41" s="375"/>
      <c r="Y41" s="1120" t="e">
        <f>VLOOKUP(H41,tab!$A$73:$V$114,I41+2,FALSE)</f>
        <v>#N/A</v>
      </c>
      <c r="Z41" s="1211">
        <f>tab!$D$64</f>
        <v>0.62</v>
      </c>
      <c r="AA41" s="1163" t="e">
        <f t="shared" si="12"/>
        <v>#N/A</v>
      </c>
      <c r="AB41" s="1163" t="e">
        <f t="shared" si="13"/>
        <v>#N/A</v>
      </c>
      <c r="AC41" s="1163" t="e">
        <f t="shared" si="14"/>
        <v>#N/A</v>
      </c>
      <c r="AD41" s="1162" t="e">
        <f t="shared" si="15"/>
        <v>#VALUE!</v>
      </c>
      <c r="AE41" s="1162">
        <f t="shared" si="16"/>
        <v>0</v>
      </c>
      <c r="AF41" s="1129">
        <f>IF(H41&gt;8,tab!$D$65,tab!$D$67)</f>
        <v>0.4</v>
      </c>
      <c r="AG41" s="1143">
        <f t="shared" si="0"/>
        <v>0</v>
      </c>
      <c r="AH41" s="1159">
        <f t="shared" si="1"/>
        <v>0</v>
      </c>
      <c r="AI41" s="1142" t="b">
        <f>DATE(YEAR(tab!$E$3),MONTH(G41),DAY(G41))&gt;tab!$E$3</f>
        <v>0</v>
      </c>
      <c r="AJ41" s="1143">
        <f t="shared" si="2"/>
        <v>115</v>
      </c>
      <c r="AK41" s="1096">
        <f t="shared" si="3"/>
        <v>30</v>
      </c>
      <c r="AL41" s="1096">
        <f t="shared" si="4"/>
        <v>30</v>
      </c>
      <c r="AM41" s="1143">
        <f t="shared" si="5"/>
        <v>0</v>
      </c>
    </row>
    <row r="42" spans="2:39" ht="12.75" customHeight="1" x14ac:dyDescent="0.2">
      <c r="B42" s="69"/>
      <c r="C42" s="90"/>
      <c r="D42" s="97"/>
      <c r="E42" s="97"/>
      <c r="F42" s="114"/>
      <c r="G42" s="377"/>
      <c r="H42" s="114"/>
      <c r="I42" s="129"/>
      <c r="J42" s="378"/>
      <c r="K42" s="1194"/>
      <c r="L42" s="1065"/>
      <c r="M42" s="1065"/>
      <c r="N42" s="1077" t="str">
        <f t="shared" si="6"/>
        <v/>
      </c>
      <c r="O42" s="1077" t="str">
        <f t="shared" si="7"/>
        <v/>
      </c>
      <c r="P42" s="1172" t="str">
        <f t="shared" si="8"/>
        <v/>
      </c>
      <c r="Q42" s="91"/>
      <c r="R42" s="936" t="str">
        <f t="shared" si="9"/>
        <v/>
      </c>
      <c r="S42" s="936" t="str">
        <f t="shared" si="10"/>
        <v/>
      </c>
      <c r="T42" s="937" t="str">
        <f t="shared" si="11"/>
        <v/>
      </c>
      <c r="U42" s="361"/>
      <c r="V42" s="381"/>
      <c r="W42" s="375"/>
      <c r="X42" s="375"/>
      <c r="Y42" s="1120" t="e">
        <f>VLOOKUP(H42,tab!$A$73:$V$114,I42+2,FALSE)</f>
        <v>#N/A</v>
      </c>
      <c r="Z42" s="1211">
        <f>tab!$D$64</f>
        <v>0.62</v>
      </c>
      <c r="AA42" s="1163" t="e">
        <f t="shared" si="12"/>
        <v>#N/A</v>
      </c>
      <c r="AB42" s="1163" t="e">
        <f t="shared" si="13"/>
        <v>#N/A</v>
      </c>
      <c r="AC42" s="1163" t="e">
        <f t="shared" si="14"/>
        <v>#N/A</v>
      </c>
      <c r="AD42" s="1162" t="e">
        <f t="shared" si="15"/>
        <v>#VALUE!</v>
      </c>
      <c r="AE42" s="1162">
        <f t="shared" si="16"/>
        <v>0</v>
      </c>
      <c r="AF42" s="1129">
        <f>IF(H42&gt;8,tab!$D$65,tab!$D$67)</f>
        <v>0.4</v>
      </c>
      <c r="AG42" s="1143">
        <f t="shared" si="0"/>
        <v>0</v>
      </c>
      <c r="AH42" s="1159">
        <f t="shared" si="1"/>
        <v>0</v>
      </c>
      <c r="AI42" s="1142" t="b">
        <f>DATE(YEAR(tab!$E$3),MONTH(G42),DAY(G42))&gt;tab!$E$3</f>
        <v>0</v>
      </c>
      <c r="AJ42" s="1143">
        <f t="shared" si="2"/>
        <v>115</v>
      </c>
      <c r="AK42" s="1096">
        <f t="shared" si="3"/>
        <v>30</v>
      </c>
      <c r="AL42" s="1096">
        <f t="shared" si="4"/>
        <v>30</v>
      </c>
      <c r="AM42" s="1143">
        <f t="shared" si="5"/>
        <v>0</v>
      </c>
    </row>
    <row r="43" spans="2:39" ht="12.75" customHeight="1" x14ac:dyDescent="0.2">
      <c r="B43" s="69"/>
      <c r="C43" s="90"/>
      <c r="D43" s="97"/>
      <c r="E43" s="97"/>
      <c r="F43" s="114"/>
      <c r="G43" s="377"/>
      <c r="H43" s="114"/>
      <c r="I43" s="129"/>
      <c r="J43" s="378"/>
      <c r="K43" s="1194"/>
      <c r="L43" s="1065"/>
      <c r="M43" s="1065"/>
      <c r="N43" s="1077" t="str">
        <f t="shared" si="6"/>
        <v/>
      </c>
      <c r="O43" s="1077" t="str">
        <f t="shared" si="7"/>
        <v/>
      </c>
      <c r="P43" s="1172" t="str">
        <f t="shared" si="8"/>
        <v/>
      </c>
      <c r="Q43" s="91"/>
      <c r="R43" s="936" t="str">
        <f t="shared" si="9"/>
        <v/>
      </c>
      <c r="S43" s="936" t="str">
        <f t="shared" si="10"/>
        <v/>
      </c>
      <c r="T43" s="937" t="str">
        <f t="shared" si="11"/>
        <v/>
      </c>
      <c r="U43" s="361"/>
      <c r="V43" s="381"/>
      <c r="W43" s="375"/>
      <c r="X43" s="375"/>
      <c r="Y43" s="1120" t="e">
        <f>VLOOKUP(H43,tab!$A$73:$V$114,I43+2,FALSE)</f>
        <v>#N/A</v>
      </c>
      <c r="Z43" s="1211">
        <f>tab!$D$64</f>
        <v>0.62</v>
      </c>
      <c r="AA43" s="1163" t="e">
        <f t="shared" si="12"/>
        <v>#N/A</v>
      </c>
      <c r="AB43" s="1163" t="e">
        <f t="shared" si="13"/>
        <v>#N/A</v>
      </c>
      <c r="AC43" s="1163" t="e">
        <f t="shared" si="14"/>
        <v>#N/A</v>
      </c>
      <c r="AD43" s="1162" t="e">
        <f t="shared" si="15"/>
        <v>#VALUE!</v>
      </c>
      <c r="AE43" s="1162">
        <f t="shared" si="16"/>
        <v>0</v>
      </c>
      <c r="AF43" s="1129">
        <f>IF(H43&gt;8,tab!$D$65,tab!$D$67)</f>
        <v>0.4</v>
      </c>
      <c r="AG43" s="1143">
        <f t="shared" si="0"/>
        <v>0</v>
      </c>
      <c r="AH43" s="1159">
        <f t="shared" si="1"/>
        <v>0</v>
      </c>
      <c r="AI43" s="1142" t="b">
        <f>DATE(YEAR(tab!$E$3),MONTH(G43),DAY(G43))&gt;tab!$E$3</f>
        <v>0</v>
      </c>
      <c r="AJ43" s="1143">
        <f t="shared" si="2"/>
        <v>115</v>
      </c>
      <c r="AK43" s="1096">
        <f t="shared" si="3"/>
        <v>30</v>
      </c>
      <c r="AL43" s="1096">
        <f t="shared" si="4"/>
        <v>30</v>
      </c>
      <c r="AM43" s="1143">
        <f t="shared" si="5"/>
        <v>0</v>
      </c>
    </row>
    <row r="44" spans="2:39" ht="12.75" customHeight="1" x14ac:dyDescent="0.2">
      <c r="B44" s="69"/>
      <c r="C44" s="90"/>
      <c r="D44" s="97"/>
      <c r="E44" s="97"/>
      <c r="F44" s="114"/>
      <c r="G44" s="377"/>
      <c r="H44" s="114"/>
      <c r="I44" s="129"/>
      <c r="J44" s="378"/>
      <c r="K44" s="1194"/>
      <c r="L44" s="1065"/>
      <c r="M44" s="1065"/>
      <c r="N44" s="1077" t="str">
        <f t="shared" si="6"/>
        <v/>
      </c>
      <c r="O44" s="1077" t="str">
        <f t="shared" si="7"/>
        <v/>
      </c>
      <c r="P44" s="1172" t="str">
        <f t="shared" si="8"/>
        <v/>
      </c>
      <c r="Q44" s="91"/>
      <c r="R44" s="936" t="str">
        <f t="shared" si="9"/>
        <v/>
      </c>
      <c r="S44" s="936" t="str">
        <f t="shared" si="10"/>
        <v/>
      </c>
      <c r="T44" s="937" t="str">
        <f t="shared" si="11"/>
        <v/>
      </c>
      <c r="U44" s="361"/>
      <c r="V44" s="381"/>
      <c r="W44" s="375"/>
      <c r="X44" s="375"/>
      <c r="Y44" s="1120" t="e">
        <f>VLOOKUP(H44,tab!$A$73:$V$114,I44+2,FALSE)</f>
        <v>#N/A</v>
      </c>
      <c r="Z44" s="1211">
        <f>tab!$D$64</f>
        <v>0.62</v>
      </c>
      <c r="AA44" s="1163" t="e">
        <f t="shared" si="12"/>
        <v>#N/A</v>
      </c>
      <c r="AB44" s="1163" t="e">
        <f t="shared" si="13"/>
        <v>#N/A</v>
      </c>
      <c r="AC44" s="1163" t="e">
        <f t="shared" si="14"/>
        <v>#N/A</v>
      </c>
      <c r="AD44" s="1162" t="e">
        <f t="shared" si="15"/>
        <v>#VALUE!</v>
      </c>
      <c r="AE44" s="1162">
        <f t="shared" si="16"/>
        <v>0</v>
      </c>
      <c r="AF44" s="1129">
        <f>IF(H44&gt;8,tab!$D$65,tab!$D$67)</f>
        <v>0.4</v>
      </c>
      <c r="AG44" s="1143">
        <f t="shared" si="0"/>
        <v>0</v>
      </c>
      <c r="AH44" s="1159">
        <f t="shared" si="1"/>
        <v>0</v>
      </c>
      <c r="AI44" s="1142" t="b">
        <f>DATE(YEAR(tab!$E$3),MONTH(G44),DAY(G44))&gt;tab!$E$3</f>
        <v>0</v>
      </c>
      <c r="AJ44" s="1143">
        <f t="shared" si="2"/>
        <v>115</v>
      </c>
      <c r="AK44" s="1096">
        <f t="shared" si="3"/>
        <v>30</v>
      </c>
      <c r="AL44" s="1096">
        <f t="shared" si="4"/>
        <v>30</v>
      </c>
      <c r="AM44" s="1143">
        <f t="shared" si="5"/>
        <v>0</v>
      </c>
    </row>
    <row r="45" spans="2:39" ht="12.75" customHeight="1" x14ac:dyDescent="0.2">
      <c r="B45" s="69"/>
      <c r="C45" s="90"/>
      <c r="D45" s="97"/>
      <c r="E45" s="97"/>
      <c r="F45" s="114"/>
      <c r="G45" s="377"/>
      <c r="H45" s="114"/>
      <c r="I45" s="129"/>
      <c r="J45" s="378"/>
      <c r="K45" s="1194"/>
      <c r="L45" s="1065"/>
      <c r="M45" s="1065"/>
      <c r="N45" s="1077" t="str">
        <f t="shared" si="6"/>
        <v/>
      </c>
      <c r="O45" s="1077" t="str">
        <f t="shared" si="7"/>
        <v/>
      </c>
      <c r="P45" s="1172" t="str">
        <f t="shared" si="8"/>
        <v/>
      </c>
      <c r="Q45" s="91"/>
      <c r="R45" s="936" t="str">
        <f t="shared" si="9"/>
        <v/>
      </c>
      <c r="S45" s="936" t="str">
        <f t="shared" si="10"/>
        <v/>
      </c>
      <c r="T45" s="937" t="str">
        <f t="shared" si="11"/>
        <v/>
      </c>
      <c r="U45" s="361"/>
      <c r="V45" s="381"/>
      <c r="W45" s="375"/>
      <c r="X45" s="375"/>
      <c r="Y45" s="1120" t="e">
        <f>VLOOKUP(H45,tab!$A$73:$V$114,I45+2,FALSE)</f>
        <v>#N/A</v>
      </c>
      <c r="Z45" s="1211">
        <f>tab!$D$64</f>
        <v>0.62</v>
      </c>
      <c r="AA45" s="1163" t="e">
        <f t="shared" si="12"/>
        <v>#N/A</v>
      </c>
      <c r="AB45" s="1163" t="e">
        <f t="shared" si="13"/>
        <v>#N/A</v>
      </c>
      <c r="AC45" s="1163" t="e">
        <f t="shared" si="14"/>
        <v>#N/A</v>
      </c>
      <c r="AD45" s="1162" t="e">
        <f t="shared" si="15"/>
        <v>#VALUE!</v>
      </c>
      <c r="AE45" s="1162">
        <f t="shared" si="16"/>
        <v>0</v>
      </c>
      <c r="AF45" s="1129">
        <f>IF(H45&gt;8,tab!$D$65,tab!$D$67)</f>
        <v>0.4</v>
      </c>
      <c r="AG45" s="1143">
        <f t="shared" si="0"/>
        <v>0</v>
      </c>
      <c r="AH45" s="1159">
        <f t="shared" si="1"/>
        <v>0</v>
      </c>
      <c r="AI45" s="1142" t="b">
        <f>DATE(YEAR(tab!$E$3),MONTH(G45),DAY(G45))&gt;tab!$E$3</f>
        <v>0</v>
      </c>
      <c r="AJ45" s="1143">
        <f t="shared" si="2"/>
        <v>115</v>
      </c>
      <c r="AK45" s="1096">
        <f t="shared" si="3"/>
        <v>30</v>
      </c>
      <c r="AL45" s="1096">
        <f t="shared" si="4"/>
        <v>30</v>
      </c>
      <c r="AM45" s="1143">
        <f t="shared" si="5"/>
        <v>0</v>
      </c>
    </row>
    <row r="46" spans="2:39" ht="12.75" customHeight="1" x14ac:dyDescent="0.2">
      <c r="B46" s="69"/>
      <c r="C46" s="90"/>
      <c r="D46" s="97"/>
      <c r="E46" s="97"/>
      <c r="F46" s="114"/>
      <c r="G46" s="377"/>
      <c r="H46" s="114"/>
      <c r="I46" s="129"/>
      <c r="J46" s="378"/>
      <c r="K46" s="1194"/>
      <c r="L46" s="1065"/>
      <c r="M46" s="1065"/>
      <c r="N46" s="1077" t="str">
        <f t="shared" si="6"/>
        <v/>
      </c>
      <c r="O46" s="1077" t="str">
        <f t="shared" si="7"/>
        <v/>
      </c>
      <c r="P46" s="1172" t="str">
        <f t="shared" si="8"/>
        <v/>
      </c>
      <c r="Q46" s="91"/>
      <c r="R46" s="936" t="str">
        <f t="shared" si="9"/>
        <v/>
      </c>
      <c r="S46" s="936" t="str">
        <f t="shared" si="10"/>
        <v/>
      </c>
      <c r="T46" s="937" t="str">
        <f t="shared" si="11"/>
        <v/>
      </c>
      <c r="U46" s="361"/>
      <c r="V46" s="381"/>
      <c r="W46" s="375"/>
      <c r="X46" s="375"/>
      <c r="Y46" s="1120" t="e">
        <f>VLOOKUP(H46,tab!$A$73:$V$114,I46+2,FALSE)</f>
        <v>#N/A</v>
      </c>
      <c r="Z46" s="1211">
        <f>tab!$D$64</f>
        <v>0.62</v>
      </c>
      <c r="AA46" s="1163" t="e">
        <f t="shared" si="12"/>
        <v>#N/A</v>
      </c>
      <c r="AB46" s="1163" t="e">
        <f t="shared" si="13"/>
        <v>#N/A</v>
      </c>
      <c r="AC46" s="1163" t="e">
        <f t="shared" si="14"/>
        <v>#N/A</v>
      </c>
      <c r="AD46" s="1162" t="e">
        <f t="shared" si="15"/>
        <v>#VALUE!</v>
      </c>
      <c r="AE46" s="1162">
        <f t="shared" si="16"/>
        <v>0</v>
      </c>
      <c r="AF46" s="1129">
        <f>IF(H46&gt;8,tab!$D$65,tab!$D$67)</f>
        <v>0.4</v>
      </c>
      <c r="AG46" s="1143">
        <f t="shared" si="0"/>
        <v>0</v>
      </c>
      <c r="AH46" s="1159">
        <f t="shared" si="1"/>
        <v>0</v>
      </c>
      <c r="AI46" s="1142" t="b">
        <f>DATE(YEAR(tab!$E$3),MONTH(G46),DAY(G46))&gt;tab!$E$3</f>
        <v>0</v>
      </c>
      <c r="AJ46" s="1143">
        <f t="shared" si="2"/>
        <v>115</v>
      </c>
      <c r="AK46" s="1096">
        <f t="shared" si="3"/>
        <v>30</v>
      </c>
      <c r="AL46" s="1096">
        <f t="shared" si="4"/>
        <v>30</v>
      </c>
      <c r="AM46" s="1143">
        <f t="shared" si="5"/>
        <v>0</v>
      </c>
    </row>
    <row r="47" spans="2:39" ht="12.75" customHeight="1" x14ac:dyDescent="0.2">
      <c r="B47" s="69"/>
      <c r="C47" s="90"/>
      <c r="D47" s="97"/>
      <c r="E47" s="97"/>
      <c r="F47" s="114"/>
      <c r="G47" s="377"/>
      <c r="H47" s="114"/>
      <c r="I47" s="129"/>
      <c r="J47" s="378"/>
      <c r="K47" s="1194"/>
      <c r="L47" s="1065"/>
      <c r="M47" s="1065"/>
      <c r="N47" s="1077" t="str">
        <f t="shared" si="6"/>
        <v/>
      </c>
      <c r="O47" s="1077" t="str">
        <f t="shared" si="7"/>
        <v/>
      </c>
      <c r="P47" s="1172" t="str">
        <f t="shared" si="8"/>
        <v/>
      </c>
      <c r="Q47" s="91"/>
      <c r="R47" s="936" t="str">
        <f t="shared" si="9"/>
        <v/>
      </c>
      <c r="S47" s="936" t="str">
        <f t="shared" si="10"/>
        <v/>
      </c>
      <c r="T47" s="937" t="str">
        <f t="shared" si="11"/>
        <v/>
      </c>
      <c r="U47" s="361"/>
      <c r="V47" s="381"/>
      <c r="W47" s="375"/>
      <c r="X47" s="375"/>
      <c r="Y47" s="1120" t="e">
        <f>VLOOKUP(H47,tab!$A$73:$V$114,I47+2,FALSE)</f>
        <v>#N/A</v>
      </c>
      <c r="Z47" s="1211">
        <f>tab!$D$64</f>
        <v>0.62</v>
      </c>
      <c r="AA47" s="1163" t="e">
        <f t="shared" si="12"/>
        <v>#N/A</v>
      </c>
      <c r="AB47" s="1163" t="e">
        <f t="shared" si="13"/>
        <v>#N/A</v>
      </c>
      <c r="AC47" s="1163" t="e">
        <f t="shared" si="14"/>
        <v>#N/A</v>
      </c>
      <c r="AD47" s="1162" t="e">
        <f t="shared" si="15"/>
        <v>#VALUE!</v>
      </c>
      <c r="AE47" s="1162">
        <f t="shared" si="16"/>
        <v>0</v>
      </c>
      <c r="AF47" s="1129">
        <f>IF(H47&gt;8,tab!$D$65,tab!$D$67)</f>
        <v>0.4</v>
      </c>
      <c r="AG47" s="1143">
        <f t="shared" si="0"/>
        <v>0</v>
      </c>
      <c r="AH47" s="1159">
        <f t="shared" si="1"/>
        <v>0</v>
      </c>
      <c r="AI47" s="1142" t="b">
        <f>DATE(YEAR(tab!$E$3),MONTH(G47),DAY(G47))&gt;tab!$E$3</f>
        <v>0</v>
      </c>
      <c r="AJ47" s="1143">
        <f t="shared" si="2"/>
        <v>115</v>
      </c>
      <c r="AK47" s="1096">
        <f t="shared" si="3"/>
        <v>30</v>
      </c>
      <c r="AL47" s="1096">
        <f t="shared" si="4"/>
        <v>30</v>
      </c>
      <c r="AM47" s="1143">
        <f t="shared" si="5"/>
        <v>0</v>
      </c>
    </row>
    <row r="48" spans="2:39" ht="12.75" customHeight="1" x14ac:dyDescent="0.2">
      <c r="B48" s="69"/>
      <c r="C48" s="90"/>
      <c r="D48" s="97"/>
      <c r="E48" s="97"/>
      <c r="F48" s="114"/>
      <c r="G48" s="377"/>
      <c r="H48" s="114"/>
      <c r="I48" s="129"/>
      <c r="J48" s="378"/>
      <c r="K48" s="1194"/>
      <c r="L48" s="1065"/>
      <c r="M48" s="1065"/>
      <c r="N48" s="1077" t="str">
        <f t="shared" si="6"/>
        <v/>
      </c>
      <c r="O48" s="1077" t="str">
        <f t="shared" si="7"/>
        <v/>
      </c>
      <c r="P48" s="1172" t="str">
        <f t="shared" si="8"/>
        <v/>
      </c>
      <c r="Q48" s="91"/>
      <c r="R48" s="936" t="str">
        <f t="shared" si="9"/>
        <v/>
      </c>
      <c r="S48" s="936" t="str">
        <f t="shared" si="10"/>
        <v/>
      </c>
      <c r="T48" s="937" t="str">
        <f t="shared" si="11"/>
        <v/>
      </c>
      <c r="U48" s="361"/>
      <c r="V48" s="381"/>
      <c r="W48" s="375"/>
      <c r="X48" s="375"/>
      <c r="Y48" s="1120" t="e">
        <f>VLOOKUP(H48,tab!$A$73:$V$114,I48+2,FALSE)</f>
        <v>#N/A</v>
      </c>
      <c r="Z48" s="1211">
        <f>tab!$D$64</f>
        <v>0.62</v>
      </c>
      <c r="AA48" s="1163" t="e">
        <f t="shared" si="12"/>
        <v>#N/A</v>
      </c>
      <c r="AB48" s="1163" t="e">
        <f t="shared" si="13"/>
        <v>#N/A</v>
      </c>
      <c r="AC48" s="1163" t="e">
        <f t="shared" si="14"/>
        <v>#N/A</v>
      </c>
      <c r="AD48" s="1162" t="e">
        <f t="shared" si="15"/>
        <v>#VALUE!</v>
      </c>
      <c r="AE48" s="1162">
        <f t="shared" si="16"/>
        <v>0</v>
      </c>
      <c r="AF48" s="1129">
        <f>IF(H48&gt;8,tab!$D$65,tab!$D$67)</f>
        <v>0.4</v>
      </c>
      <c r="AG48" s="1143">
        <f t="shared" ref="AG48:AG70" si="17">IF(F48&lt;25,0,IF(F48=25,25,IF(F48&lt;40,0,IF(F48=40,40,IF(F48&gt;=40,0)))))</f>
        <v>0</v>
      </c>
      <c r="AH48" s="1159">
        <f t="shared" ref="AH48:AH70" si="18">IF(AG48=25,(Y48*1.08*(J48)/2),IF(AG48=40,(Y48*1.08*(J48)),IF(AG48=0,0)))</f>
        <v>0</v>
      </c>
      <c r="AI48" s="1142" t="b">
        <f>DATE(YEAR(tab!$E$3),MONTH(G48),DAY(G48))&gt;tab!$E$3</f>
        <v>0</v>
      </c>
      <c r="AJ48" s="1143">
        <f t="shared" ref="AJ48:AJ70" si="19">YEAR($E$9)-YEAR(G48)-AI48</f>
        <v>115</v>
      </c>
      <c r="AK48" s="1096">
        <f t="shared" ref="AK48:AK70" si="20">IF((G48=""),30,AJ48)</f>
        <v>30</v>
      </c>
      <c r="AL48" s="1096">
        <f t="shared" ref="AL48:AL70" si="21">IF((AK48)&gt;50,50,(AK48))</f>
        <v>30</v>
      </c>
      <c r="AM48" s="1143">
        <f t="shared" ref="AM48:AM70" si="22">ROUND(AL48*J48,2)</f>
        <v>0</v>
      </c>
    </row>
    <row r="49" spans="2:39" ht="12.75" customHeight="1" x14ac:dyDescent="0.2">
      <c r="B49" s="69"/>
      <c r="C49" s="90"/>
      <c r="D49" s="97"/>
      <c r="E49" s="97"/>
      <c r="F49" s="114"/>
      <c r="G49" s="377"/>
      <c r="H49" s="114"/>
      <c r="I49" s="129"/>
      <c r="J49" s="378"/>
      <c r="K49" s="1194"/>
      <c r="L49" s="1065"/>
      <c r="M49" s="1065"/>
      <c r="N49" s="1077" t="str">
        <f t="shared" si="6"/>
        <v/>
      </c>
      <c r="O49" s="1077" t="str">
        <f t="shared" si="7"/>
        <v/>
      </c>
      <c r="P49" s="1172" t="str">
        <f t="shared" si="8"/>
        <v/>
      </c>
      <c r="Q49" s="91"/>
      <c r="R49" s="936" t="str">
        <f t="shared" si="9"/>
        <v/>
      </c>
      <c r="S49" s="936" t="str">
        <f t="shared" si="10"/>
        <v/>
      </c>
      <c r="T49" s="937" t="str">
        <f t="shared" si="11"/>
        <v/>
      </c>
      <c r="U49" s="361"/>
      <c r="V49" s="381"/>
      <c r="W49" s="375"/>
      <c r="X49" s="375"/>
      <c r="Y49" s="1120" t="e">
        <f>VLOOKUP(H49,tab!$A$73:$V$114,I49+2,FALSE)</f>
        <v>#N/A</v>
      </c>
      <c r="Z49" s="1211">
        <f>tab!$D$64</f>
        <v>0.62</v>
      </c>
      <c r="AA49" s="1163" t="e">
        <f t="shared" si="12"/>
        <v>#N/A</v>
      </c>
      <c r="AB49" s="1163" t="e">
        <f t="shared" si="13"/>
        <v>#N/A</v>
      </c>
      <c r="AC49" s="1163" t="e">
        <f t="shared" si="14"/>
        <v>#N/A</v>
      </c>
      <c r="AD49" s="1162" t="e">
        <f t="shared" si="15"/>
        <v>#VALUE!</v>
      </c>
      <c r="AE49" s="1162">
        <f t="shared" si="16"/>
        <v>0</v>
      </c>
      <c r="AF49" s="1129">
        <f>IF(H49&gt;8,tab!$D$65,tab!$D$67)</f>
        <v>0.4</v>
      </c>
      <c r="AG49" s="1143">
        <f t="shared" si="17"/>
        <v>0</v>
      </c>
      <c r="AH49" s="1159">
        <f t="shared" si="18"/>
        <v>0</v>
      </c>
      <c r="AI49" s="1142" t="b">
        <f>DATE(YEAR(tab!$E$3),MONTH(G49),DAY(G49))&gt;tab!$E$3</f>
        <v>0</v>
      </c>
      <c r="AJ49" s="1143">
        <f t="shared" si="19"/>
        <v>115</v>
      </c>
      <c r="AK49" s="1096">
        <f t="shared" si="20"/>
        <v>30</v>
      </c>
      <c r="AL49" s="1096">
        <f t="shared" si="21"/>
        <v>30</v>
      </c>
      <c r="AM49" s="1143">
        <f t="shared" si="22"/>
        <v>0</v>
      </c>
    </row>
    <row r="50" spans="2:39" ht="12.75" customHeight="1" x14ac:dyDescent="0.2">
      <c r="B50" s="69"/>
      <c r="C50" s="90"/>
      <c r="D50" s="97"/>
      <c r="E50" s="97"/>
      <c r="F50" s="114"/>
      <c r="G50" s="377"/>
      <c r="H50" s="114"/>
      <c r="I50" s="129"/>
      <c r="J50" s="378"/>
      <c r="K50" s="1194"/>
      <c r="L50" s="1065"/>
      <c r="M50" s="1065"/>
      <c r="N50" s="1077" t="str">
        <f t="shared" si="6"/>
        <v/>
      </c>
      <c r="O50" s="1077" t="str">
        <f t="shared" si="7"/>
        <v/>
      </c>
      <c r="P50" s="1172" t="str">
        <f t="shared" si="8"/>
        <v/>
      </c>
      <c r="Q50" s="91"/>
      <c r="R50" s="936" t="str">
        <f t="shared" si="9"/>
        <v/>
      </c>
      <c r="S50" s="936" t="str">
        <f t="shared" si="10"/>
        <v/>
      </c>
      <c r="T50" s="937" t="str">
        <f t="shared" si="11"/>
        <v/>
      </c>
      <c r="U50" s="361"/>
      <c r="V50" s="381"/>
      <c r="W50" s="375"/>
      <c r="X50" s="375"/>
      <c r="Y50" s="1120" t="e">
        <f>VLOOKUP(H50,tab!$A$73:$V$114,I50+2,FALSE)</f>
        <v>#N/A</v>
      </c>
      <c r="Z50" s="1211">
        <f>tab!$D$64</f>
        <v>0.62</v>
      </c>
      <c r="AA50" s="1163" t="e">
        <f t="shared" si="12"/>
        <v>#N/A</v>
      </c>
      <c r="AB50" s="1163" t="e">
        <f t="shared" si="13"/>
        <v>#N/A</v>
      </c>
      <c r="AC50" s="1163" t="e">
        <f t="shared" si="14"/>
        <v>#N/A</v>
      </c>
      <c r="AD50" s="1162" t="e">
        <f t="shared" si="15"/>
        <v>#VALUE!</v>
      </c>
      <c r="AE50" s="1162">
        <f t="shared" si="16"/>
        <v>0</v>
      </c>
      <c r="AF50" s="1129">
        <f>IF(H50&gt;8,tab!$D$65,tab!$D$67)</f>
        <v>0.4</v>
      </c>
      <c r="AG50" s="1143">
        <f t="shared" si="17"/>
        <v>0</v>
      </c>
      <c r="AH50" s="1159">
        <f t="shared" si="18"/>
        <v>0</v>
      </c>
      <c r="AI50" s="1142" t="b">
        <f>DATE(YEAR(tab!$E$3),MONTH(G50),DAY(G50))&gt;tab!$E$3</f>
        <v>0</v>
      </c>
      <c r="AJ50" s="1143">
        <f t="shared" si="19"/>
        <v>115</v>
      </c>
      <c r="AK50" s="1096">
        <f t="shared" si="20"/>
        <v>30</v>
      </c>
      <c r="AL50" s="1096">
        <f t="shared" si="21"/>
        <v>30</v>
      </c>
      <c r="AM50" s="1143">
        <f t="shared" si="22"/>
        <v>0</v>
      </c>
    </row>
    <row r="51" spans="2:39" ht="12.75" customHeight="1" x14ac:dyDescent="0.2">
      <c r="B51" s="69"/>
      <c r="C51" s="90"/>
      <c r="D51" s="97"/>
      <c r="E51" s="97"/>
      <c r="F51" s="114"/>
      <c r="G51" s="377"/>
      <c r="H51" s="114"/>
      <c r="I51" s="129"/>
      <c r="J51" s="378"/>
      <c r="K51" s="1194"/>
      <c r="L51" s="1065"/>
      <c r="M51" s="1065"/>
      <c r="N51" s="1077" t="str">
        <f t="shared" si="6"/>
        <v/>
      </c>
      <c r="O51" s="1077" t="str">
        <f t="shared" si="7"/>
        <v/>
      </c>
      <c r="P51" s="1172" t="str">
        <f t="shared" si="8"/>
        <v/>
      </c>
      <c r="Q51" s="91"/>
      <c r="R51" s="936" t="str">
        <f t="shared" si="9"/>
        <v/>
      </c>
      <c r="S51" s="936" t="str">
        <f t="shared" si="10"/>
        <v/>
      </c>
      <c r="T51" s="937" t="str">
        <f t="shared" si="11"/>
        <v/>
      </c>
      <c r="U51" s="361"/>
      <c r="V51" s="381"/>
      <c r="W51" s="375"/>
      <c r="X51" s="375"/>
      <c r="Y51" s="1120" t="e">
        <f>VLOOKUP(H51,tab!$A$73:$V$114,I51+2,FALSE)</f>
        <v>#N/A</v>
      </c>
      <c r="Z51" s="1211">
        <f>tab!$D$64</f>
        <v>0.62</v>
      </c>
      <c r="AA51" s="1163" t="e">
        <f t="shared" si="12"/>
        <v>#N/A</v>
      </c>
      <c r="AB51" s="1163" t="e">
        <f t="shared" si="13"/>
        <v>#N/A</v>
      </c>
      <c r="AC51" s="1163" t="e">
        <f t="shared" si="14"/>
        <v>#N/A</v>
      </c>
      <c r="AD51" s="1162" t="e">
        <f t="shared" si="15"/>
        <v>#VALUE!</v>
      </c>
      <c r="AE51" s="1162">
        <f t="shared" si="16"/>
        <v>0</v>
      </c>
      <c r="AF51" s="1129">
        <f>IF(H51&gt;8,tab!$D$65,tab!$D$67)</f>
        <v>0.4</v>
      </c>
      <c r="AG51" s="1143">
        <f t="shared" si="17"/>
        <v>0</v>
      </c>
      <c r="AH51" s="1159">
        <f t="shared" si="18"/>
        <v>0</v>
      </c>
      <c r="AI51" s="1142" t="b">
        <f>DATE(YEAR(tab!$E$3),MONTH(G51),DAY(G51))&gt;tab!$E$3</f>
        <v>0</v>
      </c>
      <c r="AJ51" s="1143">
        <f t="shared" si="19"/>
        <v>115</v>
      </c>
      <c r="AK51" s="1096">
        <f t="shared" si="20"/>
        <v>30</v>
      </c>
      <c r="AL51" s="1096">
        <f t="shared" si="21"/>
        <v>30</v>
      </c>
      <c r="AM51" s="1143">
        <f t="shared" si="22"/>
        <v>0</v>
      </c>
    </row>
    <row r="52" spans="2:39" ht="12.75" customHeight="1" x14ac:dyDescent="0.2">
      <c r="B52" s="69"/>
      <c r="C52" s="90"/>
      <c r="D52" s="97"/>
      <c r="E52" s="97"/>
      <c r="F52" s="114"/>
      <c r="G52" s="377"/>
      <c r="H52" s="114"/>
      <c r="I52" s="129"/>
      <c r="J52" s="378"/>
      <c r="K52" s="1194"/>
      <c r="L52" s="1065"/>
      <c r="M52" s="1065"/>
      <c r="N52" s="1077" t="str">
        <f t="shared" si="6"/>
        <v/>
      </c>
      <c r="O52" s="1077" t="str">
        <f t="shared" si="7"/>
        <v/>
      </c>
      <c r="P52" s="1172" t="str">
        <f t="shared" si="8"/>
        <v/>
      </c>
      <c r="Q52" s="91"/>
      <c r="R52" s="936" t="str">
        <f t="shared" si="9"/>
        <v/>
      </c>
      <c r="S52" s="936" t="str">
        <f t="shared" si="10"/>
        <v/>
      </c>
      <c r="T52" s="937" t="str">
        <f t="shared" si="11"/>
        <v/>
      </c>
      <c r="U52" s="361"/>
      <c r="V52" s="381"/>
      <c r="W52" s="375"/>
      <c r="X52" s="375"/>
      <c r="Y52" s="1120" t="e">
        <f>VLOOKUP(H52,tab!$A$73:$V$114,I52+2,FALSE)</f>
        <v>#N/A</v>
      </c>
      <c r="Z52" s="1211">
        <f>tab!$D$64</f>
        <v>0.62</v>
      </c>
      <c r="AA52" s="1163" t="e">
        <f t="shared" si="12"/>
        <v>#N/A</v>
      </c>
      <c r="AB52" s="1163" t="e">
        <f t="shared" si="13"/>
        <v>#N/A</v>
      </c>
      <c r="AC52" s="1163" t="e">
        <f t="shared" si="14"/>
        <v>#N/A</v>
      </c>
      <c r="AD52" s="1162" t="e">
        <f t="shared" si="15"/>
        <v>#VALUE!</v>
      </c>
      <c r="AE52" s="1162">
        <f t="shared" si="16"/>
        <v>0</v>
      </c>
      <c r="AF52" s="1129">
        <f>IF(H52&gt;8,tab!$D$65,tab!$D$67)</f>
        <v>0.4</v>
      </c>
      <c r="AG52" s="1143">
        <f t="shared" si="17"/>
        <v>0</v>
      </c>
      <c r="AH52" s="1159">
        <f t="shared" si="18"/>
        <v>0</v>
      </c>
      <c r="AI52" s="1142" t="b">
        <f>DATE(YEAR(tab!$E$3),MONTH(G52),DAY(G52))&gt;tab!$E$3</f>
        <v>0</v>
      </c>
      <c r="AJ52" s="1143">
        <f t="shared" si="19"/>
        <v>115</v>
      </c>
      <c r="AK52" s="1096">
        <f t="shared" si="20"/>
        <v>30</v>
      </c>
      <c r="AL52" s="1096">
        <f t="shared" si="21"/>
        <v>30</v>
      </c>
      <c r="AM52" s="1143">
        <f t="shared" si="22"/>
        <v>0</v>
      </c>
    </row>
    <row r="53" spans="2:39" ht="12.75" customHeight="1" x14ac:dyDescent="0.2">
      <c r="B53" s="69"/>
      <c r="C53" s="90"/>
      <c r="D53" s="97"/>
      <c r="E53" s="97"/>
      <c r="F53" s="114"/>
      <c r="G53" s="377"/>
      <c r="H53" s="114"/>
      <c r="I53" s="129"/>
      <c r="J53" s="378"/>
      <c r="K53" s="1194"/>
      <c r="L53" s="1065"/>
      <c r="M53" s="1065"/>
      <c r="N53" s="1077" t="str">
        <f t="shared" si="6"/>
        <v/>
      </c>
      <c r="O53" s="1077" t="str">
        <f t="shared" si="7"/>
        <v/>
      </c>
      <c r="P53" s="1172" t="str">
        <f t="shared" si="8"/>
        <v/>
      </c>
      <c r="Q53" s="91"/>
      <c r="R53" s="936" t="str">
        <f t="shared" si="9"/>
        <v/>
      </c>
      <c r="S53" s="936" t="str">
        <f t="shared" si="10"/>
        <v/>
      </c>
      <c r="T53" s="937" t="str">
        <f t="shared" si="11"/>
        <v/>
      </c>
      <c r="U53" s="361"/>
      <c r="V53" s="381"/>
      <c r="W53" s="375"/>
      <c r="X53" s="375"/>
      <c r="Y53" s="1120" t="e">
        <f>VLOOKUP(H53,tab!$A$73:$V$114,I53+2,FALSE)</f>
        <v>#N/A</v>
      </c>
      <c r="Z53" s="1211">
        <f>tab!$D$64</f>
        <v>0.62</v>
      </c>
      <c r="AA53" s="1163" t="e">
        <f t="shared" si="12"/>
        <v>#N/A</v>
      </c>
      <c r="AB53" s="1163" t="e">
        <f t="shared" si="13"/>
        <v>#N/A</v>
      </c>
      <c r="AC53" s="1163" t="e">
        <f t="shared" si="14"/>
        <v>#N/A</v>
      </c>
      <c r="AD53" s="1162" t="e">
        <f t="shared" si="15"/>
        <v>#VALUE!</v>
      </c>
      <c r="AE53" s="1162">
        <f t="shared" si="16"/>
        <v>0</v>
      </c>
      <c r="AF53" s="1129">
        <f>IF(H53&gt;8,tab!$D$65,tab!$D$67)</f>
        <v>0.4</v>
      </c>
      <c r="AG53" s="1143">
        <f t="shared" si="17"/>
        <v>0</v>
      </c>
      <c r="AH53" s="1159">
        <f t="shared" si="18"/>
        <v>0</v>
      </c>
      <c r="AI53" s="1142" t="b">
        <f>DATE(YEAR(tab!$E$3),MONTH(G53),DAY(G53))&gt;tab!$E$3</f>
        <v>0</v>
      </c>
      <c r="AJ53" s="1143">
        <f t="shared" si="19"/>
        <v>115</v>
      </c>
      <c r="AK53" s="1096">
        <f t="shared" si="20"/>
        <v>30</v>
      </c>
      <c r="AL53" s="1096">
        <f t="shared" si="21"/>
        <v>30</v>
      </c>
      <c r="AM53" s="1143">
        <f t="shared" si="22"/>
        <v>0</v>
      </c>
    </row>
    <row r="54" spans="2:39" ht="12.75" customHeight="1" x14ac:dyDescent="0.2">
      <c r="B54" s="69"/>
      <c r="C54" s="90"/>
      <c r="D54" s="97"/>
      <c r="E54" s="97"/>
      <c r="F54" s="114"/>
      <c r="G54" s="377"/>
      <c r="H54" s="114"/>
      <c r="I54" s="129"/>
      <c r="J54" s="378"/>
      <c r="K54" s="1194"/>
      <c r="L54" s="1065"/>
      <c r="M54" s="1065"/>
      <c r="N54" s="1077" t="str">
        <f t="shared" si="6"/>
        <v/>
      </c>
      <c r="O54" s="1077" t="str">
        <f t="shared" si="7"/>
        <v/>
      </c>
      <c r="P54" s="1172" t="str">
        <f t="shared" si="8"/>
        <v/>
      </c>
      <c r="Q54" s="91"/>
      <c r="R54" s="936" t="str">
        <f t="shared" si="9"/>
        <v/>
      </c>
      <c r="S54" s="936" t="str">
        <f t="shared" si="10"/>
        <v/>
      </c>
      <c r="T54" s="937" t="str">
        <f t="shared" si="11"/>
        <v/>
      </c>
      <c r="U54" s="361"/>
      <c r="V54" s="381"/>
      <c r="W54" s="375"/>
      <c r="X54" s="375"/>
      <c r="Y54" s="1120" t="e">
        <f>VLOOKUP(H54,tab!$A$73:$V$114,I54+2,FALSE)</f>
        <v>#N/A</v>
      </c>
      <c r="Z54" s="1211">
        <f>tab!$D$64</f>
        <v>0.62</v>
      </c>
      <c r="AA54" s="1163" t="e">
        <f t="shared" si="12"/>
        <v>#N/A</v>
      </c>
      <c r="AB54" s="1163" t="e">
        <f t="shared" si="13"/>
        <v>#N/A</v>
      </c>
      <c r="AC54" s="1163" t="e">
        <f t="shared" si="14"/>
        <v>#N/A</v>
      </c>
      <c r="AD54" s="1162" t="e">
        <f t="shared" si="15"/>
        <v>#VALUE!</v>
      </c>
      <c r="AE54" s="1162">
        <f t="shared" si="16"/>
        <v>0</v>
      </c>
      <c r="AF54" s="1129">
        <f>IF(H54&gt;8,tab!$D$65,tab!$D$67)</f>
        <v>0.4</v>
      </c>
      <c r="AG54" s="1143">
        <f t="shared" si="17"/>
        <v>0</v>
      </c>
      <c r="AH54" s="1159">
        <f t="shared" si="18"/>
        <v>0</v>
      </c>
      <c r="AI54" s="1142" t="b">
        <f>DATE(YEAR(tab!$E$3),MONTH(G54),DAY(G54))&gt;tab!$E$3</f>
        <v>0</v>
      </c>
      <c r="AJ54" s="1143">
        <f t="shared" si="19"/>
        <v>115</v>
      </c>
      <c r="AK54" s="1096">
        <f t="shared" si="20"/>
        <v>30</v>
      </c>
      <c r="AL54" s="1096">
        <f t="shared" si="21"/>
        <v>30</v>
      </c>
      <c r="AM54" s="1143">
        <f t="shared" si="22"/>
        <v>0</v>
      </c>
    </row>
    <row r="55" spans="2:39" ht="12.75" customHeight="1" x14ac:dyDescent="0.2">
      <c r="B55" s="69"/>
      <c r="C55" s="90"/>
      <c r="D55" s="97"/>
      <c r="E55" s="97"/>
      <c r="F55" s="114"/>
      <c r="G55" s="377"/>
      <c r="H55" s="114"/>
      <c r="I55" s="129"/>
      <c r="J55" s="378"/>
      <c r="K55" s="1194"/>
      <c r="L55" s="1065"/>
      <c r="M55" s="1065"/>
      <c r="N55" s="1077" t="str">
        <f t="shared" si="6"/>
        <v/>
      </c>
      <c r="O55" s="1077" t="str">
        <f t="shared" si="7"/>
        <v/>
      </c>
      <c r="P55" s="1172" t="str">
        <f t="shared" si="8"/>
        <v/>
      </c>
      <c r="Q55" s="91"/>
      <c r="R55" s="936" t="str">
        <f t="shared" si="9"/>
        <v/>
      </c>
      <c r="S55" s="936" t="str">
        <f t="shared" si="10"/>
        <v/>
      </c>
      <c r="T55" s="937" t="str">
        <f t="shared" si="11"/>
        <v/>
      </c>
      <c r="U55" s="361"/>
      <c r="V55" s="381"/>
      <c r="W55" s="375"/>
      <c r="X55" s="375"/>
      <c r="Y55" s="1120" t="e">
        <f>VLOOKUP(H55,tab!$A$73:$V$114,I55+2,FALSE)</f>
        <v>#N/A</v>
      </c>
      <c r="Z55" s="1211">
        <f>tab!$D$64</f>
        <v>0.62</v>
      </c>
      <c r="AA55" s="1163" t="e">
        <f t="shared" si="12"/>
        <v>#N/A</v>
      </c>
      <c r="AB55" s="1163" t="e">
        <f t="shared" si="13"/>
        <v>#N/A</v>
      </c>
      <c r="AC55" s="1163" t="e">
        <f t="shared" si="14"/>
        <v>#N/A</v>
      </c>
      <c r="AD55" s="1162" t="e">
        <f t="shared" si="15"/>
        <v>#VALUE!</v>
      </c>
      <c r="AE55" s="1162">
        <f t="shared" si="16"/>
        <v>0</v>
      </c>
      <c r="AF55" s="1129">
        <f>IF(H55&gt;8,tab!$D$65,tab!$D$67)</f>
        <v>0.4</v>
      </c>
      <c r="AG55" s="1143">
        <f t="shared" si="17"/>
        <v>0</v>
      </c>
      <c r="AH55" s="1159">
        <f t="shared" si="18"/>
        <v>0</v>
      </c>
      <c r="AI55" s="1142" t="b">
        <f>DATE(YEAR(tab!$E$3),MONTH(G55),DAY(G55))&gt;tab!$E$3</f>
        <v>0</v>
      </c>
      <c r="AJ55" s="1143">
        <f t="shared" si="19"/>
        <v>115</v>
      </c>
      <c r="AK55" s="1096">
        <f t="shared" si="20"/>
        <v>30</v>
      </c>
      <c r="AL55" s="1096">
        <f t="shared" si="21"/>
        <v>30</v>
      </c>
      <c r="AM55" s="1143">
        <f t="shared" si="22"/>
        <v>0</v>
      </c>
    </row>
    <row r="56" spans="2:39" ht="12.75" customHeight="1" x14ac:dyDescent="0.2">
      <c r="B56" s="69"/>
      <c r="C56" s="90"/>
      <c r="D56" s="97"/>
      <c r="E56" s="97"/>
      <c r="F56" s="114"/>
      <c r="G56" s="377"/>
      <c r="H56" s="114"/>
      <c r="I56" s="129"/>
      <c r="J56" s="378"/>
      <c r="K56" s="1194"/>
      <c r="L56" s="1065"/>
      <c r="M56" s="1065"/>
      <c r="N56" s="1077" t="str">
        <f t="shared" si="6"/>
        <v/>
      </c>
      <c r="O56" s="1077" t="str">
        <f t="shared" si="7"/>
        <v/>
      </c>
      <c r="P56" s="1172" t="str">
        <f t="shared" si="8"/>
        <v/>
      </c>
      <c r="Q56" s="91"/>
      <c r="R56" s="936" t="str">
        <f t="shared" si="9"/>
        <v/>
      </c>
      <c r="S56" s="936" t="str">
        <f t="shared" si="10"/>
        <v/>
      </c>
      <c r="T56" s="937" t="str">
        <f t="shared" si="11"/>
        <v/>
      </c>
      <c r="U56" s="361"/>
      <c r="V56" s="381"/>
      <c r="W56" s="375"/>
      <c r="X56" s="375"/>
      <c r="Y56" s="1120" t="e">
        <f>VLOOKUP(H56,tab!$A$73:$V$114,I56+2,FALSE)</f>
        <v>#N/A</v>
      </c>
      <c r="Z56" s="1211">
        <f>tab!$D$64</f>
        <v>0.62</v>
      </c>
      <c r="AA56" s="1163" t="e">
        <f t="shared" si="12"/>
        <v>#N/A</v>
      </c>
      <c r="AB56" s="1163" t="e">
        <f t="shared" si="13"/>
        <v>#N/A</v>
      </c>
      <c r="AC56" s="1163" t="e">
        <f t="shared" si="14"/>
        <v>#N/A</v>
      </c>
      <c r="AD56" s="1162" t="e">
        <f t="shared" si="15"/>
        <v>#VALUE!</v>
      </c>
      <c r="AE56" s="1162">
        <f t="shared" si="16"/>
        <v>0</v>
      </c>
      <c r="AF56" s="1129">
        <f>IF(H56&gt;8,tab!$D$65,tab!$D$67)</f>
        <v>0.4</v>
      </c>
      <c r="AG56" s="1143">
        <f t="shared" si="17"/>
        <v>0</v>
      </c>
      <c r="AH56" s="1159">
        <f t="shared" si="18"/>
        <v>0</v>
      </c>
      <c r="AI56" s="1142" t="b">
        <f>DATE(YEAR(tab!$E$3),MONTH(G56),DAY(G56))&gt;tab!$E$3</f>
        <v>0</v>
      </c>
      <c r="AJ56" s="1143">
        <f t="shared" si="19"/>
        <v>115</v>
      </c>
      <c r="AK56" s="1096">
        <f t="shared" si="20"/>
        <v>30</v>
      </c>
      <c r="AL56" s="1096">
        <f t="shared" si="21"/>
        <v>30</v>
      </c>
      <c r="AM56" s="1143">
        <f t="shared" si="22"/>
        <v>0</v>
      </c>
    </row>
    <row r="57" spans="2:39" ht="12.75" customHeight="1" x14ac:dyDescent="0.2">
      <c r="B57" s="69"/>
      <c r="C57" s="90"/>
      <c r="D57" s="97"/>
      <c r="E57" s="97"/>
      <c r="F57" s="114"/>
      <c r="G57" s="377"/>
      <c r="H57" s="114"/>
      <c r="I57" s="129"/>
      <c r="J57" s="378"/>
      <c r="K57" s="1194"/>
      <c r="L57" s="1065"/>
      <c r="M57" s="1065"/>
      <c r="N57" s="1077" t="str">
        <f t="shared" si="6"/>
        <v/>
      </c>
      <c r="O57" s="1077" t="str">
        <f t="shared" si="7"/>
        <v/>
      </c>
      <c r="P57" s="1172" t="str">
        <f t="shared" si="8"/>
        <v/>
      </c>
      <c r="Q57" s="91"/>
      <c r="R57" s="936" t="str">
        <f t="shared" si="9"/>
        <v/>
      </c>
      <c r="S57" s="936" t="str">
        <f t="shared" si="10"/>
        <v/>
      </c>
      <c r="T57" s="937" t="str">
        <f t="shared" si="11"/>
        <v/>
      </c>
      <c r="U57" s="361"/>
      <c r="V57" s="381"/>
      <c r="W57" s="375"/>
      <c r="X57" s="375"/>
      <c r="Y57" s="1120" t="e">
        <f>VLOOKUP(H57,tab!$A$73:$V$114,I57+2,FALSE)</f>
        <v>#N/A</v>
      </c>
      <c r="Z57" s="1211">
        <f>tab!$D$64</f>
        <v>0.62</v>
      </c>
      <c r="AA57" s="1163" t="e">
        <f t="shared" si="12"/>
        <v>#N/A</v>
      </c>
      <c r="AB57" s="1163" t="e">
        <f t="shared" si="13"/>
        <v>#N/A</v>
      </c>
      <c r="AC57" s="1163" t="e">
        <f t="shared" si="14"/>
        <v>#N/A</v>
      </c>
      <c r="AD57" s="1162" t="e">
        <f t="shared" si="15"/>
        <v>#VALUE!</v>
      </c>
      <c r="AE57" s="1162">
        <f t="shared" si="16"/>
        <v>0</v>
      </c>
      <c r="AF57" s="1129">
        <f>IF(H57&gt;8,tab!$D$65,tab!$D$67)</f>
        <v>0.4</v>
      </c>
      <c r="AG57" s="1143">
        <f t="shared" si="17"/>
        <v>0</v>
      </c>
      <c r="AH57" s="1159">
        <f t="shared" si="18"/>
        <v>0</v>
      </c>
      <c r="AI57" s="1142" t="b">
        <f>DATE(YEAR(tab!$E$3),MONTH(G57),DAY(G57))&gt;tab!$E$3</f>
        <v>0</v>
      </c>
      <c r="AJ57" s="1143">
        <f t="shared" si="19"/>
        <v>115</v>
      </c>
      <c r="AK57" s="1096">
        <f t="shared" si="20"/>
        <v>30</v>
      </c>
      <c r="AL57" s="1096">
        <f t="shared" si="21"/>
        <v>30</v>
      </c>
      <c r="AM57" s="1143">
        <f t="shared" si="22"/>
        <v>0</v>
      </c>
    </row>
    <row r="58" spans="2:39" ht="12.75" customHeight="1" x14ac:dyDescent="0.2">
      <c r="B58" s="69"/>
      <c r="C58" s="90"/>
      <c r="D58" s="97"/>
      <c r="E58" s="97"/>
      <c r="F58" s="114"/>
      <c r="G58" s="377"/>
      <c r="H58" s="114"/>
      <c r="I58" s="129"/>
      <c r="J58" s="378"/>
      <c r="K58" s="1194"/>
      <c r="L58" s="1065"/>
      <c r="M58" s="1065"/>
      <c r="N58" s="1077" t="str">
        <f t="shared" si="6"/>
        <v/>
      </c>
      <c r="O58" s="1077" t="str">
        <f t="shared" si="7"/>
        <v/>
      </c>
      <c r="P58" s="1172" t="str">
        <f t="shared" si="8"/>
        <v/>
      </c>
      <c r="Q58" s="91"/>
      <c r="R58" s="936" t="str">
        <f t="shared" si="9"/>
        <v/>
      </c>
      <c r="S58" s="936" t="str">
        <f t="shared" si="10"/>
        <v/>
      </c>
      <c r="T58" s="937" t="str">
        <f t="shared" si="11"/>
        <v/>
      </c>
      <c r="U58" s="361"/>
      <c r="V58" s="381"/>
      <c r="W58" s="375"/>
      <c r="X58" s="375"/>
      <c r="Y58" s="1120" t="e">
        <f>VLOOKUP(H58,tab!$A$73:$V$114,I58+2,FALSE)</f>
        <v>#N/A</v>
      </c>
      <c r="Z58" s="1211">
        <f>tab!$D$64</f>
        <v>0.62</v>
      </c>
      <c r="AA58" s="1163" t="e">
        <f t="shared" si="12"/>
        <v>#N/A</v>
      </c>
      <c r="AB58" s="1163" t="e">
        <f t="shared" si="13"/>
        <v>#N/A</v>
      </c>
      <c r="AC58" s="1163" t="e">
        <f t="shared" si="14"/>
        <v>#N/A</v>
      </c>
      <c r="AD58" s="1162" t="e">
        <f t="shared" si="15"/>
        <v>#VALUE!</v>
      </c>
      <c r="AE58" s="1162">
        <f t="shared" si="16"/>
        <v>0</v>
      </c>
      <c r="AF58" s="1129">
        <f>IF(H58&gt;8,tab!$D$65,tab!$D$67)</f>
        <v>0.4</v>
      </c>
      <c r="AG58" s="1143">
        <f t="shared" si="17"/>
        <v>0</v>
      </c>
      <c r="AH58" s="1159">
        <f t="shared" si="18"/>
        <v>0</v>
      </c>
      <c r="AI58" s="1142" t="b">
        <f>DATE(YEAR(tab!$E$3),MONTH(G58),DAY(G58))&gt;tab!$E$3</f>
        <v>0</v>
      </c>
      <c r="AJ58" s="1143">
        <f t="shared" si="19"/>
        <v>115</v>
      </c>
      <c r="AK58" s="1096">
        <f t="shared" si="20"/>
        <v>30</v>
      </c>
      <c r="AL58" s="1096">
        <f t="shared" si="21"/>
        <v>30</v>
      </c>
      <c r="AM58" s="1143">
        <f t="shared" si="22"/>
        <v>0</v>
      </c>
    </row>
    <row r="59" spans="2:39" ht="12.75" customHeight="1" x14ac:dyDescent="0.2">
      <c r="B59" s="69"/>
      <c r="C59" s="90"/>
      <c r="D59" s="97"/>
      <c r="E59" s="97"/>
      <c r="F59" s="114"/>
      <c r="G59" s="377"/>
      <c r="H59" s="114"/>
      <c r="I59" s="129"/>
      <c r="J59" s="378"/>
      <c r="K59" s="1194"/>
      <c r="L59" s="1065"/>
      <c r="M59" s="1065"/>
      <c r="N59" s="1077" t="str">
        <f t="shared" si="6"/>
        <v/>
      </c>
      <c r="O59" s="1077" t="str">
        <f t="shared" si="7"/>
        <v/>
      </c>
      <c r="P59" s="1172" t="str">
        <f t="shared" si="8"/>
        <v/>
      </c>
      <c r="Q59" s="91"/>
      <c r="R59" s="936" t="str">
        <f t="shared" si="9"/>
        <v/>
      </c>
      <c r="S59" s="936" t="str">
        <f t="shared" si="10"/>
        <v/>
      </c>
      <c r="T59" s="937" t="str">
        <f t="shared" si="11"/>
        <v/>
      </c>
      <c r="U59" s="361"/>
      <c r="V59" s="381"/>
      <c r="W59" s="375"/>
      <c r="X59" s="375"/>
      <c r="Y59" s="1120" t="e">
        <f>VLOOKUP(H59,tab!$A$73:$V$114,I59+2,FALSE)</f>
        <v>#N/A</v>
      </c>
      <c r="Z59" s="1211">
        <f>tab!$D$64</f>
        <v>0.62</v>
      </c>
      <c r="AA59" s="1163" t="e">
        <f t="shared" si="12"/>
        <v>#N/A</v>
      </c>
      <c r="AB59" s="1163" t="e">
        <f t="shared" si="13"/>
        <v>#N/A</v>
      </c>
      <c r="AC59" s="1163" t="e">
        <f t="shared" si="14"/>
        <v>#N/A</v>
      </c>
      <c r="AD59" s="1162" t="e">
        <f t="shared" si="15"/>
        <v>#VALUE!</v>
      </c>
      <c r="AE59" s="1162">
        <f t="shared" si="16"/>
        <v>0</v>
      </c>
      <c r="AF59" s="1129">
        <f>IF(H59&gt;8,tab!$D$65,tab!$D$67)</f>
        <v>0.4</v>
      </c>
      <c r="AG59" s="1143">
        <f t="shared" si="17"/>
        <v>0</v>
      </c>
      <c r="AH59" s="1159">
        <f t="shared" si="18"/>
        <v>0</v>
      </c>
      <c r="AI59" s="1142" t="b">
        <f>DATE(YEAR(tab!$E$3),MONTH(G59),DAY(G59))&gt;tab!$E$3</f>
        <v>0</v>
      </c>
      <c r="AJ59" s="1143">
        <f t="shared" si="19"/>
        <v>115</v>
      </c>
      <c r="AK59" s="1096">
        <f t="shared" si="20"/>
        <v>30</v>
      </c>
      <c r="AL59" s="1096">
        <f t="shared" si="21"/>
        <v>30</v>
      </c>
      <c r="AM59" s="1143">
        <f t="shared" si="22"/>
        <v>0</v>
      </c>
    </row>
    <row r="60" spans="2:39" ht="12.75" customHeight="1" x14ac:dyDescent="0.2">
      <c r="B60" s="69"/>
      <c r="C60" s="90"/>
      <c r="D60" s="97"/>
      <c r="E60" s="97"/>
      <c r="F60" s="114"/>
      <c r="G60" s="377"/>
      <c r="H60" s="114"/>
      <c r="I60" s="129"/>
      <c r="J60" s="378"/>
      <c r="K60" s="1194"/>
      <c r="L60" s="1065"/>
      <c r="M60" s="1065"/>
      <c r="N60" s="1077" t="str">
        <f t="shared" si="6"/>
        <v/>
      </c>
      <c r="O60" s="1077" t="str">
        <f t="shared" si="7"/>
        <v/>
      </c>
      <c r="P60" s="1172" t="str">
        <f t="shared" si="8"/>
        <v/>
      </c>
      <c r="Q60" s="91"/>
      <c r="R60" s="936" t="str">
        <f t="shared" si="9"/>
        <v/>
      </c>
      <c r="S60" s="936" t="str">
        <f t="shared" si="10"/>
        <v/>
      </c>
      <c r="T60" s="937" t="str">
        <f t="shared" si="11"/>
        <v/>
      </c>
      <c r="U60" s="361"/>
      <c r="V60" s="381"/>
      <c r="W60" s="375"/>
      <c r="X60" s="375"/>
      <c r="Y60" s="1120" t="e">
        <f>VLOOKUP(H60,tab!$A$73:$V$114,I60+2,FALSE)</f>
        <v>#N/A</v>
      </c>
      <c r="Z60" s="1211">
        <f>tab!$D$64</f>
        <v>0.62</v>
      </c>
      <c r="AA60" s="1163" t="e">
        <f t="shared" si="12"/>
        <v>#N/A</v>
      </c>
      <c r="AB60" s="1163" t="e">
        <f t="shared" si="13"/>
        <v>#N/A</v>
      </c>
      <c r="AC60" s="1163" t="e">
        <f t="shared" si="14"/>
        <v>#N/A</v>
      </c>
      <c r="AD60" s="1162" t="e">
        <f t="shared" si="15"/>
        <v>#VALUE!</v>
      </c>
      <c r="AE60" s="1162">
        <f t="shared" si="16"/>
        <v>0</v>
      </c>
      <c r="AF60" s="1129">
        <f>IF(H60&gt;8,tab!$D$65,tab!$D$67)</f>
        <v>0.4</v>
      </c>
      <c r="AG60" s="1143">
        <f t="shared" si="17"/>
        <v>0</v>
      </c>
      <c r="AH60" s="1159">
        <f t="shared" si="18"/>
        <v>0</v>
      </c>
      <c r="AI60" s="1142" t="b">
        <f>DATE(YEAR(tab!$E$3),MONTH(G60),DAY(G60))&gt;tab!$E$3</f>
        <v>0</v>
      </c>
      <c r="AJ60" s="1143">
        <f t="shared" si="19"/>
        <v>115</v>
      </c>
      <c r="AK60" s="1096">
        <f t="shared" si="20"/>
        <v>30</v>
      </c>
      <c r="AL60" s="1096">
        <f t="shared" si="21"/>
        <v>30</v>
      </c>
      <c r="AM60" s="1143">
        <f t="shared" si="22"/>
        <v>0</v>
      </c>
    </row>
    <row r="61" spans="2:39" ht="12.75" customHeight="1" x14ac:dyDescent="0.2">
      <c r="B61" s="69"/>
      <c r="C61" s="90"/>
      <c r="D61" s="97"/>
      <c r="E61" s="97"/>
      <c r="F61" s="114"/>
      <c r="G61" s="377"/>
      <c r="H61" s="114"/>
      <c r="I61" s="129"/>
      <c r="J61" s="378"/>
      <c r="K61" s="1194"/>
      <c r="L61" s="1065"/>
      <c r="M61" s="1065"/>
      <c r="N61" s="1077" t="str">
        <f t="shared" si="6"/>
        <v/>
      </c>
      <c r="O61" s="1077" t="str">
        <f t="shared" si="7"/>
        <v/>
      </c>
      <c r="P61" s="1172" t="str">
        <f t="shared" si="8"/>
        <v/>
      </c>
      <c r="Q61" s="91"/>
      <c r="R61" s="936" t="str">
        <f t="shared" si="9"/>
        <v/>
      </c>
      <c r="S61" s="936" t="str">
        <f t="shared" si="10"/>
        <v/>
      </c>
      <c r="T61" s="937" t="str">
        <f t="shared" si="11"/>
        <v/>
      </c>
      <c r="U61" s="361"/>
      <c r="V61" s="381"/>
      <c r="W61" s="375"/>
      <c r="X61" s="375"/>
      <c r="Y61" s="1120" t="e">
        <f>VLOOKUP(H61,tab!$A$73:$V$114,I61+2,FALSE)</f>
        <v>#N/A</v>
      </c>
      <c r="Z61" s="1211">
        <f>tab!$D$64</f>
        <v>0.62</v>
      </c>
      <c r="AA61" s="1163" t="e">
        <f t="shared" si="12"/>
        <v>#N/A</v>
      </c>
      <c r="AB61" s="1163" t="e">
        <f t="shared" si="13"/>
        <v>#N/A</v>
      </c>
      <c r="AC61" s="1163" t="e">
        <f t="shared" si="14"/>
        <v>#N/A</v>
      </c>
      <c r="AD61" s="1162" t="e">
        <f t="shared" si="15"/>
        <v>#VALUE!</v>
      </c>
      <c r="AE61" s="1162">
        <f t="shared" si="16"/>
        <v>0</v>
      </c>
      <c r="AF61" s="1129">
        <f>IF(H61&gt;8,tab!$D$65,tab!$D$67)</f>
        <v>0.4</v>
      </c>
      <c r="AG61" s="1143">
        <f t="shared" si="17"/>
        <v>0</v>
      </c>
      <c r="AH61" s="1159">
        <f t="shared" si="18"/>
        <v>0</v>
      </c>
      <c r="AI61" s="1142" t="b">
        <f>DATE(YEAR(tab!$E$3),MONTH(G61),DAY(G61))&gt;tab!$E$3</f>
        <v>0</v>
      </c>
      <c r="AJ61" s="1143">
        <f t="shared" si="19"/>
        <v>115</v>
      </c>
      <c r="AK61" s="1096">
        <f t="shared" si="20"/>
        <v>30</v>
      </c>
      <c r="AL61" s="1096">
        <f t="shared" si="21"/>
        <v>30</v>
      </c>
      <c r="AM61" s="1143">
        <f t="shared" si="22"/>
        <v>0</v>
      </c>
    </row>
    <row r="62" spans="2:39" ht="12.75" customHeight="1" x14ac:dyDescent="0.2">
      <c r="B62" s="69"/>
      <c r="C62" s="90"/>
      <c r="D62" s="97"/>
      <c r="E62" s="97"/>
      <c r="F62" s="114"/>
      <c r="G62" s="377"/>
      <c r="H62" s="114"/>
      <c r="I62" s="129"/>
      <c r="J62" s="378"/>
      <c r="K62" s="1194"/>
      <c r="L62" s="1065"/>
      <c r="M62" s="1065"/>
      <c r="N62" s="1077" t="str">
        <f t="shared" si="6"/>
        <v/>
      </c>
      <c r="O62" s="1077" t="str">
        <f t="shared" si="7"/>
        <v/>
      </c>
      <c r="P62" s="1172" t="str">
        <f t="shared" si="8"/>
        <v/>
      </c>
      <c r="Q62" s="91"/>
      <c r="R62" s="936" t="str">
        <f t="shared" si="9"/>
        <v/>
      </c>
      <c r="S62" s="936" t="str">
        <f t="shared" si="10"/>
        <v/>
      </c>
      <c r="T62" s="937" t="str">
        <f t="shared" si="11"/>
        <v/>
      </c>
      <c r="U62" s="361"/>
      <c r="V62" s="381"/>
      <c r="W62" s="375"/>
      <c r="X62" s="375"/>
      <c r="Y62" s="1120" t="e">
        <f>VLOOKUP(H62,tab!$A$73:$V$114,I62+2,FALSE)</f>
        <v>#N/A</v>
      </c>
      <c r="Z62" s="1211">
        <f>tab!$D$64</f>
        <v>0.62</v>
      </c>
      <c r="AA62" s="1163" t="e">
        <f t="shared" si="12"/>
        <v>#N/A</v>
      </c>
      <c r="AB62" s="1163" t="e">
        <f t="shared" si="13"/>
        <v>#N/A</v>
      </c>
      <c r="AC62" s="1163" t="e">
        <f t="shared" si="14"/>
        <v>#N/A</v>
      </c>
      <c r="AD62" s="1162" t="e">
        <f t="shared" si="15"/>
        <v>#VALUE!</v>
      </c>
      <c r="AE62" s="1162">
        <f t="shared" si="16"/>
        <v>0</v>
      </c>
      <c r="AF62" s="1129">
        <f>IF(H62&gt;8,tab!$D$65,tab!$D$67)</f>
        <v>0.4</v>
      </c>
      <c r="AG62" s="1143">
        <f t="shared" si="17"/>
        <v>0</v>
      </c>
      <c r="AH62" s="1159">
        <f t="shared" si="18"/>
        <v>0</v>
      </c>
      <c r="AI62" s="1142" t="b">
        <f>DATE(YEAR(tab!$E$3),MONTH(G62),DAY(G62))&gt;tab!$E$3</f>
        <v>0</v>
      </c>
      <c r="AJ62" s="1143">
        <f t="shared" si="19"/>
        <v>115</v>
      </c>
      <c r="AK62" s="1096">
        <f t="shared" si="20"/>
        <v>30</v>
      </c>
      <c r="AL62" s="1096">
        <f t="shared" si="21"/>
        <v>30</v>
      </c>
      <c r="AM62" s="1143">
        <f t="shared" si="22"/>
        <v>0</v>
      </c>
    </row>
    <row r="63" spans="2:39" ht="12.75" customHeight="1" x14ac:dyDescent="0.2">
      <c r="B63" s="69"/>
      <c r="C63" s="90"/>
      <c r="D63" s="97"/>
      <c r="E63" s="97"/>
      <c r="F63" s="114"/>
      <c r="G63" s="377"/>
      <c r="H63" s="114"/>
      <c r="I63" s="129"/>
      <c r="J63" s="378"/>
      <c r="K63" s="1194"/>
      <c r="L63" s="1065"/>
      <c r="M63" s="1065"/>
      <c r="N63" s="1077" t="str">
        <f t="shared" si="6"/>
        <v/>
      </c>
      <c r="O63" s="1077" t="str">
        <f t="shared" si="7"/>
        <v/>
      </c>
      <c r="P63" s="1172" t="str">
        <f t="shared" si="8"/>
        <v/>
      </c>
      <c r="Q63" s="91"/>
      <c r="R63" s="936" t="str">
        <f t="shared" si="9"/>
        <v/>
      </c>
      <c r="S63" s="936" t="str">
        <f t="shared" si="10"/>
        <v/>
      </c>
      <c r="T63" s="937" t="str">
        <f t="shared" si="11"/>
        <v/>
      </c>
      <c r="U63" s="361"/>
      <c r="V63" s="381"/>
      <c r="W63" s="375"/>
      <c r="X63" s="375"/>
      <c r="Y63" s="1120" t="e">
        <f>VLOOKUP(H63,tab!$A$73:$V$114,I63+2,FALSE)</f>
        <v>#N/A</v>
      </c>
      <c r="Z63" s="1211">
        <f>tab!$D$64</f>
        <v>0.62</v>
      </c>
      <c r="AA63" s="1163" t="e">
        <f t="shared" si="12"/>
        <v>#N/A</v>
      </c>
      <c r="AB63" s="1163" t="e">
        <f t="shared" si="13"/>
        <v>#N/A</v>
      </c>
      <c r="AC63" s="1163" t="e">
        <f t="shared" si="14"/>
        <v>#N/A</v>
      </c>
      <c r="AD63" s="1162" t="e">
        <f t="shared" si="15"/>
        <v>#VALUE!</v>
      </c>
      <c r="AE63" s="1162">
        <f t="shared" si="16"/>
        <v>0</v>
      </c>
      <c r="AF63" s="1129">
        <f>IF(H63&gt;8,tab!$D$65,tab!$D$67)</f>
        <v>0.4</v>
      </c>
      <c r="AG63" s="1143">
        <f t="shared" si="17"/>
        <v>0</v>
      </c>
      <c r="AH63" s="1159">
        <f t="shared" si="18"/>
        <v>0</v>
      </c>
      <c r="AI63" s="1142" t="b">
        <f>DATE(YEAR(tab!$E$3),MONTH(G63),DAY(G63))&gt;tab!$E$3</f>
        <v>0</v>
      </c>
      <c r="AJ63" s="1143">
        <f t="shared" si="19"/>
        <v>115</v>
      </c>
      <c r="AK63" s="1096">
        <f t="shared" si="20"/>
        <v>30</v>
      </c>
      <c r="AL63" s="1096">
        <f t="shared" si="21"/>
        <v>30</v>
      </c>
      <c r="AM63" s="1143">
        <f t="shared" si="22"/>
        <v>0</v>
      </c>
    </row>
    <row r="64" spans="2:39" ht="12.75" customHeight="1" x14ac:dyDescent="0.2">
      <c r="B64" s="69"/>
      <c r="C64" s="90"/>
      <c r="D64" s="97"/>
      <c r="E64" s="97"/>
      <c r="F64" s="114"/>
      <c r="G64" s="377"/>
      <c r="H64" s="114"/>
      <c r="I64" s="129"/>
      <c r="J64" s="378"/>
      <c r="K64" s="1194"/>
      <c r="L64" s="1065"/>
      <c r="M64" s="1065"/>
      <c r="N64" s="1077" t="str">
        <f t="shared" si="6"/>
        <v/>
      </c>
      <c r="O64" s="1077" t="str">
        <f t="shared" si="7"/>
        <v/>
      </c>
      <c r="P64" s="1172" t="str">
        <f t="shared" si="8"/>
        <v/>
      </c>
      <c r="Q64" s="91"/>
      <c r="R64" s="936" t="str">
        <f t="shared" si="9"/>
        <v/>
      </c>
      <c r="S64" s="936" t="str">
        <f t="shared" si="10"/>
        <v/>
      </c>
      <c r="T64" s="937" t="str">
        <f t="shared" si="11"/>
        <v/>
      </c>
      <c r="U64" s="361"/>
      <c r="V64" s="381"/>
      <c r="W64" s="375"/>
      <c r="X64" s="375"/>
      <c r="Y64" s="1120" t="e">
        <f>VLOOKUP(H64,tab!$A$73:$V$114,I64+2,FALSE)</f>
        <v>#N/A</v>
      </c>
      <c r="Z64" s="1211">
        <f>tab!$D$64</f>
        <v>0.62</v>
      </c>
      <c r="AA64" s="1163" t="e">
        <f t="shared" si="12"/>
        <v>#N/A</v>
      </c>
      <c r="AB64" s="1163" t="e">
        <f t="shared" si="13"/>
        <v>#N/A</v>
      </c>
      <c r="AC64" s="1163" t="e">
        <f t="shared" si="14"/>
        <v>#N/A</v>
      </c>
      <c r="AD64" s="1162" t="e">
        <f t="shared" si="15"/>
        <v>#VALUE!</v>
      </c>
      <c r="AE64" s="1162">
        <f t="shared" si="16"/>
        <v>0</v>
      </c>
      <c r="AF64" s="1129">
        <f>IF(H64&gt;8,tab!$D$65,tab!$D$67)</f>
        <v>0.4</v>
      </c>
      <c r="AG64" s="1143">
        <f t="shared" si="17"/>
        <v>0</v>
      </c>
      <c r="AH64" s="1159">
        <f t="shared" si="18"/>
        <v>0</v>
      </c>
      <c r="AI64" s="1142" t="b">
        <f>DATE(YEAR(tab!$E$3),MONTH(G64),DAY(G64))&gt;tab!$E$3</f>
        <v>0</v>
      </c>
      <c r="AJ64" s="1143">
        <f t="shared" si="19"/>
        <v>115</v>
      </c>
      <c r="AK64" s="1096">
        <f t="shared" si="20"/>
        <v>30</v>
      </c>
      <c r="AL64" s="1096">
        <f t="shared" si="21"/>
        <v>30</v>
      </c>
      <c r="AM64" s="1143">
        <f t="shared" si="22"/>
        <v>0</v>
      </c>
    </row>
    <row r="65" spans="2:40" ht="12.75" customHeight="1" x14ac:dyDescent="0.2">
      <c r="B65" s="69"/>
      <c r="C65" s="90"/>
      <c r="D65" s="97"/>
      <c r="E65" s="97"/>
      <c r="F65" s="114"/>
      <c r="G65" s="377"/>
      <c r="H65" s="114"/>
      <c r="I65" s="129"/>
      <c r="J65" s="378"/>
      <c r="K65" s="1194"/>
      <c r="L65" s="1065"/>
      <c r="M65" s="1065"/>
      <c r="N65" s="1077" t="str">
        <f t="shared" si="6"/>
        <v/>
      </c>
      <c r="O65" s="1077" t="str">
        <f t="shared" si="7"/>
        <v/>
      </c>
      <c r="P65" s="1172" t="str">
        <f t="shared" si="8"/>
        <v/>
      </c>
      <c r="Q65" s="91"/>
      <c r="R65" s="936" t="str">
        <f t="shared" si="9"/>
        <v/>
      </c>
      <c r="S65" s="936" t="str">
        <f t="shared" si="10"/>
        <v/>
      </c>
      <c r="T65" s="937" t="str">
        <f t="shared" si="11"/>
        <v/>
      </c>
      <c r="U65" s="361"/>
      <c r="V65" s="381"/>
      <c r="W65" s="375"/>
      <c r="X65" s="375"/>
      <c r="Y65" s="1120" t="e">
        <f>VLOOKUP(H65,tab!$A$73:$V$114,I65+2,FALSE)</f>
        <v>#N/A</v>
      </c>
      <c r="Z65" s="1211">
        <f>tab!$D$64</f>
        <v>0.62</v>
      </c>
      <c r="AA65" s="1163" t="e">
        <f t="shared" si="12"/>
        <v>#N/A</v>
      </c>
      <c r="AB65" s="1163" t="e">
        <f t="shared" si="13"/>
        <v>#N/A</v>
      </c>
      <c r="AC65" s="1163" t="e">
        <f t="shared" si="14"/>
        <v>#N/A</v>
      </c>
      <c r="AD65" s="1162" t="e">
        <f t="shared" si="15"/>
        <v>#VALUE!</v>
      </c>
      <c r="AE65" s="1162">
        <f t="shared" si="16"/>
        <v>0</v>
      </c>
      <c r="AF65" s="1129">
        <f>IF(H65&gt;8,tab!$D$65,tab!$D$67)</f>
        <v>0.4</v>
      </c>
      <c r="AG65" s="1143">
        <f t="shared" si="17"/>
        <v>0</v>
      </c>
      <c r="AH65" s="1159">
        <f t="shared" si="18"/>
        <v>0</v>
      </c>
      <c r="AI65" s="1142" t="b">
        <f>DATE(YEAR(tab!$E$3),MONTH(G65),DAY(G65))&gt;tab!$E$3</f>
        <v>0</v>
      </c>
      <c r="AJ65" s="1143">
        <f t="shared" si="19"/>
        <v>115</v>
      </c>
      <c r="AK65" s="1096">
        <f t="shared" si="20"/>
        <v>30</v>
      </c>
      <c r="AL65" s="1096">
        <f t="shared" si="21"/>
        <v>30</v>
      </c>
      <c r="AM65" s="1143">
        <f t="shared" si="22"/>
        <v>0</v>
      </c>
    </row>
    <row r="66" spans="2:40" ht="12.75" customHeight="1" x14ac:dyDescent="0.2">
      <c r="B66" s="69"/>
      <c r="C66" s="90"/>
      <c r="D66" s="97"/>
      <c r="E66" s="97"/>
      <c r="F66" s="114"/>
      <c r="G66" s="377"/>
      <c r="H66" s="114"/>
      <c r="I66" s="129"/>
      <c r="J66" s="378"/>
      <c r="K66" s="1194"/>
      <c r="L66" s="1065"/>
      <c r="M66" s="1065"/>
      <c r="N66" s="1077" t="str">
        <f t="shared" si="6"/>
        <v/>
      </c>
      <c r="O66" s="1077" t="str">
        <f t="shared" si="7"/>
        <v/>
      </c>
      <c r="P66" s="1172" t="str">
        <f t="shared" si="8"/>
        <v/>
      </c>
      <c r="Q66" s="91"/>
      <c r="R66" s="936" t="str">
        <f t="shared" si="9"/>
        <v/>
      </c>
      <c r="S66" s="936" t="str">
        <f t="shared" si="10"/>
        <v/>
      </c>
      <c r="T66" s="937" t="str">
        <f t="shared" si="11"/>
        <v/>
      </c>
      <c r="U66" s="361"/>
      <c r="V66" s="381"/>
      <c r="W66" s="375"/>
      <c r="X66" s="375"/>
      <c r="Y66" s="1120" t="e">
        <f>VLOOKUP(H66,tab!$A$73:$V$114,I66+2,FALSE)</f>
        <v>#N/A</v>
      </c>
      <c r="Z66" s="1211">
        <f>tab!$D$64</f>
        <v>0.62</v>
      </c>
      <c r="AA66" s="1163" t="e">
        <f t="shared" si="12"/>
        <v>#N/A</v>
      </c>
      <c r="AB66" s="1163" t="e">
        <f t="shared" si="13"/>
        <v>#N/A</v>
      </c>
      <c r="AC66" s="1163" t="e">
        <f t="shared" si="14"/>
        <v>#N/A</v>
      </c>
      <c r="AD66" s="1162" t="e">
        <f t="shared" si="15"/>
        <v>#VALUE!</v>
      </c>
      <c r="AE66" s="1162">
        <f t="shared" si="16"/>
        <v>0</v>
      </c>
      <c r="AF66" s="1129">
        <f>IF(H66&gt;8,tab!$D$65,tab!$D$67)</f>
        <v>0.4</v>
      </c>
      <c r="AG66" s="1143">
        <f t="shared" si="17"/>
        <v>0</v>
      </c>
      <c r="AH66" s="1159">
        <f t="shared" si="18"/>
        <v>0</v>
      </c>
      <c r="AI66" s="1142" t="b">
        <f>DATE(YEAR(tab!$E$3),MONTH(G66),DAY(G66))&gt;tab!$E$3</f>
        <v>0</v>
      </c>
      <c r="AJ66" s="1143">
        <f t="shared" si="19"/>
        <v>115</v>
      </c>
      <c r="AK66" s="1096">
        <f t="shared" si="20"/>
        <v>30</v>
      </c>
      <c r="AL66" s="1096">
        <f t="shared" si="21"/>
        <v>30</v>
      </c>
      <c r="AM66" s="1143">
        <f t="shared" si="22"/>
        <v>0</v>
      </c>
    </row>
    <row r="67" spans="2:40" ht="12.75" customHeight="1" x14ac:dyDescent="0.2">
      <c r="B67" s="69"/>
      <c r="C67" s="90"/>
      <c r="D67" s="97"/>
      <c r="E67" s="97"/>
      <c r="F67" s="114"/>
      <c r="G67" s="377"/>
      <c r="H67" s="114"/>
      <c r="I67" s="129"/>
      <c r="J67" s="378"/>
      <c r="K67" s="1194"/>
      <c r="L67" s="1065"/>
      <c r="M67" s="1065"/>
      <c r="N67" s="1077" t="str">
        <f t="shared" si="6"/>
        <v/>
      </c>
      <c r="O67" s="1077" t="str">
        <f t="shared" si="7"/>
        <v/>
      </c>
      <c r="P67" s="1172" t="str">
        <f t="shared" si="8"/>
        <v/>
      </c>
      <c r="Q67" s="91"/>
      <c r="R67" s="936" t="str">
        <f t="shared" si="9"/>
        <v/>
      </c>
      <c r="S67" s="936" t="str">
        <f t="shared" si="10"/>
        <v/>
      </c>
      <c r="T67" s="937" t="str">
        <f t="shared" si="11"/>
        <v/>
      </c>
      <c r="U67" s="361"/>
      <c r="V67" s="381"/>
      <c r="W67" s="375"/>
      <c r="X67" s="375"/>
      <c r="Y67" s="1120" t="e">
        <f>VLOOKUP(H67,tab!$A$73:$V$114,I67+2,FALSE)</f>
        <v>#N/A</v>
      </c>
      <c r="Z67" s="1211">
        <f>tab!$D$64</f>
        <v>0.62</v>
      </c>
      <c r="AA67" s="1163" t="e">
        <f t="shared" si="12"/>
        <v>#N/A</v>
      </c>
      <c r="AB67" s="1163" t="e">
        <f t="shared" si="13"/>
        <v>#N/A</v>
      </c>
      <c r="AC67" s="1163" t="e">
        <f t="shared" si="14"/>
        <v>#N/A</v>
      </c>
      <c r="AD67" s="1162" t="e">
        <f t="shared" si="15"/>
        <v>#VALUE!</v>
      </c>
      <c r="AE67" s="1162">
        <f t="shared" si="16"/>
        <v>0</v>
      </c>
      <c r="AF67" s="1129">
        <f>IF(H67&gt;8,tab!$D$65,tab!$D$67)</f>
        <v>0.4</v>
      </c>
      <c r="AG67" s="1143">
        <f t="shared" si="17"/>
        <v>0</v>
      </c>
      <c r="AH67" s="1159">
        <f t="shared" si="18"/>
        <v>0</v>
      </c>
      <c r="AI67" s="1142" t="b">
        <f>DATE(YEAR(tab!$E$3),MONTH(G67),DAY(G67))&gt;tab!$E$3</f>
        <v>0</v>
      </c>
      <c r="AJ67" s="1143">
        <f t="shared" si="19"/>
        <v>115</v>
      </c>
      <c r="AK67" s="1096">
        <f t="shared" si="20"/>
        <v>30</v>
      </c>
      <c r="AL67" s="1096">
        <f t="shared" si="21"/>
        <v>30</v>
      </c>
      <c r="AM67" s="1143">
        <f t="shared" si="22"/>
        <v>0</v>
      </c>
    </row>
    <row r="68" spans="2:40" ht="12.75" customHeight="1" x14ac:dyDescent="0.2">
      <c r="B68" s="69"/>
      <c r="C68" s="90"/>
      <c r="D68" s="97"/>
      <c r="E68" s="97"/>
      <c r="F68" s="114"/>
      <c r="G68" s="377"/>
      <c r="H68" s="114"/>
      <c r="I68" s="129"/>
      <c r="J68" s="378"/>
      <c r="K68" s="1194"/>
      <c r="L68" s="1065"/>
      <c r="M68" s="1065"/>
      <c r="N68" s="1077" t="str">
        <f t="shared" si="6"/>
        <v/>
      </c>
      <c r="O68" s="1077" t="str">
        <f t="shared" si="7"/>
        <v/>
      </c>
      <c r="P68" s="1172" t="str">
        <f t="shared" si="8"/>
        <v/>
      </c>
      <c r="Q68" s="91"/>
      <c r="R68" s="936" t="str">
        <f t="shared" si="9"/>
        <v/>
      </c>
      <c r="S68" s="936" t="str">
        <f t="shared" si="10"/>
        <v/>
      </c>
      <c r="T68" s="937" t="str">
        <f t="shared" si="11"/>
        <v/>
      </c>
      <c r="U68" s="361"/>
      <c r="V68" s="381"/>
      <c r="W68" s="375"/>
      <c r="X68" s="375"/>
      <c r="Y68" s="1120" t="e">
        <f>VLOOKUP(H68,tab!$A$73:$V$114,I68+2,FALSE)</f>
        <v>#N/A</v>
      </c>
      <c r="Z68" s="1211">
        <f>tab!$D$64</f>
        <v>0.62</v>
      </c>
      <c r="AA68" s="1163" t="e">
        <f t="shared" si="12"/>
        <v>#N/A</v>
      </c>
      <c r="AB68" s="1163" t="e">
        <f t="shared" si="13"/>
        <v>#N/A</v>
      </c>
      <c r="AC68" s="1163" t="e">
        <f t="shared" si="14"/>
        <v>#N/A</v>
      </c>
      <c r="AD68" s="1162" t="e">
        <f t="shared" si="15"/>
        <v>#VALUE!</v>
      </c>
      <c r="AE68" s="1162">
        <f t="shared" si="16"/>
        <v>0</v>
      </c>
      <c r="AF68" s="1129">
        <f>IF(H68&gt;8,tab!$D$65,tab!$D$67)</f>
        <v>0.4</v>
      </c>
      <c r="AG68" s="1143">
        <f t="shared" si="17"/>
        <v>0</v>
      </c>
      <c r="AH68" s="1159">
        <f t="shared" si="18"/>
        <v>0</v>
      </c>
      <c r="AI68" s="1142" t="b">
        <f>DATE(YEAR(tab!$E$3),MONTH(G68),DAY(G68))&gt;tab!$E$3</f>
        <v>0</v>
      </c>
      <c r="AJ68" s="1143">
        <f t="shared" si="19"/>
        <v>115</v>
      </c>
      <c r="AK68" s="1096">
        <f t="shared" si="20"/>
        <v>30</v>
      </c>
      <c r="AL68" s="1096">
        <f t="shared" si="21"/>
        <v>30</v>
      </c>
      <c r="AM68" s="1143">
        <f t="shared" si="22"/>
        <v>0</v>
      </c>
    </row>
    <row r="69" spans="2:40" ht="12.75" customHeight="1" x14ac:dyDescent="0.2">
      <c r="B69" s="69"/>
      <c r="C69" s="90"/>
      <c r="D69" s="97"/>
      <c r="E69" s="97"/>
      <c r="F69" s="114"/>
      <c r="G69" s="377"/>
      <c r="H69" s="114"/>
      <c r="I69" s="129"/>
      <c r="J69" s="378"/>
      <c r="K69" s="1194"/>
      <c r="L69" s="1065"/>
      <c r="M69" s="1065"/>
      <c r="N69" s="1077" t="str">
        <f t="shared" si="6"/>
        <v/>
      </c>
      <c r="O69" s="1077" t="str">
        <f t="shared" si="7"/>
        <v/>
      </c>
      <c r="P69" s="1172" t="str">
        <f t="shared" si="8"/>
        <v/>
      </c>
      <c r="Q69" s="91"/>
      <c r="R69" s="936" t="str">
        <f t="shared" si="9"/>
        <v/>
      </c>
      <c r="S69" s="936" t="str">
        <f t="shared" si="10"/>
        <v/>
      </c>
      <c r="T69" s="937" t="str">
        <f t="shared" si="11"/>
        <v/>
      </c>
      <c r="U69" s="361"/>
      <c r="V69" s="381"/>
      <c r="W69" s="375"/>
      <c r="X69" s="375"/>
      <c r="Y69" s="1120" t="e">
        <f>VLOOKUP(H69,tab!$A$73:$V$114,I69+2,FALSE)</f>
        <v>#N/A</v>
      </c>
      <c r="Z69" s="1211">
        <f>tab!$D$64</f>
        <v>0.62</v>
      </c>
      <c r="AA69" s="1163" t="e">
        <f t="shared" si="12"/>
        <v>#N/A</v>
      </c>
      <c r="AB69" s="1163" t="e">
        <f t="shared" si="13"/>
        <v>#N/A</v>
      </c>
      <c r="AC69" s="1163" t="e">
        <f t="shared" si="14"/>
        <v>#N/A</v>
      </c>
      <c r="AD69" s="1162" t="e">
        <f t="shared" si="15"/>
        <v>#VALUE!</v>
      </c>
      <c r="AE69" s="1162">
        <f t="shared" si="16"/>
        <v>0</v>
      </c>
      <c r="AF69" s="1129">
        <f>IF(H69&gt;8,tab!$D$65,tab!$D$67)</f>
        <v>0.4</v>
      </c>
      <c r="AG69" s="1143">
        <f t="shared" si="17"/>
        <v>0</v>
      </c>
      <c r="AH69" s="1159">
        <f t="shared" si="18"/>
        <v>0</v>
      </c>
      <c r="AI69" s="1142" t="b">
        <f>DATE(YEAR(tab!$E$3),MONTH(G69),DAY(G69))&gt;tab!$E$3</f>
        <v>0</v>
      </c>
      <c r="AJ69" s="1143">
        <f t="shared" si="19"/>
        <v>115</v>
      </c>
      <c r="AK69" s="1096">
        <f t="shared" si="20"/>
        <v>30</v>
      </c>
      <c r="AL69" s="1096">
        <f t="shared" si="21"/>
        <v>30</v>
      </c>
      <c r="AM69" s="1143">
        <f t="shared" si="22"/>
        <v>0</v>
      </c>
    </row>
    <row r="70" spans="2:40" ht="12.75" customHeight="1" x14ac:dyDescent="0.2">
      <c r="B70" s="69"/>
      <c r="C70" s="90"/>
      <c r="D70" s="97"/>
      <c r="E70" s="97"/>
      <c r="F70" s="114"/>
      <c r="G70" s="377"/>
      <c r="H70" s="114"/>
      <c r="I70" s="129"/>
      <c r="J70" s="378"/>
      <c r="K70" s="1194"/>
      <c r="L70" s="1065"/>
      <c r="M70" s="1065"/>
      <c r="N70" s="1077" t="str">
        <f t="shared" si="6"/>
        <v/>
      </c>
      <c r="O70" s="1077" t="str">
        <f t="shared" si="7"/>
        <v/>
      </c>
      <c r="P70" s="1172" t="str">
        <f t="shared" si="8"/>
        <v/>
      </c>
      <c r="Q70" s="91"/>
      <c r="R70" s="936" t="str">
        <f t="shared" si="9"/>
        <v/>
      </c>
      <c r="S70" s="936" t="str">
        <f t="shared" si="10"/>
        <v/>
      </c>
      <c r="T70" s="937" t="str">
        <f t="shared" si="11"/>
        <v/>
      </c>
      <c r="U70" s="361"/>
      <c r="V70" s="381"/>
      <c r="W70" s="375"/>
      <c r="X70" s="375"/>
      <c r="Y70" s="1120" t="e">
        <f>VLOOKUP(H70,tab!$A$73:$V$114,I70+2,FALSE)</f>
        <v>#N/A</v>
      </c>
      <c r="Z70" s="1211">
        <f>tab!$D$64</f>
        <v>0.62</v>
      </c>
      <c r="AA70" s="1163" t="e">
        <f t="shared" si="12"/>
        <v>#N/A</v>
      </c>
      <c r="AB70" s="1163" t="e">
        <f t="shared" si="13"/>
        <v>#N/A</v>
      </c>
      <c r="AC70" s="1163" t="e">
        <f t="shared" si="14"/>
        <v>#N/A</v>
      </c>
      <c r="AD70" s="1162" t="e">
        <f t="shared" si="15"/>
        <v>#VALUE!</v>
      </c>
      <c r="AE70" s="1162">
        <f t="shared" si="16"/>
        <v>0</v>
      </c>
      <c r="AF70" s="1129">
        <f>IF(H70&gt;8,tab!$D$65,tab!$D$67)</f>
        <v>0.4</v>
      </c>
      <c r="AG70" s="1143">
        <f t="shared" si="17"/>
        <v>0</v>
      </c>
      <c r="AH70" s="1159">
        <f t="shared" si="18"/>
        <v>0</v>
      </c>
      <c r="AI70" s="1142" t="b">
        <f>DATE(YEAR(tab!$E$3),MONTH(G70),DAY(G70))&gt;tab!$E$3</f>
        <v>0</v>
      </c>
      <c r="AJ70" s="1143">
        <f t="shared" si="19"/>
        <v>115</v>
      </c>
      <c r="AK70" s="1096">
        <f t="shared" si="20"/>
        <v>30</v>
      </c>
      <c r="AL70" s="1096">
        <f t="shared" si="21"/>
        <v>30</v>
      </c>
      <c r="AM70" s="1143">
        <f t="shared" si="22"/>
        <v>0</v>
      </c>
    </row>
    <row r="71" spans="2:40" ht="12.75" customHeight="1" x14ac:dyDescent="0.2">
      <c r="B71" s="69"/>
      <c r="C71" s="98"/>
      <c r="D71" s="227"/>
      <c r="E71" s="436"/>
      <c r="F71" s="436"/>
      <c r="G71" s="437"/>
      <c r="H71" s="436"/>
      <c r="I71" s="438"/>
      <c r="J71" s="953">
        <f>SUM(J16:J70)</f>
        <v>1</v>
      </c>
      <c r="K71" s="1195"/>
      <c r="L71" s="1161">
        <f>SUM(L16:L70)</f>
        <v>0</v>
      </c>
      <c r="M71" s="1161">
        <f>SUM(M16:M70)</f>
        <v>0</v>
      </c>
      <c r="N71" s="1161">
        <f>SUM(N16:N70)</f>
        <v>40</v>
      </c>
      <c r="O71" s="953">
        <f t="shared" ref="O71:P71" si="23">SUM(O16:O70)</f>
        <v>0</v>
      </c>
      <c r="P71" s="1161">
        <f t="shared" si="23"/>
        <v>40</v>
      </c>
      <c r="Q71" s="227"/>
      <c r="R71" s="954">
        <f t="shared" ref="R71:T71" si="24">SUM(R16:R70)</f>
        <v>87154.078264014461</v>
      </c>
      <c r="S71" s="954">
        <f t="shared" si="24"/>
        <v>2153.2817359855335</v>
      </c>
      <c r="T71" s="954">
        <f t="shared" si="24"/>
        <v>89307.36</v>
      </c>
      <c r="U71" s="106"/>
      <c r="V71" s="73"/>
      <c r="Y71" s="1121" t="e">
        <f>SUM(Y16:Y70)</f>
        <v>#N/A</v>
      </c>
      <c r="AA71" s="1121"/>
      <c r="AB71" s="1121" t="e">
        <f>SUM(AB16:AB70)</f>
        <v>#N/A</v>
      </c>
      <c r="AC71" s="1121"/>
      <c r="AF71" s="1145"/>
      <c r="AG71" s="1146">
        <f>SUM(AG16:AG70)</f>
        <v>25</v>
      </c>
      <c r="AH71" s="1155">
        <f>SUM(AH16:AH70)</f>
        <v>2480.7600000000002</v>
      </c>
      <c r="AI71" s="1144"/>
      <c r="AJ71" s="1144"/>
    </row>
    <row r="72" spans="2:40" ht="12.75" customHeight="1" x14ac:dyDescent="0.2">
      <c r="B72" s="69"/>
      <c r="H72" s="174"/>
      <c r="K72" s="1196"/>
      <c r="Q72" s="281"/>
      <c r="R72" s="439"/>
      <c r="S72" s="416"/>
      <c r="V72" s="73"/>
      <c r="Y72" s="1093"/>
      <c r="AA72" s="1121"/>
      <c r="AB72" s="1121"/>
      <c r="AC72" s="1121"/>
      <c r="AF72" s="1145"/>
      <c r="AG72" s="1146"/>
      <c r="AH72" s="1155"/>
    </row>
    <row r="73" spans="2:40" ht="12.75" customHeight="1" x14ac:dyDescent="0.2">
      <c r="B73" s="171"/>
      <c r="C73" s="172"/>
      <c r="D73" s="405"/>
      <c r="E73" s="405"/>
      <c r="F73" s="406"/>
      <c r="G73" s="407"/>
      <c r="H73" s="406"/>
      <c r="I73" s="408"/>
      <c r="J73" s="409"/>
      <c r="K73" s="1197"/>
      <c r="L73" s="1066"/>
      <c r="M73" s="1066"/>
      <c r="N73" s="1066"/>
      <c r="O73" s="1066"/>
      <c r="P73" s="1173"/>
      <c r="Q73" s="172"/>
      <c r="R73" s="440"/>
      <c r="S73" s="411"/>
      <c r="T73" s="779"/>
      <c r="U73" s="172"/>
      <c r="V73" s="173"/>
      <c r="Y73" s="1120"/>
      <c r="Z73" s="1131"/>
      <c r="AA73" s="1117"/>
      <c r="AB73" s="1117"/>
      <c r="AC73" s="1117"/>
      <c r="AD73" s="1147"/>
      <c r="AE73" s="1147"/>
      <c r="AF73" s="1116"/>
      <c r="AG73" s="1143"/>
      <c r="AH73" s="1159"/>
      <c r="AI73" s="1142"/>
      <c r="AM73" s="1143"/>
    </row>
    <row r="74" spans="2:40" ht="12.75" customHeight="1" x14ac:dyDescent="0.2">
      <c r="B74" s="63"/>
      <c r="C74" s="64"/>
      <c r="D74" s="290"/>
      <c r="E74" s="290"/>
      <c r="F74" s="175"/>
      <c r="G74" s="291"/>
      <c r="H74" s="175"/>
      <c r="I74" s="292"/>
      <c r="J74" s="441"/>
      <c r="K74" s="1185"/>
      <c r="L74" s="1067"/>
      <c r="M74" s="1067"/>
      <c r="N74" s="1067"/>
      <c r="O74" s="1067"/>
      <c r="P74" s="1174"/>
      <c r="Q74" s="64"/>
      <c r="R74" s="443"/>
      <c r="S74" s="442"/>
      <c r="T74" s="783"/>
      <c r="U74" s="64"/>
      <c r="V74" s="67"/>
      <c r="Y74" s="1120"/>
      <c r="Z74" s="1131"/>
      <c r="AA74" s="1117"/>
      <c r="AB74" s="1117"/>
      <c r="AC74" s="1117"/>
      <c r="AD74" s="1147"/>
      <c r="AE74" s="1147"/>
      <c r="AF74" s="1116"/>
      <c r="AG74" s="1143"/>
      <c r="AH74" s="1159"/>
      <c r="AI74" s="1142"/>
      <c r="AM74" s="1143"/>
    </row>
    <row r="75" spans="2:40" ht="12.75" customHeight="1" x14ac:dyDescent="0.2">
      <c r="B75" s="69"/>
      <c r="C75" s="70"/>
      <c r="D75" s="234"/>
      <c r="E75" s="234"/>
      <c r="F75" s="176"/>
      <c r="G75" s="297"/>
      <c r="H75" s="176"/>
      <c r="I75" s="298"/>
      <c r="J75" s="445"/>
      <c r="K75" s="1186"/>
      <c r="L75" s="1068"/>
      <c r="M75" s="1068"/>
      <c r="N75" s="1068"/>
      <c r="O75" s="1068"/>
      <c r="P75" s="1175"/>
      <c r="Q75" s="70"/>
      <c r="R75" s="447"/>
      <c r="S75" s="446"/>
      <c r="T75" s="781"/>
      <c r="U75" s="70"/>
      <c r="V75" s="73"/>
      <c r="Y75" s="1120"/>
      <c r="Z75" s="1131"/>
      <c r="AA75" s="1117"/>
      <c r="AB75" s="1117"/>
      <c r="AC75" s="1117"/>
      <c r="AD75" s="1147"/>
      <c r="AE75" s="1147"/>
      <c r="AF75" s="1116"/>
      <c r="AG75" s="1143"/>
      <c r="AH75" s="1159"/>
      <c r="AI75" s="1142"/>
      <c r="AM75" s="1143"/>
    </row>
    <row r="76" spans="2:40" ht="12.75" customHeight="1" x14ac:dyDescent="0.2">
      <c r="B76" s="69"/>
      <c r="C76" s="70" t="s">
        <v>195</v>
      </c>
      <c r="D76" s="234"/>
      <c r="E76" s="350" t="str">
        <f>dir!E30</f>
        <v>2016/17</v>
      </c>
      <c r="F76" s="176"/>
      <c r="G76" s="297"/>
      <c r="H76" s="176"/>
      <c r="I76" s="298"/>
      <c r="J76" s="445"/>
      <c r="K76" s="1186"/>
      <c r="L76" s="1068"/>
      <c r="M76" s="1068"/>
      <c r="N76" s="1068"/>
      <c r="O76" s="1068"/>
      <c r="P76" s="1175"/>
      <c r="Q76" s="70"/>
      <c r="R76" s="447"/>
      <c r="S76" s="446"/>
      <c r="T76" s="781"/>
      <c r="U76" s="70"/>
      <c r="V76" s="73"/>
      <c r="Y76" s="1120"/>
      <c r="Z76" s="1131"/>
      <c r="AA76" s="1117"/>
      <c r="AB76" s="1117"/>
      <c r="AC76" s="1117"/>
      <c r="AD76" s="1147"/>
      <c r="AE76" s="1147"/>
      <c r="AF76" s="1116"/>
      <c r="AG76" s="1143"/>
      <c r="AH76" s="1159"/>
      <c r="AI76" s="1142"/>
      <c r="AM76" s="1143"/>
    </row>
    <row r="77" spans="2:40" ht="12.75" customHeight="1" x14ac:dyDescent="0.2">
      <c r="B77" s="69"/>
      <c r="C77" s="70" t="s">
        <v>217</v>
      </c>
      <c r="D77" s="234"/>
      <c r="E77" s="350">
        <f>dir!E31</f>
        <v>42644</v>
      </c>
      <c r="F77" s="176"/>
      <c r="G77" s="297"/>
      <c r="H77" s="176"/>
      <c r="I77" s="298"/>
      <c r="J77" s="445"/>
      <c r="K77" s="1186"/>
      <c r="L77" s="1068"/>
      <c r="M77" s="1068"/>
      <c r="N77" s="1068"/>
      <c r="O77" s="1068"/>
      <c r="P77" s="1175"/>
      <c r="Q77" s="70"/>
      <c r="R77" s="447"/>
      <c r="S77" s="446"/>
      <c r="T77" s="781"/>
      <c r="U77" s="70"/>
      <c r="V77" s="73"/>
      <c r="Y77" s="1120"/>
      <c r="Z77" s="1131"/>
      <c r="AA77" s="1117"/>
      <c r="AB77" s="1117"/>
      <c r="AC77" s="1117"/>
      <c r="AD77" s="1147"/>
      <c r="AE77" s="1147"/>
      <c r="AF77" s="1116"/>
      <c r="AG77" s="1143"/>
      <c r="AH77" s="1159"/>
      <c r="AI77" s="1142"/>
      <c r="AM77" s="1143"/>
    </row>
    <row r="78" spans="2:40" ht="12.75" customHeight="1" x14ac:dyDescent="0.2">
      <c r="B78" s="69"/>
      <c r="C78" s="70"/>
      <c r="D78" s="234"/>
      <c r="E78" s="234"/>
      <c r="F78" s="176"/>
      <c r="G78" s="297"/>
      <c r="H78" s="176"/>
      <c r="I78" s="298"/>
      <c r="J78" s="445"/>
      <c r="K78" s="1186"/>
      <c r="L78" s="1068"/>
      <c r="M78" s="1068"/>
      <c r="N78" s="1068"/>
      <c r="O78" s="1068"/>
      <c r="P78" s="1175"/>
      <c r="Q78" s="70"/>
      <c r="R78" s="447"/>
      <c r="S78" s="446"/>
      <c r="T78" s="781"/>
      <c r="U78" s="70"/>
      <c r="V78" s="73"/>
      <c r="Y78" s="1120"/>
      <c r="Z78" s="1131"/>
      <c r="AA78" s="1117"/>
      <c r="AB78" s="1117"/>
      <c r="AC78" s="1117"/>
      <c r="AD78" s="1147"/>
      <c r="AE78" s="1147"/>
      <c r="AF78" s="1116"/>
      <c r="AG78" s="1143"/>
      <c r="AH78" s="1159"/>
      <c r="AI78" s="1142"/>
      <c r="AM78" s="1143"/>
    </row>
    <row r="79" spans="2:40" ht="12.75" customHeight="1" x14ac:dyDescent="0.2">
      <c r="B79" s="69"/>
      <c r="C79" s="432"/>
      <c r="D79" s="921"/>
      <c r="E79" s="920"/>
      <c r="F79" s="900"/>
      <c r="G79" s="922"/>
      <c r="H79" s="923"/>
      <c r="I79" s="923"/>
      <c r="J79" s="924"/>
      <c r="K79" s="1190"/>
      <c r="L79" s="1016"/>
      <c r="M79" s="1016"/>
      <c r="N79" s="1016"/>
      <c r="O79" s="1016"/>
      <c r="P79" s="1169"/>
      <c r="Q79" s="925"/>
      <c r="R79" s="925"/>
      <c r="S79" s="925"/>
      <c r="T79" s="926"/>
      <c r="U79" s="906"/>
      <c r="V79" s="73"/>
    </row>
    <row r="80" spans="2:40" s="106" customFormat="1" ht="12.75" customHeight="1" x14ac:dyDescent="0.2">
      <c r="B80" s="102"/>
      <c r="C80" s="183"/>
      <c r="D80" s="1074" t="s">
        <v>335</v>
      </c>
      <c r="E80" s="1075"/>
      <c r="F80" s="1075"/>
      <c r="G80" s="1075"/>
      <c r="H80" s="1076"/>
      <c r="I80" s="1076"/>
      <c r="J80" s="1076"/>
      <c r="K80" s="1191"/>
      <c r="L80" s="1074" t="s">
        <v>561</v>
      </c>
      <c r="M80" s="1064"/>
      <c r="N80" s="1074"/>
      <c r="O80" s="1074"/>
      <c r="P80" s="1170"/>
      <c r="Q80" s="927"/>
      <c r="R80" s="1074" t="s">
        <v>563</v>
      </c>
      <c r="S80" s="1076"/>
      <c r="T80" s="1153"/>
      <c r="U80" s="944"/>
      <c r="V80" s="364"/>
      <c r="W80" s="365"/>
      <c r="X80" s="365"/>
      <c r="Y80" s="1094"/>
      <c r="Z80" s="1126"/>
      <c r="AA80" s="1094"/>
      <c r="AB80" s="1094"/>
      <c r="AC80" s="1094"/>
      <c r="AD80" s="1125"/>
      <c r="AE80" s="1125"/>
      <c r="AF80" s="1126"/>
      <c r="AG80" s="1151"/>
      <c r="AH80" s="1160"/>
      <c r="AI80" s="1141"/>
      <c r="AJ80" s="1141"/>
      <c r="AK80" s="1141"/>
      <c r="AL80" s="1141"/>
      <c r="AM80" s="1141"/>
      <c r="AN80" s="365"/>
    </row>
    <row r="81" spans="2:40" s="106" customFormat="1" ht="12.75" customHeight="1" x14ac:dyDescent="0.2">
      <c r="B81" s="102"/>
      <c r="C81" s="183"/>
      <c r="D81" s="886" t="s">
        <v>549</v>
      </c>
      <c r="E81" s="886" t="s">
        <v>201</v>
      </c>
      <c r="F81" s="929" t="s">
        <v>147</v>
      </c>
      <c r="G81" s="930" t="s">
        <v>325</v>
      </c>
      <c r="H81" s="929" t="s">
        <v>231</v>
      </c>
      <c r="I81" s="929" t="s">
        <v>262</v>
      </c>
      <c r="J81" s="931" t="s">
        <v>150</v>
      </c>
      <c r="K81" s="1192"/>
      <c r="L81" s="932" t="s">
        <v>544</v>
      </c>
      <c r="M81" s="932" t="s">
        <v>537</v>
      </c>
      <c r="N81" s="932" t="s">
        <v>551</v>
      </c>
      <c r="O81" s="932" t="s">
        <v>544</v>
      </c>
      <c r="P81" s="1171" t="s">
        <v>556</v>
      </c>
      <c r="Q81" s="898"/>
      <c r="R81" s="1073" t="s">
        <v>216</v>
      </c>
      <c r="S81" s="934" t="s">
        <v>562</v>
      </c>
      <c r="T81" s="935" t="s">
        <v>216</v>
      </c>
      <c r="U81" s="945"/>
      <c r="V81" s="368"/>
      <c r="W81" s="369"/>
      <c r="X81" s="369"/>
      <c r="Y81" s="1127" t="s">
        <v>361</v>
      </c>
      <c r="Z81" s="1182" t="s">
        <v>548</v>
      </c>
      <c r="AA81" s="1115" t="s">
        <v>557</v>
      </c>
      <c r="AB81" s="1115" t="s">
        <v>557</v>
      </c>
      <c r="AC81" s="1115" t="s">
        <v>560</v>
      </c>
      <c r="AD81" s="1128" t="s">
        <v>542</v>
      </c>
      <c r="AE81" s="1128" t="s">
        <v>543</v>
      </c>
      <c r="AF81" s="1114" t="s">
        <v>539</v>
      </c>
      <c r="AG81" s="1152" t="s">
        <v>343</v>
      </c>
      <c r="AH81" s="1160" t="s">
        <v>468</v>
      </c>
      <c r="AI81" s="1114" t="s">
        <v>328</v>
      </c>
      <c r="AJ81" s="1114" t="s">
        <v>329</v>
      </c>
      <c r="AK81" s="1114" t="s">
        <v>149</v>
      </c>
      <c r="AL81" s="1114" t="s">
        <v>228</v>
      </c>
      <c r="AM81" s="1128" t="s">
        <v>203</v>
      </c>
      <c r="AN81" s="369"/>
    </row>
    <row r="82" spans="2:40" s="106" customFormat="1" ht="12.75" customHeight="1" x14ac:dyDescent="0.2">
      <c r="B82" s="102"/>
      <c r="C82" s="183"/>
      <c r="D82" s="1075"/>
      <c r="E82" s="886"/>
      <c r="F82" s="929" t="s">
        <v>148</v>
      </c>
      <c r="G82" s="930" t="s">
        <v>326</v>
      </c>
      <c r="H82" s="929"/>
      <c r="I82" s="929"/>
      <c r="J82" s="931"/>
      <c r="K82" s="1192"/>
      <c r="L82" s="932" t="s">
        <v>545</v>
      </c>
      <c r="M82" s="932" t="s">
        <v>547</v>
      </c>
      <c r="N82" s="932" t="s">
        <v>552</v>
      </c>
      <c r="O82" s="932" t="s">
        <v>546</v>
      </c>
      <c r="P82" s="1171" t="s">
        <v>320</v>
      </c>
      <c r="Q82" s="898"/>
      <c r="R82" s="902" t="s">
        <v>554</v>
      </c>
      <c r="S82" s="934" t="s">
        <v>538</v>
      </c>
      <c r="T82" s="935" t="s">
        <v>320</v>
      </c>
      <c r="U82" s="906"/>
      <c r="V82" s="78"/>
      <c r="Y82" s="1127" t="s">
        <v>223</v>
      </c>
      <c r="Z82" s="1183">
        <f>tab!$E$64</f>
        <v>0.62</v>
      </c>
      <c r="AA82" s="1115" t="s">
        <v>558</v>
      </c>
      <c r="AB82" s="1115" t="s">
        <v>559</v>
      </c>
      <c r="AC82" s="1115" t="s">
        <v>555</v>
      </c>
      <c r="AD82" s="1128" t="s">
        <v>541</v>
      </c>
      <c r="AE82" s="1128" t="s">
        <v>541</v>
      </c>
      <c r="AF82" s="1114" t="s">
        <v>540</v>
      </c>
      <c r="AG82" s="1152"/>
      <c r="AH82" s="1159" t="s">
        <v>261</v>
      </c>
      <c r="AI82" s="1128" t="s">
        <v>327</v>
      </c>
      <c r="AJ82" s="1128" t="s">
        <v>327</v>
      </c>
      <c r="AK82" s="1114"/>
      <c r="AL82" s="1114" t="s">
        <v>203</v>
      </c>
      <c r="AM82" s="1128"/>
      <c r="AN82" s="434"/>
    </row>
    <row r="83" spans="2:40" ht="12.75" customHeight="1" x14ac:dyDescent="0.2">
      <c r="B83" s="69"/>
      <c r="C83" s="90"/>
      <c r="D83" s="942"/>
      <c r="E83" s="942"/>
      <c r="F83" s="899"/>
      <c r="G83" s="946"/>
      <c r="H83" s="929"/>
      <c r="I83" s="929"/>
      <c r="J83" s="931"/>
      <c r="K83" s="1193"/>
      <c r="L83" s="932"/>
      <c r="M83" s="932"/>
      <c r="N83" s="932"/>
      <c r="O83" s="932"/>
      <c r="P83" s="1171"/>
      <c r="Q83" s="942"/>
      <c r="R83" s="947"/>
      <c r="S83" s="947"/>
      <c r="T83" s="948"/>
      <c r="U83" s="906"/>
      <c r="V83" s="73"/>
      <c r="Y83" s="1127"/>
      <c r="Z83" s="1113"/>
      <c r="AA83" s="1113"/>
      <c r="AB83" s="1113"/>
      <c r="AC83" s="1113"/>
      <c r="AD83" s="1128"/>
      <c r="AE83" s="1128"/>
      <c r="AF83" s="1113"/>
      <c r="AG83" s="1152"/>
      <c r="AH83" s="1159"/>
      <c r="AM83" s="1128"/>
      <c r="AN83" s="375"/>
    </row>
    <row r="84" spans="2:40" ht="12.75" customHeight="1" x14ac:dyDescent="0.2">
      <c r="B84" s="69"/>
      <c r="C84" s="90"/>
      <c r="D84" s="97" t="str">
        <f>IF(op!D16="","",op!D16)</f>
        <v/>
      </c>
      <c r="E84" s="97" t="str">
        <f>IF(op!E16=0,"",op!E16)</f>
        <v>nn</v>
      </c>
      <c r="F84" s="114">
        <f>IF(op!F16="","",op!F16+1)</f>
        <v>26</v>
      </c>
      <c r="G84" s="377">
        <f>IF(op!G16="","",op!G16)</f>
        <v>26665</v>
      </c>
      <c r="H84" s="114" t="str">
        <f>IF(op!H16=0,"",op!H16)</f>
        <v>LE</v>
      </c>
      <c r="I84" s="129">
        <f>IF(J84="","",(IF(op!I16+1&gt;LOOKUP(H84,schaal2011,regels2011),op!I16,op!I16+1)))</f>
        <v>11</v>
      </c>
      <c r="J84" s="378">
        <f>IF(op!J16="","",op!J16)</f>
        <v>1</v>
      </c>
      <c r="K84" s="1194"/>
      <c r="L84" s="1065">
        <f>IF(L16="",0,L16)</f>
        <v>0</v>
      </c>
      <c r="M84" s="1065">
        <f>IF(M16="",0,M16)</f>
        <v>0</v>
      </c>
      <c r="N84" s="1077">
        <f>IF(J84="","",IF((J84*40)&gt;40,40,((J84*40))))</f>
        <v>40</v>
      </c>
      <c r="O84" s="1077">
        <f>IF(J84="","",IF(I84&lt;4,(40*J84),0))</f>
        <v>0</v>
      </c>
      <c r="P84" s="1172">
        <f t="shared" ref="P84:P138" si="25">IF(J84="","",(SUM(L84:O84)))</f>
        <v>40</v>
      </c>
      <c r="Q84" s="91"/>
      <c r="R84" s="936">
        <f>IF(J84="","",(((1659*J84)-P84)*AB84))</f>
        <v>90037.713417721519</v>
      </c>
      <c r="S84" s="936">
        <f t="shared" ref="S84:S138" si="26">IF(J84="","",(P84*AC84)+(AA84*AD84)+((AE84*AA84*(1-AF84))))</f>
        <v>2224.5265822784813</v>
      </c>
      <c r="T84" s="937">
        <f t="shared" ref="T84:T138" si="27">IF(J84="","",(R84+S84))</f>
        <v>92262.24</v>
      </c>
      <c r="U84" s="361"/>
      <c r="V84" s="381"/>
      <c r="W84" s="375"/>
      <c r="X84" s="375"/>
      <c r="Y84" s="1120">
        <f>VLOOKUP(H84,tab!$A$73:$V$114,I84+2,FALSE)</f>
        <v>4746</v>
      </c>
      <c r="Z84" s="1211">
        <f>tab!$E$64</f>
        <v>0.62</v>
      </c>
      <c r="AA84" s="1163">
        <f t="shared" ref="AA84:AA138" si="28">(Y84*12/1659)</f>
        <v>34.329113924050631</v>
      </c>
      <c r="AB84" s="1163">
        <f t="shared" ref="AB84:AB138" si="29">(Y84*12*(1+Z84))/1659</f>
        <v>55.613164556962026</v>
      </c>
      <c r="AC84" s="1163">
        <f t="shared" ref="AC84:AC138" si="30">AB84-AA84</f>
        <v>21.284050632911395</v>
      </c>
      <c r="AD84" s="1162">
        <f t="shared" ref="AD84:AD138" si="31">(N84+O84)</f>
        <v>40</v>
      </c>
      <c r="AE84" s="1162">
        <f t="shared" ref="AE84:AE138" si="32">(L84+M84)</f>
        <v>0</v>
      </c>
      <c r="AF84" s="1129">
        <f>IF(H84&gt;8,tab!$D$65,tab!$D$67)</f>
        <v>0.5</v>
      </c>
      <c r="AG84" s="1143">
        <f t="shared" ref="AG84:AG115" si="33">IF(F84&lt;25,0,IF(F84=25,25,IF(F84&lt;40,0,IF(F84=40,40,IF(F84&gt;=40,0)))))</f>
        <v>0</v>
      </c>
      <c r="AH84" s="1159">
        <f t="shared" ref="AH84:AH115" si="34">IF(AG84=25,(Y84*1.08*(J84)/2),IF(AG84=40,(Y84*1.08*(J84)),IF(AG84=0,0)))</f>
        <v>0</v>
      </c>
      <c r="AI84" s="1142" t="b">
        <f>DATE(YEAR(tab!$F$3),MONTH(G84),DAY(G84))&gt;tab!$F$3</f>
        <v>0</v>
      </c>
      <c r="AJ84" s="1143">
        <f t="shared" ref="AJ84:AJ115" si="35">YEAR($E$77)-YEAR(G84)-AI84</f>
        <v>43</v>
      </c>
      <c r="AK84" s="1096">
        <f t="shared" ref="AK84:AK115" si="36">IF((G84=""),30,AJ84)</f>
        <v>43</v>
      </c>
      <c r="AL84" s="1096">
        <f t="shared" ref="AL84:AL138" si="37">IF((AK84)&gt;50,50,(AK84))</f>
        <v>43</v>
      </c>
      <c r="AM84" s="1143">
        <f t="shared" ref="AM84:AM115" si="38">ROUND((AL84*(SUM(J84:J84))),2)</f>
        <v>43</v>
      </c>
    </row>
    <row r="85" spans="2:40" ht="12.75" customHeight="1" x14ac:dyDescent="0.2">
      <c r="B85" s="69"/>
      <c r="C85" s="90"/>
      <c r="D85" s="97" t="str">
        <f>IF(op!D17="","",op!D17)</f>
        <v/>
      </c>
      <c r="E85" s="97" t="str">
        <f>IF(op!E17=0,"",op!E17)</f>
        <v/>
      </c>
      <c r="F85" s="114" t="str">
        <f>IF(op!F17="","",op!F17+1)</f>
        <v/>
      </c>
      <c r="G85" s="377" t="str">
        <f>IF(op!G17="","",op!G17)</f>
        <v/>
      </c>
      <c r="H85" s="114" t="str">
        <f>IF(op!H17=0,"",op!H17)</f>
        <v/>
      </c>
      <c r="I85" s="129" t="str">
        <f>IF(J85="","",(IF(op!I17+1&gt;LOOKUP(H85,schaal2011,regels2011),op!I17,op!I17+1)))</f>
        <v/>
      </c>
      <c r="J85" s="378" t="str">
        <f>IF(op!J17="","",op!J17)</f>
        <v/>
      </c>
      <c r="K85" s="1194"/>
      <c r="L85" s="1065">
        <f t="shared" ref="L85:M85" si="39">IF(L17="",0,L17)</f>
        <v>0</v>
      </c>
      <c r="M85" s="1065">
        <f t="shared" si="39"/>
        <v>0</v>
      </c>
      <c r="N85" s="1077" t="str">
        <f t="shared" ref="N85:N138" si="40">IF(J85="","",IF((J85*40)&gt;40,40,((J85*40))))</f>
        <v/>
      </c>
      <c r="O85" s="1077" t="str">
        <f t="shared" ref="O85:O138" si="41">IF(J85="","",IF(I85&lt;4,(40*J85),0))</f>
        <v/>
      </c>
      <c r="P85" s="1172" t="str">
        <f t="shared" si="25"/>
        <v/>
      </c>
      <c r="Q85" s="91"/>
      <c r="R85" s="936" t="str">
        <f t="shared" ref="R85:R138" si="42">IF(J85="","",(((1659*J85)-P85)*AB85))</f>
        <v/>
      </c>
      <c r="S85" s="936" t="str">
        <f t="shared" si="26"/>
        <v/>
      </c>
      <c r="T85" s="937" t="str">
        <f t="shared" si="27"/>
        <v/>
      </c>
      <c r="U85" s="361"/>
      <c r="V85" s="381"/>
      <c r="W85" s="375"/>
      <c r="X85" s="375"/>
      <c r="Y85" s="1120" t="e">
        <f>VLOOKUP(H85,tab!$A$73:$V$114,I85+2,FALSE)</f>
        <v>#VALUE!</v>
      </c>
      <c r="Z85" s="1211">
        <f>tab!$E$64</f>
        <v>0.62</v>
      </c>
      <c r="AA85" s="1163" t="e">
        <f t="shared" si="28"/>
        <v>#VALUE!</v>
      </c>
      <c r="AB85" s="1163" t="e">
        <f t="shared" si="29"/>
        <v>#VALUE!</v>
      </c>
      <c r="AC85" s="1163" t="e">
        <f t="shared" si="30"/>
        <v>#VALUE!</v>
      </c>
      <c r="AD85" s="1162" t="e">
        <f t="shared" si="31"/>
        <v>#VALUE!</v>
      </c>
      <c r="AE85" s="1162">
        <f t="shared" si="32"/>
        <v>0</v>
      </c>
      <c r="AF85" s="1129">
        <f>IF(H85&gt;8,tab!$D$65,tab!$D$67)</f>
        <v>0.5</v>
      </c>
      <c r="AG85" s="1143">
        <f t="shared" si="33"/>
        <v>0</v>
      </c>
      <c r="AH85" s="1159">
        <f t="shared" si="34"/>
        <v>0</v>
      </c>
      <c r="AI85" s="1142" t="e">
        <f>DATE(YEAR(tab!$F$3),MONTH(G85),DAY(G85))&gt;tab!$F$3</f>
        <v>#VALUE!</v>
      </c>
      <c r="AJ85" s="1143" t="e">
        <f t="shared" si="35"/>
        <v>#VALUE!</v>
      </c>
      <c r="AK85" s="1096">
        <f t="shared" si="36"/>
        <v>30</v>
      </c>
      <c r="AL85" s="1096">
        <f t="shared" si="37"/>
        <v>30</v>
      </c>
      <c r="AM85" s="1143">
        <f t="shared" si="38"/>
        <v>0</v>
      </c>
    </row>
    <row r="86" spans="2:40" ht="12.75" customHeight="1" x14ac:dyDescent="0.2">
      <c r="B86" s="69"/>
      <c r="C86" s="90"/>
      <c r="D86" s="97" t="str">
        <f>IF(op!D18="","",op!D18)</f>
        <v/>
      </c>
      <c r="E86" s="97" t="str">
        <f>IF(op!E18=0,"",op!E18)</f>
        <v/>
      </c>
      <c r="F86" s="114" t="str">
        <f>IF(op!F18="","",op!F18+1)</f>
        <v/>
      </c>
      <c r="G86" s="377" t="str">
        <f>IF(op!G18="","",op!G18)</f>
        <v/>
      </c>
      <c r="H86" s="114" t="str">
        <f>IF(op!H18=0,"",op!H18)</f>
        <v/>
      </c>
      <c r="I86" s="129" t="str">
        <f>IF(J86="","",(IF(op!I18+1&gt;LOOKUP(H86,schaal2011,regels2011),op!I18,op!I18+1)))</f>
        <v/>
      </c>
      <c r="J86" s="378" t="str">
        <f>IF(op!J18="","",op!J18)</f>
        <v/>
      </c>
      <c r="K86" s="1194"/>
      <c r="L86" s="1065">
        <f t="shared" ref="L86:M86" si="43">IF(L18="",0,L18)</f>
        <v>0</v>
      </c>
      <c r="M86" s="1065">
        <f t="shared" si="43"/>
        <v>0</v>
      </c>
      <c r="N86" s="1077" t="str">
        <f t="shared" si="40"/>
        <v/>
      </c>
      <c r="O86" s="1077" t="str">
        <f t="shared" si="41"/>
        <v/>
      </c>
      <c r="P86" s="1172" t="str">
        <f t="shared" si="25"/>
        <v/>
      </c>
      <c r="Q86" s="91"/>
      <c r="R86" s="936" t="str">
        <f t="shared" si="42"/>
        <v/>
      </c>
      <c r="S86" s="936" t="str">
        <f t="shared" si="26"/>
        <v/>
      </c>
      <c r="T86" s="937" t="str">
        <f t="shared" si="27"/>
        <v/>
      </c>
      <c r="U86" s="361"/>
      <c r="V86" s="381"/>
      <c r="W86" s="375"/>
      <c r="X86" s="375"/>
      <c r="Y86" s="1120" t="e">
        <f>VLOOKUP(H86,tab!$A$73:$V$114,I86+2,FALSE)</f>
        <v>#VALUE!</v>
      </c>
      <c r="Z86" s="1211">
        <f>tab!$E$64</f>
        <v>0.62</v>
      </c>
      <c r="AA86" s="1163" t="e">
        <f t="shared" si="28"/>
        <v>#VALUE!</v>
      </c>
      <c r="AB86" s="1163" t="e">
        <f t="shared" si="29"/>
        <v>#VALUE!</v>
      </c>
      <c r="AC86" s="1163" t="e">
        <f t="shared" si="30"/>
        <v>#VALUE!</v>
      </c>
      <c r="AD86" s="1162" t="e">
        <f t="shared" si="31"/>
        <v>#VALUE!</v>
      </c>
      <c r="AE86" s="1162">
        <f t="shared" si="32"/>
        <v>0</v>
      </c>
      <c r="AF86" s="1129">
        <f>IF(H86&gt;8,tab!$D$65,tab!$D$67)</f>
        <v>0.5</v>
      </c>
      <c r="AG86" s="1143">
        <f t="shared" si="33"/>
        <v>0</v>
      </c>
      <c r="AH86" s="1159">
        <f t="shared" si="34"/>
        <v>0</v>
      </c>
      <c r="AI86" s="1142" t="e">
        <f>DATE(YEAR(tab!$F$3),MONTH(G86),DAY(G86))&gt;tab!$F$3</f>
        <v>#VALUE!</v>
      </c>
      <c r="AJ86" s="1143" t="e">
        <f t="shared" si="35"/>
        <v>#VALUE!</v>
      </c>
      <c r="AK86" s="1096">
        <f t="shared" si="36"/>
        <v>30</v>
      </c>
      <c r="AL86" s="1096">
        <f t="shared" si="37"/>
        <v>30</v>
      </c>
      <c r="AM86" s="1143">
        <f t="shared" si="38"/>
        <v>0</v>
      </c>
    </row>
    <row r="87" spans="2:40" ht="12.75" customHeight="1" x14ac:dyDescent="0.2">
      <c r="B87" s="69"/>
      <c r="C87" s="90"/>
      <c r="D87" s="97" t="str">
        <f>IF(op!D19="","",op!D19)</f>
        <v/>
      </c>
      <c r="E87" s="97" t="str">
        <f>IF(op!E19=0,"",op!E19)</f>
        <v/>
      </c>
      <c r="F87" s="114" t="str">
        <f>IF(op!F19="","",op!F19+1)</f>
        <v/>
      </c>
      <c r="G87" s="377" t="str">
        <f>IF(op!G19="","",op!G19)</f>
        <v/>
      </c>
      <c r="H87" s="114" t="str">
        <f>IF(op!H19=0,"",op!H19)</f>
        <v/>
      </c>
      <c r="I87" s="129" t="str">
        <f>IF(J87="","",(IF(op!I19+1&gt;LOOKUP(H87,schaal2011,regels2011),op!I19,op!I19+1)))</f>
        <v/>
      </c>
      <c r="J87" s="378" t="str">
        <f>IF(op!J19="","",op!J19)</f>
        <v/>
      </c>
      <c r="K87" s="1194"/>
      <c r="L87" s="1065">
        <f t="shared" ref="L87:M87" si="44">IF(L19="",0,L19)</f>
        <v>0</v>
      </c>
      <c r="M87" s="1065">
        <f t="shared" si="44"/>
        <v>0</v>
      </c>
      <c r="N87" s="1077" t="str">
        <f t="shared" si="40"/>
        <v/>
      </c>
      <c r="O87" s="1077" t="str">
        <f t="shared" si="41"/>
        <v/>
      </c>
      <c r="P87" s="1172" t="str">
        <f t="shared" si="25"/>
        <v/>
      </c>
      <c r="Q87" s="91"/>
      <c r="R87" s="936" t="str">
        <f t="shared" si="42"/>
        <v/>
      </c>
      <c r="S87" s="936" t="str">
        <f t="shared" si="26"/>
        <v/>
      </c>
      <c r="T87" s="937" t="str">
        <f t="shared" si="27"/>
        <v/>
      </c>
      <c r="U87" s="361"/>
      <c r="V87" s="381"/>
      <c r="W87" s="375"/>
      <c r="X87" s="375"/>
      <c r="Y87" s="1120" t="e">
        <f>VLOOKUP(H87,tab!$A$73:$V$114,I87+2,FALSE)</f>
        <v>#VALUE!</v>
      </c>
      <c r="Z87" s="1211">
        <f>tab!$E$64</f>
        <v>0.62</v>
      </c>
      <c r="AA87" s="1163" t="e">
        <f t="shared" si="28"/>
        <v>#VALUE!</v>
      </c>
      <c r="AB87" s="1163" t="e">
        <f t="shared" si="29"/>
        <v>#VALUE!</v>
      </c>
      <c r="AC87" s="1163" t="e">
        <f t="shared" si="30"/>
        <v>#VALUE!</v>
      </c>
      <c r="AD87" s="1162" t="e">
        <f t="shared" si="31"/>
        <v>#VALUE!</v>
      </c>
      <c r="AE87" s="1162">
        <f t="shared" si="32"/>
        <v>0</v>
      </c>
      <c r="AF87" s="1129">
        <f>IF(H87&gt;8,tab!$D$65,tab!$D$67)</f>
        <v>0.5</v>
      </c>
      <c r="AG87" s="1143">
        <f t="shared" si="33"/>
        <v>0</v>
      </c>
      <c r="AH87" s="1159">
        <f t="shared" si="34"/>
        <v>0</v>
      </c>
      <c r="AI87" s="1142" t="e">
        <f>DATE(YEAR(tab!$F$3),MONTH(G87),DAY(G87))&gt;tab!$F$3</f>
        <v>#VALUE!</v>
      </c>
      <c r="AJ87" s="1143" t="e">
        <f t="shared" si="35"/>
        <v>#VALUE!</v>
      </c>
      <c r="AK87" s="1096">
        <f t="shared" si="36"/>
        <v>30</v>
      </c>
      <c r="AL87" s="1096">
        <f t="shared" si="37"/>
        <v>30</v>
      </c>
      <c r="AM87" s="1143">
        <f t="shared" si="38"/>
        <v>0</v>
      </c>
    </row>
    <row r="88" spans="2:40" ht="12.75" customHeight="1" x14ac:dyDescent="0.2">
      <c r="B88" s="69"/>
      <c r="C88" s="90"/>
      <c r="D88" s="97" t="str">
        <f>IF(op!D20="","",op!D20)</f>
        <v/>
      </c>
      <c r="E88" s="97" t="str">
        <f>IF(op!E20=0,"",op!E20)</f>
        <v/>
      </c>
      <c r="F88" s="114" t="str">
        <f>IF(op!F20="","",op!F20+1)</f>
        <v/>
      </c>
      <c r="G88" s="377" t="str">
        <f>IF(op!G20="","",op!G20)</f>
        <v/>
      </c>
      <c r="H88" s="114" t="str">
        <f>IF(op!H20=0,"",op!H20)</f>
        <v/>
      </c>
      <c r="I88" s="129" t="str">
        <f>IF(J88="","",(IF(op!I20+1&gt;LOOKUP(H88,schaal2011,regels2011),op!I20,op!I20+1)))</f>
        <v/>
      </c>
      <c r="J88" s="378" t="str">
        <f>IF(op!J20="","",op!J20)</f>
        <v/>
      </c>
      <c r="K88" s="1194"/>
      <c r="L88" s="1065">
        <f t="shared" ref="L88:M88" si="45">IF(L20="",0,L20)</f>
        <v>0</v>
      </c>
      <c r="M88" s="1065">
        <f t="shared" si="45"/>
        <v>0</v>
      </c>
      <c r="N88" s="1077" t="str">
        <f t="shared" si="40"/>
        <v/>
      </c>
      <c r="O88" s="1077" t="str">
        <f t="shared" si="41"/>
        <v/>
      </c>
      <c r="P88" s="1172" t="str">
        <f t="shared" si="25"/>
        <v/>
      </c>
      <c r="Q88" s="91"/>
      <c r="R88" s="936" t="str">
        <f t="shared" si="42"/>
        <v/>
      </c>
      <c r="S88" s="936" t="str">
        <f t="shared" si="26"/>
        <v/>
      </c>
      <c r="T88" s="937" t="str">
        <f t="shared" si="27"/>
        <v/>
      </c>
      <c r="U88" s="361"/>
      <c r="V88" s="381"/>
      <c r="W88" s="375"/>
      <c r="X88" s="375"/>
      <c r="Y88" s="1120" t="e">
        <f>VLOOKUP(H88,tab!$A$73:$V$114,I88+2,FALSE)</f>
        <v>#VALUE!</v>
      </c>
      <c r="Z88" s="1211">
        <f>tab!$E$64</f>
        <v>0.62</v>
      </c>
      <c r="AA88" s="1163" t="e">
        <f t="shared" si="28"/>
        <v>#VALUE!</v>
      </c>
      <c r="AB88" s="1163" t="e">
        <f t="shared" si="29"/>
        <v>#VALUE!</v>
      </c>
      <c r="AC88" s="1163" t="e">
        <f t="shared" si="30"/>
        <v>#VALUE!</v>
      </c>
      <c r="AD88" s="1162" t="e">
        <f t="shared" si="31"/>
        <v>#VALUE!</v>
      </c>
      <c r="AE88" s="1162">
        <f t="shared" si="32"/>
        <v>0</v>
      </c>
      <c r="AF88" s="1129">
        <f>IF(H88&gt;8,tab!$D$65,tab!$D$67)</f>
        <v>0.5</v>
      </c>
      <c r="AG88" s="1143">
        <f t="shared" si="33"/>
        <v>0</v>
      </c>
      <c r="AH88" s="1159">
        <f t="shared" si="34"/>
        <v>0</v>
      </c>
      <c r="AI88" s="1142" t="e">
        <f>DATE(YEAR(tab!$F$3),MONTH(G88),DAY(G88))&gt;tab!$F$3</f>
        <v>#VALUE!</v>
      </c>
      <c r="AJ88" s="1143" t="e">
        <f t="shared" si="35"/>
        <v>#VALUE!</v>
      </c>
      <c r="AK88" s="1096">
        <f t="shared" si="36"/>
        <v>30</v>
      </c>
      <c r="AL88" s="1096">
        <f t="shared" si="37"/>
        <v>30</v>
      </c>
      <c r="AM88" s="1143">
        <f t="shared" si="38"/>
        <v>0</v>
      </c>
    </row>
    <row r="89" spans="2:40" ht="12.75" customHeight="1" x14ac:dyDescent="0.2">
      <c r="B89" s="69"/>
      <c r="C89" s="90"/>
      <c r="D89" s="97" t="str">
        <f>IF(op!D21="","",op!D21)</f>
        <v/>
      </c>
      <c r="E89" s="97" t="str">
        <f>IF(op!E21=0,"",op!E21)</f>
        <v/>
      </c>
      <c r="F89" s="114" t="str">
        <f>IF(op!F21="","",op!F21+1)</f>
        <v/>
      </c>
      <c r="G89" s="377" t="str">
        <f>IF(op!G21="","",op!G21)</f>
        <v/>
      </c>
      <c r="H89" s="114" t="str">
        <f>IF(op!H21=0,"",op!H21)</f>
        <v/>
      </c>
      <c r="I89" s="129" t="str">
        <f>IF(J89="","",(IF(op!I21+1&gt;LOOKUP(H89,schaal2011,regels2011),op!I21,op!I21+1)))</f>
        <v/>
      </c>
      <c r="J89" s="378" t="str">
        <f>IF(op!J21="","",op!J21)</f>
        <v/>
      </c>
      <c r="K89" s="1194"/>
      <c r="L89" s="1065">
        <f t="shared" ref="L89:M89" si="46">IF(L21="",0,L21)</f>
        <v>0</v>
      </c>
      <c r="M89" s="1065">
        <f t="shared" si="46"/>
        <v>0</v>
      </c>
      <c r="N89" s="1077" t="str">
        <f t="shared" si="40"/>
        <v/>
      </c>
      <c r="O89" s="1077" t="str">
        <f t="shared" si="41"/>
        <v/>
      </c>
      <c r="P89" s="1172" t="str">
        <f t="shared" si="25"/>
        <v/>
      </c>
      <c r="Q89" s="91"/>
      <c r="R89" s="936" t="str">
        <f t="shared" si="42"/>
        <v/>
      </c>
      <c r="S89" s="936" t="str">
        <f t="shared" si="26"/>
        <v/>
      </c>
      <c r="T89" s="937" t="str">
        <f t="shared" si="27"/>
        <v/>
      </c>
      <c r="U89" s="361"/>
      <c r="V89" s="381"/>
      <c r="W89" s="375"/>
      <c r="X89" s="375"/>
      <c r="Y89" s="1120" t="e">
        <f>VLOOKUP(H89,tab!$A$73:$V$114,I89+2,FALSE)</f>
        <v>#VALUE!</v>
      </c>
      <c r="Z89" s="1211">
        <f>tab!$E$64</f>
        <v>0.62</v>
      </c>
      <c r="AA89" s="1163" t="e">
        <f t="shared" si="28"/>
        <v>#VALUE!</v>
      </c>
      <c r="AB89" s="1163" t="e">
        <f t="shared" si="29"/>
        <v>#VALUE!</v>
      </c>
      <c r="AC89" s="1163" t="e">
        <f t="shared" si="30"/>
        <v>#VALUE!</v>
      </c>
      <c r="AD89" s="1162" t="e">
        <f t="shared" si="31"/>
        <v>#VALUE!</v>
      </c>
      <c r="AE89" s="1162">
        <f t="shared" si="32"/>
        <v>0</v>
      </c>
      <c r="AF89" s="1129">
        <f>IF(H89&gt;8,tab!$D$65,tab!$D$67)</f>
        <v>0.5</v>
      </c>
      <c r="AG89" s="1143">
        <f t="shared" si="33"/>
        <v>0</v>
      </c>
      <c r="AH89" s="1159">
        <f t="shared" si="34"/>
        <v>0</v>
      </c>
      <c r="AI89" s="1142" t="e">
        <f>DATE(YEAR(tab!$F$3),MONTH(G89),DAY(G89))&gt;tab!$F$3</f>
        <v>#VALUE!</v>
      </c>
      <c r="AJ89" s="1143" t="e">
        <f t="shared" si="35"/>
        <v>#VALUE!</v>
      </c>
      <c r="AK89" s="1096">
        <f t="shared" si="36"/>
        <v>30</v>
      </c>
      <c r="AL89" s="1096">
        <f t="shared" si="37"/>
        <v>30</v>
      </c>
      <c r="AM89" s="1143">
        <f t="shared" si="38"/>
        <v>0</v>
      </c>
    </row>
    <row r="90" spans="2:40" ht="12.75" customHeight="1" x14ac:dyDescent="0.2">
      <c r="B90" s="69"/>
      <c r="C90" s="90"/>
      <c r="D90" s="97" t="str">
        <f>IF(op!D22="","",op!D22)</f>
        <v/>
      </c>
      <c r="E90" s="97" t="str">
        <f>IF(op!E22=0,"",op!E22)</f>
        <v/>
      </c>
      <c r="F90" s="114" t="str">
        <f>IF(op!F22="","",op!F22+1)</f>
        <v/>
      </c>
      <c r="G90" s="377" t="str">
        <f>IF(op!G22="","",op!G22)</f>
        <v/>
      </c>
      <c r="H90" s="114" t="str">
        <f>IF(op!H22=0,"",op!H22)</f>
        <v/>
      </c>
      <c r="I90" s="129" t="str">
        <f>IF(J90="","",(IF(op!I22+1&gt;LOOKUP(H90,schaal2011,regels2011),op!I22,op!I22+1)))</f>
        <v/>
      </c>
      <c r="J90" s="378" t="str">
        <f>IF(op!J22="","",op!J22)</f>
        <v/>
      </c>
      <c r="K90" s="1194"/>
      <c r="L90" s="1065">
        <f t="shared" ref="L90:M90" si="47">IF(L22="",0,L22)</f>
        <v>0</v>
      </c>
      <c r="M90" s="1065">
        <f t="shared" si="47"/>
        <v>0</v>
      </c>
      <c r="N90" s="1077" t="str">
        <f t="shared" si="40"/>
        <v/>
      </c>
      <c r="O90" s="1077" t="str">
        <f t="shared" si="41"/>
        <v/>
      </c>
      <c r="P90" s="1172" t="str">
        <f t="shared" si="25"/>
        <v/>
      </c>
      <c r="Q90" s="91"/>
      <c r="R90" s="936" t="str">
        <f t="shared" si="42"/>
        <v/>
      </c>
      <c r="S90" s="936" t="str">
        <f t="shared" si="26"/>
        <v/>
      </c>
      <c r="T90" s="937" t="str">
        <f t="shared" si="27"/>
        <v/>
      </c>
      <c r="U90" s="361"/>
      <c r="V90" s="381"/>
      <c r="W90" s="375"/>
      <c r="X90" s="375"/>
      <c r="Y90" s="1120" t="e">
        <f>VLOOKUP(H90,tab!$A$73:$V$114,I90+2,FALSE)</f>
        <v>#VALUE!</v>
      </c>
      <c r="Z90" s="1211">
        <f>tab!$E$64</f>
        <v>0.62</v>
      </c>
      <c r="AA90" s="1163" t="e">
        <f t="shared" si="28"/>
        <v>#VALUE!</v>
      </c>
      <c r="AB90" s="1163" t="e">
        <f t="shared" si="29"/>
        <v>#VALUE!</v>
      </c>
      <c r="AC90" s="1163" t="e">
        <f t="shared" si="30"/>
        <v>#VALUE!</v>
      </c>
      <c r="AD90" s="1162" t="e">
        <f t="shared" si="31"/>
        <v>#VALUE!</v>
      </c>
      <c r="AE90" s="1162">
        <f t="shared" si="32"/>
        <v>0</v>
      </c>
      <c r="AF90" s="1129">
        <f>IF(H90&gt;8,tab!$D$65,tab!$D$67)</f>
        <v>0.5</v>
      </c>
      <c r="AG90" s="1143">
        <f t="shared" si="33"/>
        <v>0</v>
      </c>
      <c r="AH90" s="1159">
        <f t="shared" si="34"/>
        <v>0</v>
      </c>
      <c r="AI90" s="1142" t="e">
        <f>DATE(YEAR(tab!$F$3),MONTH(G90),DAY(G90))&gt;tab!$F$3</f>
        <v>#VALUE!</v>
      </c>
      <c r="AJ90" s="1143" t="e">
        <f t="shared" si="35"/>
        <v>#VALUE!</v>
      </c>
      <c r="AK90" s="1096">
        <f t="shared" si="36"/>
        <v>30</v>
      </c>
      <c r="AL90" s="1096">
        <f t="shared" si="37"/>
        <v>30</v>
      </c>
      <c r="AM90" s="1143">
        <f t="shared" si="38"/>
        <v>0</v>
      </c>
    </row>
    <row r="91" spans="2:40" ht="12.75" customHeight="1" x14ac:dyDescent="0.2">
      <c r="B91" s="69"/>
      <c r="C91" s="90"/>
      <c r="D91" s="97" t="str">
        <f>IF(op!D23="","",op!D23)</f>
        <v/>
      </c>
      <c r="E91" s="97" t="str">
        <f>IF(op!E23=0,"",op!E23)</f>
        <v/>
      </c>
      <c r="F91" s="114" t="str">
        <f>IF(op!F23="","",op!F23+1)</f>
        <v/>
      </c>
      <c r="G91" s="377" t="str">
        <f>IF(op!G23="","",op!G23)</f>
        <v/>
      </c>
      <c r="H91" s="114" t="str">
        <f>IF(op!H23=0,"",op!H23)</f>
        <v/>
      </c>
      <c r="I91" s="129" t="str">
        <f>IF(J91="","",(IF(op!I23+1&gt;LOOKUP(H91,schaal2011,regels2011),op!I23,op!I23+1)))</f>
        <v/>
      </c>
      <c r="J91" s="378" t="str">
        <f>IF(op!J23="","",op!J23)</f>
        <v/>
      </c>
      <c r="K91" s="1194"/>
      <c r="L91" s="1065">
        <f t="shared" ref="L91:M91" si="48">IF(L23="",0,L23)</f>
        <v>0</v>
      </c>
      <c r="M91" s="1065">
        <f t="shared" si="48"/>
        <v>0</v>
      </c>
      <c r="N91" s="1077" t="str">
        <f t="shared" si="40"/>
        <v/>
      </c>
      <c r="O91" s="1077" t="str">
        <f t="shared" si="41"/>
        <v/>
      </c>
      <c r="P91" s="1172" t="str">
        <f t="shared" si="25"/>
        <v/>
      </c>
      <c r="Q91" s="91"/>
      <c r="R91" s="936" t="str">
        <f t="shared" si="42"/>
        <v/>
      </c>
      <c r="S91" s="936" t="str">
        <f t="shared" si="26"/>
        <v/>
      </c>
      <c r="T91" s="937" t="str">
        <f t="shared" si="27"/>
        <v/>
      </c>
      <c r="U91" s="361"/>
      <c r="V91" s="381"/>
      <c r="W91" s="375"/>
      <c r="X91" s="375"/>
      <c r="Y91" s="1120" t="e">
        <f>VLOOKUP(H91,tab!$A$73:$V$114,I91+2,FALSE)</f>
        <v>#VALUE!</v>
      </c>
      <c r="Z91" s="1211">
        <f>tab!$E$64</f>
        <v>0.62</v>
      </c>
      <c r="AA91" s="1163" t="e">
        <f t="shared" si="28"/>
        <v>#VALUE!</v>
      </c>
      <c r="AB91" s="1163" t="e">
        <f t="shared" si="29"/>
        <v>#VALUE!</v>
      </c>
      <c r="AC91" s="1163" t="e">
        <f t="shared" si="30"/>
        <v>#VALUE!</v>
      </c>
      <c r="AD91" s="1162" t="e">
        <f t="shared" si="31"/>
        <v>#VALUE!</v>
      </c>
      <c r="AE91" s="1162">
        <f t="shared" si="32"/>
        <v>0</v>
      </c>
      <c r="AF91" s="1129">
        <f>IF(H91&gt;8,tab!$D$65,tab!$D$67)</f>
        <v>0.5</v>
      </c>
      <c r="AG91" s="1143">
        <f t="shared" si="33"/>
        <v>0</v>
      </c>
      <c r="AH91" s="1159">
        <f t="shared" si="34"/>
        <v>0</v>
      </c>
      <c r="AI91" s="1142" t="e">
        <f>DATE(YEAR(tab!$F$3),MONTH(G91),DAY(G91))&gt;tab!$F$3</f>
        <v>#VALUE!</v>
      </c>
      <c r="AJ91" s="1143" t="e">
        <f t="shared" si="35"/>
        <v>#VALUE!</v>
      </c>
      <c r="AK91" s="1096">
        <f t="shared" si="36"/>
        <v>30</v>
      </c>
      <c r="AL91" s="1096">
        <f t="shared" si="37"/>
        <v>30</v>
      </c>
      <c r="AM91" s="1143">
        <f t="shared" si="38"/>
        <v>0</v>
      </c>
    </row>
    <row r="92" spans="2:40" ht="12.75" customHeight="1" x14ac:dyDescent="0.2">
      <c r="B92" s="69"/>
      <c r="C92" s="90"/>
      <c r="D92" s="97" t="str">
        <f>IF(op!D24="","",op!D24)</f>
        <v/>
      </c>
      <c r="E92" s="97" t="str">
        <f>IF(op!E24=0,"",op!E24)</f>
        <v/>
      </c>
      <c r="F92" s="114" t="str">
        <f>IF(op!F24="","",op!F24+1)</f>
        <v/>
      </c>
      <c r="G92" s="377" t="str">
        <f>IF(op!G24="","",op!G24)</f>
        <v/>
      </c>
      <c r="H92" s="114" t="str">
        <f>IF(op!H24=0,"",op!H24)</f>
        <v/>
      </c>
      <c r="I92" s="129" t="str">
        <f>IF(J92="","",(IF(op!I24+1&gt;LOOKUP(H92,schaal2011,regels2011),op!I24,op!I24+1)))</f>
        <v/>
      </c>
      <c r="J92" s="378" t="str">
        <f>IF(op!J24="","",op!J24)</f>
        <v/>
      </c>
      <c r="K92" s="1194"/>
      <c r="L92" s="1065">
        <f t="shared" ref="L92:M92" si="49">IF(L24="",0,L24)</f>
        <v>0</v>
      </c>
      <c r="M92" s="1065">
        <f t="shared" si="49"/>
        <v>0</v>
      </c>
      <c r="N92" s="1077" t="str">
        <f t="shared" si="40"/>
        <v/>
      </c>
      <c r="O92" s="1077" t="str">
        <f t="shared" si="41"/>
        <v/>
      </c>
      <c r="P92" s="1172" t="str">
        <f t="shared" si="25"/>
        <v/>
      </c>
      <c r="Q92" s="91"/>
      <c r="R92" s="936" t="str">
        <f t="shared" si="42"/>
        <v/>
      </c>
      <c r="S92" s="936" t="str">
        <f t="shared" si="26"/>
        <v/>
      </c>
      <c r="T92" s="937" t="str">
        <f t="shared" si="27"/>
        <v/>
      </c>
      <c r="U92" s="361"/>
      <c r="V92" s="381"/>
      <c r="W92" s="375"/>
      <c r="X92" s="375"/>
      <c r="Y92" s="1120" t="e">
        <f>VLOOKUP(H92,tab!$A$73:$V$114,I92+2,FALSE)</f>
        <v>#VALUE!</v>
      </c>
      <c r="Z92" s="1211">
        <f>tab!$E$64</f>
        <v>0.62</v>
      </c>
      <c r="AA92" s="1163" t="e">
        <f t="shared" si="28"/>
        <v>#VALUE!</v>
      </c>
      <c r="AB92" s="1163" t="e">
        <f t="shared" si="29"/>
        <v>#VALUE!</v>
      </c>
      <c r="AC92" s="1163" t="e">
        <f t="shared" si="30"/>
        <v>#VALUE!</v>
      </c>
      <c r="AD92" s="1162" t="e">
        <f t="shared" si="31"/>
        <v>#VALUE!</v>
      </c>
      <c r="AE92" s="1162">
        <f t="shared" si="32"/>
        <v>0</v>
      </c>
      <c r="AF92" s="1129">
        <f>IF(H92&gt;8,tab!$D$65,tab!$D$67)</f>
        <v>0.5</v>
      </c>
      <c r="AG92" s="1143">
        <f t="shared" si="33"/>
        <v>0</v>
      </c>
      <c r="AH92" s="1159">
        <f t="shared" si="34"/>
        <v>0</v>
      </c>
      <c r="AI92" s="1142" t="e">
        <f>DATE(YEAR(tab!$F$3),MONTH(G92),DAY(G92))&gt;tab!$F$3</f>
        <v>#VALUE!</v>
      </c>
      <c r="AJ92" s="1143" t="e">
        <f t="shared" si="35"/>
        <v>#VALUE!</v>
      </c>
      <c r="AK92" s="1096">
        <f t="shared" si="36"/>
        <v>30</v>
      </c>
      <c r="AL92" s="1096">
        <f t="shared" si="37"/>
        <v>30</v>
      </c>
      <c r="AM92" s="1143">
        <f t="shared" si="38"/>
        <v>0</v>
      </c>
    </row>
    <row r="93" spans="2:40" ht="12.75" customHeight="1" x14ac:dyDescent="0.2">
      <c r="B93" s="69"/>
      <c r="C93" s="90"/>
      <c r="D93" s="97" t="str">
        <f>IF(op!D25="","",op!D25)</f>
        <v/>
      </c>
      <c r="E93" s="97" t="str">
        <f>IF(op!E25=0,"",op!E25)</f>
        <v/>
      </c>
      <c r="F93" s="114" t="str">
        <f>IF(op!F25="","",op!F25+1)</f>
        <v/>
      </c>
      <c r="G93" s="377" t="str">
        <f>IF(op!G25="","",op!G25)</f>
        <v/>
      </c>
      <c r="H93" s="114" t="str">
        <f>IF(op!H25=0,"",op!H25)</f>
        <v/>
      </c>
      <c r="I93" s="129" t="str">
        <f>IF(J93="","",(IF(op!I25+1&gt;LOOKUP(H93,schaal2011,regels2011),op!I25,op!I25+1)))</f>
        <v/>
      </c>
      <c r="J93" s="378" t="str">
        <f>IF(op!J25="","",op!J25)</f>
        <v/>
      </c>
      <c r="K93" s="1194"/>
      <c r="L93" s="1065">
        <f t="shared" ref="L93:M93" si="50">IF(L25="",0,L25)</f>
        <v>0</v>
      </c>
      <c r="M93" s="1065">
        <f t="shared" si="50"/>
        <v>0</v>
      </c>
      <c r="N93" s="1077" t="str">
        <f t="shared" si="40"/>
        <v/>
      </c>
      <c r="O93" s="1077" t="str">
        <f t="shared" si="41"/>
        <v/>
      </c>
      <c r="P93" s="1172" t="str">
        <f t="shared" si="25"/>
        <v/>
      </c>
      <c r="Q93" s="91"/>
      <c r="R93" s="936" t="str">
        <f t="shared" si="42"/>
        <v/>
      </c>
      <c r="S93" s="936" t="str">
        <f t="shared" si="26"/>
        <v/>
      </c>
      <c r="T93" s="937" t="str">
        <f t="shared" si="27"/>
        <v/>
      </c>
      <c r="U93" s="361"/>
      <c r="V93" s="381"/>
      <c r="W93" s="375"/>
      <c r="X93" s="375"/>
      <c r="Y93" s="1120" t="e">
        <f>VLOOKUP(H93,tab!$A$73:$V$114,I93+2,FALSE)</f>
        <v>#VALUE!</v>
      </c>
      <c r="Z93" s="1211">
        <f>tab!$E$64</f>
        <v>0.62</v>
      </c>
      <c r="AA93" s="1163" t="e">
        <f t="shared" si="28"/>
        <v>#VALUE!</v>
      </c>
      <c r="AB93" s="1163" t="e">
        <f t="shared" si="29"/>
        <v>#VALUE!</v>
      </c>
      <c r="AC93" s="1163" t="e">
        <f t="shared" si="30"/>
        <v>#VALUE!</v>
      </c>
      <c r="AD93" s="1162" t="e">
        <f t="shared" si="31"/>
        <v>#VALUE!</v>
      </c>
      <c r="AE93" s="1162">
        <f t="shared" si="32"/>
        <v>0</v>
      </c>
      <c r="AF93" s="1129">
        <f>IF(H93&gt;8,tab!$D$65,tab!$D$67)</f>
        <v>0.5</v>
      </c>
      <c r="AG93" s="1143">
        <f t="shared" si="33"/>
        <v>0</v>
      </c>
      <c r="AH93" s="1159">
        <f t="shared" si="34"/>
        <v>0</v>
      </c>
      <c r="AI93" s="1142" t="e">
        <f>DATE(YEAR(tab!$F$3),MONTH(G93),DAY(G93))&gt;tab!$F$3</f>
        <v>#VALUE!</v>
      </c>
      <c r="AJ93" s="1143" t="e">
        <f t="shared" si="35"/>
        <v>#VALUE!</v>
      </c>
      <c r="AK93" s="1096">
        <f t="shared" si="36"/>
        <v>30</v>
      </c>
      <c r="AL93" s="1096">
        <f t="shared" si="37"/>
        <v>30</v>
      </c>
      <c r="AM93" s="1143">
        <f t="shared" si="38"/>
        <v>0</v>
      </c>
    </row>
    <row r="94" spans="2:40" ht="12.75" customHeight="1" x14ac:dyDescent="0.2">
      <c r="B94" s="69"/>
      <c r="C94" s="90"/>
      <c r="D94" s="97" t="str">
        <f>IF(op!D26="","",op!D26)</f>
        <v/>
      </c>
      <c r="E94" s="97" t="str">
        <f>IF(op!E26=0,"",op!E26)</f>
        <v/>
      </c>
      <c r="F94" s="114" t="str">
        <f>IF(op!F26="","",op!F26+1)</f>
        <v/>
      </c>
      <c r="G94" s="377" t="str">
        <f>IF(op!G26="","",op!G26)</f>
        <v/>
      </c>
      <c r="H94" s="114" t="str">
        <f>IF(op!H26=0,"",op!H26)</f>
        <v/>
      </c>
      <c r="I94" s="129" t="str">
        <f>IF(J94="","",(IF(op!I26+1&gt;LOOKUP(H94,schaal2011,regels2011),op!I26,op!I26+1)))</f>
        <v/>
      </c>
      <c r="J94" s="378" t="str">
        <f>IF(op!J26="","",op!J26)</f>
        <v/>
      </c>
      <c r="K94" s="1194"/>
      <c r="L94" s="1065">
        <f t="shared" ref="L94:M94" si="51">IF(L26="",0,L26)</f>
        <v>0</v>
      </c>
      <c r="M94" s="1065">
        <f t="shared" si="51"/>
        <v>0</v>
      </c>
      <c r="N94" s="1077" t="str">
        <f t="shared" si="40"/>
        <v/>
      </c>
      <c r="O94" s="1077" t="str">
        <f t="shared" si="41"/>
        <v/>
      </c>
      <c r="P94" s="1172" t="str">
        <f t="shared" si="25"/>
        <v/>
      </c>
      <c r="Q94" s="91"/>
      <c r="R94" s="936" t="str">
        <f t="shared" si="42"/>
        <v/>
      </c>
      <c r="S94" s="936" t="str">
        <f t="shared" si="26"/>
        <v/>
      </c>
      <c r="T94" s="937" t="str">
        <f t="shared" si="27"/>
        <v/>
      </c>
      <c r="U94" s="361"/>
      <c r="V94" s="381"/>
      <c r="W94" s="375"/>
      <c r="X94" s="375"/>
      <c r="Y94" s="1120" t="e">
        <f>VLOOKUP(H94,tab!$A$73:$V$114,I94+2,FALSE)</f>
        <v>#VALUE!</v>
      </c>
      <c r="Z94" s="1211">
        <f>tab!$E$64</f>
        <v>0.62</v>
      </c>
      <c r="AA94" s="1163" t="e">
        <f t="shared" si="28"/>
        <v>#VALUE!</v>
      </c>
      <c r="AB94" s="1163" t="e">
        <f t="shared" si="29"/>
        <v>#VALUE!</v>
      </c>
      <c r="AC94" s="1163" t="e">
        <f t="shared" si="30"/>
        <v>#VALUE!</v>
      </c>
      <c r="AD94" s="1162" t="e">
        <f t="shared" si="31"/>
        <v>#VALUE!</v>
      </c>
      <c r="AE94" s="1162">
        <f t="shared" si="32"/>
        <v>0</v>
      </c>
      <c r="AF94" s="1129">
        <f>IF(H94&gt;8,tab!$D$65,tab!$D$67)</f>
        <v>0.5</v>
      </c>
      <c r="AG94" s="1143">
        <f t="shared" si="33"/>
        <v>0</v>
      </c>
      <c r="AH94" s="1159">
        <f t="shared" si="34"/>
        <v>0</v>
      </c>
      <c r="AI94" s="1142" t="e">
        <f>DATE(YEAR(tab!$F$3),MONTH(G94),DAY(G94))&gt;tab!$F$3</f>
        <v>#VALUE!</v>
      </c>
      <c r="AJ94" s="1143" t="e">
        <f t="shared" si="35"/>
        <v>#VALUE!</v>
      </c>
      <c r="AK94" s="1096">
        <f t="shared" si="36"/>
        <v>30</v>
      </c>
      <c r="AL94" s="1096">
        <f t="shared" si="37"/>
        <v>30</v>
      </c>
      <c r="AM94" s="1143">
        <f t="shared" si="38"/>
        <v>0</v>
      </c>
    </row>
    <row r="95" spans="2:40" ht="12.75" customHeight="1" x14ac:dyDescent="0.2">
      <c r="B95" s="69"/>
      <c r="C95" s="90"/>
      <c r="D95" s="97" t="str">
        <f>IF(op!D27="","",op!D27)</f>
        <v/>
      </c>
      <c r="E95" s="97" t="str">
        <f>IF(op!E27=0,"",op!E27)</f>
        <v/>
      </c>
      <c r="F95" s="114" t="str">
        <f>IF(op!F27="","",op!F27+1)</f>
        <v/>
      </c>
      <c r="G95" s="377" t="str">
        <f>IF(op!G27="","",op!G27)</f>
        <v/>
      </c>
      <c r="H95" s="114" t="str">
        <f>IF(op!H27=0,"",op!H27)</f>
        <v/>
      </c>
      <c r="I95" s="129" t="str">
        <f>IF(J95="","",(IF(op!I27+1&gt;LOOKUP(H95,schaal2011,regels2011),op!I27,op!I27+1)))</f>
        <v/>
      </c>
      <c r="J95" s="378" t="str">
        <f>IF(op!J27="","",op!J27)</f>
        <v/>
      </c>
      <c r="K95" s="1194"/>
      <c r="L95" s="1065">
        <f t="shared" ref="L95:M95" si="52">IF(L27="",0,L27)</f>
        <v>0</v>
      </c>
      <c r="M95" s="1065">
        <f t="shared" si="52"/>
        <v>0</v>
      </c>
      <c r="N95" s="1077" t="str">
        <f t="shared" si="40"/>
        <v/>
      </c>
      <c r="O95" s="1077" t="str">
        <f t="shared" si="41"/>
        <v/>
      </c>
      <c r="P95" s="1172" t="str">
        <f t="shared" si="25"/>
        <v/>
      </c>
      <c r="Q95" s="91"/>
      <c r="R95" s="936" t="str">
        <f t="shared" si="42"/>
        <v/>
      </c>
      <c r="S95" s="936" t="str">
        <f t="shared" si="26"/>
        <v/>
      </c>
      <c r="T95" s="937" t="str">
        <f t="shared" si="27"/>
        <v/>
      </c>
      <c r="U95" s="361"/>
      <c r="V95" s="381"/>
      <c r="W95" s="375"/>
      <c r="X95" s="375"/>
      <c r="Y95" s="1120" t="e">
        <f>VLOOKUP(H95,tab!$A$73:$V$114,I95+2,FALSE)</f>
        <v>#VALUE!</v>
      </c>
      <c r="Z95" s="1211">
        <f>tab!$E$64</f>
        <v>0.62</v>
      </c>
      <c r="AA95" s="1163" t="e">
        <f t="shared" si="28"/>
        <v>#VALUE!</v>
      </c>
      <c r="AB95" s="1163" t="e">
        <f t="shared" si="29"/>
        <v>#VALUE!</v>
      </c>
      <c r="AC95" s="1163" t="e">
        <f t="shared" si="30"/>
        <v>#VALUE!</v>
      </c>
      <c r="AD95" s="1162" t="e">
        <f t="shared" si="31"/>
        <v>#VALUE!</v>
      </c>
      <c r="AE95" s="1162">
        <f t="shared" si="32"/>
        <v>0</v>
      </c>
      <c r="AF95" s="1129">
        <f>IF(H95&gt;8,tab!$D$65,tab!$D$67)</f>
        <v>0.5</v>
      </c>
      <c r="AG95" s="1143">
        <f t="shared" si="33"/>
        <v>0</v>
      </c>
      <c r="AH95" s="1159">
        <f t="shared" si="34"/>
        <v>0</v>
      </c>
      <c r="AI95" s="1142" t="e">
        <f>DATE(YEAR(tab!$F$3),MONTH(G95),DAY(G95))&gt;tab!$F$3</f>
        <v>#VALUE!</v>
      </c>
      <c r="AJ95" s="1143" t="e">
        <f t="shared" si="35"/>
        <v>#VALUE!</v>
      </c>
      <c r="AK95" s="1096">
        <f t="shared" si="36"/>
        <v>30</v>
      </c>
      <c r="AL95" s="1096">
        <f t="shared" si="37"/>
        <v>30</v>
      </c>
      <c r="AM95" s="1143">
        <f t="shared" si="38"/>
        <v>0</v>
      </c>
    </row>
    <row r="96" spans="2:40" ht="12.75" customHeight="1" x14ac:dyDescent="0.2">
      <c r="B96" s="69"/>
      <c r="C96" s="90"/>
      <c r="D96" s="97" t="str">
        <f>IF(op!D28="","",op!D28)</f>
        <v/>
      </c>
      <c r="E96" s="97" t="str">
        <f>IF(op!E28=0,"",op!E28)</f>
        <v/>
      </c>
      <c r="F96" s="114" t="str">
        <f>IF(op!F28="","",op!F28+1)</f>
        <v/>
      </c>
      <c r="G96" s="377" t="str">
        <f>IF(op!G28="","",op!G28)</f>
        <v/>
      </c>
      <c r="H96" s="114" t="str">
        <f>IF(op!H28=0,"",op!H28)</f>
        <v/>
      </c>
      <c r="I96" s="129" t="str">
        <f>IF(J96="","",(IF(op!I28+1&gt;LOOKUP(H96,schaal2011,regels2011),op!I28,op!I28+1)))</f>
        <v/>
      </c>
      <c r="J96" s="378" t="str">
        <f>IF(op!J28="","",op!J28)</f>
        <v/>
      </c>
      <c r="K96" s="1194"/>
      <c r="L96" s="1065">
        <f t="shared" ref="L96:M96" si="53">IF(L28="",0,L28)</f>
        <v>0</v>
      </c>
      <c r="M96" s="1065">
        <f t="shared" si="53"/>
        <v>0</v>
      </c>
      <c r="N96" s="1077" t="str">
        <f t="shared" si="40"/>
        <v/>
      </c>
      <c r="O96" s="1077" t="str">
        <f t="shared" si="41"/>
        <v/>
      </c>
      <c r="P96" s="1172" t="str">
        <f t="shared" si="25"/>
        <v/>
      </c>
      <c r="Q96" s="91"/>
      <c r="R96" s="936" t="str">
        <f t="shared" si="42"/>
        <v/>
      </c>
      <c r="S96" s="936" t="str">
        <f t="shared" si="26"/>
        <v/>
      </c>
      <c r="T96" s="937" t="str">
        <f t="shared" si="27"/>
        <v/>
      </c>
      <c r="U96" s="361"/>
      <c r="V96" s="381"/>
      <c r="W96" s="375"/>
      <c r="X96" s="375"/>
      <c r="Y96" s="1120" t="e">
        <f>VLOOKUP(H96,tab!$A$73:$V$114,I96+2,FALSE)</f>
        <v>#VALUE!</v>
      </c>
      <c r="Z96" s="1211">
        <f>tab!$E$64</f>
        <v>0.62</v>
      </c>
      <c r="AA96" s="1163" t="e">
        <f t="shared" si="28"/>
        <v>#VALUE!</v>
      </c>
      <c r="AB96" s="1163" t="e">
        <f t="shared" si="29"/>
        <v>#VALUE!</v>
      </c>
      <c r="AC96" s="1163" t="e">
        <f t="shared" si="30"/>
        <v>#VALUE!</v>
      </c>
      <c r="AD96" s="1162" t="e">
        <f t="shared" si="31"/>
        <v>#VALUE!</v>
      </c>
      <c r="AE96" s="1162">
        <f t="shared" si="32"/>
        <v>0</v>
      </c>
      <c r="AF96" s="1129">
        <f>IF(H96&gt;8,tab!$D$65,tab!$D$67)</f>
        <v>0.5</v>
      </c>
      <c r="AG96" s="1143">
        <f t="shared" si="33"/>
        <v>0</v>
      </c>
      <c r="AH96" s="1159">
        <f t="shared" si="34"/>
        <v>0</v>
      </c>
      <c r="AI96" s="1142" t="e">
        <f>DATE(YEAR(tab!$F$3),MONTH(G96),DAY(G96))&gt;tab!$F$3</f>
        <v>#VALUE!</v>
      </c>
      <c r="AJ96" s="1143" t="e">
        <f t="shared" si="35"/>
        <v>#VALUE!</v>
      </c>
      <c r="AK96" s="1096">
        <f t="shared" si="36"/>
        <v>30</v>
      </c>
      <c r="AL96" s="1096">
        <f t="shared" si="37"/>
        <v>30</v>
      </c>
      <c r="AM96" s="1143">
        <f t="shared" si="38"/>
        <v>0</v>
      </c>
    </row>
    <row r="97" spans="2:39" ht="12.75" customHeight="1" x14ac:dyDescent="0.2">
      <c r="B97" s="69"/>
      <c r="C97" s="90"/>
      <c r="D97" s="97" t="str">
        <f>IF(op!D29="","",op!D29)</f>
        <v/>
      </c>
      <c r="E97" s="97" t="str">
        <f>IF(op!E29=0,"",op!E29)</f>
        <v/>
      </c>
      <c r="F97" s="114" t="str">
        <f>IF(op!F29="","",op!F29+1)</f>
        <v/>
      </c>
      <c r="G97" s="377" t="str">
        <f>IF(op!G29="","",op!G29)</f>
        <v/>
      </c>
      <c r="H97" s="114" t="str">
        <f>IF(op!H29=0,"",op!H29)</f>
        <v/>
      </c>
      <c r="I97" s="129" t="str">
        <f>IF(J97="","",(IF(op!I29+1&gt;LOOKUP(H97,schaal2011,regels2011),op!I29,op!I29+1)))</f>
        <v/>
      </c>
      <c r="J97" s="378" t="str">
        <f>IF(op!J29="","",op!J29)</f>
        <v/>
      </c>
      <c r="K97" s="1194"/>
      <c r="L97" s="1065">
        <f t="shared" ref="L97:M97" si="54">IF(L29="",0,L29)</f>
        <v>0</v>
      </c>
      <c r="M97" s="1065">
        <f t="shared" si="54"/>
        <v>0</v>
      </c>
      <c r="N97" s="1077" t="str">
        <f t="shared" si="40"/>
        <v/>
      </c>
      <c r="O97" s="1077" t="str">
        <f t="shared" si="41"/>
        <v/>
      </c>
      <c r="P97" s="1172" t="str">
        <f t="shared" si="25"/>
        <v/>
      </c>
      <c r="Q97" s="91"/>
      <c r="R97" s="936" t="str">
        <f t="shared" si="42"/>
        <v/>
      </c>
      <c r="S97" s="936" t="str">
        <f t="shared" si="26"/>
        <v/>
      </c>
      <c r="T97" s="937" t="str">
        <f t="shared" si="27"/>
        <v/>
      </c>
      <c r="U97" s="361"/>
      <c r="V97" s="381"/>
      <c r="W97" s="375"/>
      <c r="X97" s="375"/>
      <c r="Y97" s="1120" t="e">
        <f>VLOOKUP(H97,tab!$A$73:$V$114,I97+2,FALSE)</f>
        <v>#VALUE!</v>
      </c>
      <c r="Z97" s="1211">
        <f>tab!$E$64</f>
        <v>0.62</v>
      </c>
      <c r="AA97" s="1163" t="e">
        <f t="shared" si="28"/>
        <v>#VALUE!</v>
      </c>
      <c r="AB97" s="1163" t="e">
        <f t="shared" si="29"/>
        <v>#VALUE!</v>
      </c>
      <c r="AC97" s="1163" t="e">
        <f t="shared" si="30"/>
        <v>#VALUE!</v>
      </c>
      <c r="AD97" s="1162" t="e">
        <f t="shared" si="31"/>
        <v>#VALUE!</v>
      </c>
      <c r="AE97" s="1162">
        <f t="shared" si="32"/>
        <v>0</v>
      </c>
      <c r="AF97" s="1129">
        <f>IF(H97&gt;8,tab!$D$65,tab!$D$67)</f>
        <v>0.5</v>
      </c>
      <c r="AG97" s="1143">
        <f t="shared" si="33"/>
        <v>0</v>
      </c>
      <c r="AH97" s="1159">
        <f t="shared" si="34"/>
        <v>0</v>
      </c>
      <c r="AI97" s="1142" t="e">
        <f>DATE(YEAR(tab!$F$3),MONTH(G97),DAY(G97))&gt;tab!$F$3</f>
        <v>#VALUE!</v>
      </c>
      <c r="AJ97" s="1143" t="e">
        <f t="shared" si="35"/>
        <v>#VALUE!</v>
      </c>
      <c r="AK97" s="1096">
        <f t="shared" si="36"/>
        <v>30</v>
      </c>
      <c r="AL97" s="1096">
        <f t="shared" si="37"/>
        <v>30</v>
      </c>
      <c r="AM97" s="1143">
        <f t="shared" si="38"/>
        <v>0</v>
      </c>
    </row>
    <row r="98" spans="2:39" ht="12.75" customHeight="1" x14ac:dyDescent="0.2">
      <c r="B98" s="69"/>
      <c r="C98" s="90"/>
      <c r="D98" s="97" t="str">
        <f>IF(op!D30="","",op!D30)</f>
        <v/>
      </c>
      <c r="E98" s="97" t="str">
        <f>IF(op!E30=0,"",op!E30)</f>
        <v/>
      </c>
      <c r="F98" s="114" t="str">
        <f>IF(op!F30="","",op!F30+1)</f>
        <v/>
      </c>
      <c r="G98" s="377" t="str">
        <f>IF(op!G30="","",op!G30)</f>
        <v/>
      </c>
      <c r="H98" s="114" t="str">
        <f>IF(op!H30=0,"",op!H30)</f>
        <v/>
      </c>
      <c r="I98" s="129" t="str">
        <f>IF(J98="","",(IF(op!I30+1&gt;LOOKUP(H98,schaal2011,regels2011),op!I30,op!I30+1)))</f>
        <v/>
      </c>
      <c r="J98" s="378" t="str">
        <f>IF(op!J30="","",op!J30)</f>
        <v/>
      </c>
      <c r="K98" s="1194"/>
      <c r="L98" s="1065">
        <f t="shared" ref="L98:M98" si="55">IF(L30="",0,L30)</f>
        <v>0</v>
      </c>
      <c r="M98" s="1065">
        <f t="shared" si="55"/>
        <v>0</v>
      </c>
      <c r="N98" s="1077" t="str">
        <f t="shared" si="40"/>
        <v/>
      </c>
      <c r="O98" s="1077" t="str">
        <f t="shared" si="41"/>
        <v/>
      </c>
      <c r="P98" s="1172" t="str">
        <f t="shared" si="25"/>
        <v/>
      </c>
      <c r="Q98" s="91"/>
      <c r="R98" s="936" t="str">
        <f t="shared" si="42"/>
        <v/>
      </c>
      <c r="S98" s="936" t="str">
        <f t="shared" si="26"/>
        <v/>
      </c>
      <c r="T98" s="937" t="str">
        <f t="shared" si="27"/>
        <v/>
      </c>
      <c r="U98" s="361"/>
      <c r="V98" s="381"/>
      <c r="W98" s="375"/>
      <c r="X98" s="375"/>
      <c r="Y98" s="1120" t="e">
        <f>VLOOKUP(H98,tab!$A$73:$V$114,I98+2,FALSE)</f>
        <v>#VALUE!</v>
      </c>
      <c r="Z98" s="1211">
        <f>tab!$E$64</f>
        <v>0.62</v>
      </c>
      <c r="AA98" s="1163" t="e">
        <f t="shared" si="28"/>
        <v>#VALUE!</v>
      </c>
      <c r="AB98" s="1163" t="e">
        <f t="shared" si="29"/>
        <v>#VALUE!</v>
      </c>
      <c r="AC98" s="1163" t="e">
        <f t="shared" si="30"/>
        <v>#VALUE!</v>
      </c>
      <c r="AD98" s="1162" t="e">
        <f t="shared" si="31"/>
        <v>#VALUE!</v>
      </c>
      <c r="AE98" s="1162">
        <f t="shared" si="32"/>
        <v>0</v>
      </c>
      <c r="AF98" s="1129">
        <f>IF(H98&gt;8,tab!$D$65,tab!$D$67)</f>
        <v>0.5</v>
      </c>
      <c r="AG98" s="1143">
        <f t="shared" si="33"/>
        <v>0</v>
      </c>
      <c r="AH98" s="1159">
        <f t="shared" si="34"/>
        <v>0</v>
      </c>
      <c r="AI98" s="1142" t="e">
        <f>DATE(YEAR(tab!$F$3),MONTH(G98),DAY(G98))&gt;tab!$F$3</f>
        <v>#VALUE!</v>
      </c>
      <c r="AJ98" s="1143" t="e">
        <f t="shared" si="35"/>
        <v>#VALUE!</v>
      </c>
      <c r="AK98" s="1096">
        <f t="shared" si="36"/>
        <v>30</v>
      </c>
      <c r="AL98" s="1096">
        <f t="shared" si="37"/>
        <v>30</v>
      </c>
      <c r="AM98" s="1143">
        <f t="shared" si="38"/>
        <v>0</v>
      </c>
    </row>
    <row r="99" spans="2:39" ht="12.75" customHeight="1" x14ac:dyDescent="0.2">
      <c r="B99" s="69"/>
      <c r="C99" s="90"/>
      <c r="D99" s="97" t="str">
        <f>IF(op!D31="","",op!D31)</f>
        <v/>
      </c>
      <c r="E99" s="97" t="str">
        <f>IF(op!E31=0,"",op!E31)</f>
        <v/>
      </c>
      <c r="F99" s="114" t="str">
        <f>IF(op!F31="","",op!F31+1)</f>
        <v/>
      </c>
      <c r="G99" s="377" t="str">
        <f>IF(op!G31="","",op!G31)</f>
        <v/>
      </c>
      <c r="H99" s="114" t="str">
        <f>IF(op!H31=0,"",op!H31)</f>
        <v/>
      </c>
      <c r="I99" s="129" t="str">
        <f>IF(J99="","",(IF(op!I31+1&gt;LOOKUP(H99,schaal2011,regels2011),op!I31,op!I31+1)))</f>
        <v/>
      </c>
      <c r="J99" s="378" t="str">
        <f>IF(op!J31="","",op!J31)</f>
        <v/>
      </c>
      <c r="K99" s="1194"/>
      <c r="L99" s="1065">
        <f t="shared" ref="L99:M99" si="56">IF(L31="",0,L31)</f>
        <v>0</v>
      </c>
      <c r="M99" s="1065">
        <f t="shared" si="56"/>
        <v>0</v>
      </c>
      <c r="N99" s="1077" t="str">
        <f t="shared" si="40"/>
        <v/>
      </c>
      <c r="O99" s="1077" t="str">
        <f t="shared" si="41"/>
        <v/>
      </c>
      <c r="P99" s="1172" t="str">
        <f t="shared" si="25"/>
        <v/>
      </c>
      <c r="Q99" s="91"/>
      <c r="R99" s="936" t="str">
        <f t="shared" si="42"/>
        <v/>
      </c>
      <c r="S99" s="936" t="str">
        <f t="shared" si="26"/>
        <v/>
      </c>
      <c r="T99" s="937" t="str">
        <f t="shared" si="27"/>
        <v/>
      </c>
      <c r="U99" s="361"/>
      <c r="V99" s="381"/>
      <c r="W99" s="375"/>
      <c r="X99" s="375"/>
      <c r="Y99" s="1120" t="e">
        <f>VLOOKUP(H99,tab!$A$73:$V$114,I99+2,FALSE)</f>
        <v>#VALUE!</v>
      </c>
      <c r="Z99" s="1211">
        <f>tab!$E$64</f>
        <v>0.62</v>
      </c>
      <c r="AA99" s="1163" t="e">
        <f t="shared" si="28"/>
        <v>#VALUE!</v>
      </c>
      <c r="AB99" s="1163" t="e">
        <f t="shared" si="29"/>
        <v>#VALUE!</v>
      </c>
      <c r="AC99" s="1163" t="e">
        <f t="shared" si="30"/>
        <v>#VALUE!</v>
      </c>
      <c r="AD99" s="1162" t="e">
        <f t="shared" si="31"/>
        <v>#VALUE!</v>
      </c>
      <c r="AE99" s="1162">
        <f t="shared" si="32"/>
        <v>0</v>
      </c>
      <c r="AF99" s="1129">
        <f>IF(H99&gt;8,tab!$D$65,tab!$D$67)</f>
        <v>0.5</v>
      </c>
      <c r="AG99" s="1143">
        <f t="shared" si="33"/>
        <v>0</v>
      </c>
      <c r="AH99" s="1159">
        <f t="shared" si="34"/>
        <v>0</v>
      </c>
      <c r="AI99" s="1142" t="e">
        <f>DATE(YEAR(tab!$F$3),MONTH(G99),DAY(G99))&gt;tab!$F$3</f>
        <v>#VALUE!</v>
      </c>
      <c r="AJ99" s="1143" t="e">
        <f t="shared" si="35"/>
        <v>#VALUE!</v>
      </c>
      <c r="AK99" s="1096">
        <f t="shared" si="36"/>
        <v>30</v>
      </c>
      <c r="AL99" s="1096">
        <f t="shared" si="37"/>
        <v>30</v>
      </c>
      <c r="AM99" s="1143">
        <f t="shared" si="38"/>
        <v>0</v>
      </c>
    </row>
    <row r="100" spans="2:39" ht="12.75" customHeight="1" x14ac:dyDescent="0.2">
      <c r="B100" s="69"/>
      <c r="C100" s="90"/>
      <c r="D100" s="97" t="str">
        <f>IF(op!D32="","",op!D32)</f>
        <v/>
      </c>
      <c r="E100" s="97" t="str">
        <f>IF(op!E32=0,"",op!E32)</f>
        <v/>
      </c>
      <c r="F100" s="114" t="str">
        <f>IF(op!F32="","",op!F32+1)</f>
        <v/>
      </c>
      <c r="G100" s="377" t="str">
        <f>IF(op!G32="","",op!G32)</f>
        <v/>
      </c>
      <c r="H100" s="114" t="str">
        <f>IF(op!H32=0,"",op!H32)</f>
        <v/>
      </c>
      <c r="I100" s="129" t="str">
        <f>IF(J100="","",(IF(op!I32+1&gt;LOOKUP(H100,schaal2011,regels2011),op!I32,op!I32+1)))</f>
        <v/>
      </c>
      <c r="J100" s="378" t="str">
        <f>IF(op!J32="","",op!J32)</f>
        <v/>
      </c>
      <c r="K100" s="1194"/>
      <c r="L100" s="1065">
        <f t="shared" ref="L100:M100" si="57">IF(L32="",0,L32)</f>
        <v>0</v>
      </c>
      <c r="M100" s="1065">
        <f t="shared" si="57"/>
        <v>0</v>
      </c>
      <c r="N100" s="1077" t="str">
        <f t="shared" si="40"/>
        <v/>
      </c>
      <c r="O100" s="1077" t="str">
        <f t="shared" si="41"/>
        <v/>
      </c>
      <c r="P100" s="1172" t="str">
        <f t="shared" si="25"/>
        <v/>
      </c>
      <c r="Q100" s="91"/>
      <c r="R100" s="936" t="str">
        <f t="shared" si="42"/>
        <v/>
      </c>
      <c r="S100" s="936" t="str">
        <f t="shared" si="26"/>
        <v/>
      </c>
      <c r="T100" s="937" t="str">
        <f t="shared" si="27"/>
        <v/>
      </c>
      <c r="U100" s="361"/>
      <c r="V100" s="381"/>
      <c r="W100" s="375"/>
      <c r="X100" s="375"/>
      <c r="Y100" s="1120" t="e">
        <f>VLOOKUP(H100,tab!$A$73:$V$114,I100+2,FALSE)</f>
        <v>#VALUE!</v>
      </c>
      <c r="Z100" s="1211">
        <f>tab!$E$64</f>
        <v>0.62</v>
      </c>
      <c r="AA100" s="1163" t="e">
        <f t="shared" si="28"/>
        <v>#VALUE!</v>
      </c>
      <c r="AB100" s="1163" t="e">
        <f t="shared" si="29"/>
        <v>#VALUE!</v>
      </c>
      <c r="AC100" s="1163" t="e">
        <f t="shared" si="30"/>
        <v>#VALUE!</v>
      </c>
      <c r="AD100" s="1162" t="e">
        <f t="shared" si="31"/>
        <v>#VALUE!</v>
      </c>
      <c r="AE100" s="1162">
        <f t="shared" si="32"/>
        <v>0</v>
      </c>
      <c r="AF100" s="1129">
        <f>IF(H100&gt;8,tab!$D$65,tab!$D$67)</f>
        <v>0.5</v>
      </c>
      <c r="AG100" s="1143">
        <f t="shared" si="33"/>
        <v>0</v>
      </c>
      <c r="AH100" s="1159">
        <f t="shared" si="34"/>
        <v>0</v>
      </c>
      <c r="AI100" s="1142" t="e">
        <f>DATE(YEAR(tab!$F$3),MONTH(G100),DAY(G100))&gt;tab!$F$3</f>
        <v>#VALUE!</v>
      </c>
      <c r="AJ100" s="1143" t="e">
        <f t="shared" si="35"/>
        <v>#VALUE!</v>
      </c>
      <c r="AK100" s="1096">
        <f t="shared" si="36"/>
        <v>30</v>
      </c>
      <c r="AL100" s="1096">
        <f t="shared" si="37"/>
        <v>30</v>
      </c>
      <c r="AM100" s="1143">
        <f t="shared" si="38"/>
        <v>0</v>
      </c>
    </row>
    <row r="101" spans="2:39" ht="12.75" customHeight="1" x14ac:dyDescent="0.2">
      <c r="B101" s="69"/>
      <c r="C101" s="90"/>
      <c r="D101" s="97" t="str">
        <f>IF(op!D33="","",op!D33)</f>
        <v/>
      </c>
      <c r="E101" s="97" t="str">
        <f>IF(op!E33=0,"",op!E33)</f>
        <v/>
      </c>
      <c r="F101" s="114" t="str">
        <f>IF(op!F33="","",op!F33+1)</f>
        <v/>
      </c>
      <c r="G101" s="377" t="str">
        <f>IF(op!G33="","",op!G33)</f>
        <v/>
      </c>
      <c r="H101" s="114" t="str">
        <f>IF(op!H33=0,"",op!H33)</f>
        <v/>
      </c>
      <c r="I101" s="129" t="str">
        <f>IF(J101="","",(IF(op!I33+1&gt;LOOKUP(H101,schaal2011,regels2011),op!I33,op!I33+1)))</f>
        <v/>
      </c>
      <c r="J101" s="378" t="str">
        <f>IF(op!J33="","",op!J33)</f>
        <v/>
      </c>
      <c r="K101" s="1194"/>
      <c r="L101" s="1065">
        <f t="shared" ref="L101:M101" si="58">IF(L33="",0,L33)</f>
        <v>0</v>
      </c>
      <c r="M101" s="1065">
        <f t="shared" si="58"/>
        <v>0</v>
      </c>
      <c r="N101" s="1077" t="str">
        <f t="shared" si="40"/>
        <v/>
      </c>
      <c r="O101" s="1077" t="str">
        <f t="shared" si="41"/>
        <v/>
      </c>
      <c r="P101" s="1172" t="str">
        <f t="shared" si="25"/>
        <v/>
      </c>
      <c r="Q101" s="91"/>
      <c r="R101" s="936" t="str">
        <f t="shared" si="42"/>
        <v/>
      </c>
      <c r="S101" s="936" t="str">
        <f t="shared" si="26"/>
        <v/>
      </c>
      <c r="T101" s="937" t="str">
        <f t="shared" si="27"/>
        <v/>
      </c>
      <c r="U101" s="361"/>
      <c r="V101" s="381"/>
      <c r="W101" s="375"/>
      <c r="X101" s="375"/>
      <c r="Y101" s="1120" t="e">
        <f>VLOOKUP(H101,tab!$A$73:$V$114,I101+2,FALSE)</f>
        <v>#VALUE!</v>
      </c>
      <c r="Z101" s="1211">
        <f>tab!$E$64</f>
        <v>0.62</v>
      </c>
      <c r="AA101" s="1163" t="e">
        <f t="shared" si="28"/>
        <v>#VALUE!</v>
      </c>
      <c r="AB101" s="1163" t="e">
        <f t="shared" si="29"/>
        <v>#VALUE!</v>
      </c>
      <c r="AC101" s="1163" t="e">
        <f t="shared" si="30"/>
        <v>#VALUE!</v>
      </c>
      <c r="AD101" s="1162" t="e">
        <f t="shared" si="31"/>
        <v>#VALUE!</v>
      </c>
      <c r="AE101" s="1162">
        <f t="shared" si="32"/>
        <v>0</v>
      </c>
      <c r="AF101" s="1129">
        <f>IF(H101&gt;8,tab!$D$65,tab!$D$67)</f>
        <v>0.5</v>
      </c>
      <c r="AG101" s="1143">
        <f t="shared" si="33"/>
        <v>0</v>
      </c>
      <c r="AH101" s="1159">
        <f t="shared" si="34"/>
        <v>0</v>
      </c>
      <c r="AI101" s="1142" t="e">
        <f>DATE(YEAR(tab!$F$3),MONTH(G101),DAY(G101))&gt;tab!$F$3</f>
        <v>#VALUE!</v>
      </c>
      <c r="AJ101" s="1143" t="e">
        <f t="shared" si="35"/>
        <v>#VALUE!</v>
      </c>
      <c r="AK101" s="1096">
        <f t="shared" si="36"/>
        <v>30</v>
      </c>
      <c r="AL101" s="1096">
        <f t="shared" si="37"/>
        <v>30</v>
      </c>
      <c r="AM101" s="1143">
        <f t="shared" si="38"/>
        <v>0</v>
      </c>
    </row>
    <row r="102" spans="2:39" ht="12.75" customHeight="1" x14ac:dyDescent="0.2">
      <c r="B102" s="69"/>
      <c r="C102" s="90"/>
      <c r="D102" s="97" t="str">
        <f>IF(op!D34="","",op!D34)</f>
        <v/>
      </c>
      <c r="E102" s="97" t="str">
        <f>IF(op!E34=0,"",op!E34)</f>
        <v/>
      </c>
      <c r="F102" s="114" t="str">
        <f>IF(op!F34="","",op!F34+1)</f>
        <v/>
      </c>
      <c r="G102" s="377" t="str">
        <f>IF(op!G34="","",op!G34)</f>
        <v/>
      </c>
      <c r="H102" s="114" t="str">
        <f>IF(op!H34=0,"",op!H34)</f>
        <v/>
      </c>
      <c r="I102" s="129" t="str">
        <f>IF(J102="","",(IF(op!I34+1&gt;LOOKUP(H102,schaal2011,regels2011),op!I34,op!I34+1)))</f>
        <v/>
      </c>
      <c r="J102" s="378" t="str">
        <f>IF(op!J34="","",op!J34)</f>
        <v/>
      </c>
      <c r="K102" s="1194"/>
      <c r="L102" s="1065">
        <f t="shared" ref="L102:M102" si="59">IF(L34="",0,L34)</f>
        <v>0</v>
      </c>
      <c r="M102" s="1065">
        <f t="shared" si="59"/>
        <v>0</v>
      </c>
      <c r="N102" s="1077" t="str">
        <f t="shared" si="40"/>
        <v/>
      </c>
      <c r="O102" s="1077" t="str">
        <f t="shared" si="41"/>
        <v/>
      </c>
      <c r="P102" s="1172" t="str">
        <f t="shared" si="25"/>
        <v/>
      </c>
      <c r="Q102" s="91"/>
      <c r="R102" s="936" t="str">
        <f t="shared" si="42"/>
        <v/>
      </c>
      <c r="S102" s="936" t="str">
        <f t="shared" si="26"/>
        <v/>
      </c>
      <c r="T102" s="937" t="str">
        <f t="shared" si="27"/>
        <v/>
      </c>
      <c r="U102" s="361"/>
      <c r="V102" s="381"/>
      <c r="W102" s="375"/>
      <c r="X102" s="375"/>
      <c r="Y102" s="1120" t="e">
        <f>VLOOKUP(H102,tab!$A$73:$V$114,I102+2,FALSE)</f>
        <v>#VALUE!</v>
      </c>
      <c r="Z102" s="1211">
        <f>tab!$E$64</f>
        <v>0.62</v>
      </c>
      <c r="AA102" s="1163" t="e">
        <f t="shared" si="28"/>
        <v>#VALUE!</v>
      </c>
      <c r="AB102" s="1163" t="e">
        <f t="shared" si="29"/>
        <v>#VALUE!</v>
      </c>
      <c r="AC102" s="1163" t="e">
        <f t="shared" si="30"/>
        <v>#VALUE!</v>
      </c>
      <c r="AD102" s="1162" t="e">
        <f t="shared" si="31"/>
        <v>#VALUE!</v>
      </c>
      <c r="AE102" s="1162">
        <f t="shared" si="32"/>
        <v>0</v>
      </c>
      <c r="AF102" s="1129">
        <f>IF(H102&gt;8,tab!$D$65,tab!$D$67)</f>
        <v>0.5</v>
      </c>
      <c r="AG102" s="1143">
        <f t="shared" si="33"/>
        <v>0</v>
      </c>
      <c r="AH102" s="1159">
        <f t="shared" si="34"/>
        <v>0</v>
      </c>
      <c r="AI102" s="1142" t="e">
        <f>DATE(YEAR(tab!$F$3),MONTH(G102),DAY(G102))&gt;tab!$F$3</f>
        <v>#VALUE!</v>
      </c>
      <c r="AJ102" s="1143" t="e">
        <f t="shared" si="35"/>
        <v>#VALUE!</v>
      </c>
      <c r="AK102" s="1096">
        <f t="shared" si="36"/>
        <v>30</v>
      </c>
      <c r="AL102" s="1096">
        <f t="shared" si="37"/>
        <v>30</v>
      </c>
      <c r="AM102" s="1143">
        <f t="shared" si="38"/>
        <v>0</v>
      </c>
    </row>
    <row r="103" spans="2:39" ht="12.75" customHeight="1" x14ac:dyDescent="0.2">
      <c r="B103" s="69"/>
      <c r="C103" s="90"/>
      <c r="D103" s="97" t="str">
        <f>IF(op!D35="","",op!D35)</f>
        <v/>
      </c>
      <c r="E103" s="97" t="str">
        <f>IF(op!E35=0,"",op!E35)</f>
        <v/>
      </c>
      <c r="F103" s="114" t="str">
        <f>IF(op!F35="","",op!F35+1)</f>
        <v/>
      </c>
      <c r="G103" s="377" t="str">
        <f>IF(op!G35="","",op!G35)</f>
        <v/>
      </c>
      <c r="H103" s="114" t="str">
        <f>IF(op!H35=0,"",op!H35)</f>
        <v/>
      </c>
      <c r="I103" s="129" t="str">
        <f>IF(J103="","",(IF(op!I35+1&gt;LOOKUP(H103,schaal2011,regels2011),op!I35,op!I35+1)))</f>
        <v/>
      </c>
      <c r="J103" s="378" t="str">
        <f>IF(op!J35="","",op!J35)</f>
        <v/>
      </c>
      <c r="K103" s="1194"/>
      <c r="L103" s="1065">
        <f t="shared" ref="L103:M103" si="60">IF(L35="",0,L35)</f>
        <v>0</v>
      </c>
      <c r="M103" s="1065">
        <f t="shared" si="60"/>
        <v>0</v>
      </c>
      <c r="N103" s="1077" t="str">
        <f t="shared" si="40"/>
        <v/>
      </c>
      <c r="O103" s="1077" t="str">
        <f t="shared" si="41"/>
        <v/>
      </c>
      <c r="P103" s="1172" t="str">
        <f t="shared" si="25"/>
        <v/>
      </c>
      <c r="Q103" s="91"/>
      <c r="R103" s="936" t="str">
        <f t="shared" si="42"/>
        <v/>
      </c>
      <c r="S103" s="936" t="str">
        <f t="shared" si="26"/>
        <v/>
      </c>
      <c r="T103" s="937" t="str">
        <f t="shared" si="27"/>
        <v/>
      </c>
      <c r="U103" s="361"/>
      <c r="V103" s="381"/>
      <c r="W103" s="375"/>
      <c r="X103" s="375"/>
      <c r="Y103" s="1120" t="e">
        <f>VLOOKUP(H103,tab!$A$73:$V$114,I103+2,FALSE)</f>
        <v>#VALUE!</v>
      </c>
      <c r="Z103" s="1211">
        <f>tab!$E$64</f>
        <v>0.62</v>
      </c>
      <c r="AA103" s="1163" t="e">
        <f t="shared" si="28"/>
        <v>#VALUE!</v>
      </c>
      <c r="AB103" s="1163" t="e">
        <f t="shared" si="29"/>
        <v>#VALUE!</v>
      </c>
      <c r="AC103" s="1163" t="e">
        <f t="shared" si="30"/>
        <v>#VALUE!</v>
      </c>
      <c r="AD103" s="1162" t="e">
        <f t="shared" si="31"/>
        <v>#VALUE!</v>
      </c>
      <c r="AE103" s="1162">
        <f t="shared" si="32"/>
        <v>0</v>
      </c>
      <c r="AF103" s="1129">
        <f>IF(H103&gt;8,tab!$D$65,tab!$D$67)</f>
        <v>0.5</v>
      </c>
      <c r="AG103" s="1143">
        <f t="shared" si="33"/>
        <v>0</v>
      </c>
      <c r="AH103" s="1159">
        <f t="shared" si="34"/>
        <v>0</v>
      </c>
      <c r="AI103" s="1142" t="e">
        <f>DATE(YEAR(tab!$F$3),MONTH(G103),DAY(G103))&gt;tab!$F$3</f>
        <v>#VALUE!</v>
      </c>
      <c r="AJ103" s="1143" t="e">
        <f t="shared" si="35"/>
        <v>#VALUE!</v>
      </c>
      <c r="AK103" s="1096">
        <f t="shared" si="36"/>
        <v>30</v>
      </c>
      <c r="AL103" s="1096">
        <f t="shared" si="37"/>
        <v>30</v>
      </c>
      <c r="AM103" s="1143">
        <f t="shared" si="38"/>
        <v>0</v>
      </c>
    </row>
    <row r="104" spans="2:39" ht="12.75" customHeight="1" x14ac:dyDescent="0.2">
      <c r="B104" s="69"/>
      <c r="C104" s="90"/>
      <c r="D104" s="97" t="str">
        <f>IF(op!D36="","",op!D36)</f>
        <v/>
      </c>
      <c r="E104" s="97" t="str">
        <f>IF(op!E36=0,"",op!E36)</f>
        <v/>
      </c>
      <c r="F104" s="114" t="str">
        <f>IF(op!F36="","",op!F36+1)</f>
        <v/>
      </c>
      <c r="G104" s="377" t="str">
        <f>IF(op!G36="","",op!G36)</f>
        <v/>
      </c>
      <c r="H104" s="114" t="str">
        <f>IF(op!H36=0,"",op!H36)</f>
        <v/>
      </c>
      <c r="I104" s="129" t="str">
        <f>IF(J104="","",(IF(op!I36+1&gt;LOOKUP(H104,schaal2011,regels2011),op!I36,op!I36+1)))</f>
        <v/>
      </c>
      <c r="J104" s="378" t="str">
        <f>IF(op!J36="","",op!J36)</f>
        <v/>
      </c>
      <c r="K104" s="1194"/>
      <c r="L104" s="1065">
        <f t="shared" ref="L104:M104" si="61">IF(L36="",0,L36)</f>
        <v>0</v>
      </c>
      <c r="M104" s="1065">
        <f t="shared" si="61"/>
        <v>0</v>
      </c>
      <c r="N104" s="1077" t="str">
        <f t="shared" si="40"/>
        <v/>
      </c>
      <c r="O104" s="1077" t="str">
        <f t="shared" si="41"/>
        <v/>
      </c>
      <c r="P104" s="1172" t="str">
        <f t="shared" si="25"/>
        <v/>
      </c>
      <c r="Q104" s="91"/>
      <c r="R104" s="936" t="str">
        <f t="shared" si="42"/>
        <v/>
      </c>
      <c r="S104" s="936" t="str">
        <f t="shared" si="26"/>
        <v/>
      </c>
      <c r="T104" s="937" t="str">
        <f t="shared" si="27"/>
        <v/>
      </c>
      <c r="U104" s="361"/>
      <c r="V104" s="381"/>
      <c r="W104" s="375"/>
      <c r="X104" s="375"/>
      <c r="Y104" s="1120" t="e">
        <f>VLOOKUP(H104,tab!$A$73:$V$114,I104+2,FALSE)</f>
        <v>#VALUE!</v>
      </c>
      <c r="Z104" s="1211">
        <f>tab!$E$64</f>
        <v>0.62</v>
      </c>
      <c r="AA104" s="1163" t="e">
        <f t="shared" si="28"/>
        <v>#VALUE!</v>
      </c>
      <c r="AB104" s="1163" t="e">
        <f t="shared" si="29"/>
        <v>#VALUE!</v>
      </c>
      <c r="AC104" s="1163" t="e">
        <f t="shared" si="30"/>
        <v>#VALUE!</v>
      </c>
      <c r="AD104" s="1162" t="e">
        <f t="shared" si="31"/>
        <v>#VALUE!</v>
      </c>
      <c r="AE104" s="1162">
        <f t="shared" si="32"/>
        <v>0</v>
      </c>
      <c r="AF104" s="1129">
        <f>IF(H104&gt;8,tab!$D$65,tab!$D$67)</f>
        <v>0.5</v>
      </c>
      <c r="AG104" s="1143">
        <f t="shared" si="33"/>
        <v>0</v>
      </c>
      <c r="AH104" s="1159">
        <f t="shared" si="34"/>
        <v>0</v>
      </c>
      <c r="AI104" s="1142" t="e">
        <f>DATE(YEAR(tab!$F$3),MONTH(G104),DAY(G104))&gt;tab!$F$3</f>
        <v>#VALUE!</v>
      </c>
      <c r="AJ104" s="1143" t="e">
        <f t="shared" si="35"/>
        <v>#VALUE!</v>
      </c>
      <c r="AK104" s="1096">
        <f t="shared" si="36"/>
        <v>30</v>
      </c>
      <c r="AL104" s="1096">
        <f t="shared" si="37"/>
        <v>30</v>
      </c>
      <c r="AM104" s="1143">
        <f t="shared" si="38"/>
        <v>0</v>
      </c>
    </row>
    <row r="105" spans="2:39" ht="12.75" customHeight="1" x14ac:dyDescent="0.2">
      <c r="B105" s="69"/>
      <c r="C105" s="90"/>
      <c r="D105" s="97" t="str">
        <f>IF(op!D37="","",op!D37)</f>
        <v/>
      </c>
      <c r="E105" s="97" t="str">
        <f>IF(op!E37=0,"",op!E37)</f>
        <v/>
      </c>
      <c r="F105" s="114" t="str">
        <f>IF(op!F37="","",op!F37+1)</f>
        <v/>
      </c>
      <c r="G105" s="377" t="str">
        <f>IF(op!G37="","",op!G37)</f>
        <v/>
      </c>
      <c r="H105" s="114" t="str">
        <f>IF(op!H37=0,"",op!H37)</f>
        <v/>
      </c>
      <c r="I105" s="129" t="str">
        <f>IF(J105="","",(IF(op!I37+1&gt;LOOKUP(H105,schaal2011,regels2011),op!I37,op!I37+1)))</f>
        <v/>
      </c>
      <c r="J105" s="378" t="str">
        <f>IF(op!J37="","",op!J37)</f>
        <v/>
      </c>
      <c r="K105" s="1194"/>
      <c r="L105" s="1065">
        <f t="shared" ref="L105:M105" si="62">IF(L37="",0,L37)</f>
        <v>0</v>
      </c>
      <c r="M105" s="1065">
        <f t="shared" si="62"/>
        <v>0</v>
      </c>
      <c r="N105" s="1077" t="str">
        <f t="shared" si="40"/>
        <v/>
      </c>
      <c r="O105" s="1077" t="str">
        <f t="shared" si="41"/>
        <v/>
      </c>
      <c r="P105" s="1172" t="str">
        <f t="shared" si="25"/>
        <v/>
      </c>
      <c r="Q105" s="91"/>
      <c r="R105" s="936" t="str">
        <f t="shared" si="42"/>
        <v/>
      </c>
      <c r="S105" s="936" t="str">
        <f t="shared" si="26"/>
        <v/>
      </c>
      <c r="T105" s="937" t="str">
        <f t="shared" si="27"/>
        <v/>
      </c>
      <c r="U105" s="361"/>
      <c r="V105" s="381"/>
      <c r="W105" s="375"/>
      <c r="X105" s="375"/>
      <c r="Y105" s="1120" t="e">
        <f>VLOOKUP(H105,tab!$A$73:$V$114,I105+2,FALSE)</f>
        <v>#VALUE!</v>
      </c>
      <c r="Z105" s="1211">
        <f>tab!$E$64</f>
        <v>0.62</v>
      </c>
      <c r="AA105" s="1163" t="e">
        <f t="shared" si="28"/>
        <v>#VALUE!</v>
      </c>
      <c r="AB105" s="1163" t="e">
        <f t="shared" si="29"/>
        <v>#VALUE!</v>
      </c>
      <c r="AC105" s="1163" t="e">
        <f t="shared" si="30"/>
        <v>#VALUE!</v>
      </c>
      <c r="AD105" s="1162" t="e">
        <f t="shared" si="31"/>
        <v>#VALUE!</v>
      </c>
      <c r="AE105" s="1162">
        <f t="shared" si="32"/>
        <v>0</v>
      </c>
      <c r="AF105" s="1129">
        <f>IF(H105&gt;8,tab!$D$65,tab!$D$67)</f>
        <v>0.5</v>
      </c>
      <c r="AG105" s="1143">
        <f t="shared" si="33"/>
        <v>0</v>
      </c>
      <c r="AH105" s="1159">
        <f t="shared" si="34"/>
        <v>0</v>
      </c>
      <c r="AI105" s="1142" t="e">
        <f>DATE(YEAR(tab!$F$3),MONTH(G105),DAY(G105))&gt;tab!$F$3</f>
        <v>#VALUE!</v>
      </c>
      <c r="AJ105" s="1143" t="e">
        <f t="shared" si="35"/>
        <v>#VALUE!</v>
      </c>
      <c r="AK105" s="1096">
        <f t="shared" si="36"/>
        <v>30</v>
      </c>
      <c r="AL105" s="1096">
        <f t="shared" si="37"/>
        <v>30</v>
      </c>
      <c r="AM105" s="1143">
        <f t="shared" si="38"/>
        <v>0</v>
      </c>
    </row>
    <row r="106" spans="2:39" ht="12.75" customHeight="1" x14ac:dyDescent="0.2">
      <c r="B106" s="69"/>
      <c r="C106" s="90"/>
      <c r="D106" s="97" t="str">
        <f>IF(op!D38="","",op!D38)</f>
        <v/>
      </c>
      <c r="E106" s="97" t="str">
        <f>IF(op!E38=0,"",op!E38)</f>
        <v/>
      </c>
      <c r="F106" s="114" t="str">
        <f>IF(op!F38="","",op!F38+1)</f>
        <v/>
      </c>
      <c r="G106" s="377" t="str">
        <f>IF(op!G38="","",op!G38)</f>
        <v/>
      </c>
      <c r="H106" s="114" t="str">
        <f>IF(op!H38=0,"",op!H38)</f>
        <v/>
      </c>
      <c r="I106" s="129" t="str">
        <f>IF(J106="","",(IF(op!I38+1&gt;LOOKUP(H106,schaal2011,regels2011),op!I38,op!I38+1)))</f>
        <v/>
      </c>
      <c r="J106" s="378" t="str">
        <f>IF(op!J38="","",op!J38)</f>
        <v/>
      </c>
      <c r="K106" s="1194"/>
      <c r="L106" s="1065">
        <f t="shared" ref="L106:M106" si="63">IF(L38="",0,L38)</f>
        <v>0</v>
      </c>
      <c r="M106" s="1065">
        <f t="shared" si="63"/>
        <v>0</v>
      </c>
      <c r="N106" s="1077" t="str">
        <f t="shared" si="40"/>
        <v/>
      </c>
      <c r="O106" s="1077" t="str">
        <f t="shared" si="41"/>
        <v/>
      </c>
      <c r="P106" s="1172" t="str">
        <f t="shared" si="25"/>
        <v/>
      </c>
      <c r="Q106" s="91"/>
      <c r="R106" s="936" t="str">
        <f t="shared" si="42"/>
        <v/>
      </c>
      <c r="S106" s="936" t="str">
        <f t="shared" si="26"/>
        <v/>
      </c>
      <c r="T106" s="937" t="str">
        <f t="shared" si="27"/>
        <v/>
      </c>
      <c r="U106" s="361"/>
      <c r="V106" s="381"/>
      <c r="W106" s="375"/>
      <c r="X106" s="375"/>
      <c r="Y106" s="1120" t="e">
        <f>VLOOKUP(H106,tab!$A$73:$V$114,I106+2,FALSE)</f>
        <v>#VALUE!</v>
      </c>
      <c r="Z106" s="1211">
        <f>tab!$E$64</f>
        <v>0.62</v>
      </c>
      <c r="AA106" s="1163" t="e">
        <f t="shared" si="28"/>
        <v>#VALUE!</v>
      </c>
      <c r="AB106" s="1163" t="e">
        <f t="shared" si="29"/>
        <v>#VALUE!</v>
      </c>
      <c r="AC106" s="1163" t="e">
        <f t="shared" si="30"/>
        <v>#VALUE!</v>
      </c>
      <c r="AD106" s="1162" t="e">
        <f t="shared" si="31"/>
        <v>#VALUE!</v>
      </c>
      <c r="AE106" s="1162">
        <f t="shared" si="32"/>
        <v>0</v>
      </c>
      <c r="AF106" s="1129">
        <f>IF(H106&gt;8,tab!$D$65,tab!$D$67)</f>
        <v>0.5</v>
      </c>
      <c r="AG106" s="1143">
        <f t="shared" si="33"/>
        <v>0</v>
      </c>
      <c r="AH106" s="1159">
        <f t="shared" si="34"/>
        <v>0</v>
      </c>
      <c r="AI106" s="1142" t="e">
        <f>DATE(YEAR(tab!$F$3),MONTH(G106),DAY(G106))&gt;tab!$F$3</f>
        <v>#VALUE!</v>
      </c>
      <c r="AJ106" s="1143" t="e">
        <f t="shared" si="35"/>
        <v>#VALUE!</v>
      </c>
      <c r="AK106" s="1096">
        <f t="shared" si="36"/>
        <v>30</v>
      </c>
      <c r="AL106" s="1096">
        <f t="shared" si="37"/>
        <v>30</v>
      </c>
      <c r="AM106" s="1143">
        <f t="shared" si="38"/>
        <v>0</v>
      </c>
    </row>
    <row r="107" spans="2:39" ht="12.75" customHeight="1" x14ac:dyDescent="0.2">
      <c r="B107" s="69"/>
      <c r="C107" s="90"/>
      <c r="D107" s="97" t="str">
        <f>IF(op!D39="","",op!D39)</f>
        <v/>
      </c>
      <c r="E107" s="97" t="str">
        <f>IF(op!E39=0,"",op!E39)</f>
        <v/>
      </c>
      <c r="F107" s="114" t="str">
        <f>IF(op!F39="","",op!F39+1)</f>
        <v/>
      </c>
      <c r="G107" s="377" t="str">
        <f>IF(op!G39="","",op!G39)</f>
        <v/>
      </c>
      <c r="H107" s="114" t="str">
        <f>IF(op!H39=0,"",op!H39)</f>
        <v/>
      </c>
      <c r="I107" s="129" t="str">
        <f>IF(J107="","",(IF(op!I39+1&gt;LOOKUP(H107,schaal2011,regels2011),op!I39,op!I39+1)))</f>
        <v/>
      </c>
      <c r="J107" s="378" t="str">
        <f>IF(op!J39="","",op!J39)</f>
        <v/>
      </c>
      <c r="K107" s="1194"/>
      <c r="L107" s="1065">
        <f t="shared" ref="L107:M107" si="64">IF(L39="",0,L39)</f>
        <v>0</v>
      </c>
      <c r="M107" s="1065">
        <f t="shared" si="64"/>
        <v>0</v>
      </c>
      <c r="N107" s="1077" t="str">
        <f t="shared" si="40"/>
        <v/>
      </c>
      <c r="O107" s="1077" t="str">
        <f t="shared" si="41"/>
        <v/>
      </c>
      <c r="P107" s="1172" t="str">
        <f t="shared" si="25"/>
        <v/>
      </c>
      <c r="Q107" s="91"/>
      <c r="R107" s="936" t="str">
        <f t="shared" si="42"/>
        <v/>
      </c>
      <c r="S107" s="936" t="str">
        <f t="shared" si="26"/>
        <v/>
      </c>
      <c r="T107" s="937" t="str">
        <f t="shared" si="27"/>
        <v/>
      </c>
      <c r="U107" s="361"/>
      <c r="V107" s="381"/>
      <c r="W107" s="375"/>
      <c r="X107" s="375"/>
      <c r="Y107" s="1120" t="e">
        <f>VLOOKUP(H107,tab!$A$73:$V$114,I107+2,FALSE)</f>
        <v>#VALUE!</v>
      </c>
      <c r="Z107" s="1211">
        <f>tab!$E$64</f>
        <v>0.62</v>
      </c>
      <c r="AA107" s="1163" t="e">
        <f t="shared" si="28"/>
        <v>#VALUE!</v>
      </c>
      <c r="AB107" s="1163" t="e">
        <f t="shared" si="29"/>
        <v>#VALUE!</v>
      </c>
      <c r="AC107" s="1163" t="e">
        <f t="shared" si="30"/>
        <v>#VALUE!</v>
      </c>
      <c r="AD107" s="1162" t="e">
        <f t="shared" si="31"/>
        <v>#VALUE!</v>
      </c>
      <c r="AE107" s="1162">
        <f t="shared" si="32"/>
        <v>0</v>
      </c>
      <c r="AF107" s="1129">
        <f>IF(H107&gt;8,tab!$D$65,tab!$D$67)</f>
        <v>0.5</v>
      </c>
      <c r="AG107" s="1143">
        <f t="shared" si="33"/>
        <v>0</v>
      </c>
      <c r="AH107" s="1159">
        <f t="shared" si="34"/>
        <v>0</v>
      </c>
      <c r="AI107" s="1142" t="e">
        <f>DATE(YEAR(tab!$F$3),MONTH(G107),DAY(G107))&gt;tab!$F$3</f>
        <v>#VALUE!</v>
      </c>
      <c r="AJ107" s="1143" t="e">
        <f t="shared" si="35"/>
        <v>#VALUE!</v>
      </c>
      <c r="AK107" s="1096">
        <f t="shared" si="36"/>
        <v>30</v>
      </c>
      <c r="AL107" s="1096">
        <f t="shared" si="37"/>
        <v>30</v>
      </c>
      <c r="AM107" s="1143">
        <f t="shared" si="38"/>
        <v>0</v>
      </c>
    </row>
    <row r="108" spans="2:39" ht="12.75" customHeight="1" x14ac:dyDescent="0.2">
      <c r="B108" s="69"/>
      <c r="C108" s="90"/>
      <c r="D108" s="97" t="str">
        <f>IF(op!D40="","",op!D40)</f>
        <v/>
      </c>
      <c r="E108" s="97" t="str">
        <f>IF(op!E40=0,"",op!E40)</f>
        <v/>
      </c>
      <c r="F108" s="114" t="str">
        <f>IF(op!F40="","",op!F40+1)</f>
        <v/>
      </c>
      <c r="G108" s="377" t="str">
        <f>IF(op!G40="","",op!G40)</f>
        <v/>
      </c>
      <c r="H108" s="114" t="str">
        <f>IF(op!H40=0,"",op!H40)</f>
        <v/>
      </c>
      <c r="I108" s="129" t="str">
        <f>IF(J108="","",(IF(op!I40+1&gt;LOOKUP(H108,schaal2011,regels2011),op!I40,op!I40+1)))</f>
        <v/>
      </c>
      <c r="J108" s="378" t="str">
        <f>IF(op!J40="","",op!J40)</f>
        <v/>
      </c>
      <c r="K108" s="1194"/>
      <c r="L108" s="1065">
        <f t="shared" ref="L108:M108" si="65">IF(L40="",0,L40)</f>
        <v>0</v>
      </c>
      <c r="M108" s="1065">
        <f t="shared" si="65"/>
        <v>0</v>
      </c>
      <c r="N108" s="1077" t="str">
        <f t="shared" si="40"/>
        <v/>
      </c>
      <c r="O108" s="1077" t="str">
        <f t="shared" si="41"/>
        <v/>
      </c>
      <c r="P108" s="1172" t="str">
        <f t="shared" si="25"/>
        <v/>
      </c>
      <c r="Q108" s="91"/>
      <c r="R108" s="936" t="str">
        <f t="shared" si="42"/>
        <v/>
      </c>
      <c r="S108" s="936" t="str">
        <f t="shared" si="26"/>
        <v/>
      </c>
      <c r="T108" s="937" t="str">
        <f t="shared" si="27"/>
        <v/>
      </c>
      <c r="U108" s="361"/>
      <c r="V108" s="381"/>
      <c r="W108" s="375"/>
      <c r="X108" s="375"/>
      <c r="Y108" s="1120" t="e">
        <f>VLOOKUP(H108,tab!$A$73:$V$114,I108+2,FALSE)</f>
        <v>#VALUE!</v>
      </c>
      <c r="Z108" s="1211">
        <f>tab!$E$64</f>
        <v>0.62</v>
      </c>
      <c r="AA108" s="1163" t="e">
        <f t="shared" si="28"/>
        <v>#VALUE!</v>
      </c>
      <c r="AB108" s="1163" t="e">
        <f t="shared" si="29"/>
        <v>#VALUE!</v>
      </c>
      <c r="AC108" s="1163" t="e">
        <f t="shared" si="30"/>
        <v>#VALUE!</v>
      </c>
      <c r="AD108" s="1162" t="e">
        <f t="shared" si="31"/>
        <v>#VALUE!</v>
      </c>
      <c r="AE108" s="1162">
        <f t="shared" si="32"/>
        <v>0</v>
      </c>
      <c r="AF108" s="1129">
        <f>IF(H108&gt;8,tab!$D$65,tab!$D$67)</f>
        <v>0.5</v>
      </c>
      <c r="AG108" s="1143">
        <f t="shared" si="33"/>
        <v>0</v>
      </c>
      <c r="AH108" s="1159">
        <f t="shared" si="34"/>
        <v>0</v>
      </c>
      <c r="AI108" s="1142" t="e">
        <f>DATE(YEAR(tab!$F$3),MONTH(G108),DAY(G108))&gt;tab!$F$3</f>
        <v>#VALUE!</v>
      </c>
      <c r="AJ108" s="1143" t="e">
        <f t="shared" si="35"/>
        <v>#VALUE!</v>
      </c>
      <c r="AK108" s="1096">
        <f t="shared" si="36"/>
        <v>30</v>
      </c>
      <c r="AL108" s="1096">
        <f t="shared" si="37"/>
        <v>30</v>
      </c>
      <c r="AM108" s="1143">
        <f t="shared" si="38"/>
        <v>0</v>
      </c>
    </row>
    <row r="109" spans="2:39" ht="12.75" customHeight="1" x14ac:dyDescent="0.2">
      <c r="B109" s="69"/>
      <c r="C109" s="90"/>
      <c r="D109" s="97" t="str">
        <f>IF(op!D41="","",op!D41)</f>
        <v/>
      </c>
      <c r="E109" s="97" t="str">
        <f>IF(op!E41=0,"",op!E41)</f>
        <v/>
      </c>
      <c r="F109" s="114" t="str">
        <f>IF(op!F41="","",op!F41+1)</f>
        <v/>
      </c>
      <c r="G109" s="377" t="str">
        <f>IF(op!G41="","",op!G41)</f>
        <v/>
      </c>
      <c r="H109" s="114" t="str">
        <f>IF(op!H41=0,"",op!H41)</f>
        <v/>
      </c>
      <c r="I109" s="129" t="str">
        <f>IF(J109="","",(IF(op!I41+1&gt;LOOKUP(H109,schaal2011,regels2011),op!I41,op!I41+1)))</f>
        <v/>
      </c>
      <c r="J109" s="378" t="str">
        <f>IF(op!J41="","",op!J41)</f>
        <v/>
      </c>
      <c r="K109" s="1194"/>
      <c r="L109" s="1065">
        <f t="shared" ref="L109:M109" si="66">IF(L41="",0,L41)</f>
        <v>0</v>
      </c>
      <c r="M109" s="1065">
        <f t="shared" si="66"/>
        <v>0</v>
      </c>
      <c r="N109" s="1077" t="str">
        <f t="shared" si="40"/>
        <v/>
      </c>
      <c r="O109" s="1077" t="str">
        <f t="shared" si="41"/>
        <v/>
      </c>
      <c r="P109" s="1172" t="str">
        <f t="shared" si="25"/>
        <v/>
      </c>
      <c r="Q109" s="91"/>
      <c r="R109" s="936" t="str">
        <f t="shared" si="42"/>
        <v/>
      </c>
      <c r="S109" s="936" t="str">
        <f t="shared" si="26"/>
        <v/>
      </c>
      <c r="T109" s="937" t="str">
        <f t="shared" si="27"/>
        <v/>
      </c>
      <c r="U109" s="361"/>
      <c r="V109" s="381"/>
      <c r="W109" s="375"/>
      <c r="X109" s="375"/>
      <c r="Y109" s="1120" t="e">
        <f>VLOOKUP(H109,tab!$A$73:$V$114,I109+2,FALSE)</f>
        <v>#VALUE!</v>
      </c>
      <c r="Z109" s="1211">
        <f>tab!$E$64</f>
        <v>0.62</v>
      </c>
      <c r="AA109" s="1163" t="e">
        <f t="shared" si="28"/>
        <v>#VALUE!</v>
      </c>
      <c r="AB109" s="1163" t="e">
        <f t="shared" si="29"/>
        <v>#VALUE!</v>
      </c>
      <c r="AC109" s="1163" t="e">
        <f t="shared" si="30"/>
        <v>#VALUE!</v>
      </c>
      <c r="AD109" s="1162" t="e">
        <f t="shared" si="31"/>
        <v>#VALUE!</v>
      </c>
      <c r="AE109" s="1162">
        <f t="shared" si="32"/>
        <v>0</v>
      </c>
      <c r="AF109" s="1129">
        <f>IF(H109&gt;8,tab!$D$65,tab!$D$67)</f>
        <v>0.5</v>
      </c>
      <c r="AG109" s="1143">
        <f t="shared" si="33"/>
        <v>0</v>
      </c>
      <c r="AH109" s="1159">
        <f t="shared" si="34"/>
        <v>0</v>
      </c>
      <c r="AI109" s="1142" t="e">
        <f>DATE(YEAR(tab!$F$3),MONTH(G109),DAY(G109))&gt;tab!$F$3</f>
        <v>#VALUE!</v>
      </c>
      <c r="AJ109" s="1143" t="e">
        <f t="shared" si="35"/>
        <v>#VALUE!</v>
      </c>
      <c r="AK109" s="1096">
        <f t="shared" si="36"/>
        <v>30</v>
      </c>
      <c r="AL109" s="1096">
        <f t="shared" si="37"/>
        <v>30</v>
      </c>
      <c r="AM109" s="1143">
        <f t="shared" si="38"/>
        <v>0</v>
      </c>
    </row>
    <row r="110" spans="2:39" ht="12.75" customHeight="1" x14ac:dyDescent="0.2">
      <c r="B110" s="69"/>
      <c r="C110" s="90"/>
      <c r="D110" s="97" t="str">
        <f>IF(op!D42="","",op!D42)</f>
        <v/>
      </c>
      <c r="E110" s="97" t="str">
        <f>IF(op!E42=0,"",op!E42)</f>
        <v/>
      </c>
      <c r="F110" s="114" t="str">
        <f>IF(op!F42="","",op!F42+1)</f>
        <v/>
      </c>
      <c r="G110" s="377" t="str">
        <f>IF(op!G42="","",op!G42)</f>
        <v/>
      </c>
      <c r="H110" s="114" t="str">
        <f>IF(op!H42=0,"",op!H42)</f>
        <v/>
      </c>
      <c r="I110" s="129" t="str">
        <f>IF(J110="","",(IF(op!I42+1&gt;LOOKUP(H110,schaal2011,regels2011),op!I42,op!I42+1)))</f>
        <v/>
      </c>
      <c r="J110" s="378" t="str">
        <f>IF(op!J42="","",op!J42)</f>
        <v/>
      </c>
      <c r="K110" s="1194"/>
      <c r="L110" s="1065">
        <f t="shared" ref="L110:M110" si="67">IF(L42="",0,L42)</f>
        <v>0</v>
      </c>
      <c r="M110" s="1065">
        <f t="shared" si="67"/>
        <v>0</v>
      </c>
      <c r="N110" s="1077" t="str">
        <f t="shared" si="40"/>
        <v/>
      </c>
      <c r="O110" s="1077" t="str">
        <f t="shared" si="41"/>
        <v/>
      </c>
      <c r="P110" s="1172" t="str">
        <f t="shared" si="25"/>
        <v/>
      </c>
      <c r="Q110" s="91"/>
      <c r="R110" s="936" t="str">
        <f t="shared" si="42"/>
        <v/>
      </c>
      <c r="S110" s="936" t="str">
        <f t="shared" si="26"/>
        <v/>
      </c>
      <c r="T110" s="937" t="str">
        <f t="shared" si="27"/>
        <v/>
      </c>
      <c r="U110" s="361"/>
      <c r="V110" s="381"/>
      <c r="W110" s="375"/>
      <c r="X110" s="375"/>
      <c r="Y110" s="1120" t="e">
        <f>VLOOKUP(H110,tab!$A$73:$V$114,I110+2,FALSE)</f>
        <v>#VALUE!</v>
      </c>
      <c r="Z110" s="1211">
        <f>tab!$E$64</f>
        <v>0.62</v>
      </c>
      <c r="AA110" s="1163" t="e">
        <f t="shared" si="28"/>
        <v>#VALUE!</v>
      </c>
      <c r="AB110" s="1163" t="e">
        <f t="shared" si="29"/>
        <v>#VALUE!</v>
      </c>
      <c r="AC110" s="1163" t="e">
        <f t="shared" si="30"/>
        <v>#VALUE!</v>
      </c>
      <c r="AD110" s="1162" t="e">
        <f t="shared" si="31"/>
        <v>#VALUE!</v>
      </c>
      <c r="AE110" s="1162">
        <f t="shared" si="32"/>
        <v>0</v>
      </c>
      <c r="AF110" s="1129">
        <f>IF(H110&gt;8,tab!$D$65,tab!$D$67)</f>
        <v>0.5</v>
      </c>
      <c r="AG110" s="1143">
        <f t="shared" si="33"/>
        <v>0</v>
      </c>
      <c r="AH110" s="1159">
        <f t="shared" si="34"/>
        <v>0</v>
      </c>
      <c r="AI110" s="1142" t="e">
        <f>DATE(YEAR(tab!$F$3),MONTH(G110),DAY(G110))&gt;tab!$F$3</f>
        <v>#VALUE!</v>
      </c>
      <c r="AJ110" s="1143" t="e">
        <f t="shared" si="35"/>
        <v>#VALUE!</v>
      </c>
      <c r="AK110" s="1096">
        <f t="shared" si="36"/>
        <v>30</v>
      </c>
      <c r="AL110" s="1096">
        <f t="shared" si="37"/>
        <v>30</v>
      </c>
      <c r="AM110" s="1143">
        <f t="shared" si="38"/>
        <v>0</v>
      </c>
    </row>
    <row r="111" spans="2:39" ht="12.75" customHeight="1" x14ac:dyDescent="0.2">
      <c r="B111" s="69"/>
      <c r="C111" s="90"/>
      <c r="D111" s="97" t="str">
        <f>IF(op!D43="","",op!D43)</f>
        <v/>
      </c>
      <c r="E111" s="97" t="str">
        <f>IF(op!E43=0,"",op!E43)</f>
        <v/>
      </c>
      <c r="F111" s="114" t="str">
        <f>IF(op!F43="","",op!F43+1)</f>
        <v/>
      </c>
      <c r="G111" s="377" t="str">
        <f>IF(op!G43="","",op!G43)</f>
        <v/>
      </c>
      <c r="H111" s="114" t="str">
        <f>IF(op!H43=0,"",op!H43)</f>
        <v/>
      </c>
      <c r="I111" s="129" t="str">
        <f>IF(J111="","",(IF(op!I43+1&gt;LOOKUP(H111,schaal2011,regels2011),op!I43,op!I43+1)))</f>
        <v/>
      </c>
      <c r="J111" s="378" t="str">
        <f>IF(op!J43="","",op!J43)</f>
        <v/>
      </c>
      <c r="K111" s="1194"/>
      <c r="L111" s="1065">
        <f t="shared" ref="L111:M111" si="68">IF(L43="",0,L43)</f>
        <v>0</v>
      </c>
      <c r="M111" s="1065">
        <f t="shared" si="68"/>
        <v>0</v>
      </c>
      <c r="N111" s="1077" t="str">
        <f t="shared" si="40"/>
        <v/>
      </c>
      <c r="O111" s="1077" t="str">
        <f t="shared" si="41"/>
        <v/>
      </c>
      <c r="P111" s="1172" t="str">
        <f t="shared" si="25"/>
        <v/>
      </c>
      <c r="Q111" s="91"/>
      <c r="R111" s="936" t="str">
        <f t="shared" si="42"/>
        <v/>
      </c>
      <c r="S111" s="936" t="str">
        <f t="shared" si="26"/>
        <v/>
      </c>
      <c r="T111" s="937" t="str">
        <f t="shared" si="27"/>
        <v/>
      </c>
      <c r="U111" s="361"/>
      <c r="V111" s="381"/>
      <c r="W111" s="375"/>
      <c r="X111" s="375"/>
      <c r="Y111" s="1120" t="e">
        <f>VLOOKUP(H111,tab!$A$73:$V$114,I111+2,FALSE)</f>
        <v>#VALUE!</v>
      </c>
      <c r="Z111" s="1211">
        <f>tab!$E$64</f>
        <v>0.62</v>
      </c>
      <c r="AA111" s="1163" t="e">
        <f t="shared" si="28"/>
        <v>#VALUE!</v>
      </c>
      <c r="AB111" s="1163" t="e">
        <f t="shared" si="29"/>
        <v>#VALUE!</v>
      </c>
      <c r="AC111" s="1163" t="e">
        <f t="shared" si="30"/>
        <v>#VALUE!</v>
      </c>
      <c r="AD111" s="1162" t="e">
        <f t="shared" si="31"/>
        <v>#VALUE!</v>
      </c>
      <c r="AE111" s="1162">
        <f t="shared" si="32"/>
        <v>0</v>
      </c>
      <c r="AF111" s="1129">
        <f>IF(H111&gt;8,tab!$D$65,tab!$D$67)</f>
        <v>0.5</v>
      </c>
      <c r="AG111" s="1143">
        <f t="shared" si="33"/>
        <v>0</v>
      </c>
      <c r="AH111" s="1159">
        <f t="shared" si="34"/>
        <v>0</v>
      </c>
      <c r="AI111" s="1142" t="e">
        <f>DATE(YEAR(tab!$F$3),MONTH(G111),DAY(G111))&gt;tab!$F$3</f>
        <v>#VALUE!</v>
      </c>
      <c r="AJ111" s="1143" t="e">
        <f t="shared" si="35"/>
        <v>#VALUE!</v>
      </c>
      <c r="AK111" s="1096">
        <f t="shared" si="36"/>
        <v>30</v>
      </c>
      <c r="AL111" s="1096">
        <f t="shared" si="37"/>
        <v>30</v>
      </c>
      <c r="AM111" s="1143">
        <f t="shared" si="38"/>
        <v>0</v>
      </c>
    </row>
    <row r="112" spans="2:39" ht="12.75" customHeight="1" x14ac:dyDescent="0.2">
      <c r="B112" s="69"/>
      <c r="C112" s="90"/>
      <c r="D112" s="97" t="str">
        <f>IF(op!D44="","",op!D44)</f>
        <v/>
      </c>
      <c r="E112" s="97" t="str">
        <f>IF(op!E44=0,"",op!E44)</f>
        <v/>
      </c>
      <c r="F112" s="114" t="str">
        <f>IF(op!F44="","",op!F44+1)</f>
        <v/>
      </c>
      <c r="G112" s="377" t="str">
        <f>IF(op!G44="","",op!G44)</f>
        <v/>
      </c>
      <c r="H112" s="114" t="str">
        <f>IF(op!H44=0,"",op!H44)</f>
        <v/>
      </c>
      <c r="I112" s="129" t="str">
        <f>IF(J112="","",(IF(op!I44+1&gt;LOOKUP(H112,schaal2011,regels2011),op!I44,op!I44+1)))</f>
        <v/>
      </c>
      <c r="J112" s="378" t="str">
        <f>IF(op!J44="","",op!J44)</f>
        <v/>
      </c>
      <c r="K112" s="1194"/>
      <c r="L112" s="1065">
        <f t="shared" ref="L112:M112" si="69">IF(L44="",0,L44)</f>
        <v>0</v>
      </c>
      <c r="M112" s="1065">
        <f t="shared" si="69"/>
        <v>0</v>
      </c>
      <c r="N112" s="1077" t="str">
        <f t="shared" si="40"/>
        <v/>
      </c>
      <c r="O112" s="1077" t="str">
        <f t="shared" si="41"/>
        <v/>
      </c>
      <c r="P112" s="1172" t="str">
        <f t="shared" si="25"/>
        <v/>
      </c>
      <c r="Q112" s="91"/>
      <c r="R112" s="936" t="str">
        <f t="shared" si="42"/>
        <v/>
      </c>
      <c r="S112" s="936" t="str">
        <f t="shared" si="26"/>
        <v/>
      </c>
      <c r="T112" s="937" t="str">
        <f t="shared" si="27"/>
        <v/>
      </c>
      <c r="U112" s="361"/>
      <c r="V112" s="381"/>
      <c r="W112" s="375"/>
      <c r="X112" s="375"/>
      <c r="Y112" s="1120" t="e">
        <f>VLOOKUP(H112,tab!$A$73:$V$114,I112+2,FALSE)</f>
        <v>#VALUE!</v>
      </c>
      <c r="Z112" s="1211">
        <f>tab!$E$64</f>
        <v>0.62</v>
      </c>
      <c r="AA112" s="1163" t="e">
        <f t="shared" si="28"/>
        <v>#VALUE!</v>
      </c>
      <c r="AB112" s="1163" t="e">
        <f t="shared" si="29"/>
        <v>#VALUE!</v>
      </c>
      <c r="AC112" s="1163" t="e">
        <f t="shared" si="30"/>
        <v>#VALUE!</v>
      </c>
      <c r="AD112" s="1162" t="e">
        <f t="shared" si="31"/>
        <v>#VALUE!</v>
      </c>
      <c r="AE112" s="1162">
        <f t="shared" si="32"/>
        <v>0</v>
      </c>
      <c r="AF112" s="1129">
        <f>IF(H112&gt;8,tab!$D$65,tab!$D$67)</f>
        <v>0.5</v>
      </c>
      <c r="AG112" s="1143">
        <f t="shared" si="33"/>
        <v>0</v>
      </c>
      <c r="AH112" s="1159">
        <f t="shared" si="34"/>
        <v>0</v>
      </c>
      <c r="AI112" s="1142" t="e">
        <f>DATE(YEAR(tab!$F$3),MONTH(G112),DAY(G112))&gt;tab!$F$3</f>
        <v>#VALUE!</v>
      </c>
      <c r="AJ112" s="1143" t="e">
        <f t="shared" si="35"/>
        <v>#VALUE!</v>
      </c>
      <c r="AK112" s="1096">
        <f t="shared" si="36"/>
        <v>30</v>
      </c>
      <c r="AL112" s="1096">
        <f t="shared" si="37"/>
        <v>30</v>
      </c>
      <c r="AM112" s="1143">
        <f t="shared" si="38"/>
        <v>0</v>
      </c>
    </row>
    <row r="113" spans="2:39" ht="12.75" customHeight="1" x14ac:dyDescent="0.2">
      <c r="B113" s="69"/>
      <c r="C113" s="90"/>
      <c r="D113" s="97" t="str">
        <f>IF(op!D45="","",op!D45)</f>
        <v/>
      </c>
      <c r="E113" s="97" t="str">
        <f>IF(op!E45=0,"",op!E45)</f>
        <v/>
      </c>
      <c r="F113" s="114" t="str">
        <f>IF(op!F45="","",op!F45+1)</f>
        <v/>
      </c>
      <c r="G113" s="377" t="str">
        <f>IF(op!G45="","",op!G45)</f>
        <v/>
      </c>
      <c r="H113" s="114" t="str">
        <f>IF(op!H45=0,"",op!H45)</f>
        <v/>
      </c>
      <c r="I113" s="129" t="str">
        <f>IF(J113="","",(IF(op!I45+1&gt;LOOKUP(H113,schaal2011,regels2011),op!I45,op!I45+1)))</f>
        <v/>
      </c>
      <c r="J113" s="378" t="str">
        <f>IF(op!J45="","",op!J45)</f>
        <v/>
      </c>
      <c r="K113" s="1194"/>
      <c r="L113" s="1065">
        <f t="shared" ref="L113:M113" si="70">IF(L45="",0,L45)</f>
        <v>0</v>
      </c>
      <c r="M113" s="1065">
        <f t="shared" si="70"/>
        <v>0</v>
      </c>
      <c r="N113" s="1077" t="str">
        <f t="shared" si="40"/>
        <v/>
      </c>
      <c r="O113" s="1077" t="str">
        <f t="shared" si="41"/>
        <v/>
      </c>
      <c r="P113" s="1172" t="str">
        <f t="shared" si="25"/>
        <v/>
      </c>
      <c r="Q113" s="91"/>
      <c r="R113" s="936" t="str">
        <f t="shared" si="42"/>
        <v/>
      </c>
      <c r="S113" s="936" t="str">
        <f t="shared" si="26"/>
        <v/>
      </c>
      <c r="T113" s="937" t="str">
        <f t="shared" si="27"/>
        <v/>
      </c>
      <c r="U113" s="361"/>
      <c r="V113" s="381"/>
      <c r="W113" s="375"/>
      <c r="X113" s="375"/>
      <c r="Y113" s="1120" t="e">
        <f>VLOOKUP(H113,tab!$A$73:$V$114,I113+2,FALSE)</f>
        <v>#VALUE!</v>
      </c>
      <c r="Z113" s="1211">
        <f>tab!$E$64</f>
        <v>0.62</v>
      </c>
      <c r="AA113" s="1163" t="e">
        <f t="shared" si="28"/>
        <v>#VALUE!</v>
      </c>
      <c r="AB113" s="1163" t="e">
        <f t="shared" si="29"/>
        <v>#VALUE!</v>
      </c>
      <c r="AC113" s="1163" t="e">
        <f t="shared" si="30"/>
        <v>#VALUE!</v>
      </c>
      <c r="AD113" s="1162" t="e">
        <f t="shared" si="31"/>
        <v>#VALUE!</v>
      </c>
      <c r="AE113" s="1162">
        <f t="shared" si="32"/>
        <v>0</v>
      </c>
      <c r="AF113" s="1129">
        <f>IF(H113&gt;8,tab!$D$65,tab!$D$67)</f>
        <v>0.5</v>
      </c>
      <c r="AG113" s="1143">
        <f t="shared" si="33"/>
        <v>0</v>
      </c>
      <c r="AH113" s="1159">
        <f t="shared" si="34"/>
        <v>0</v>
      </c>
      <c r="AI113" s="1142" t="e">
        <f>DATE(YEAR(tab!$F$3),MONTH(G113),DAY(G113))&gt;tab!$F$3</f>
        <v>#VALUE!</v>
      </c>
      <c r="AJ113" s="1143" t="e">
        <f t="shared" si="35"/>
        <v>#VALUE!</v>
      </c>
      <c r="AK113" s="1096">
        <f t="shared" si="36"/>
        <v>30</v>
      </c>
      <c r="AL113" s="1096">
        <f t="shared" si="37"/>
        <v>30</v>
      </c>
      <c r="AM113" s="1143">
        <f t="shared" si="38"/>
        <v>0</v>
      </c>
    </row>
    <row r="114" spans="2:39" ht="12.75" customHeight="1" x14ac:dyDescent="0.2">
      <c r="B114" s="69"/>
      <c r="C114" s="90"/>
      <c r="D114" s="97" t="str">
        <f>IF(op!D46="","",op!D46)</f>
        <v/>
      </c>
      <c r="E114" s="97" t="str">
        <f>IF(op!E46=0,"",op!E46)</f>
        <v/>
      </c>
      <c r="F114" s="114" t="str">
        <f>IF(op!F46="","",op!F46+1)</f>
        <v/>
      </c>
      <c r="G114" s="377" t="str">
        <f>IF(op!G46="","",op!G46)</f>
        <v/>
      </c>
      <c r="H114" s="114" t="str">
        <f>IF(op!H46=0,"",op!H46)</f>
        <v/>
      </c>
      <c r="I114" s="129" t="str">
        <f>IF(J114="","",(IF(op!I46+1&gt;LOOKUP(H114,schaal2011,regels2011),op!I46,op!I46+1)))</f>
        <v/>
      </c>
      <c r="J114" s="378" t="str">
        <f>IF(op!J46="","",op!J46)</f>
        <v/>
      </c>
      <c r="K114" s="1194"/>
      <c r="L114" s="1065">
        <f t="shared" ref="L114:M114" si="71">IF(L46="",0,L46)</f>
        <v>0</v>
      </c>
      <c r="M114" s="1065">
        <f t="shared" si="71"/>
        <v>0</v>
      </c>
      <c r="N114" s="1077" t="str">
        <f t="shared" si="40"/>
        <v/>
      </c>
      <c r="O114" s="1077" t="str">
        <f t="shared" si="41"/>
        <v/>
      </c>
      <c r="P114" s="1172" t="str">
        <f t="shared" si="25"/>
        <v/>
      </c>
      <c r="Q114" s="91"/>
      <c r="R114" s="936" t="str">
        <f t="shared" si="42"/>
        <v/>
      </c>
      <c r="S114" s="936" t="str">
        <f t="shared" si="26"/>
        <v/>
      </c>
      <c r="T114" s="937" t="str">
        <f t="shared" si="27"/>
        <v/>
      </c>
      <c r="U114" s="361"/>
      <c r="V114" s="381"/>
      <c r="W114" s="375"/>
      <c r="X114" s="375"/>
      <c r="Y114" s="1120" t="e">
        <f>VLOOKUP(H114,tab!$A$73:$V$114,I114+2,FALSE)</f>
        <v>#VALUE!</v>
      </c>
      <c r="Z114" s="1211">
        <f>tab!$E$64</f>
        <v>0.62</v>
      </c>
      <c r="AA114" s="1163" t="e">
        <f t="shared" si="28"/>
        <v>#VALUE!</v>
      </c>
      <c r="AB114" s="1163" t="e">
        <f t="shared" si="29"/>
        <v>#VALUE!</v>
      </c>
      <c r="AC114" s="1163" t="e">
        <f t="shared" si="30"/>
        <v>#VALUE!</v>
      </c>
      <c r="AD114" s="1162" t="e">
        <f t="shared" si="31"/>
        <v>#VALUE!</v>
      </c>
      <c r="AE114" s="1162">
        <f t="shared" si="32"/>
        <v>0</v>
      </c>
      <c r="AF114" s="1129">
        <f>IF(H114&gt;8,tab!$D$65,tab!$D$67)</f>
        <v>0.5</v>
      </c>
      <c r="AG114" s="1143">
        <f t="shared" si="33"/>
        <v>0</v>
      </c>
      <c r="AH114" s="1159">
        <f t="shared" si="34"/>
        <v>0</v>
      </c>
      <c r="AI114" s="1142" t="e">
        <f>DATE(YEAR(tab!$F$3),MONTH(G114),DAY(G114))&gt;tab!$F$3</f>
        <v>#VALUE!</v>
      </c>
      <c r="AJ114" s="1143" t="e">
        <f t="shared" si="35"/>
        <v>#VALUE!</v>
      </c>
      <c r="AK114" s="1096">
        <f t="shared" si="36"/>
        <v>30</v>
      </c>
      <c r="AL114" s="1096">
        <f t="shared" si="37"/>
        <v>30</v>
      </c>
      <c r="AM114" s="1143">
        <f t="shared" si="38"/>
        <v>0</v>
      </c>
    </row>
    <row r="115" spans="2:39" ht="12.75" customHeight="1" x14ac:dyDescent="0.2">
      <c r="B115" s="69"/>
      <c r="C115" s="90"/>
      <c r="D115" s="97" t="str">
        <f>IF(op!D47="","",op!D47)</f>
        <v/>
      </c>
      <c r="E115" s="97" t="str">
        <f>IF(op!E47=0,"",op!E47)</f>
        <v/>
      </c>
      <c r="F115" s="114" t="str">
        <f>IF(op!F47="","",op!F47+1)</f>
        <v/>
      </c>
      <c r="G115" s="377" t="str">
        <f>IF(op!G47="","",op!G47)</f>
        <v/>
      </c>
      <c r="H115" s="114" t="str">
        <f>IF(op!H47=0,"",op!H47)</f>
        <v/>
      </c>
      <c r="I115" s="129" t="str">
        <f>IF(J115="","",(IF(op!I47+1&gt;LOOKUP(H115,schaal2011,regels2011),op!I47,op!I47+1)))</f>
        <v/>
      </c>
      <c r="J115" s="378" t="str">
        <f>IF(op!J47="","",op!J47)</f>
        <v/>
      </c>
      <c r="K115" s="1194"/>
      <c r="L115" s="1065">
        <f t="shared" ref="L115:M115" si="72">IF(L47="",0,L47)</f>
        <v>0</v>
      </c>
      <c r="M115" s="1065">
        <f t="shared" si="72"/>
        <v>0</v>
      </c>
      <c r="N115" s="1077" t="str">
        <f t="shared" si="40"/>
        <v/>
      </c>
      <c r="O115" s="1077" t="str">
        <f t="shared" si="41"/>
        <v/>
      </c>
      <c r="P115" s="1172" t="str">
        <f t="shared" si="25"/>
        <v/>
      </c>
      <c r="Q115" s="91"/>
      <c r="R115" s="936" t="str">
        <f t="shared" si="42"/>
        <v/>
      </c>
      <c r="S115" s="936" t="str">
        <f t="shared" si="26"/>
        <v/>
      </c>
      <c r="T115" s="937" t="str">
        <f t="shared" si="27"/>
        <v/>
      </c>
      <c r="U115" s="361"/>
      <c r="V115" s="381"/>
      <c r="W115" s="375"/>
      <c r="X115" s="375"/>
      <c r="Y115" s="1120" t="e">
        <f>VLOOKUP(H115,tab!$A$73:$V$114,I115+2,FALSE)</f>
        <v>#VALUE!</v>
      </c>
      <c r="Z115" s="1211">
        <f>tab!$E$64</f>
        <v>0.62</v>
      </c>
      <c r="AA115" s="1163" t="e">
        <f t="shared" si="28"/>
        <v>#VALUE!</v>
      </c>
      <c r="AB115" s="1163" t="e">
        <f t="shared" si="29"/>
        <v>#VALUE!</v>
      </c>
      <c r="AC115" s="1163" t="e">
        <f t="shared" si="30"/>
        <v>#VALUE!</v>
      </c>
      <c r="AD115" s="1162" t="e">
        <f t="shared" si="31"/>
        <v>#VALUE!</v>
      </c>
      <c r="AE115" s="1162">
        <f t="shared" si="32"/>
        <v>0</v>
      </c>
      <c r="AF115" s="1129">
        <f>IF(H115&gt;8,tab!$D$65,tab!$D$67)</f>
        <v>0.5</v>
      </c>
      <c r="AG115" s="1143">
        <f t="shared" si="33"/>
        <v>0</v>
      </c>
      <c r="AH115" s="1159">
        <f t="shared" si="34"/>
        <v>0</v>
      </c>
      <c r="AI115" s="1142" t="e">
        <f>DATE(YEAR(tab!$F$3),MONTH(G115),DAY(G115))&gt;tab!$F$3</f>
        <v>#VALUE!</v>
      </c>
      <c r="AJ115" s="1143" t="e">
        <f t="shared" si="35"/>
        <v>#VALUE!</v>
      </c>
      <c r="AK115" s="1096">
        <f t="shared" si="36"/>
        <v>30</v>
      </c>
      <c r="AL115" s="1096">
        <f t="shared" si="37"/>
        <v>30</v>
      </c>
      <c r="AM115" s="1143">
        <f t="shared" si="38"/>
        <v>0</v>
      </c>
    </row>
    <row r="116" spans="2:39" ht="12.75" customHeight="1" x14ac:dyDescent="0.2">
      <c r="B116" s="69"/>
      <c r="C116" s="90"/>
      <c r="D116" s="97" t="str">
        <f>IF(op!D48="","",op!D48)</f>
        <v/>
      </c>
      <c r="E116" s="97" t="str">
        <f>IF(op!E48=0,"",op!E48)</f>
        <v/>
      </c>
      <c r="F116" s="114" t="str">
        <f>IF(op!F48="","",op!F48+1)</f>
        <v/>
      </c>
      <c r="G116" s="377" t="str">
        <f>IF(op!G48="","",op!G48)</f>
        <v/>
      </c>
      <c r="H116" s="114" t="str">
        <f>IF(op!H48=0,"",op!H48)</f>
        <v/>
      </c>
      <c r="I116" s="129" t="str">
        <f>IF(J116="","",(IF(op!I48+1&gt;LOOKUP(H116,schaal2011,regels2011),op!I48,op!I48+1)))</f>
        <v/>
      </c>
      <c r="J116" s="378" t="str">
        <f>IF(op!J48="","",op!J48)</f>
        <v/>
      </c>
      <c r="K116" s="1194"/>
      <c r="L116" s="1065">
        <f t="shared" ref="L116:M116" si="73">IF(L48="",0,L48)</f>
        <v>0</v>
      </c>
      <c r="M116" s="1065">
        <f t="shared" si="73"/>
        <v>0</v>
      </c>
      <c r="N116" s="1077" t="str">
        <f t="shared" si="40"/>
        <v/>
      </c>
      <c r="O116" s="1077" t="str">
        <f t="shared" si="41"/>
        <v/>
      </c>
      <c r="P116" s="1172" t="str">
        <f t="shared" si="25"/>
        <v/>
      </c>
      <c r="Q116" s="91"/>
      <c r="R116" s="936" t="str">
        <f t="shared" si="42"/>
        <v/>
      </c>
      <c r="S116" s="936" t="str">
        <f t="shared" si="26"/>
        <v/>
      </c>
      <c r="T116" s="937" t="str">
        <f t="shared" si="27"/>
        <v/>
      </c>
      <c r="U116" s="361"/>
      <c r="V116" s="381"/>
      <c r="W116" s="375"/>
      <c r="X116" s="375"/>
      <c r="Y116" s="1120" t="e">
        <f>VLOOKUP(H116,tab!$A$73:$V$114,I116+2,FALSE)</f>
        <v>#VALUE!</v>
      </c>
      <c r="Z116" s="1211">
        <f>tab!$E$64</f>
        <v>0.62</v>
      </c>
      <c r="AA116" s="1163" t="e">
        <f t="shared" si="28"/>
        <v>#VALUE!</v>
      </c>
      <c r="AB116" s="1163" t="e">
        <f t="shared" si="29"/>
        <v>#VALUE!</v>
      </c>
      <c r="AC116" s="1163" t="e">
        <f t="shared" si="30"/>
        <v>#VALUE!</v>
      </c>
      <c r="AD116" s="1162" t="e">
        <f t="shared" si="31"/>
        <v>#VALUE!</v>
      </c>
      <c r="AE116" s="1162">
        <f t="shared" si="32"/>
        <v>0</v>
      </c>
      <c r="AF116" s="1129">
        <f>IF(H116&gt;8,tab!$D$65,tab!$D$67)</f>
        <v>0.5</v>
      </c>
      <c r="AG116" s="1143">
        <f t="shared" ref="AG116:AG138" si="74">IF(F116&lt;25,0,IF(F116=25,25,IF(F116&lt;40,0,IF(F116=40,40,IF(F116&gt;=40,0)))))</f>
        <v>0</v>
      </c>
      <c r="AH116" s="1159">
        <f t="shared" ref="AH116:AH138" si="75">IF(AG116=25,(Y116*1.08*(J116)/2),IF(AG116=40,(Y116*1.08*(J116)),IF(AG116=0,0)))</f>
        <v>0</v>
      </c>
      <c r="AI116" s="1142" t="e">
        <f>DATE(YEAR(tab!$F$3),MONTH(G116),DAY(G116))&gt;tab!$F$3</f>
        <v>#VALUE!</v>
      </c>
      <c r="AJ116" s="1143" t="e">
        <f t="shared" ref="AJ116:AJ138" si="76">YEAR($E$77)-YEAR(G116)-AI116</f>
        <v>#VALUE!</v>
      </c>
      <c r="AK116" s="1096">
        <f t="shared" ref="AK116:AK138" si="77">IF((G116=""),30,AJ116)</f>
        <v>30</v>
      </c>
      <c r="AL116" s="1096">
        <f t="shared" si="37"/>
        <v>30</v>
      </c>
      <c r="AM116" s="1143">
        <f t="shared" ref="AM116:AM138" si="78">ROUND((AL116*(SUM(J116:J116))),2)</f>
        <v>0</v>
      </c>
    </row>
    <row r="117" spans="2:39" ht="12.75" customHeight="1" x14ac:dyDescent="0.2">
      <c r="B117" s="69"/>
      <c r="C117" s="90"/>
      <c r="D117" s="97" t="str">
        <f>IF(op!D49="","",op!D49)</f>
        <v/>
      </c>
      <c r="E117" s="97" t="str">
        <f>IF(op!E49=0,"",op!E49)</f>
        <v/>
      </c>
      <c r="F117" s="114" t="str">
        <f>IF(op!F49="","",op!F49+1)</f>
        <v/>
      </c>
      <c r="G117" s="377" t="str">
        <f>IF(op!G49="","",op!G49)</f>
        <v/>
      </c>
      <c r="H117" s="114" t="str">
        <f>IF(op!H49=0,"",op!H49)</f>
        <v/>
      </c>
      <c r="I117" s="129" t="str">
        <f>IF(J117="","",(IF(op!I49+1&gt;LOOKUP(H117,schaal2011,regels2011),op!I49,op!I49+1)))</f>
        <v/>
      </c>
      <c r="J117" s="378" t="str">
        <f>IF(op!J49="","",op!J49)</f>
        <v/>
      </c>
      <c r="K117" s="1194"/>
      <c r="L117" s="1065">
        <f t="shared" ref="L117:M117" si="79">IF(L49="",0,L49)</f>
        <v>0</v>
      </c>
      <c r="M117" s="1065">
        <f t="shared" si="79"/>
        <v>0</v>
      </c>
      <c r="N117" s="1077" t="str">
        <f t="shared" si="40"/>
        <v/>
      </c>
      <c r="O117" s="1077" t="str">
        <f t="shared" si="41"/>
        <v/>
      </c>
      <c r="P117" s="1172" t="str">
        <f t="shared" si="25"/>
        <v/>
      </c>
      <c r="Q117" s="91"/>
      <c r="R117" s="936" t="str">
        <f t="shared" si="42"/>
        <v/>
      </c>
      <c r="S117" s="936" t="str">
        <f t="shared" si="26"/>
        <v/>
      </c>
      <c r="T117" s="937" t="str">
        <f t="shared" si="27"/>
        <v/>
      </c>
      <c r="U117" s="361"/>
      <c r="V117" s="381"/>
      <c r="W117" s="375"/>
      <c r="X117" s="375"/>
      <c r="Y117" s="1120" t="e">
        <f>VLOOKUP(H117,tab!$A$73:$V$114,I117+2,FALSE)</f>
        <v>#VALUE!</v>
      </c>
      <c r="Z117" s="1211">
        <f>tab!$E$64</f>
        <v>0.62</v>
      </c>
      <c r="AA117" s="1163" t="e">
        <f t="shared" si="28"/>
        <v>#VALUE!</v>
      </c>
      <c r="AB117" s="1163" t="e">
        <f t="shared" si="29"/>
        <v>#VALUE!</v>
      </c>
      <c r="AC117" s="1163" t="e">
        <f t="shared" si="30"/>
        <v>#VALUE!</v>
      </c>
      <c r="AD117" s="1162" t="e">
        <f t="shared" si="31"/>
        <v>#VALUE!</v>
      </c>
      <c r="AE117" s="1162">
        <f t="shared" si="32"/>
        <v>0</v>
      </c>
      <c r="AF117" s="1129">
        <f>IF(H117&gt;8,tab!$D$65,tab!$D$67)</f>
        <v>0.5</v>
      </c>
      <c r="AG117" s="1143">
        <f t="shared" si="74"/>
        <v>0</v>
      </c>
      <c r="AH117" s="1159">
        <f t="shared" si="75"/>
        <v>0</v>
      </c>
      <c r="AI117" s="1142" t="e">
        <f>DATE(YEAR(tab!$F$3),MONTH(G117),DAY(G117))&gt;tab!$F$3</f>
        <v>#VALUE!</v>
      </c>
      <c r="AJ117" s="1143" t="e">
        <f t="shared" si="76"/>
        <v>#VALUE!</v>
      </c>
      <c r="AK117" s="1096">
        <f t="shared" si="77"/>
        <v>30</v>
      </c>
      <c r="AL117" s="1096">
        <f t="shared" si="37"/>
        <v>30</v>
      </c>
      <c r="AM117" s="1143">
        <f t="shared" si="78"/>
        <v>0</v>
      </c>
    </row>
    <row r="118" spans="2:39" ht="12.75" customHeight="1" x14ac:dyDescent="0.2">
      <c r="B118" s="69"/>
      <c r="C118" s="90"/>
      <c r="D118" s="97" t="str">
        <f>IF(op!D50="","",op!D50)</f>
        <v/>
      </c>
      <c r="E118" s="97" t="str">
        <f>IF(op!E50=0,"",op!E50)</f>
        <v/>
      </c>
      <c r="F118" s="114" t="str">
        <f>IF(op!F50="","",op!F50+1)</f>
        <v/>
      </c>
      <c r="G118" s="377" t="str">
        <f>IF(op!G50="","",op!G50)</f>
        <v/>
      </c>
      <c r="H118" s="114" t="str">
        <f>IF(op!H50=0,"",op!H50)</f>
        <v/>
      </c>
      <c r="I118" s="129" t="str">
        <f>IF(J118="","",(IF(op!I50+1&gt;LOOKUP(H118,schaal2011,regels2011),op!I50,op!I50+1)))</f>
        <v/>
      </c>
      <c r="J118" s="378" t="str">
        <f>IF(op!J50="","",op!J50)</f>
        <v/>
      </c>
      <c r="K118" s="1194"/>
      <c r="L118" s="1065">
        <f t="shared" ref="L118:M118" si="80">IF(L50="",0,L50)</f>
        <v>0</v>
      </c>
      <c r="M118" s="1065">
        <f t="shared" si="80"/>
        <v>0</v>
      </c>
      <c r="N118" s="1077" t="str">
        <f t="shared" si="40"/>
        <v/>
      </c>
      <c r="O118" s="1077" t="str">
        <f t="shared" si="41"/>
        <v/>
      </c>
      <c r="P118" s="1172" t="str">
        <f t="shared" si="25"/>
        <v/>
      </c>
      <c r="Q118" s="91"/>
      <c r="R118" s="936" t="str">
        <f t="shared" si="42"/>
        <v/>
      </c>
      <c r="S118" s="936" t="str">
        <f t="shared" si="26"/>
        <v/>
      </c>
      <c r="T118" s="937" t="str">
        <f t="shared" si="27"/>
        <v/>
      </c>
      <c r="U118" s="361"/>
      <c r="V118" s="381"/>
      <c r="W118" s="375"/>
      <c r="X118" s="375"/>
      <c r="Y118" s="1120" t="e">
        <f>VLOOKUP(H118,tab!$A$73:$V$114,I118+2,FALSE)</f>
        <v>#VALUE!</v>
      </c>
      <c r="Z118" s="1211">
        <f>tab!$E$64</f>
        <v>0.62</v>
      </c>
      <c r="AA118" s="1163" t="e">
        <f t="shared" si="28"/>
        <v>#VALUE!</v>
      </c>
      <c r="AB118" s="1163" t="e">
        <f t="shared" si="29"/>
        <v>#VALUE!</v>
      </c>
      <c r="AC118" s="1163" t="e">
        <f t="shared" si="30"/>
        <v>#VALUE!</v>
      </c>
      <c r="AD118" s="1162" t="e">
        <f t="shared" si="31"/>
        <v>#VALUE!</v>
      </c>
      <c r="AE118" s="1162">
        <f t="shared" si="32"/>
        <v>0</v>
      </c>
      <c r="AF118" s="1129">
        <f>IF(H118&gt;8,tab!$D$65,tab!$D$67)</f>
        <v>0.5</v>
      </c>
      <c r="AG118" s="1143">
        <f t="shared" si="74"/>
        <v>0</v>
      </c>
      <c r="AH118" s="1159">
        <f t="shared" si="75"/>
        <v>0</v>
      </c>
      <c r="AI118" s="1142" t="e">
        <f>DATE(YEAR(tab!$F$3),MONTH(G118),DAY(G118))&gt;tab!$F$3</f>
        <v>#VALUE!</v>
      </c>
      <c r="AJ118" s="1143" t="e">
        <f t="shared" si="76"/>
        <v>#VALUE!</v>
      </c>
      <c r="AK118" s="1096">
        <f t="shared" si="77"/>
        <v>30</v>
      </c>
      <c r="AL118" s="1096">
        <f t="shared" si="37"/>
        <v>30</v>
      </c>
      <c r="AM118" s="1143">
        <f t="shared" si="78"/>
        <v>0</v>
      </c>
    </row>
    <row r="119" spans="2:39" ht="12.75" customHeight="1" x14ac:dyDescent="0.2">
      <c r="B119" s="69"/>
      <c r="C119" s="90"/>
      <c r="D119" s="97" t="str">
        <f>IF(op!D51="","",op!D51)</f>
        <v/>
      </c>
      <c r="E119" s="97" t="str">
        <f>IF(op!E51=0,"",op!E51)</f>
        <v/>
      </c>
      <c r="F119" s="114" t="str">
        <f>IF(op!F51="","",op!F51+1)</f>
        <v/>
      </c>
      <c r="G119" s="377" t="str">
        <f>IF(op!G51="","",op!G51)</f>
        <v/>
      </c>
      <c r="H119" s="114" t="str">
        <f>IF(op!H51=0,"",op!H51)</f>
        <v/>
      </c>
      <c r="I119" s="129" t="str">
        <f>IF(J119="","",(IF(op!I51+1&gt;LOOKUP(H119,schaal2011,regels2011),op!I51,op!I51+1)))</f>
        <v/>
      </c>
      <c r="J119" s="378" t="str">
        <f>IF(op!J51="","",op!J51)</f>
        <v/>
      </c>
      <c r="K119" s="1194"/>
      <c r="L119" s="1065">
        <f t="shared" ref="L119:M119" si="81">IF(L51="",0,L51)</f>
        <v>0</v>
      </c>
      <c r="M119" s="1065">
        <f t="shared" si="81"/>
        <v>0</v>
      </c>
      <c r="N119" s="1077" t="str">
        <f t="shared" si="40"/>
        <v/>
      </c>
      <c r="O119" s="1077" t="str">
        <f t="shared" si="41"/>
        <v/>
      </c>
      <c r="P119" s="1172" t="str">
        <f t="shared" si="25"/>
        <v/>
      </c>
      <c r="Q119" s="91"/>
      <c r="R119" s="936" t="str">
        <f t="shared" si="42"/>
        <v/>
      </c>
      <c r="S119" s="936" t="str">
        <f t="shared" si="26"/>
        <v/>
      </c>
      <c r="T119" s="937" t="str">
        <f t="shared" si="27"/>
        <v/>
      </c>
      <c r="U119" s="361"/>
      <c r="V119" s="381"/>
      <c r="W119" s="375"/>
      <c r="X119" s="375"/>
      <c r="Y119" s="1120" t="e">
        <f>VLOOKUP(H119,tab!$A$73:$V$114,I119+2,FALSE)</f>
        <v>#VALUE!</v>
      </c>
      <c r="Z119" s="1211">
        <f>tab!$E$64</f>
        <v>0.62</v>
      </c>
      <c r="AA119" s="1163" t="e">
        <f t="shared" si="28"/>
        <v>#VALUE!</v>
      </c>
      <c r="AB119" s="1163" t="e">
        <f t="shared" si="29"/>
        <v>#VALUE!</v>
      </c>
      <c r="AC119" s="1163" t="e">
        <f t="shared" si="30"/>
        <v>#VALUE!</v>
      </c>
      <c r="AD119" s="1162" t="e">
        <f t="shared" si="31"/>
        <v>#VALUE!</v>
      </c>
      <c r="AE119" s="1162">
        <f t="shared" si="32"/>
        <v>0</v>
      </c>
      <c r="AF119" s="1129">
        <f>IF(H119&gt;8,tab!$D$65,tab!$D$67)</f>
        <v>0.5</v>
      </c>
      <c r="AG119" s="1143">
        <f t="shared" si="74"/>
        <v>0</v>
      </c>
      <c r="AH119" s="1159">
        <f t="shared" si="75"/>
        <v>0</v>
      </c>
      <c r="AI119" s="1142" t="e">
        <f>DATE(YEAR(tab!$F$3),MONTH(G119),DAY(G119))&gt;tab!$F$3</f>
        <v>#VALUE!</v>
      </c>
      <c r="AJ119" s="1143" t="e">
        <f t="shared" si="76"/>
        <v>#VALUE!</v>
      </c>
      <c r="AK119" s="1096">
        <f t="shared" si="77"/>
        <v>30</v>
      </c>
      <c r="AL119" s="1096">
        <f t="shared" si="37"/>
        <v>30</v>
      </c>
      <c r="AM119" s="1143">
        <f t="shared" si="78"/>
        <v>0</v>
      </c>
    </row>
    <row r="120" spans="2:39" ht="12.75" customHeight="1" x14ac:dyDescent="0.2">
      <c r="B120" s="69"/>
      <c r="C120" s="90"/>
      <c r="D120" s="97" t="str">
        <f>IF(op!D52="","",op!D52)</f>
        <v/>
      </c>
      <c r="E120" s="97" t="str">
        <f>IF(op!E52=0,"",op!E52)</f>
        <v/>
      </c>
      <c r="F120" s="114" t="str">
        <f>IF(op!F52="","",op!F52+1)</f>
        <v/>
      </c>
      <c r="G120" s="377" t="str">
        <f>IF(op!G52="","",op!G52)</f>
        <v/>
      </c>
      <c r="H120" s="114" t="str">
        <f>IF(op!H52=0,"",op!H52)</f>
        <v/>
      </c>
      <c r="I120" s="129" t="str">
        <f>IF(J120="","",(IF(op!I52+1&gt;LOOKUP(H120,schaal2011,regels2011),op!I52,op!I52+1)))</f>
        <v/>
      </c>
      <c r="J120" s="378" t="str">
        <f>IF(op!J52="","",op!J52)</f>
        <v/>
      </c>
      <c r="K120" s="1194"/>
      <c r="L120" s="1065">
        <f t="shared" ref="L120:M120" si="82">IF(L52="",0,L52)</f>
        <v>0</v>
      </c>
      <c r="M120" s="1065">
        <f t="shared" si="82"/>
        <v>0</v>
      </c>
      <c r="N120" s="1077" t="str">
        <f t="shared" si="40"/>
        <v/>
      </c>
      <c r="O120" s="1077" t="str">
        <f t="shared" si="41"/>
        <v/>
      </c>
      <c r="P120" s="1172" t="str">
        <f t="shared" si="25"/>
        <v/>
      </c>
      <c r="Q120" s="91"/>
      <c r="R120" s="936" t="str">
        <f t="shared" si="42"/>
        <v/>
      </c>
      <c r="S120" s="936" t="str">
        <f t="shared" si="26"/>
        <v/>
      </c>
      <c r="T120" s="937" t="str">
        <f t="shared" si="27"/>
        <v/>
      </c>
      <c r="U120" s="361"/>
      <c r="V120" s="381"/>
      <c r="W120" s="375"/>
      <c r="X120" s="375"/>
      <c r="Y120" s="1120" t="e">
        <f>VLOOKUP(H120,tab!$A$73:$V$114,I120+2,FALSE)</f>
        <v>#VALUE!</v>
      </c>
      <c r="Z120" s="1211">
        <f>tab!$E$64</f>
        <v>0.62</v>
      </c>
      <c r="AA120" s="1163" t="e">
        <f t="shared" si="28"/>
        <v>#VALUE!</v>
      </c>
      <c r="AB120" s="1163" t="e">
        <f t="shared" si="29"/>
        <v>#VALUE!</v>
      </c>
      <c r="AC120" s="1163" t="e">
        <f t="shared" si="30"/>
        <v>#VALUE!</v>
      </c>
      <c r="AD120" s="1162" t="e">
        <f t="shared" si="31"/>
        <v>#VALUE!</v>
      </c>
      <c r="AE120" s="1162">
        <f t="shared" si="32"/>
        <v>0</v>
      </c>
      <c r="AF120" s="1129">
        <f>IF(H120&gt;8,tab!$D$65,tab!$D$67)</f>
        <v>0.5</v>
      </c>
      <c r="AG120" s="1143">
        <f t="shared" si="74"/>
        <v>0</v>
      </c>
      <c r="AH120" s="1159">
        <f t="shared" si="75"/>
        <v>0</v>
      </c>
      <c r="AI120" s="1142" t="e">
        <f>DATE(YEAR(tab!$F$3),MONTH(G120),DAY(G120))&gt;tab!$F$3</f>
        <v>#VALUE!</v>
      </c>
      <c r="AJ120" s="1143" t="e">
        <f t="shared" si="76"/>
        <v>#VALUE!</v>
      </c>
      <c r="AK120" s="1096">
        <f t="shared" si="77"/>
        <v>30</v>
      </c>
      <c r="AL120" s="1096">
        <f t="shared" si="37"/>
        <v>30</v>
      </c>
      <c r="AM120" s="1143">
        <f t="shared" si="78"/>
        <v>0</v>
      </c>
    </row>
    <row r="121" spans="2:39" ht="12.75" customHeight="1" x14ac:dyDescent="0.2">
      <c r="B121" s="69"/>
      <c r="C121" s="90"/>
      <c r="D121" s="97" t="str">
        <f>IF(op!D53="","",op!D53)</f>
        <v/>
      </c>
      <c r="E121" s="97" t="str">
        <f>IF(op!E53=0,"",op!E53)</f>
        <v/>
      </c>
      <c r="F121" s="114" t="str">
        <f>IF(op!F53="","",op!F53+1)</f>
        <v/>
      </c>
      <c r="G121" s="377" t="str">
        <f>IF(op!G53="","",op!G53)</f>
        <v/>
      </c>
      <c r="H121" s="114" t="str">
        <f>IF(op!H53=0,"",op!H53)</f>
        <v/>
      </c>
      <c r="I121" s="129" t="str">
        <f>IF(J121="","",(IF(op!I53+1&gt;LOOKUP(H121,schaal2011,regels2011),op!I53,op!I53+1)))</f>
        <v/>
      </c>
      <c r="J121" s="378" t="str">
        <f>IF(op!J53="","",op!J53)</f>
        <v/>
      </c>
      <c r="K121" s="1194"/>
      <c r="L121" s="1065">
        <f t="shared" ref="L121:M121" si="83">IF(L53="",0,L53)</f>
        <v>0</v>
      </c>
      <c r="M121" s="1065">
        <f t="shared" si="83"/>
        <v>0</v>
      </c>
      <c r="N121" s="1077" t="str">
        <f t="shared" si="40"/>
        <v/>
      </c>
      <c r="O121" s="1077" t="str">
        <f t="shared" si="41"/>
        <v/>
      </c>
      <c r="P121" s="1172" t="str">
        <f t="shared" si="25"/>
        <v/>
      </c>
      <c r="Q121" s="91"/>
      <c r="R121" s="936" t="str">
        <f t="shared" si="42"/>
        <v/>
      </c>
      <c r="S121" s="936" t="str">
        <f t="shared" si="26"/>
        <v/>
      </c>
      <c r="T121" s="937" t="str">
        <f t="shared" si="27"/>
        <v/>
      </c>
      <c r="U121" s="361"/>
      <c r="V121" s="381"/>
      <c r="W121" s="375"/>
      <c r="X121" s="375"/>
      <c r="Y121" s="1120" t="e">
        <f>VLOOKUP(H121,tab!$A$73:$V$114,I121+2,FALSE)</f>
        <v>#VALUE!</v>
      </c>
      <c r="Z121" s="1211">
        <f>tab!$E$64</f>
        <v>0.62</v>
      </c>
      <c r="AA121" s="1163" t="e">
        <f t="shared" si="28"/>
        <v>#VALUE!</v>
      </c>
      <c r="AB121" s="1163" t="e">
        <f t="shared" si="29"/>
        <v>#VALUE!</v>
      </c>
      <c r="AC121" s="1163" t="e">
        <f t="shared" si="30"/>
        <v>#VALUE!</v>
      </c>
      <c r="AD121" s="1162" t="e">
        <f t="shared" si="31"/>
        <v>#VALUE!</v>
      </c>
      <c r="AE121" s="1162">
        <f t="shared" si="32"/>
        <v>0</v>
      </c>
      <c r="AF121" s="1129">
        <f>IF(H121&gt;8,tab!$D$65,tab!$D$67)</f>
        <v>0.5</v>
      </c>
      <c r="AG121" s="1143">
        <f t="shared" si="74"/>
        <v>0</v>
      </c>
      <c r="AH121" s="1159">
        <f t="shared" si="75"/>
        <v>0</v>
      </c>
      <c r="AI121" s="1142" t="e">
        <f>DATE(YEAR(tab!$F$3),MONTH(G121),DAY(G121))&gt;tab!$F$3</f>
        <v>#VALUE!</v>
      </c>
      <c r="AJ121" s="1143" t="e">
        <f t="shared" si="76"/>
        <v>#VALUE!</v>
      </c>
      <c r="AK121" s="1096">
        <f t="shared" si="77"/>
        <v>30</v>
      </c>
      <c r="AL121" s="1096">
        <f t="shared" si="37"/>
        <v>30</v>
      </c>
      <c r="AM121" s="1143">
        <f t="shared" si="78"/>
        <v>0</v>
      </c>
    </row>
    <row r="122" spans="2:39" ht="12.75" customHeight="1" x14ac:dyDescent="0.2">
      <c r="B122" s="69"/>
      <c r="C122" s="90"/>
      <c r="D122" s="97" t="str">
        <f>IF(op!D54="","",op!D54)</f>
        <v/>
      </c>
      <c r="E122" s="97" t="str">
        <f>IF(op!E54=0,"",op!E54)</f>
        <v/>
      </c>
      <c r="F122" s="114" t="str">
        <f>IF(op!F54="","",op!F54+1)</f>
        <v/>
      </c>
      <c r="G122" s="377" t="str">
        <f>IF(op!G54="","",op!G54)</f>
        <v/>
      </c>
      <c r="H122" s="114" t="str">
        <f>IF(op!H54=0,"",op!H54)</f>
        <v/>
      </c>
      <c r="I122" s="129" t="str">
        <f>IF(J122="","",(IF(op!I54+1&gt;LOOKUP(H122,schaal2011,regels2011),op!I54,op!I54+1)))</f>
        <v/>
      </c>
      <c r="J122" s="378" t="str">
        <f>IF(op!J54="","",op!J54)</f>
        <v/>
      </c>
      <c r="K122" s="1194"/>
      <c r="L122" s="1065">
        <f t="shared" ref="L122:M122" si="84">IF(L54="",0,L54)</f>
        <v>0</v>
      </c>
      <c r="M122" s="1065">
        <f t="shared" si="84"/>
        <v>0</v>
      </c>
      <c r="N122" s="1077" t="str">
        <f t="shared" si="40"/>
        <v/>
      </c>
      <c r="O122" s="1077" t="str">
        <f t="shared" si="41"/>
        <v/>
      </c>
      <c r="P122" s="1172" t="str">
        <f t="shared" si="25"/>
        <v/>
      </c>
      <c r="Q122" s="91"/>
      <c r="R122" s="936" t="str">
        <f t="shared" si="42"/>
        <v/>
      </c>
      <c r="S122" s="936" t="str">
        <f t="shared" si="26"/>
        <v/>
      </c>
      <c r="T122" s="937" t="str">
        <f t="shared" si="27"/>
        <v/>
      </c>
      <c r="U122" s="361"/>
      <c r="V122" s="381"/>
      <c r="W122" s="375"/>
      <c r="X122" s="375"/>
      <c r="Y122" s="1120" t="e">
        <f>VLOOKUP(H122,tab!$A$73:$V$114,I122+2,FALSE)</f>
        <v>#VALUE!</v>
      </c>
      <c r="Z122" s="1211">
        <f>tab!$E$64</f>
        <v>0.62</v>
      </c>
      <c r="AA122" s="1163" t="e">
        <f t="shared" si="28"/>
        <v>#VALUE!</v>
      </c>
      <c r="AB122" s="1163" t="e">
        <f t="shared" si="29"/>
        <v>#VALUE!</v>
      </c>
      <c r="AC122" s="1163" t="e">
        <f t="shared" si="30"/>
        <v>#VALUE!</v>
      </c>
      <c r="AD122" s="1162" t="e">
        <f t="shared" si="31"/>
        <v>#VALUE!</v>
      </c>
      <c r="AE122" s="1162">
        <f t="shared" si="32"/>
        <v>0</v>
      </c>
      <c r="AF122" s="1129">
        <f>IF(H122&gt;8,tab!$D$65,tab!$D$67)</f>
        <v>0.5</v>
      </c>
      <c r="AG122" s="1143">
        <f t="shared" si="74"/>
        <v>0</v>
      </c>
      <c r="AH122" s="1159">
        <f t="shared" si="75"/>
        <v>0</v>
      </c>
      <c r="AI122" s="1142" t="e">
        <f>DATE(YEAR(tab!$F$3),MONTH(G122),DAY(G122))&gt;tab!$F$3</f>
        <v>#VALUE!</v>
      </c>
      <c r="AJ122" s="1143" t="e">
        <f t="shared" si="76"/>
        <v>#VALUE!</v>
      </c>
      <c r="AK122" s="1096">
        <f t="shared" si="77"/>
        <v>30</v>
      </c>
      <c r="AL122" s="1096">
        <f t="shared" si="37"/>
        <v>30</v>
      </c>
      <c r="AM122" s="1143">
        <f t="shared" si="78"/>
        <v>0</v>
      </c>
    </row>
    <row r="123" spans="2:39" ht="12.75" customHeight="1" x14ac:dyDescent="0.2">
      <c r="B123" s="69"/>
      <c r="C123" s="90"/>
      <c r="D123" s="97" t="str">
        <f>IF(op!D55="","",op!D55)</f>
        <v/>
      </c>
      <c r="E123" s="97" t="str">
        <f>IF(op!E55=0,"",op!E55)</f>
        <v/>
      </c>
      <c r="F123" s="114" t="str">
        <f>IF(op!F55="","",op!F55+1)</f>
        <v/>
      </c>
      <c r="G123" s="377" t="str">
        <f>IF(op!G55="","",op!G55)</f>
        <v/>
      </c>
      <c r="H123" s="114" t="str">
        <f>IF(op!H55=0,"",op!H55)</f>
        <v/>
      </c>
      <c r="I123" s="129" t="str">
        <f>IF(J123="","",(IF(op!I55+1&gt;LOOKUP(H123,schaal2011,regels2011),op!I55,op!I55+1)))</f>
        <v/>
      </c>
      <c r="J123" s="378" t="str">
        <f>IF(op!J55="","",op!J55)</f>
        <v/>
      </c>
      <c r="K123" s="1194"/>
      <c r="L123" s="1065">
        <f t="shared" ref="L123:M123" si="85">IF(L55="",0,L55)</f>
        <v>0</v>
      </c>
      <c r="M123" s="1065">
        <f t="shared" si="85"/>
        <v>0</v>
      </c>
      <c r="N123" s="1077" t="str">
        <f t="shared" si="40"/>
        <v/>
      </c>
      <c r="O123" s="1077" t="str">
        <f t="shared" si="41"/>
        <v/>
      </c>
      <c r="P123" s="1172" t="str">
        <f t="shared" si="25"/>
        <v/>
      </c>
      <c r="Q123" s="91"/>
      <c r="R123" s="936" t="str">
        <f t="shared" si="42"/>
        <v/>
      </c>
      <c r="S123" s="936" t="str">
        <f t="shared" si="26"/>
        <v/>
      </c>
      <c r="T123" s="937" t="str">
        <f t="shared" si="27"/>
        <v/>
      </c>
      <c r="U123" s="361"/>
      <c r="V123" s="381"/>
      <c r="W123" s="375"/>
      <c r="X123" s="375"/>
      <c r="Y123" s="1120" t="e">
        <f>VLOOKUP(H123,tab!$A$73:$V$114,I123+2,FALSE)</f>
        <v>#VALUE!</v>
      </c>
      <c r="Z123" s="1211">
        <f>tab!$E$64</f>
        <v>0.62</v>
      </c>
      <c r="AA123" s="1163" t="e">
        <f t="shared" si="28"/>
        <v>#VALUE!</v>
      </c>
      <c r="AB123" s="1163" t="e">
        <f t="shared" si="29"/>
        <v>#VALUE!</v>
      </c>
      <c r="AC123" s="1163" t="e">
        <f t="shared" si="30"/>
        <v>#VALUE!</v>
      </c>
      <c r="AD123" s="1162" t="e">
        <f t="shared" si="31"/>
        <v>#VALUE!</v>
      </c>
      <c r="AE123" s="1162">
        <f t="shared" si="32"/>
        <v>0</v>
      </c>
      <c r="AF123" s="1129">
        <f>IF(H123&gt;8,tab!$D$65,tab!$D$67)</f>
        <v>0.5</v>
      </c>
      <c r="AG123" s="1143">
        <f t="shared" si="74"/>
        <v>0</v>
      </c>
      <c r="AH123" s="1159">
        <f t="shared" si="75"/>
        <v>0</v>
      </c>
      <c r="AI123" s="1142" t="e">
        <f>DATE(YEAR(tab!$F$3),MONTH(G123),DAY(G123))&gt;tab!$F$3</f>
        <v>#VALUE!</v>
      </c>
      <c r="AJ123" s="1143" t="e">
        <f t="shared" si="76"/>
        <v>#VALUE!</v>
      </c>
      <c r="AK123" s="1096">
        <f t="shared" si="77"/>
        <v>30</v>
      </c>
      <c r="AL123" s="1096">
        <f t="shared" si="37"/>
        <v>30</v>
      </c>
      <c r="AM123" s="1143">
        <f t="shared" si="78"/>
        <v>0</v>
      </c>
    </row>
    <row r="124" spans="2:39" ht="12.75" customHeight="1" x14ac:dyDescent="0.2">
      <c r="B124" s="69"/>
      <c r="C124" s="90"/>
      <c r="D124" s="97" t="str">
        <f>IF(op!D56="","",op!D56)</f>
        <v/>
      </c>
      <c r="E124" s="97" t="str">
        <f>IF(op!E56=0,"",op!E56)</f>
        <v/>
      </c>
      <c r="F124" s="114" t="str">
        <f>IF(op!F56="","",op!F56+1)</f>
        <v/>
      </c>
      <c r="G124" s="377" t="str">
        <f>IF(op!G56="","",op!G56)</f>
        <v/>
      </c>
      <c r="H124" s="114" t="str">
        <f>IF(op!H56=0,"",op!H56)</f>
        <v/>
      </c>
      <c r="I124" s="129" t="str">
        <f>IF(J124="","",(IF(op!I56+1&gt;LOOKUP(H124,schaal2011,regels2011),op!I56,op!I56+1)))</f>
        <v/>
      </c>
      <c r="J124" s="378" t="str">
        <f>IF(op!J56="","",op!J56)</f>
        <v/>
      </c>
      <c r="K124" s="1194"/>
      <c r="L124" s="1065">
        <f t="shared" ref="L124:M124" si="86">IF(L56="",0,L56)</f>
        <v>0</v>
      </c>
      <c r="M124" s="1065">
        <f t="shared" si="86"/>
        <v>0</v>
      </c>
      <c r="N124" s="1077" t="str">
        <f t="shared" si="40"/>
        <v/>
      </c>
      <c r="O124" s="1077" t="str">
        <f t="shared" si="41"/>
        <v/>
      </c>
      <c r="P124" s="1172" t="str">
        <f t="shared" si="25"/>
        <v/>
      </c>
      <c r="Q124" s="91"/>
      <c r="R124" s="936" t="str">
        <f t="shared" si="42"/>
        <v/>
      </c>
      <c r="S124" s="936" t="str">
        <f t="shared" si="26"/>
        <v/>
      </c>
      <c r="T124" s="937" t="str">
        <f t="shared" si="27"/>
        <v/>
      </c>
      <c r="U124" s="361"/>
      <c r="V124" s="381"/>
      <c r="W124" s="375"/>
      <c r="X124" s="375"/>
      <c r="Y124" s="1120" t="e">
        <f>VLOOKUP(H124,tab!$A$73:$V$114,I124+2,FALSE)</f>
        <v>#VALUE!</v>
      </c>
      <c r="Z124" s="1211">
        <f>tab!$E$64</f>
        <v>0.62</v>
      </c>
      <c r="AA124" s="1163" t="e">
        <f t="shared" si="28"/>
        <v>#VALUE!</v>
      </c>
      <c r="AB124" s="1163" t="e">
        <f t="shared" si="29"/>
        <v>#VALUE!</v>
      </c>
      <c r="AC124" s="1163" t="e">
        <f t="shared" si="30"/>
        <v>#VALUE!</v>
      </c>
      <c r="AD124" s="1162" t="e">
        <f t="shared" si="31"/>
        <v>#VALUE!</v>
      </c>
      <c r="AE124" s="1162">
        <f t="shared" si="32"/>
        <v>0</v>
      </c>
      <c r="AF124" s="1129">
        <f>IF(H124&gt;8,tab!$D$65,tab!$D$67)</f>
        <v>0.5</v>
      </c>
      <c r="AG124" s="1143">
        <f t="shared" si="74"/>
        <v>0</v>
      </c>
      <c r="AH124" s="1159">
        <f t="shared" si="75"/>
        <v>0</v>
      </c>
      <c r="AI124" s="1142" t="e">
        <f>DATE(YEAR(tab!$F$3),MONTH(G124),DAY(G124))&gt;tab!$F$3</f>
        <v>#VALUE!</v>
      </c>
      <c r="AJ124" s="1143" t="e">
        <f t="shared" si="76"/>
        <v>#VALUE!</v>
      </c>
      <c r="AK124" s="1096">
        <f t="shared" si="77"/>
        <v>30</v>
      </c>
      <c r="AL124" s="1096">
        <f t="shared" si="37"/>
        <v>30</v>
      </c>
      <c r="AM124" s="1143">
        <f t="shared" si="78"/>
        <v>0</v>
      </c>
    </row>
    <row r="125" spans="2:39" ht="12.75" customHeight="1" x14ac:dyDescent="0.2">
      <c r="B125" s="69"/>
      <c r="C125" s="90"/>
      <c r="D125" s="97" t="str">
        <f>IF(op!D57="","",op!D57)</f>
        <v/>
      </c>
      <c r="E125" s="97" t="str">
        <f>IF(op!E57=0,"",op!E57)</f>
        <v/>
      </c>
      <c r="F125" s="114" t="str">
        <f>IF(op!F57="","",op!F57+1)</f>
        <v/>
      </c>
      <c r="G125" s="377" t="str">
        <f>IF(op!G57="","",op!G57)</f>
        <v/>
      </c>
      <c r="H125" s="114" t="str">
        <f>IF(op!H57=0,"",op!H57)</f>
        <v/>
      </c>
      <c r="I125" s="129" t="str">
        <f>IF(J125="","",(IF(op!I57+1&gt;LOOKUP(H125,schaal2011,regels2011),op!I57,op!I57+1)))</f>
        <v/>
      </c>
      <c r="J125" s="378" t="str">
        <f>IF(op!J57="","",op!J57)</f>
        <v/>
      </c>
      <c r="K125" s="1194"/>
      <c r="L125" s="1065">
        <f t="shared" ref="L125:M125" si="87">IF(L57="",0,L57)</f>
        <v>0</v>
      </c>
      <c r="M125" s="1065">
        <f t="shared" si="87"/>
        <v>0</v>
      </c>
      <c r="N125" s="1077" t="str">
        <f t="shared" si="40"/>
        <v/>
      </c>
      <c r="O125" s="1077" t="str">
        <f t="shared" si="41"/>
        <v/>
      </c>
      <c r="P125" s="1172" t="str">
        <f t="shared" si="25"/>
        <v/>
      </c>
      <c r="Q125" s="91"/>
      <c r="R125" s="936" t="str">
        <f t="shared" si="42"/>
        <v/>
      </c>
      <c r="S125" s="936" t="str">
        <f t="shared" si="26"/>
        <v/>
      </c>
      <c r="T125" s="937" t="str">
        <f t="shared" si="27"/>
        <v/>
      </c>
      <c r="U125" s="361"/>
      <c r="V125" s="381"/>
      <c r="W125" s="375"/>
      <c r="X125" s="375"/>
      <c r="Y125" s="1120" t="e">
        <f>VLOOKUP(H125,tab!$A$73:$V$114,I125+2,FALSE)</f>
        <v>#VALUE!</v>
      </c>
      <c r="Z125" s="1211">
        <f>tab!$E$64</f>
        <v>0.62</v>
      </c>
      <c r="AA125" s="1163" t="e">
        <f t="shared" si="28"/>
        <v>#VALUE!</v>
      </c>
      <c r="AB125" s="1163" t="e">
        <f t="shared" si="29"/>
        <v>#VALUE!</v>
      </c>
      <c r="AC125" s="1163" t="e">
        <f t="shared" si="30"/>
        <v>#VALUE!</v>
      </c>
      <c r="AD125" s="1162" t="e">
        <f t="shared" si="31"/>
        <v>#VALUE!</v>
      </c>
      <c r="AE125" s="1162">
        <f t="shared" si="32"/>
        <v>0</v>
      </c>
      <c r="AF125" s="1129">
        <f>IF(H125&gt;8,tab!$D$65,tab!$D$67)</f>
        <v>0.5</v>
      </c>
      <c r="AG125" s="1143">
        <f t="shared" si="74"/>
        <v>0</v>
      </c>
      <c r="AH125" s="1159">
        <f t="shared" si="75"/>
        <v>0</v>
      </c>
      <c r="AI125" s="1142" t="e">
        <f>DATE(YEAR(tab!$F$3),MONTH(G125),DAY(G125))&gt;tab!$F$3</f>
        <v>#VALUE!</v>
      </c>
      <c r="AJ125" s="1143" t="e">
        <f t="shared" si="76"/>
        <v>#VALUE!</v>
      </c>
      <c r="AK125" s="1096">
        <f t="shared" si="77"/>
        <v>30</v>
      </c>
      <c r="AL125" s="1096">
        <f t="shared" si="37"/>
        <v>30</v>
      </c>
      <c r="AM125" s="1143">
        <f t="shared" si="78"/>
        <v>0</v>
      </c>
    </row>
    <row r="126" spans="2:39" ht="12.75" customHeight="1" x14ac:dyDescent="0.2">
      <c r="B126" s="69"/>
      <c r="C126" s="90"/>
      <c r="D126" s="97" t="str">
        <f>IF(op!D58="","",op!D58)</f>
        <v/>
      </c>
      <c r="E126" s="97" t="str">
        <f>IF(op!E58=0,"",op!E58)</f>
        <v/>
      </c>
      <c r="F126" s="114" t="str">
        <f>IF(op!F58="","",op!F58+1)</f>
        <v/>
      </c>
      <c r="G126" s="377" t="str">
        <f>IF(op!G58="","",op!G58)</f>
        <v/>
      </c>
      <c r="H126" s="114" t="str">
        <f>IF(op!H58=0,"",op!H58)</f>
        <v/>
      </c>
      <c r="I126" s="129" t="str">
        <f>IF(J126="","",(IF(op!I58+1&gt;LOOKUP(H126,schaal2011,regels2011),op!I58,op!I58+1)))</f>
        <v/>
      </c>
      <c r="J126" s="378" t="str">
        <f>IF(op!J58="","",op!J58)</f>
        <v/>
      </c>
      <c r="K126" s="1194"/>
      <c r="L126" s="1065">
        <f t="shared" ref="L126:M126" si="88">IF(L58="",0,L58)</f>
        <v>0</v>
      </c>
      <c r="M126" s="1065">
        <f t="shared" si="88"/>
        <v>0</v>
      </c>
      <c r="N126" s="1077" t="str">
        <f t="shared" si="40"/>
        <v/>
      </c>
      <c r="O126" s="1077" t="str">
        <f t="shared" si="41"/>
        <v/>
      </c>
      <c r="P126" s="1172" t="str">
        <f t="shared" si="25"/>
        <v/>
      </c>
      <c r="Q126" s="91"/>
      <c r="R126" s="936" t="str">
        <f t="shared" si="42"/>
        <v/>
      </c>
      <c r="S126" s="936" t="str">
        <f t="shared" si="26"/>
        <v/>
      </c>
      <c r="T126" s="937" t="str">
        <f t="shared" si="27"/>
        <v/>
      </c>
      <c r="U126" s="361"/>
      <c r="V126" s="381"/>
      <c r="W126" s="375"/>
      <c r="X126" s="375"/>
      <c r="Y126" s="1120" t="e">
        <f>VLOOKUP(H126,tab!$A$73:$V$114,I126+2,FALSE)</f>
        <v>#VALUE!</v>
      </c>
      <c r="Z126" s="1211">
        <f>tab!$E$64</f>
        <v>0.62</v>
      </c>
      <c r="AA126" s="1163" t="e">
        <f t="shared" si="28"/>
        <v>#VALUE!</v>
      </c>
      <c r="AB126" s="1163" t="e">
        <f t="shared" si="29"/>
        <v>#VALUE!</v>
      </c>
      <c r="AC126" s="1163" t="e">
        <f t="shared" si="30"/>
        <v>#VALUE!</v>
      </c>
      <c r="AD126" s="1162" t="e">
        <f t="shared" si="31"/>
        <v>#VALUE!</v>
      </c>
      <c r="AE126" s="1162">
        <f t="shared" si="32"/>
        <v>0</v>
      </c>
      <c r="AF126" s="1129">
        <f>IF(H126&gt;8,tab!$D$65,tab!$D$67)</f>
        <v>0.5</v>
      </c>
      <c r="AG126" s="1143">
        <f t="shared" si="74"/>
        <v>0</v>
      </c>
      <c r="AH126" s="1159">
        <f t="shared" si="75"/>
        <v>0</v>
      </c>
      <c r="AI126" s="1142" t="e">
        <f>DATE(YEAR(tab!$F$3),MONTH(G126),DAY(G126))&gt;tab!$F$3</f>
        <v>#VALUE!</v>
      </c>
      <c r="AJ126" s="1143" t="e">
        <f t="shared" si="76"/>
        <v>#VALUE!</v>
      </c>
      <c r="AK126" s="1096">
        <f t="shared" si="77"/>
        <v>30</v>
      </c>
      <c r="AL126" s="1096">
        <f t="shared" si="37"/>
        <v>30</v>
      </c>
      <c r="AM126" s="1143">
        <f t="shared" si="78"/>
        <v>0</v>
      </c>
    </row>
    <row r="127" spans="2:39" ht="12.75" customHeight="1" x14ac:dyDescent="0.2">
      <c r="B127" s="69"/>
      <c r="C127" s="90"/>
      <c r="D127" s="97" t="str">
        <f>IF(op!D59="","",op!D59)</f>
        <v/>
      </c>
      <c r="E127" s="97" t="str">
        <f>IF(op!E59=0,"",op!E59)</f>
        <v/>
      </c>
      <c r="F127" s="114" t="str">
        <f>IF(op!F59="","",op!F59+1)</f>
        <v/>
      </c>
      <c r="G127" s="377" t="str">
        <f>IF(op!G59="","",op!G59)</f>
        <v/>
      </c>
      <c r="H127" s="114" t="str">
        <f>IF(op!H59=0,"",op!H59)</f>
        <v/>
      </c>
      <c r="I127" s="129" t="str">
        <f>IF(J127="","",(IF(op!I59+1&gt;LOOKUP(H127,schaal2011,regels2011),op!I59,op!I59+1)))</f>
        <v/>
      </c>
      <c r="J127" s="378" t="str">
        <f>IF(op!J59="","",op!J59)</f>
        <v/>
      </c>
      <c r="K127" s="1194"/>
      <c r="L127" s="1065">
        <f t="shared" ref="L127:M127" si="89">IF(L59="",0,L59)</f>
        <v>0</v>
      </c>
      <c r="M127" s="1065">
        <f t="shared" si="89"/>
        <v>0</v>
      </c>
      <c r="N127" s="1077" t="str">
        <f t="shared" si="40"/>
        <v/>
      </c>
      <c r="O127" s="1077" t="str">
        <f t="shared" si="41"/>
        <v/>
      </c>
      <c r="P127" s="1172" t="str">
        <f t="shared" si="25"/>
        <v/>
      </c>
      <c r="Q127" s="91"/>
      <c r="R127" s="936" t="str">
        <f t="shared" si="42"/>
        <v/>
      </c>
      <c r="S127" s="936" t="str">
        <f t="shared" si="26"/>
        <v/>
      </c>
      <c r="T127" s="937" t="str">
        <f t="shared" si="27"/>
        <v/>
      </c>
      <c r="U127" s="361"/>
      <c r="V127" s="381"/>
      <c r="W127" s="375"/>
      <c r="X127" s="375"/>
      <c r="Y127" s="1120" t="e">
        <f>VLOOKUP(H127,tab!$A$73:$V$114,I127+2,FALSE)</f>
        <v>#VALUE!</v>
      </c>
      <c r="Z127" s="1211">
        <f>tab!$E$64</f>
        <v>0.62</v>
      </c>
      <c r="AA127" s="1163" t="e">
        <f t="shared" si="28"/>
        <v>#VALUE!</v>
      </c>
      <c r="AB127" s="1163" t="e">
        <f t="shared" si="29"/>
        <v>#VALUE!</v>
      </c>
      <c r="AC127" s="1163" t="e">
        <f t="shared" si="30"/>
        <v>#VALUE!</v>
      </c>
      <c r="AD127" s="1162" t="e">
        <f t="shared" si="31"/>
        <v>#VALUE!</v>
      </c>
      <c r="AE127" s="1162">
        <f t="shared" si="32"/>
        <v>0</v>
      </c>
      <c r="AF127" s="1129">
        <f>IF(H127&gt;8,tab!$D$65,tab!$D$67)</f>
        <v>0.5</v>
      </c>
      <c r="AG127" s="1143">
        <f t="shared" si="74"/>
        <v>0</v>
      </c>
      <c r="AH127" s="1159">
        <f t="shared" si="75"/>
        <v>0</v>
      </c>
      <c r="AI127" s="1142" t="e">
        <f>DATE(YEAR(tab!$F$3),MONTH(G127),DAY(G127))&gt;tab!$F$3</f>
        <v>#VALUE!</v>
      </c>
      <c r="AJ127" s="1143" t="e">
        <f t="shared" si="76"/>
        <v>#VALUE!</v>
      </c>
      <c r="AK127" s="1096">
        <f t="shared" si="77"/>
        <v>30</v>
      </c>
      <c r="AL127" s="1096">
        <f t="shared" si="37"/>
        <v>30</v>
      </c>
      <c r="AM127" s="1143">
        <f t="shared" si="78"/>
        <v>0</v>
      </c>
    </row>
    <row r="128" spans="2:39" ht="12.75" customHeight="1" x14ac:dyDescent="0.2">
      <c r="B128" s="69"/>
      <c r="C128" s="90"/>
      <c r="D128" s="97" t="str">
        <f>IF(op!D60="","",op!D60)</f>
        <v/>
      </c>
      <c r="E128" s="97" t="str">
        <f>IF(op!E60=0,"",op!E60)</f>
        <v/>
      </c>
      <c r="F128" s="114" t="str">
        <f>IF(op!F60="","",op!F60+1)</f>
        <v/>
      </c>
      <c r="G128" s="377" t="str">
        <f>IF(op!G60="","",op!G60)</f>
        <v/>
      </c>
      <c r="H128" s="114" t="str">
        <f>IF(op!H60=0,"",op!H60)</f>
        <v/>
      </c>
      <c r="I128" s="129" t="str">
        <f>IF(J128="","",(IF(op!I60+1&gt;LOOKUP(H128,schaal2011,regels2011),op!I60,op!I60+1)))</f>
        <v/>
      </c>
      <c r="J128" s="378" t="str">
        <f>IF(op!J60="","",op!J60)</f>
        <v/>
      </c>
      <c r="K128" s="1194"/>
      <c r="L128" s="1065">
        <f t="shared" ref="L128:M128" si="90">IF(L60="",0,L60)</f>
        <v>0</v>
      </c>
      <c r="M128" s="1065">
        <f t="shared" si="90"/>
        <v>0</v>
      </c>
      <c r="N128" s="1077" t="str">
        <f t="shared" si="40"/>
        <v/>
      </c>
      <c r="O128" s="1077" t="str">
        <f t="shared" si="41"/>
        <v/>
      </c>
      <c r="P128" s="1172" t="str">
        <f t="shared" si="25"/>
        <v/>
      </c>
      <c r="Q128" s="91"/>
      <c r="R128" s="936" t="str">
        <f t="shared" si="42"/>
        <v/>
      </c>
      <c r="S128" s="936" t="str">
        <f t="shared" si="26"/>
        <v/>
      </c>
      <c r="T128" s="937" t="str">
        <f t="shared" si="27"/>
        <v/>
      </c>
      <c r="U128" s="361"/>
      <c r="V128" s="381"/>
      <c r="W128" s="375"/>
      <c r="X128" s="375"/>
      <c r="Y128" s="1120" t="e">
        <f>VLOOKUP(H128,tab!$A$73:$V$114,I128+2,FALSE)</f>
        <v>#VALUE!</v>
      </c>
      <c r="Z128" s="1211">
        <f>tab!$E$64</f>
        <v>0.62</v>
      </c>
      <c r="AA128" s="1163" t="e">
        <f t="shared" si="28"/>
        <v>#VALUE!</v>
      </c>
      <c r="AB128" s="1163" t="e">
        <f t="shared" si="29"/>
        <v>#VALUE!</v>
      </c>
      <c r="AC128" s="1163" t="e">
        <f t="shared" si="30"/>
        <v>#VALUE!</v>
      </c>
      <c r="AD128" s="1162" t="e">
        <f t="shared" si="31"/>
        <v>#VALUE!</v>
      </c>
      <c r="AE128" s="1162">
        <f t="shared" si="32"/>
        <v>0</v>
      </c>
      <c r="AF128" s="1129">
        <f>IF(H128&gt;8,tab!$D$65,tab!$D$67)</f>
        <v>0.5</v>
      </c>
      <c r="AG128" s="1143">
        <f t="shared" si="74"/>
        <v>0</v>
      </c>
      <c r="AH128" s="1159">
        <f t="shared" si="75"/>
        <v>0</v>
      </c>
      <c r="AI128" s="1142" t="e">
        <f>DATE(YEAR(tab!$F$3),MONTH(G128),DAY(G128))&gt;tab!$F$3</f>
        <v>#VALUE!</v>
      </c>
      <c r="AJ128" s="1143" t="e">
        <f t="shared" si="76"/>
        <v>#VALUE!</v>
      </c>
      <c r="AK128" s="1096">
        <f t="shared" si="77"/>
        <v>30</v>
      </c>
      <c r="AL128" s="1096">
        <f t="shared" si="37"/>
        <v>30</v>
      </c>
      <c r="AM128" s="1143">
        <f t="shared" si="78"/>
        <v>0</v>
      </c>
    </row>
    <row r="129" spans="2:39" ht="12.75" customHeight="1" x14ac:dyDescent="0.2">
      <c r="B129" s="69"/>
      <c r="C129" s="90"/>
      <c r="D129" s="97" t="str">
        <f>IF(op!D61="","",op!D61)</f>
        <v/>
      </c>
      <c r="E129" s="97" t="str">
        <f>IF(op!E61=0,"",op!E61)</f>
        <v/>
      </c>
      <c r="F129" s="114" t="str">
        <f>IF(op!F61="","",op!F61+1)</f>
        <v/>
      </c>
      <c r="G129" s="377" t="str">
        <f>IF(op!G61="","",op!G61)</f>
        <v/>
      </c>
      <c r="H129" s="114" t="str">
        <f>IF(op!H61=0,"",op!H61)</f>
        <v/>
      </c>
      <c r="I129" s="129" t="str">
        <f>IF(J129="","",(IF(op!I61+1&gt;LOOKUP(H129,schaal2011,regels2011),op!I61,op!I61+1)))</f>
        <v/>
      </c>
      <c r="J129" s="378" t="str">
        <f>IF(op!J61="","",op!J61)</f>
        <v/>
      </c>
      <c r="K129" s="1194"/>
      <c r="L129" s="1065">
        <f t="shared" ref="L129:M129" si="91">IF(L61="",0,L61)</f>
        <v>0</v>
      </c>
      <c r="M129" s="1065">
        <f t="shared" si="91"/>
        <v>0</v>
      </c>
      <c r="N129" s="1077" t="str">
        <f t="shared" si="40"/>
        <v/>
      </c>
      <c r="O129" s="1077" t="str">
        <f t="shared" si="41"/>
        <v/>
      </c>
      <c r="P129" s="1172" t="str">
        <f t="shared" si="25"/>
        <v/>
      </c>
      <c r="Q129" s="91"/>
      <c r="R129" s="936" t="str">
        <f t="shared" si="42"/>
        <v/>
      </c>
      <c r="S129" s="936" t="str">
        <f t="shared" si="26"/>
        <v/>
      </c>
      <c r="T129" s="937" t="str">
        <f t="shared" si="27"/>
        <v/>
      </c>
      <c r="U129" s="361"/>
      <c r="V129" s="381"/>
      <c r="W129" s="375"/>
      <c r="X129" s="375"/>
      <c r="Y129" s="1120" t="e">
        <f>VLOOKUP(H129,tab!$A$73:$V$114,I129+2,FALSE)</f>
        <v>#VALUE!</v>
      </c>
      <c r="Z129" s="1211">
        <f>tab!$E$64</f>
        <v>0.62</v>
      </c>
      <c r="AA129" s="1163" t="e">
        <f t="shared" si="28"/>
        <v>#VALUE!</v>
      </c>
      <c r="AB129" s="1163" t="e">
        <f t="shared" si="29"/>
        <v>#VALUE!</v>
      </c>
      <c r="AC129" s="1163" t="e">
        <f t="shared" si="30"/>
        <v>#VALUE!</v>
      </c>
      <c r="AD129" s="1162" t="e">
        <f t="shared" si="31"/>
        <v>#VALUE!</v>
      </c>
      <c r="AE129" s="1162">
        <f t="shared" si="32"/>
        <v>0</v>
      </c>
      <c r="AF129" s="1129">
        <f>IF(H129&gt;8,tab!$D$65,tab!$D$67)</f>
        <v>0.5</v>
      </c>
      <c r="AG129" s="1143">
        <f t="shared" si="74"/>
        <v>0</v>
      </c>
      <c r="AH129" s="1159">
        <f t="shared" si="75"/>
        <v>0</v>
      </c>
      <c r="AI129" s="1142" t="e">
        <f>DATE(YEAR(tab!$F$3),MONTH(G129),DAY(G129))&gt;tab!$F$3</f>
        <v>#VALUE!</v>
      </c>
      <c r="AJ129" s="1143" t="e">
        <f t="shared" si="76"/>
        <v>#VALUE!</v>
      </c>
      <c r="AK129" s="1096">
        <f t="shared" si="77"/>
        <v>30</v>
      </c>
      <c r="AL129" s="1096">
        <f t="shared" si="37"/>
        <v>30</v>
      </c>
      <c r="AM129" s="1143">
        <f t="shared" si="78"/>
        <v>0</v>
      </c>
    </row>
    <row r="130" spans="2:39" ht="12.75" customHeight="1" x14ac:dyDescent="0.2">
      <c r="B130" s="69"/>
      <c r="C130" s="90"/>
      <c r="D130" s="97" t="str">
        <f>IF(op!D62="","",op!D62)</f>
        <v/>
      </c>
      <c r="E130" s="97" t="str">
        <f>IF(op!E62=0,"",op!E62)</f>
        <v/>
      </c>
      <c r="F130" s="114" t="str">
        <f>IF(op!F62="","",op!F62+1)</f>
        <v/>
      </c>
      <c r="G130" s="377" t="str">
        <f>IF(op!G62="","",op!G62)</f>
        <v/>
      </c>
      <c r="H130" s="114" t="str">
        <f>IF(op!H62=0,"",op!H62)</f>
        <v/>
      </c>
      <c r="I130" s="129" t="str">
        <f>IF(J130="","",(IF(op!I62+1&gt;LOOKUP(H130,schaal2011,regels2011),op!I62,op!I62+1)))</f>
        <v/>
      </c>
      <c r="J130" s="378" t="str">
        <f>IF(op!J62="","",op!J62)</f>
        <v/>
      </c>
      <c r="K130" s="1194"/>
      <c r="L130" s="1065">
        <f t="shared" ref="L130:M130" si="92">IF(L62="",0,L62)</f>
        <v>0</v>
      </c>
      <c r="M130" s="1065">
        <f t="shared" si="92"/>
        <v>0</v>
      </c>
      <c r="N130" s="1077" t="str">
        <f t="shared" si="40"/>
        <v/>
      </c>
      <c r="O130" s="1077" t="str">
        <f t="shared" si="41"/>
        <v/>
      </c>
      <c r="P130" s="1172" t="str">
        <f t="shared" si="25"/>
        <v/>
      </c>
      <c r="Q130" s="91"/>
      <c r="R130" s="936" t="str">
        <f t="shared" si="42"/>
        <v/>
      </c>
      <c r="S130" s="936" t="str">
        <f t="shared" si="26"/>
        <v/>
      </c>
      <c r="T130" s="937" t="str">
        <f t="shared" si="27"/>
        <v/>
      </c>
      <c r="U130" s="361"/>
      <c r="V130" s="381"/>
      <c r="W130" s="375"/>
      <c r="X130" s="375"/>
      <c r="Y130" s="1120" t="e">
        <f>VLOOKUP(H130,tab!$A$73:$V$114,I130+2,FALSE)</f>
        <v>#VALUE!</v>
      </c>
      <c r="Z130" s="1211">
        <f>tab!$E$64</f>
        <v>0.62</v>
      </c>
      <c r="AA130" s="1163" t="e">
        <f t="shared" si="28"/>
        <v>#VALUE!</v>
      </c>
      <c r="AB130" s="1163" t="e">
        <f t="shared" si="29"/>
        <v>#VALUE!</v>
      </c>
      <c r="AC130" s="1163" t="e">
        <f t="shared" si="30"/>
        <v>#VALUE!</v>
      </c>
      <c r="AD130" s="1162" t="e">
        <f t="shared" si="31"/>
        <v>#VALUE!</v>
      </c>
      <c r="AE130" s="1162">
        <f t="shared" si="32"/>
        <v>0</v>
      </c>
      <c r="AF130" s="1129">
        <f>IF(H130&gt;8,tab!$D$65,tab!$D$67)</f>
        <v>0.5</v>
      </c>
      <c r="AG130" s="1143">
        <f t="shared" si="74"/>
        <v>0</v>
      </c>
      <c r="AH130" s="1159">
        <f t="shared" si="75"/>
        <v>0</v>
      </c>
      <c r="AI130" s="1142" t="e">
        <f>DATE(YEAR(tab!$F$3),MONTH(G130),DAY(G130))&gt;tab!$F$3</f>
        <v>#VALUE!</v>
      </c>
      <c r="AJ130" s="1143" t="e">
        <f t="shared" si="76"/>
        <v>#VALUE!</v>
      </c>
      <c r="AK130" s="1096">
        <f t="shared" si="77"/>
        <v>30</v>
      </c>
      <c r="AL130" s="1096">
        <f t="shared" si="37"/>
        <v>30</v>
      </c>
      <c r="AM130" s="1143">
        <f t="shared" si="78"/>
        <v>0</v>
      </c>
    </row>
    <row r="131" spans="2:39" ht="12.75" customHeight="1" x14ac:dyDescent="0.2">
      <c r="B131" s="69"/>
      <c r="C131" s="90"/>
      <c r="D131" s="97" t="str">
        <f>IF(op!D63="","",op!D63)</f>
        <v/>
      </c>
      <c r="E131" s="97" t="str">
        <f>IF(op!E63=0,"",op!E63)</f>
        <v/>
      </c>
      <c r="F131" s="114" t="str">
        <f>IF(op!F63="","",op!F63+1)</f>
        <v/>
      </c>
      <c r="G131" s="377" t="str">
        <f>IF(op!G63="","",op!G63)</f>
        <v/>
      </c>
      <c r="H131" s="114" t="str">
        <f>IF(op!H63=0,"",op!H63)</f>
        <v/>
      </c>
      <c r="I131" s="129" t="str">
        <f>IF(J131="","",(IF(op!I63+1&gt;LOOKUP(H131,schaal2011,regels2011),op!I63,op!I63+1)))</f>
        <v/>
      </c>
      <c r="J131" s="378" t="str">
        <f>IF(op!J63="","",op!J63)</f>
        <v/>
      </c>
      <c r="K131" s="1194"/>
      <c r="L131" s="1065">
        <f t="shared" ref="L131:M131" si="93">IF(L63="",0,L63)</f>
        <v>0</v>
      </c>
      <c r="M131" s="1065">
        <f t="shared" si="93"/>
        <v>0</v>
      </c>
      <c r="N131" s="1077" t="str">
        <f t="shared" si="40"/>
        <v/>
      </c>
      <c r="O131" s="1077" t="str">
        <f t="shared" si="41"/>
        <v/>
      </c>
      <c r="P131" s="1172" t="str">
        <f t="shared" si="25"/>
        <v/>
      </c>
      <c r="Q131" s="91"/>
      <c r="R131" s="936" t="str">
        <f t="shared" si="42"/>
        <v/>
      </c>
      <c r="S131" s="936" t="str">
        <f t="shared" si="26"/>
        <v/>
      </c>
      <c r="T131" s="937" t="str">
        <f t="shared" si="27"/>
        <v/>
      </c>
      <c r="U131" s="361"/>
      <c r="V131" s="381"/>
      <c r="W131" s="375"/>
      <c r="X131" s="375"/>
      <c r="Y131" s="1120" t="e">
        <f>VLOOKUP(H131,tab!$A$73:$V$114,I131+2,FALSE)</f>
        <v>#VALUE!</v>
      </c>
      <c r="Z131" s="1211">
        <f>tab!$E$64</f>
        <v>0.62</v>
      </c>
      <c r="AA131" s="1163" t="e">
        <f t="shared" si="28"/>
        <v>#VALUE!</v>
      </c>
      <c r="AB131" s="1163" t="e">
        <f t="shared" si="29"/>
        <v>#VALUE!</v>
      </c>
      <c r="AC131" s="1163" t="e">
        <f t="shared" si="30"/>
        <v>#VALUE!</v>
      </c>
      <c r="AD131" s="1162" t="e">
        <f t="shared" si="31"/>
        <v>#VALUE!</v>
      </c>
      <c r="AE131" s="1162">
        <f t="shared" si="32"/>
        <v>0</v>
      </c>
      <c r="AF131" s="1129">
        <f>IF(H131&gt;8,tab!$D$65,tab!$D$67)</f>
        <v>0.5</v>
      </c>
      <c r="AG131" s="1143">
        <f t="shared" si="74"/>
        <v>0</v>
      </c>
      <c r="AH131" s="1159">
        <f t="shared" si="75"/>
        <v>0</v>
      </c>
      <c r="AI131" s="1142" t="e">
        <f>DATE(YEAR(tab!$F$3),MONTH(G131),DAY(G131))&gt;tab!$F$3</f>
        <v>#VALUE!</v>
      </c>
      <c r="AJ131" s="1143" t="e">
        <f t="shared" si="76"/>
        <v>#VALUE!</v>
      </c>
      <c r="AK131" s="1096">
        <f t="shared" si="77"/>
        <v>30</v>
      </c>
      <c r="AL131" s="1096">
        <f t="shared" si="37"/>
        <v>30</v>
      </c>
      <c r="AM131" s="1143">
        <f t="shared" si="78"/>
        <v>0</v>
      </c>
    </row>
    <row r="132" spans="2:39" ht="12.75" customHeight="1" x14ac:dyDescent="0.2">
      <c r="B132" s="69"/>
      <c r="C132" s="90"/>
      <c r="D132" s="97" t="str">
        <f>IF(op!D64="","",op!D64)</f>
        <v/>
      </c>
      <c r="E132" s="97" t="str">
        <f>IF(op!E64=0,"",op!E64)</f>
        <v/>
      </c>
      <c r="F132" s="114" t="str">
        <f>IF(op!F64="","",op!F64+1)</f>
        <v/>
      </c>
      <c r="G132" s="377" t="str">
        <f>IF(op!G64="","",op!G64)</f>
        <v/>
      </c>
      <c r="H132" s="114" t="str">
        <f>IF(op!H64=0,"",op!H64)</f>
        <v/>
      </c>
      <c r="I132" s="129" t="str">
        <f>IF(J132="","",(IF(op!I64+1&gt;LOOKUP(H132,schaal2011,regels2011),op!I64,op!I64+1)))</f>
        <v/>
      </c>
      <c r="J132" s="378" t="str">
        <f>IF(op!J64="","",op!J64)</f>
        <v/>
      </c>
      <c r="K132" s="1194"/>
      <c r="L132" s="1065">
        <f t="shared" ref="L132:M132" si="94">IF(L64="",0,L64)</f>
        <v>0</v>
      </c>
      <c r="M132" s="1065">
        <f t="shared" si="94"/>
        <v>0</v>
      </c>
      <c r="N132" s="1077" t="str">
        <f t="shared" si="40"/>
        <v/>
      </c>
      <c r="O132" s="1077" t="str">
        <f t="shared" si="41"/>
        <v/>
      </c>
      <c r="P132" s="1172" t="str">
        <f t="shared" si="25"/>
        <v/>
      </c>
      <c r="Q132" s="91"/>
      <c r="R132" s="936" t="str">
        <f t="shared" si="42"/>
        <v/>
      </c>
      <c r="S132" s="936" t="str">
        <f t="shared" si="26"/>
        <v/>
      </c>
      <c r="T132" s="937" t="str">
        <f t="shared" si="27"/>
        <v/>
      </c>
      <c r="U132" s="361"/>
      <c r="V132" s="381"/>
      <c r="W132" s="375"/>
      <c r="X132" s="375"/>
      <c r="Y132" s="1120" t="e">
        <f>VLOOKUP(H132,tab!$A$73:$V$114,I132+2,FALSE)</f>
        <v>#VALUE!</v>
      </c>
      <c r="Z132" s="1211">
        <f>tab!$E$64</f>
        <v>0.62</v>
      </c>
      <c r="AA132" s="1163" t="e">
        <f t="shared" si="28"/>
        <v>#VALUE!</v>
      </c>
      <c r="AB132" s="1163" t="e">
        <f t="shared" si="29"/>
        <v>#VALUE!</v>
      </c>
      <c r="AC132" s="1163" t="e">
        <f t="shared" si="30"/>
        <v>#VALUE!</v>
      </c>
      <c r="AD132" s="1162" t="e">
        <f t="shared" si="31"/>
        <v>#VALUE!</v>
      </c>
      <c r="AE132" s="1162">
        <f t="shared" si="32"/>
        <v>0</v>
      </c>
      <c r="AF132" s="1129">
        <f>IF(H132&gt;8,tab!$D$65,tab!$D$67)</f>
        <v>0.5</v>
      </c>
      <c r="AG132" s="1143">
        <f t="shared" si="74"/>
        <v>0</v>
      </c>
      <c r="AH132" s="1159">
        <f t="shared" si="75"/>
        <v>0</v>
      </c>
      <c r="AI132" s="1142" t="e">
        <f>DATE(YEAR(tab!$F$3),MONTH(G132),DAY(G132))&gt;tab!$F$3</f>
        <v>#VALUE!</v>
      </c>
      <c r="AJ132" s="1143" t="e">
        <f t="shared" si="76"/>
        <v>#VALUE!</v>
      </c>
      <c r="AK132" s="1096">
        <f t="shared" si="77"/>
        <v>30</v>
      </c>
      <c r="AL132" s="1096">
        <f t="shared" si="37"/>
        <v>30</v>
      </c>
      <c r="AM132" s="1143">
        <f t="shared" si="78"/>
        <v>0</v>
      </c>
    </row>
    <row r="133" spans="2:39" ht="12.75" customHeight="1" x14ac:dyDescent="0.2">
      <c r="B133" s="69"/>
      <c r="C133" s="90"/>
      <c r="D133" s="97" t="str">
        <f>IF(op!D65="","",op!D65)</f>
        <v/>
      </c>
      <c r="E133" s="97" t="str">
        <f>IF(op!E65=0,"",op!E65)</f>
        <v/>
      </c>
      <c r="F133" s="114" t="str">
        <f>IF(op!F65="","",op!F65+1)</f>
        <v/>
      </c>
      <c r="G133" s="377" t="str">
        <f>IF(op!G65="","",op!G65)</f>
        <v/>
      </c>
      <c r="H133" s="114" t="str">
        <f>IF(op!H65=0,"",op!H65)</f>
        <v/>
      </c>
      <c r="I133" s="129" t="str">
        <f>IF(J133="","",(IF(op!I65+1&gt;LOOKUP(H133,schaal2011,regels2011),op!I65,op!I65+1)))</f>
        <v/>
      </c>
      <c r="J133" s="378" t="str">
        <f>IF(op!J65="","",op!J65)</f>
        <v/>
      </c>
      <c r="K133" s="1194"/>
      <c r="L133" s="1065">
        <f t="shared" ref="L133:M133" si="95">IF(L65="",0,L65)</f>
        <v>0</v>
      </c>
      <c r="M133" s="1065">
        <f t="shared" si="95"/>
        <v>0</v>
      </c>
      <c r="N133" s="1077" t="str">
        <f t="shared" si="40"/>
        <v/>
      </c>
      <c r="O133" s="1077" t="str">
        <f t="shared" si="41"/>
        <v/>
      </c>
      <c r="P133" s="1172" t="str">
        <f t="shared" si="25"/>
        <v/>
      </c>
      <c r="Q133" s="91"/>
      <c r="R133" s="936" t="str">
        <f t="shared" si="42"/>
        <v/>
      </c>
      <c r="S133" s="936" t="str">
        <f t="shared" si="26"/>
        <v/>
      </c>
      <c r="T133" s="937" t="str">
        <f t="shared" si="27"/>
        <v/>
      </c>
      <c r="U133" s="361"/>
      <c r="V133" s="381"/>
      <c r="W133" s="375"/>
      <c r="X133" s="375"/>
      <c r="Y133" s="1120" t="e">
        <f>VLOOKUP(H133,tab!$A$73:$V$114,I133+2,FALSE)</f>
        <v>#VALUE!</v>
      </c>
      <c r="Z133" s="1211">
        <f>tab!$E$64</f>
        <v>0.62</v>
      </c>
      <c r="AA133" s="1163" t="e">
        <f t="shared" si="28"/>
        <v>#VALUE!</v>
      </c>
      <c r="AB133" s="1163" t="e">
        <f t="shared" si="29"/>
        <v>#VALUE!</v>
      </c>
      <c r="AC133" s="1163" t="e">
        <f t="shared" si="30"/>
        <v>#VALUE!</v>
      </c>
      <c r="AD133" s="1162" t="e">
        <f t="shared" si="31"/>
        <v>#VALUE!</v>
      </c>
      <c r="AE133" s="1162">
        <f t="shared" si="32"/>
        <v>0</v>
      </c>
      <c r="AF133" s="1129">
        <f>IF(H133&gt;8,tab!$D$65,tab!$D$67)</f>
        <v>0.5</v>
      </c>
      <c r="AG133" s="1143">
        <f t="shared" si="74"/>
        <v>0</v>
      </c>
      <c r="AH133" s="1159">
        <f t="shared" si="75"/>
        <v>0</v>
      </c>
      <c r="AI133" s="1142" t="e">
        <f>DATE(YEAR(tab!$F$3),MONTH(G133),DAY(G133))&gt;tab!$F$3</f>
        <v>#VALUE!</v>
      </c>
      <c r="AJ133" s="1143" t="e">
        <f t="shared" si="76"/>
        <v>#VALUE!</v>
      </c>
      <c r="AK133" s="1096">
        <f t="shared" si="77"/>
        <v>30</v>
      </c>
      <c r="AL133" s="1096">
        <f t="shared" si="37"/>
        <v>30</v>
      </c>
      <c r="AM133" s="1143">
        <f t="shared" si="78"/>
        <v>0</v>
      </c>
    </row>
    <row r="134" spans="2:39" ht="12.75" customHeight="1" x14ac:dyDescent="0.2">
      <c r="B134" s="69"/>
      <c r="C134" s="90"/>
      <c r="D134" s="97" t="str">
        <f>IF(op!D66="","",op!D66)</f>
        <v/>
      </c>
      <c r="E134" s="97" t="str">
        <f>IF(op!E66=0,"",op!E66)</f>
        <v/>
      </c>
      <c r="F134" s="114" t="str">
        <f>IF(op!F66="","",op!F66+1)</f>
        <v/>
      </c>
      <c r="G134" s="377" t="str">
        <f>IF(op!G66="","",op!G66)</f>
        <v/>
      </c>
      <c r="H134" s="114" t="str">
        <f>IF(op!H66=0,"",op!H66)</f>
        <v/>
      </c>
      <c r="I134" s="129" t="str">
        <f>IF(J134="","",(IF(op!I66+1&gt;LOOKUP(H134,schaal2011,regels2011),op!I66,op!I66+1)))</f>
        <v/>
      </c>
      <c r="J134" s="378" t="str">
        <f>IF(op!J66="","",op!J66)</f>
        <v/>
      </c>
      <c r="K134" s="1194"/>
      <c r="L134" s="1065">
        <f t="shared" ref="L134:M134" si="96">IF(L66="",0,L66)</f>
        <v>0</v>
      </c>
      <c r="M134" s="1065">
        <f t="shared" si="96"/>
        <v>0</v>
      </c>
      <c r="N134" s="1077" t="str">
        <f t="shared" si="40"/>
        <v/>
      </c>
      <c r="O134" s="1077" t="str">
        <f t="shared" si="41"/>
        <v/>
      </c>
      <c r="P134" s="1172" t="str">
        <f t="shared" si="25"/>
        <v/>
      </c>
      <c r="Q134" s="91"/>
      <c r="R134" s="936" t="str">
        <f t="shared" si="42"/>
        <v/>
      </c>
      <c r="S134" s="936" t="str">
        <f t="shared" si="26"/>
        <v/>
      </c>
      <c r="T134" s="937" t="str">
        <f t="shared" si="27"/>
        <v/>
      </c>
      <c r="U134" s="361"/>
      <c r="V134" s="381"/>
      <c r="W134" s="375"/>
      <c r="X134" s="375"/>
      <c r="Y134" s="1120" t="e">
        <f>VLOOKUP(H134,tab!$A$73:$V$114,I134+2,FALSE)</f>
        <v>#VALUE!</v>
      </c>
      <c r="Z134" s="1211">
        <f>tab!$E$64</f>
        <v>0.62</v>
      </c>
      <c r="AA134" s="1163" t="e">
        <f t="shared" si="28"/>
        <v>#VALUE!</v>
      </c>
      <c r="AB134" s="1163" t="e">
        <f t="shared" si="29"/>
        <v>#VALUE!</v>
      </c>
      <c r="AC134" s="1163" t="e">
        <f t="shared" si="30"/>
        <v>#VALUE!</v>
      </c>
      <c r="AD134" s="1162" t="e">
        <f t="shared" si="31"/>
        <v>#VALUE!</v>
      </c>
      <c r="AE134" s="1162">
        <f t="shared" si="32"/>
        <v>0</v>
      </c>
      <c r="AF134" s="1129">
        <f>IF(H134&gt;8,tab!$D$65,tab!$D$67)</f>
        <v>0.5</v>
      </c>
      <c r="AG134" s="1143">
        <f t="shared" si="74"/>
        <v>0</v>
      </c>
      <c r="AH134" s="1159">
        <f t="shared" si="75"/>
        <v>0</v>
      </c>
      <c r="AI134" s="1142" t="e">
        <f>DATE(YEAR(tab!$F$3),MONTH(G134),DAY(G134))&gt;tab!$F$3</f>
        <v>#VALUE!</v>
      </c>
      <c r="AJ134" s="1143" t="e">
        <f t="shared" si="76"/>
        <v>#VALUE!</v>
      </c>
      <c r="AK134" s="1096">
        <f t="shared" si="77"/>
        <v>30</v>
      </c>
      <c r="AL134" s="1096">
        <f t="shared" si="37"/>
        <v>30</v>
      </c>
      <c r="AM134" s="1143">
        <f t="shared" si="78"/>
        <v>0</v>
      </c>
    </row>
    <row r="135" spans="2:39" ht="12.75" customHeight="1" x14ac:dyDescent="0.2">
      <c r="B135" s="69"/>
      <c r="C135" s="90"/>
      <c r="D135" s="97" t="str">
        <f>IF(op!D67="","",op!D67)</f>
        <v/>
      </c>
      <c r="E135" s="97" t="str">
        <f>IF(op!E67=0,"",op!E67)</f>
        <v/>
      </c>
      <c r="F135" s="114" t="str">
        <f>IF(op!F67="","",op!F67+1)</f>
        <v/>
      </c>
      <c r="G135" s="377" t="str">
        <f>IF(op!G67="","",op!G67)</f>
        <v/>
      </c>
      <c r="H135" s="114" t="str">
        <f>IF(op!H67=0,"",op!H67)</f>
        <v/>
      </c>
      <c r="I135" s="129" t="str">
        <f>IF(J135="","",(IF(op!I67+1&gt;LOOKUP(H135,schaal2011,regels2011),op!I67,op!I67+1)))</f>
        <v/>
      </c>
      <c r="J135" s="378" t="str">
        <f>IF(op!J67="","",op!J67)</f>
        <v/>
      </c>
      <c r="K135" s="1194"/>
      <c r="L135" s="1065">
        <f t="shared" ref="L135:M135" si="97">IF(L67="",0,L67)</f>
        <v>0</v>
      </c>
      <c r="M135" s="1065">
        <f t="shared" si="97"/>
        <v>0</v>
      </c>
      <c r="N135" s="1077" t="str">
        <f t="shared" si="40"/>
        <v/>
      </c>
      <c r="O135" s="1077" t="str">
        <f t="shared" si="41"/>
        <v/>
      </c>
      <c r="P135" s="1172" t="str">
        <f t="shared" si="25"/>
        <v/>
      </c>
      <c r="Q135" s="91"/>
      <c r="R135" s="936" t="str">
        <f t="shared" si="42"/>
        <v/>
      </c>
      <c r="S135" s="936" t="str">
        <f t="shared" si="26"/>
        <v/>
      </c>
      <c r="T135" s="937" t="str">
        <f t="shared" si="27"/>
        <v/>
      </c>
      <c r="U135" s="361"/>
      <c r="V135" s="381"/>
      <c r="W135" s="375"/>
      <c r="X135" s="375"/>
      <c r="Y135" s="1120" t="e">
        <f>VLOOKUP(H135,tab!$A$73:$V$114,I135+2,FALSE)</f>
        <v>#VALUE!</v>
      </c>
      <c r="Z135" s="1211">
        <f>tab!$E$64</f>
        <v>0.62</v>
      </c>
      <c r="AA135" s="1163" t="e">
        <f t="shared" si="28"/>
        <v>#VALUE!</v>
      </c>
      <c r="AB135" s="1163" t="e">
        <f t="shared" si="29"/>
        <v>#VALUE!</v>
      </c>
      <c r="AC135" s="1163" t="e">
        <f t="shared" si="30"/>
        <v>#VALUE!</v>
      </c>
      <c r="AD135" s="1162" t="e">
        <f t="shared" si="31"/>
        <v>#VALUE!</v>
      </c>
      <c r="AE135" s="1162">
        <f t="shared" si="32"/>
        <v>0</v>
      </c>
      <c r="AF135" s="1129">
        <f>IF(H135&gt;8,tab!$D$65,tab!$D$67)</f>
        <v>0.5</v>
      </c>
      <c r="AG135" s="1143">
        <f t="shared" si="74"/>
        <v>0</v>
      </c>
      <c r="AH135" s="1159">
        <f t="shared" si="75"/>
        <v>0</v>
      </c>
      <c r="AI135" s="1142" t="e">
        <f>DATE(YEAR(tab!$F$3),MONTH(G135),DAY(G135))&gt;tab!$F$3</f>
        <v>#VALUE!</v>
      </c>
      <c r="AJ135" s="1143" t="e">
        <f t="shared" si="76"/>
        <v>#VALUE!</v>
      </c>
      <c r="AK135" s="1096">
        <f t="shared" si="77"/>
        <v>30</v>
      </c>
      <c r="AL135" s="1096">
        <f t="shared" si="37"/>
        <v>30</v>
      </c>
      <c r="AM135" s="1143">
        <f t="shared" si="78"/>
        <v>0</v>
      </c>
    </row>
    <row r="136" spans="2:39" ht="12.75" customHeight="1" x14ac:dyDescent="0.2">
      <c r="B136" s="69"/>
      <c r="C136" s="90"/>
      <c r="D136" s="97" t="str">
        <f>IF(op!D68="","",op!D68)</f>
        <v/>
      </c>
      <c r="E136" s="97" t="str">
        <f>IF(op!E68=0,"",op!E68)</f>
        <v/>
      </c>
      <c r="F136" s="114" t="str">
        <f>IF(op!F68="","",op!F68+1)</f>
        <v/>
      </c>
      <c r="G136" s="377" t="str">
        <f>IF(op!G68="","",op!G68)</f>
        <v/>
      </c>
      <c r="H136" s="114" t="str">
        <f>IF(op!H68=0,"",op!H68)</f>
        <v/>
      </c>
      <c r="I136" s="129" t="str">
        <f>IF(J136="","",(IF(op!I68+1&gt;LOOKUP(H136,schaal2011,regels2011),op!I68,op!I68+1)))</f>
        <v/>
      </c>
      <c r="J136" s="378" t="str">
        <f>IF(op!J68="","",op!J68)</f>
        <v/>
      </c>
      <c r="K136" s="1194"/>
      <c r="L136" s="1065">
        <f t="shared" ref="L136:M136" si="98">IF(L68="",0,L68)</f>
        <v>0</v>
      </c>
      <c r="M136" s="1065">
        <f t="shared" si="98"/>
        <v>0</v>
      </c>
      <c r="N136" s="1077" t="str">
        <f t="shared" si="40"/>
        <v/>
      </c>
      <c r="O136" s="1077" t="str">
        <f t="shared" si="41"/>
        <v/>
      </c>
      <c r="P136" s="1172" t="str">
        <f t="shared" si="25"/>
        <v/>
      </c>
      <c r="Q136" s="91"/>
      <c r="R136" s="936" t="str">
        <f t="shared" si="42"/>
        <v/>
      </c>
      <c r="S136" s="936" t="str">
        <f t="shared" si="26"/>
        <v/>
      </c>
      <c r="T136" s="937" t="str">
        <f t="shared" si="27"/>
        <v/>
      </c>
      <c r="U136" s="361"/>
      <c r="V136" s="381"/>
      <c r="W136" s="375"/>
      <c r="X136" s="375"/>
      <c r="Y136" s="1120" t="e">
        <f>VLOOKUP(H136,tab!$A$73:$V$114,I136+2,FALSE)</f>
        <v>#VALUE!</v>
      </c>
      <c r="Z136" s="1211">
        <f>tab!$E$64</f>
        <v>0.62</v>
      </c>
      <c r="AA136" s="1163" t="e">
        <f t="shared" si="28"/>
        <v>#VALUE!</v>
      </c>
      <c r="AB136" s="1163" t="e">
        <f t="shared" si="29"/>
        <v>#VALUE!</v>
      </c>
      <c r="AC136" s="1163" t="e">
        <f t="shared" si="30"/>
        <v>#VALUE!</v>
      </c>
      <c r="AD136" s="1162" t="e">
        <f t="shared" si="31"/>
        <v>#VALUE!</v>
      </c>
      <c r="AE136" s="1162">
        <f t="shared" si="32"/>
        <v>0</v>
      </c>
      <c r="AF136" s="1129">
        <f>IF(H136&gt;8,tab!$D$65,tab!$D$67)</f>
        <v>0.5</v>
      </c>
      <c r="AG136" s="1143">
        <f t="shared" si="74"/>
        <v>0</v>
      </c>
      <c r="AH136" s="1159">
        <f t="shared" si="75"/>
        <v>0</v>
      </c>
      <c r="AI136" s="1142" t="e">
        <f>DATE(YEAR(tab!$F$3),MONTH(G136),DAY(G136))&gt;tab!$F$3</f>
        <v>#VALUE!</v>
      </c>
      <c r="AJ136" s="1143" t="e">
        <f t="shared" si="76"/>
        <v>#VALUE!</v>
      </c>
      <c r="AK136" s="1096">
        <f t="shared" si="77"/>
        <v>30</v>
      </c>
      <c r="AL136" s="1096">
        <f t="shared" si="37"/>
        <v>30</v>
      </c>
      <c r="AM136" s="1143">
        <f t="shared" si="78"/>
        <v>0</v>
      </c>
    </row>
    <row r="137" spans="2:39" ht="12.75" customHeight="1" x14ac:dyDescent="0.2">
      <c r="B137" s="69"/>
      <c r="C137" s="90"/>
      <c r="D137" s="97" t="str">
        <f>IF(op!D69="","",op!D69)</f>
        <v/>
      </c>
      <c r="E137" s="97" t="str">
        <f>IF(op!E69=0,"",op!E69)</f>
        <v/>
      </c>
      <c r="F137" s="114" t="str">
        <f>IF(op!F69="","",op!F69+1)</f>
        <v/>
      </c>
      <c r="G137" s="377" t="str">
        <f>IF(op!G69="","",op!G69)</f>
        <v/>
      </c>
      <c r="H137" s="114" t="str">
        <f>IF(op!H69=0,"",op!H69)</f>
        <v/>
      </c>
      <c r="I137" s="129" t="str">
        <f>IF(J137="","",(IF(op!I69+1&gt;LOOKUP(H137,schaal2011,regels2011),op!I69,op!I69+1)))</f>
        <v/>
      </c>
      <c r="J137" s="378" t="str">
        <f>IF(op!J69="","",op!J69)</f>
        <v/>
      </c>
      <c r="K137" s="1194"/>
      <c r="L137" s="1065">
        <f t="shared" ref="L137:M137" si="99">IF(L69="",0,L69)</f>
        <v>0</v>
      </c>
      <c r="M137" s="1065">
        <f t="shared" si="99"/>
        <v>0</v>
      </c>
      <c r="N137" s="1077" t="str">
        <f t="shared" si="40"/>
        <v/>
      </c>
      <c r="O137" s="1077" t="str">
        <f t="shared" si="41"/>
        <v/>
      </c>
      <c r="P137" s="1172" t="str">
        <f t="shared" si="25"/>
        <v/>
      </c>
      <c r="Q137" s="91"/>
      <c r="R137" s="936" t="str">
        <f t="shared" si="42"/>
        <v/>
      </c>
      <c r="S137" s="936" t="str">
        <f t="shared" si="26"/>
        <v/>
      </c>
      <c r="T137" s="937" t="str">
        <f t="shared" si="27"/>
        <v/>
      </c>
      <c r="U137" s="361"/>
      <c r="V137" s="381"/>
      <c r="W137" s="375"/>
      <c r="X137" s="375"/>
      <c r="Y137" s="1120" t="e">
        <f>VLOOKUP(H137,tab!$A$73:$V$114,I137+2,FALSE)</f>
        <v>#VALUE!</v>
      </c>
      <c r="Z137" s="1211">
        <f>tab!$E$64</f>
        <v>0.62</v>
      </c>
      <c r="AA137" s="1163" t="e">
        <f t="shared" si="28"/>
        <v>#VALUE!</v>
      </c>
      <c r="AB137" s="1163" t="e">
        <f t="shared" si="29"/>
        <v>#VALUE!</v>
      </c>
      <c r="AC137" s="1163" t="e">
        <f t="shared" si="30"/>
        <v>#VALUE!</v>
      </c>
      <c r="AD137" s="1162" t="e">
        <f t="shared" si="31"/>
        <v>#VALUE!</v>
      </c>
      <c r="AE137" s="1162">
        <f t="shared" si="32"/>
        <v>0</v>
      </c>
      <c r="AF137" s="1129">
        <f>IF(H137&gt;8,tab!$D$65,tab!$D$67)</f>
        <v>0.5</v>
      </c>
      <c r="AG137" s="1143">
        <f t="shared" si="74"/>
        <v>0</v>
      </c>
      <c r="AH137" s="1159">
        <f t="shared" si="75"/>
        <v>0</v>
      </c>
      <c r="AI137" s="1142" t="e">
        <f>DATE(YEAR(tab!$F$3),MONTH(G137),DAY(G137))&gt;tab!$F$3</f>
        <v>#VALUE!</v>
      </c>
      <c r="AJ137" s="1143" t="e">
        <f t="shared" si="76"/>
        <v>#VALUE!</v>
      </c>
      <c r="AK137" s="1096">
        <f t="shared" si="77"/>
        <v>30</v>
      </c>
      <c r="AL137" s="1096">
        <f t="shared" si="37"/>
        <v>30</v>
      </c>
      <c r="AM137" s="1143">
        <f t="shared" si="78"/>
        <v>0</v>
      </c>
    </row>
    <row r="138" spans="2:39" x14ac:dyDescent="0.2">
      <c r="B138" s="69"/>
      <c r="C138" s="90"/>
      <c r="D138" s="97" t="str">
        <f>IF(op!D70="","",op!D70)</f>
        <v/>
      </c>
      <c r="E138" s="97" t="str">
        <f>IF(op!E70=0,"",op!E70)</f>
        <v/>
      </c>
      <c r="F138" s="114" t="str">
        <f>IF(op!F70="","",op!F70+1)</f>
        <v/>
      </c>
      <c r="G138" s="377" t="str">
        <f>IF(op!G70="","",op!G70)</f>
        <v/>
      </c>
      <c r="H138" s="114" t="str">
        <f>IF(op!H70=0,"",op!H70)</f>
        <v/>
      </c>
      <c r="I138" s="129" t="str">
        <f>IF(J138="","",(IF(op!I70+1&gt;LOOKUP(H138,schaal2011,regels2011),op!I70,op!I70+1)))</f>
        <v/>
      </c>
      <c r="J138" s="378" t="str">
        <f>IF(op!J70="","",op!J70)</f>
        <v/>
      </c>
      <c r="K138" s="1194"/>
      <c r="L138" s="1065">
        <f t="shared" ref="L138:M138" si="100">IF(L70="",0,L70)</f>
        <v>0</v>
      </c>
      <c r="M138" s="1065">
        <f t="shared" si="100"/>
        <v>0</v>
      </c>
      <c r="N138" s="1077" t="str">
        <f t="shared" si="40"/>
        <v/>
      </c>
      <c r="O138" s="1077" t="str">
        <f t="shared" si="41"/>
        <v/>
      </c>
      <c r="P138" s="1172" t="str">
        <f t="shared" si="25"/>
        <v/>
      </c>
      <c r="Q138" s="91"/>
      <c r="R138" s="936" t="str">
        <f t="shared" si="42"/>
        <v/>
      </c>
      <c r="S138" s="936" t="str">
        <f t="shared" si="26"/>
        <v/>
      </c>
      <c r="T138" s="937" t="str">
        <f t="shared" si="27"/>
        <v/>
      </c>
      <c r="U138" s="361"/>
      <c r="V138" s="381"/>
      <c r="W138" s="375"/>
      <c r="X138" s="375"/>
      <c r="Y138" s="1120" t="e">
        <f>VLOOKUP(H138,tab!$A$73:$V$114,I138+2,FALSE)</f>
        <v>#VALUE!</v>
      </c>
      <c r="Z138" s="1211">
        <f>tab!$E$64</f>
        <v>0.62</v>
      </c>
      <c r="AA138" s="1163" t="e">
        <f t="shared" si="28"/>
        <v>#VALUE!</v>
      </c>
      <c r="AB138" s="1163" t="e">
        <f t="shared" si="29"/>
        <v>#VALUE!</v>
      </c>
      <c r="AC138" s="1163" t="e">
        <f t="shared" si="30"/>
        <v>#VALUE!</v>
      </c>
      <c r="AD138" s="1162" t="e">
        <f t="shared" si="31"/>
        <v>#VALUE!</v>
      </c>
      <c r="AE138" s="1162">
        <f t="shared" si="32"/>
        <v>0</v>
      </c>
      <c r="AF138" s="1129">
        <f>IF(H138&gt;8,tab!$D$65,tab!$D$67)</f>
        <v>0.5</v>
      </c>
      <c r="AG138" s="1143">
        <f t="shared" si="74"/>
        <v>0</v>
      </c>
      <c r="AH138" s="1159">
        <f t="shared" si="75"/>
        <v>0</v>
      </c>
      <c r="AI138" s="1142" t="e">
        <f>DATE(YEAR(tab!$F$3),MONTH(G138),DAY(G138))&gt;tab!$F$3</f>
        <v>#VALUE!</v>
      </c>
      <c r="AJ138" s="1143" t="e">
        <f t="shared" si="76"/>
        <v>#VALUE!</v>
      </c>
      <c r="AK138" s="1096">
        <f t="shared" si="77"/>
        <v>30</v>
      </c>
      <c r="AL138" s="1096">
        <f t="shared" si="37"/>
        <v>30</v>
      </c>
      <c r="AM138" s="1143">
        <f t="shared" si="78"/>
        <v>0</v>
      </c>
    </row>
    <row r="139" spans="2:39" x14ac:dyDescent="0.2">
      <c r="B139" s="69"/>
      <c r="C139" s="98"/>
      <c r="D139" s="227"/>
      <c r="E139" s="436"/>
      <c r="F139" s="436"/>
      <c r="G139" s="437"/>
      <c r="H139" s="436"/>
      <c r="I139" s="438"/>
      <c r="J139" s="953">
        <f>SUM(J84:J138)</f>
        <v>1</v>
      </c>
      <c r="K139" s="1195"/>
      <c r="L139" s="1161">
        <f>SUM(L84:L138)</f>
        <v>0</v>
      </c>
      <c r="M139" s="1161">
        <f>SUM(M84:M138)</f>
        <v>0</v>
      </c>
      <c r="N139" s="1161">
        <f>SUM(N84:N138)</f>
        <v>40</v>
      </c>
      <c r="O139" s="953">
        <f t="shared" ref="O139:P139" si="101">SUM(O84:O138)</f>
        <v>0</v>
      </c>
      <c r="P139" s="1161">
        <f t="shared" si="101"/>
        <v>40</v>
      </c>
      <c r="Q139" s="227"/>
      <c r="R139" s="954">
        <f t="shared" ref="R139:T139" si="102">SUM(R84:R138)</f>
        <v>90037.713417721519</v>
      </c>
      <c r="S139" s="954">
        <f t="shared" si="102"/>
        <v>2224.5265822784813</v>
      </c>
      <c r="T139" s="954">
        <f t="shared" si="102"/>
        <v>92262.24</v>
      </c>
      <c r="U139" s="106"/>
      <c r="V139" s="73"/>
      <c r="Y139" s="1121" t="e">
        <f>SUM(Y84:Y138)</f>
        <v>#VALUE!</v>
      </c>
      <c r="AA139" s="1121"/>
      <c r="AB139" s="1121" t="e">
        <f>SUM(AB84:AB138)</f>
        <v>#VALUE!</v>
      </c>
      <c r="AC139" s="1121"/>
      <c r="AF139" s="1145"/>
      <c r="AG139" s="1146">
        <f>SUM(AG84:AG138)</f>
        <v>0</v>
      </c>
      <c r="AH139" s="1155">
        <f>SUM(AH84:AH138)</f>
        <v>0</v>
      </c>
      <c r="AI139" s="1144"/>
      <c r="AJ139" s="1144"/>
    </row>
    <row r="140" spans="2:39" x14ac:dyDescent="0.2">
      <c r="B140" s="69"/>
      <c r="H140" s="174"/>
      <c r="K140" s="1196"/>
      <c r="Q140" s="281"/>
      <c r="R140" s="439"/>
      <c r="S140" s="416"/>
      <c r="V140" s="73"/>
      <c r="Y140" s="1093"/>
      <c r="AA140" s="1121"/>
      <c r="AB140" s="1121"/>
      <c r="AC140" s="1121"/>
      <c r="AF140" s="1145"/>
      <c r="AG140" s="1146"/>
      <c r="AH140" s="1155"/>
    </row>
    <row r="141" spans="2:39" ht="12.75" customHeight="1" x14ac:dyDescent="0.2">
      <c r="B141" s="171"/>
      <c r="C141" s="172"/>
      <c r="D141" s="405"/>
      <c r="E141" s="405"/>
      <c r="F141" s="406"/>
      <c r="G141" s="407"/>
      <c r="H141" s="406"/>
      <c r="I141" s="408"/>
      <c r="J141" s="410"/>
      <c r="K141" s="1198"/>
      <c r="L141" s="1069"/>
      <c r="M141" s="1069"/>
      <c r="N141" s="1069"/>
      <c r="O141" s="1069"/>
      <c r="P141" s="151"/>
      <c r="Q141" s="405"/>
      <c r="R141" s="450"/>
      <c r="S141" s="449"/>
      <c r="T141" s="449"/>
      <c r="U141" s="172"/>
      <c r="V141" s="173"/>
      <c r="Y141" s="1093"/>
      <c r="AA141" s="1121"/>
      <c r="AB141" s="1121"/>
      <c r="AC141" s="1121"/>
      <c r="AF141" s="1145"/>
      <c r="AG141" s="1146"/>
      <c r="AH141" s="1155"/>
    </row>
    <row r="142" spans="2:39" ht="12.75" customHeight="1" x14ac:dyDescent="0.2">
      <c r="H142" s="174"/>
      <c r="K142" s="1196"/>
      <c r="Q142" s="281"/>
      <c r="R142" s="439"/>
      <c r="S142" s="416"/>
      <c r="Y142" s="1093"/>
      <c r="AA142" s="1121"/>
      <c r="AB142" s="1121"/>
      <c r="AC142" s="1121"/>
      <c r="AF142" s="1145"/>
      <c r="AG142" s="1146"/>
      <c r="AH142" s="1155"/>
    </row>
    <row r="143" spans="2:39" ht="12.75" customHeight="1" x14ac:dyDescent="0.2">
      <c r="H143" s="174"/>
      <c r="K143" s="1196"/>
      <c r="Q143" s="281"/>
      <c r="R143" s="439"/>
      <c r="S143" s="416"/>
      <c r="Y143" s="1093"/>
      <c r="AA143" s="1121"/>
      <c r="AB143" s="1121"/>
      <c r="AC143" s="1121"/>
      <c r="AF143" s="1145"/>
      <c r="AG143" s="1146"/>
      <c r="AH143" s="1155"/>
    </row>
    <row r="144" spans="2:39" ht="12.75" customHeight="1" x14ac:dyDescent="0.2">
      <c r="C144" s="68" t="s">
        <v>195</v>
      </c>
      <c r="E144" s="415" t="str">
        <f>dir!E54</f>
        <v>2017/18</v>
      </c>
      <c r="H144" s="174"/>
      <c r="K144" s="1196"/>
      <c r="Q144" s="281"/>
      <c r="R144" s="439"/>
      <c r="S144" s="416"/>
      <c r="Y144" s="1093"/>
      <c r="AA144" s="1121"/>
      <c r="AB144" s="1121"/>
      <c r="AC144" s="1121"/>
      <c r="AF144" s="1145"/>
      <c r="AG144" s="1146"/>
      <c r="AH144" s="1155"/>
    </row>
    <row r="145" spans="2:40" ht="12.75" customHeight="1" x14ac:dyDescent="0.2">
      <c r="C145" s="68" t="s">
        <v>217</v>
      </c>
      <c r="E145" s="415">
        <f>dir!E55</f>
        <v>43009</v>
      </c>
      <c r="H145" s="174"/>
      <c r="K145" s="1196"/>
      <c r="Q145" s="281"/>
      <c r="R145" s="439"/>
      <c r="S145" s="416"/>
      <c r="Y145" s="1093"/>
      <c r="AA145" s="1121"/>
      <c r="AB145" s="1121"/>
      <c r="AC145" s="1121"/>
      <c r="AF145" s="1145"/>
      <c r="AG145" s="1146"/>
      <c r="AH145" s="1155"/>
    </row>
    <row r="146" spans="2:40" ht="12.75" customHeight="1" x14ac:dyDescent="0.2">
      <c r="D146" s="451"/>
      <c r="E146" s="451"/>
      <c r="F146" s="452"/>
      <c r="G146" s="453"/>
      <c r="H146" s="454"/>
      <c r="I146" s="454"/>
      <c r="J146" s="455"/>
      <c r="K146" s="1196"/>
      <c r="L146" s="1070"/>
      <c r="M146" s="1070"/>
      <c r="N146" s="1070"/>
      <c r="O146" s="1070"/>
      <c r="P146" s="1070"/>
      <c r="Q146" s="281"/>
      <c r="R146" s="457"/>
      <c r="S146" s="456"/>
      <c r="T146" s="456"/>
      <c r="Y146" s="1093"/>
      <c r="Z146" s="1184"/>
      <c r="AA146" s="1164"/>
      <c r="AB146" s="1164"/>
      <c r="AC146" s="1164"/>
      <c r="AD146" s="1148"/>
      <c r="AE146" s="1148"/>
      <c r="AF146" s="1149"/>
      <c r="AG146" s="1150"/>
      <c r="AH146" s="1156"/>
      <c r="AI146" s="1144"/>
      <c r="AJ146" s="1144"/>
    </row>
    <row r="147" spans="2:40" ht="12.75" customHeight="1" x14ac:dyDescent="0.2">
      <c r="C147" s="432"/>
      <c r="D147" s="921"/>
      <c r="E147" s="920"/>
      <c r="F147" s="900"/>
      <c r="G147" s="922"/>
      <c r="H147" s="923"/>
      <c r="I147" s="923"/>
      <c r="J147" s="924"/>
      <c r="K147" s="1190"/>
      <c r="L147" s="1016"/>
      <c r="M147" s="1016"/>
      <c r="N147" s="1016"/>
      <c r="O147" s="1016"/>
      <c r="P147" s="1169"/>
      <c r="Q147" s="925"/>
      <c r="R147" s="925"/>
      <c r="S147" s="925"/>
      <c r="T147" s="926"/>
      <c r="U147" s="906"/>
    </row>
    <row r="148" spans="2:40" s="106" customFormat="1" ht="12.75" customHeight="1" x14ac:dyDescent="0.2">
      <c r="B148" s="68"/>
      <c r="C148" s="183"/>
      <c r="D148" s="1074" t="s">
        <v>335</v>
      </c>
      <c r="E148" s="1075"/>
      <c r="F148" s="1075"/>
      <c r="G148" s="1075"/>
      <c r="H148" s="1076"/>
      <c r="I148" s="1076"/>
      <c r="J148" s="1076"/>
      <c r="K148" s="1191"/>
      <c r="L148" s="1074" t="s">
        <v>561</v>
      </c>
      <c r="M148" s="1064"/>
      <c r="N148" s="1074"/>
      <c r="O148" s="1074"/>
      <c r="P148" s="1170"/>
      <c r="Q148" s="927"/>
      <c r="R148" s="1074" t="s">
        <v>563</v>
      </c>
      <c r="S148" s="1076"/>
      <c r="T148" s="1153"/>
      <c r="U148" s="944"/>
      <c r="V148" s="68"/>
      <c r="W148" s="68"/>
      <c r="X148" s="68"/>
      <c r="Y148" s="1094"/>
      <c r="Z148" s="1126"/>
      <c r="AA148" s="1094"/>
      <c r="AB148" s="1094"/>
      <c r="AC148" s="1094"/>
      <c r="AD148" s="1125"/>
      <c r="AE148" s="1125"/>
      <c r="AF148" s="1126"/>
      <c r="AG148" s="1151"/>
      <c r="AH148" s="1160"/>
      <c r="AI148" s="1141"/>
      <c r="AJ148" s="1141"/>
      <c r="AK148" s="1141"/>
      <c r="AL148" s="1141"/>
      <c r="AM148" s="1141"/>
      <c r="AN148" s="365"/>
    </row>
    <row r="149" spans="2:40" s="106" customFormat="1" ht="12.75" customHeight="1" x14ac:dyDescent="0.2">
      <c r="B149" s="68"/>
      <c r="C149" s="183"/>
      <c r="D149" s="886" t="s">
        <v>549</v>
      </c>
      <c r="E149" s="886" t="s">
        <v>201</v>
      </c>
      <c r="F149" s="929" t="s">
        <v>147</v>
      </c>
      <c r="G149" s="930" t="s">
        <v>325</v>
      </c>
      <c r="H149" s="929" t="s">
        <v>231</v>
      </c>
      <c r="I149" s="929" t="s">
        <v>262</v>
      </c>
      <c r="J149" s="931" t="s">
        <v>150</v>
      </c>
      <c r="K149" s="1192"/>
      <c r="L149" s="932" t="s">
        <v>544</v>
      </c>
      <c r="M149" s="932" t="s">
        <v>537</v>
      </c>
      <c r="N149" s="932" t="s">
        <v>551</v>
      </c>
      <c r="O149" s="932" t="s">
        <v>544</v>
      </c>
      <c r="P149" s="1171" t="s">
        <v>556</v>
      </c>
      <c r="Q149" s="898"/>
      <c r="R149" s="1073" t="s">
        <v>216</v>
      </c>
      <c r="S149" s="934" t="s">
        <v>562</v>
      </c>
      <c r="T149" s="935" t="s">
        <v>216</v>
      </c>
      <c r="U149" s="945"/>
      <c r="V149" s="68"/>
      <c r="W149" s="68"/>
      <c r="X149" s="68"/>
      <c r="Y149" s="1127" t="s">
        <v>361</v>
      </c>
      <c r="Z149" s="1182" t="s">
        <v>548</v>
      </c>
      <c r="AA149" s="1115" t="s">
        <v>557</v>
      </c>
      <c r="AB149" s="1115" t="s">
        <v>557</v>
      </c>
      <c r="AC149" s="1115" t="s">
        <v>560</v>
      </c>
      <c r="AD149" s="1128" t="s">
        <v>542</v>
      </c>
      <c r="AE149" s="1128" t="s">
        <v>543</v>
      </c>
      <c r="AF149" s="1114" t="s">
        <v>539</v>
      </c>
      <c r="AG149" s="1152" t="s">
        <v>343</v>
      </c>
      <c r="AH149" s="1160" t="s">
        <v>468</v>
      </c>
      <c r="AI149" s="1114" t="s">
        <v>328</v>
      </c>
      <c r="AJ149" s="1114" t="s">
        <v>329</v>
      </c>
      <c r="AK149" s="1114" t="s">
        <v>149</v>
      </c>
      <c r="AL149" s="1114" t="s">
        <v>228</v>
      </c>
      <c r="AM149" s="1128" t="s">
        <v>203</v>
      </c>
      <c r="AN149" s="369"/>
    </row>
    <row r="150" spans="2:40" s="106" customFormat="1" ht="12.75" customHeight="1" x14ac:dyDescent="0.2">
      <c r="B150" s="68"/>
      <c r="C150" s="183"/>
      <c r="D150" s="1075"/>
      <c r="E150" s="886"/>
      <c r="F150" s="929" t="s">
        <v>148</v>
      </c>
      <c r="G150" s="930" t="s">
        <v>326</v>
      </c>
      <c r="H150" s="929"/>
      <c r="I150" s="929"/>
      <c r="J150" s="931"/>
      <c r="K150" s="1192"/>
      <c r="L150" s="932" t="s">
        <v>545</v>
      </c>
      <c r="M150" s="932" t="s">
        <v>547</v>
      </c>
      <c r="N150" s="932" t="s">
        <v>552</v>
      </c>
      <c r="O150" s="932" t="s">
        <v>546</v>
      </c>
      <c r="P150" s="1171" t="s">
        <v>320</v>
      </c>
      <c r="Q150" s="898"/>
      <c r="R150" s="902" t="s">
        <v>554</v>
      </c>
      <c r="S150" s="934" t="s">
        <v>538</v>
      </c>
      <c r="T150" s="935" t="s">
        <v>320</v>
      </c>
      <c r="U150" s="906"/>
      <c r="V150" s="68"/>
      <c r="W150" s="68"/>
      <c r="X150" s="68"/>
      <c r="Y150" s="1127" t="s">
        <v>223</v>
      </c>
      <c r="Z150" s="1183">
        <f>tab!$E$64</f>
        <v>0.62</v>
      </c>
      <c r="AA150" s="1115" t="s">
        <v>558</v>
      </c>
      <c r="AB150" s="1115" t="s">
        <v>559</v>
      </c>
      <c r="AC150" s="1115" t="s">
        <v>555</v>
      </c>
      <c r="AD150" s="1128" t="s">
        <v>541</v>
      </c>
      <c r="AE150" s="1128" t="s">
        <v>541</v>
      </c>
      <c r="AF150" s="1114" t="s">
        <v>540</v>
      </c>
      <c r="AG150" s="1152"/>
      <c r="AH150" s="1159" t="s">
        <v>261</v>
      </c>
      <c r="AI150" s="1128" t="s">
        <v>327</v>
      </c>
      <c r="AJ150" s="1128" t="s">
        <v>327</v>
      </c>
      <c r="AK150" s="1114"/>
      <c r="AL150" s="1114" t="s">
        <v>203</v>
      </c>
      <c r="AM150" s="1128"/>
      <c r="AN150" s="434"/>
    </row>
    <row r="151" spans="2:40" ht="12.75" customHeight="1" x14ac:dyDescent="0.2">
      <c r="C151" s="90"/>
      <c r="D151" s="942"/>
      <c r="E151" s="942"/>
      <c r="F151" s="899"/>
      <c r="G151" s="946"/>
      <c r="H151" s="929"/>
      <c r="I151" s="929"/>
      <c r="J151" s="931"/>
      <c r="K151" s="1193"/>
      <c r="L151" s="932"/>
      <c r="M151" s="932"/>
      <c r="N151" s="932"/>
      <c r="O151" s="932"/>
      <c r="P151" s="1171"/>
      <c r="Q151" s="1072"/>
      <c r="R151" s="947"/>
      <c r="S151" s="947"/>
      <c r="T151" s="948"/>
      <c r="U151" s="906"/>
      <c r="Y151" s="1127"/>
      <c r="Z151" s="1113"/>
      <c r="AA151" s="1113"/>
      <c r="AB151" s="1113"/>
      <c r="AC151" s="1113"/>
      <c r="AD151" s="1128"/>
      <c r="AE151" s="1128"/>
      <c r="AF151" s="1113"/>
      <c r="AG151" s="1152"/>
      <c r="AH151" s="1159"/>
      <c r="AM151" s="1128"/>
      <c r="AN151" s="375"/>
    </row>
    <row r="152" spans="2:40" ht="12.75" customHeight="1" x14ac:dyDescent="0.2">
      <c r="C152" s="90"/>
      <c r="D152" s="97" t="str">
        <f>IF(op!D84="","",op!D84)</f>
        <v/>
      </c>
      <c r="E152" s="97" t="str">
        <f>IF(op!E84=0,"",op!E84)</f>
        <v>nn</v>
      </c>
      <c r="F152" s="114">
        <f>IF(op!F84="","",op!F84+1)</f>
        <v>27</v>
      </c>
      <c r="G152" s="377">
        <f>IF(op!G84="","",op!G84)</f>
        <v>26665</v>
      </c>
      <c r="H152" s="114" t="str">
        <f>IF(op!H84=0,"",op!H84)</f>
        <v>LE</v>
      </c>
      <c r="I152" s="129">
        <f>IF(J152="","",(IF(op!I84+1&gt;LOOKUP(H152,schaal2011,regels2011),op!I84,op!I84+1)))</f>
        <v>12</v>
      </c>
      <c r="J152" s="378">
        <f>IF(op!J84="","",op!J84)</f>
        <v>1</v>
      </c>
      <c r="K152" s="1194"/>
      <c r="L152" s="1065">
        <f t="shared" ref="L152:M171" si="103">IF(L84="","",L84)</f>
        <v>0</v>
      </c>
      <c r="M152" s="1065">
        <f t="shared" si="103"/>
        <v>0</v>
      </c>
      <c r="N152" s="1077">
        <f>IF(J152="","",IF((J152*40)&gt;40,40,((J152*40))))</f>
        <v>40</v>
      </c>
      <c r="O152" s="1077">
        <f>IF(J152="","",IF(I152&lt;4,(40*J152),0))</f>
        <v>0</v>
      </c>
      <c r="P152" s="1172">
        <f t="shared" ref="P152:P206" si="104">IF(J152="","",(SUM(L152:O152)))</f>
        <v>40</v>
      </c>
      <c r="Q152" s="91"/>
      <c r="R152" s="936">
        <f>IF(J152="","",(((1659*J152)-P152)*AB152))</f>
        <v>92940.319855334543</v>
      </c>
      <c r="S152" s="936">
        <f t="shared" ref="S152:S206" si="105">IF(J152="","",(P152*AC152)+(AA152*AD152)+((AE152*AA152*(1-AF152))))</f>
        <v>2296.2401446654612</v>
      </c>
      <c r="T152" s="937">
        <f t="shared" ref="T152:T206" si="106">IF(J152="","",(R152+S152))</f>
        <v>95236.56</v>
      </c>
      <c r="U152" s="361"/>
      <c r="V152" s="375"/>
      <c r="W152" s="375"/>
      <c r="X152" s="375"/>
      <c r="Y152" s="1120">
        <f>VLOOKUP(H152,tab!$A$73:$V$114,I152+2,FALSE)</f>
        <v>4899</v>
      </c>
      <c r="Z152" s="1211">
        <f>tab!$E$64</f>
        <v>0.62</v>
      </c>
      <c r="AA152" s="1163">
        <f t="shared" ref="AA152:AA206" si="107">(Y152*12/1659)</f>
        <v>35.43580470162749</v>
      </c>
      <c r="AB152" s="1163">
        <f t="shared" ref="AB152:AB206" si="108">(Y152*12*(1+Z152))/1659</f>
        <v>57.406003616636532</v>
      </c>
      <c r="AC152" s="1163">
        <f t="shared" ref="AC152:AC206" si="109">AB152-AA152</f>
        <v>21.970198915009043</v>
      </c>
      <c r="AD152" s="1162">
        <f t="shared" ref="AD152:AD206" si="110">(N152+O152)</f>
        <v>40</v>
      </c>
      <c r="AE152" s="1162">
        <f t="shared" ref="AE152:AE206" si="111">(L152+M152)</f>
        <v>0</v>
      </c>
      <c r="AF152" s="1129">
        <f>IF(H152&gt;8,tab!$D$65,tab!$D$67)</f>
        <v>0.5</v>
      </c>
      <c r="AG152" s="1143">
        <f t="shared" ref="AG152:AG183" si="112">IF(F152&lt;25,0,IF(F152=25,25,IF(F152&lt;40,0,IF(F152=40,40,IF(F152&gt;=40,0)))))</f>
        <v>0</v>
      </c>
      <c r="AH152" s="1159">
        <f t="shared" ref="AH152:AH183" si="113">IF(AG152=25,(Y152*1.08*(J152)/2),IF(AG152=40,(Y152*1.08*(J152)),IF(AG152=0,0)))</f>
        <v>0</v>
      </c>
      <c r="AI152" s="1142" t="b">
        <f>DATE(YEAR(tab!$G$3),MONTH(G152),DAY(G152))&gt;tab!$G$3</f>
        <v>0</v>
      </c>
      <c r="AJ152" s="1143">
        <f t="shared" ref="AJ152:AJ183" si="114">YEAR($E$145)-YEAR(G152)-AI152</f>
        <v>44</v>
      </c>
      <c r="AK152" s="1096">
        <f t="shared" ref="AK152:AK183" si="115">IF((G152=""),30,AJ152)</f>
        <v>44</v>
      </c>
      <c r="AL152" s="1096">
        <f t="shared" ref="AL152:AL183" si="116">IF((AK152)&gt;50,50,(AK152))</f>
        <v>44</v>
      </c>
      <c r="AM152" s="1143">
        <f t="shared" ref="AM152:AM183" si="117">ROUND((AL152*(SUM(J152:J152))),2)</f>
        <v>44</v>
      </c>
    </row>
    <row r="153" spans="2:40" ht="12.75" customHeight="1" x14ac:dyDescent="0.2">
      <c r="C153" s="90"/>
      <c r="D153" s="97" t="str">
        <f>IF(op!D85="","",op!D85)</f>
        <v/>
      </c>
      <c r="E153" s="97" t="str">
        <f>IF(op!E85=0,"",op!E85)</f>
        <v/>
      </c>
      <c r="F153" s="114" t="str">
        <f>IF(op!F85="","",op!F85+1)</f>
        <v/>
      </c>
      <c r="G153" s="377" t="str">
        <f>IF(op!G85="","",op!G85)</f>
        <v/>
      </c>
      <c r="H153" s="114" t="str">
        <f>IF(op!H85=0,"",op!H85)</f>
        <v/>
      </c>
      <c r="I153" s="129" t="str">
        <f>IF(J153="","",(IF(op!I85+1&gt;LOOKUP(H153,schaal2011,regels2011),op!I85,op!I85+1)))</f>
        <v/>
      </c>
      <c r="J153" s="378" t="str">
        <f>IF(op!J85="","",op!J85)</f>
        <v/>
      </c>
      <c r="K153" s="1194"/>
      <c r="L153" s="1065">
        <f t="shared" si="103"/>
        <v>0</v>
      </c>
      <c r="M153" s="1065">
        <f t="shared" si="103"/>
        <v>0</v>
      </c>
      <c r="N153" s="1077" t="str">
        <f t="shared" ref="N153:N206" si="118">IF(J153="","",IF((J153*40)&gt;40,40,((J153*40))))</f>
        <v/>
      </c>
      <c r="O153" s="1077" t="str">
        <f t="shared" ref="O153:O206" si="119">IF(J153="","",IF(I153&lt;4,(40*J153),0))</f>
        <v/>
      </c>
      <c r="P153" s="1172" t="str">
        <f t="shared" si="104"/>
        <v/>
      </c>
      <c r="Q153" s="91"/>
      <c r="R153" s="936" t="str">
        <f t="shared" ref="R153:R206" si="120">IF(J153="","",(((1659*J153)-P153)*AB153))</f>
        <v/>
      </c>
      <c r="S153" s="936" t="str">
        <f t="shared" si="105"/>
        <v/>
      </c>
      <c r="T153" s="937" t="str">
        <f t="shared" si="106"/>
        <v/>
      </c>
      <c r="U153" s="361"/>
      <c r="V153" s="375"/>
      <c r="W153" s="375"/>
      <c r="X153" s="375"/>
      <c r="Y153" s="1120" t="e">
        <f>VLOOKUP(H153,tab!$A$73:$V$114,I153+2,FALSE)</f>
        <v>#VALUE!</v>
      </c>
      <c r="Z153" s="1211">
        <f>tab!$E$64</f>
        <v>0.62</v>
      </c>
      <c r="AA153" s="1163" t="e">
        <f t="shared" si="107"/>
        <v>#VALUE!</v>
      </c>
      <c r="AB153" s="1163" t="e">
        <f t="shared" si="108"/>
        <v>#VALUE!</v>
      </c>
      <c r="AC153" s="1163" t="e">
        <f t="shared" si="109"/>
        <v>#VALUE!</v>
      </c>
      <c r="AD153" s="1162" t="e">
        <f t="shared" si="110"/>
        <v>#VALUE!</v>
      </c>
      <c r="AE153" s="1162">
        <f t="shared" si="111"/>
        <v>0</v>
      </c>
      <c r="AF153" s="1129">
        <f>IF(H153&gt;8,tab!$D$65,tab!$D$67)</f>
        <v>0.5</v>
      </c>
      <c r="AG153" s="1143">
        <f t="shared" si="112"/>
        <v>0</v>
      </c>
      <c r="AH153" s="1159">
        <f t="shared" si="113"/>
        <v>0</v>
      </c>
      <c r="AI153" s="1142" t="e">
        <f>DATE(YEAR(tab!$G$3),MONTH(G153),DAY(G153))&gt;tab!$G$3</f>
        <v>#VALUE!</v>
      </c>
      <c r="AJ153" s="1143" t="e">
        <f t="shared" si="114"/>
        <v>#VALUE!</v>
      </c>
      <c r="AK153" s="1096">
        <f t="shared" si="115"/>
        <v>30</v>
      </c>
      <c r="AL153" s="1096">
        <f t="shared" si="116"/>
        <v>30</v>
      </c>
      <c r="AM153" s="1143">
        <f t="shared" si="117"/>
        <v>0</v>
      </c>
    </row>
    <row r="154" spans="2:40" ht="12.75" customHeight="1" x14ac:dyDescent="0.2">
      <c r="C154" s="90"/>
      <c r="D154" s="97" t="str">
        <f>IF(op!D86="","",op!D86)</f>
        <v/>
      </c>
      <c r="E154" s="97" t="str">
        <f>IF(op!E86=0,"",op!E86)</f>
        <v/>
      </c>
      <c r="F154" s="114" t="str">
        <f>IF(op!F86="","",op!F86+1)</f>
        <v/>
      </c>
      <c r="G154" s="377" t="str">
        <f>IF(op!G86="","",op!G86)</f>
        <v/>
      </c>
      <c r="H154" s="114" t="str">
        <f>IF(op!H86=0,"",op!H86)</f>
        <v/>
      </c>
      <c r="I154" s="129" t="str">
        <f>IF(J154="","",(IF(op!I86+1&gt;LOOKUP(H154,schaal2011,regels2011),op!I86,op!I86+1)))</f>
        <v/>
      </c>
      <c r="J154" s="378" t="str">
        <f>IF(op!J86="","",op!J86)</f>
        <v/>
      </c>
      <c r="K154" s="1194"/>
      <c r="L154" s="1065">
        <f t="shared" si="103"/>
        <v>0</v>
      </c>
      <c r="M154" s="1065">
        <f t="shared" si="103"/>
        <v>0</v>
      </c>
      <c r="N154" s="1077" t="str">
        <f t="shared" si="118"/>
        <v/>
      </c>
      <c r="O154" s="1077" t="str">
        <f t="shared" si="119"/>
        <v/>
      </c>
      <c r="P154" s="1172" t="str">
        <f t="shared" si="104"/>
        <v/>
      </c>
      <c r="Q154" s="91"/>
      <c r="R154" s="936" t="str">
        <f t="shared" si="120"/>
        <v/>
      </c>
      <c r="S154" s="936" t="str">
        <f t="shared" si="105"/>
        <v/>
      </c>
      <c r="T154" s="937" t="str">
        <f t="shared" si="106"/>
        <v/>
      </c>
      <c r="U154" s="361"/>
      <c r="V154" s="375"/>
      <c r="W154" s="375"/>
      <c r="X154" s="375"/>
      <c r="Y154" s="1120" t="e">
        <f>VLOOKUP(H154,tab!$A$73:$V$114,I154+2,FALSE)</f>
        <v>#VALUE!</v>
      </c>
      <c r="Z154" s="1211">
        <f>tab!$E$64</f>
        <v>0.62</v>
      </c>
      <c r="AA154" s="1163" t="e">
        <f t="shared" si="107"/>
        <v>#VALUE!</v>
      </c>
      <c r="AB154" s="1163" t="e">
        <f t="shared" si="108"/>
        <v>#VALUE!</v>
      </c>
      <c r="AC154" s="1163" t="e">
        <f t="shared" si="109"/>
        <v>#VALUE!</v>
      </c>
      <c r="AD154" s="1162" t="e">
        <f t="shared" si="110"/>
        <v>#VALUE!</v>
      </c>
      <c r="AE154" s="1162">
        <f t="shared" si="111"/>
        <v>0</v>
      </c>
      <c r="AF154" s="1129">
        <f>IF(H154&gt;8,tab!$D$65,tab!$D$67)</f>
        <v>0.5</v>
      </c>
      <c r="AG154" s="1143">
        <f t="shared" si="112"/>
        <v>0</v>
      </c>
      <c r="AH154" s="1159">
        <f t="shared" si="113"/>
        <v>0</v>
      </c>
      <c r="AI154" s="1142" t="e">
        <f>DATE(YEAR(tab!$G$3),MONTH(G154),DAY(G154))&gt;tab!$G$3</f>
        <v>#VALUE!</v>
      </c>
      <c r="AJ154" s="1143" t="e">
        <f t="shared" si="114"/>
        <v>#VALUE!</v>
      </c>
      <c r="AK154" s="1096">
        <f t="shared" si="115"/>
        <v>30</v>
      </c>
      <c r="AL154" s="1096">
        <f t="shared" si="116"/>
        <v>30</v>
      </c>
      <c r="AM154" s="1143">
        <f t="shared" si="117"/>
        <v>0</v>
      </c>
    </row>
    <row r="155" spans="2:40" ht="12.75" customHeight="1" x14ac:dyDescent="0.2">
      <c r="C155" s="90"/>
      <c r="D155" s="97" t="str">
        <f>IF(op!D87="","",op!D87)</f>
        <v/>
      </c>
      <c r="E155" s="97" t="str">
        <f>IF(op!E87=0,"",op!E87)</f>
        <v/>
      </c>
      <c r="F155" s="114" t="str">
        <f>IF(op!F87="","",op!F87+1)</f>
        <v/>
      </c>
      <c r="G155" s="377" t="str">
        <f>IF(op!G87="","",op!G87)</f>
        <v/>
      </c>
      <c r="H155" s="114" t="str">
        <f>IF(op!H87=0,"",op!H87)</f>
        <v/>
      </c>
      <c r="I155" s="129" t="str">
        <f>IF(J155="","",(IF(op!I87+1&gt;LOOKUP(H155,schaal2011,regels2011),op!I87,op!I87+1)))</f>
        <v/>
      </c>
      <c r="J155" s="378" t="str">
        <f>IF(op!J87="","",op!J87)</f>
        <v/>
      </c>
      <c r="K155" s="1194"/>
      <c r="L155" s="1065">
        <f t="shared" si="103"/>
        <v>0</v>
      </c>
      <c r="M155" s="1065">
        <f t="shared" si="103"/>
        <v>0</v>
      </c>
      <c r="N155" s="1077" t="str">
        <f t="shared" si="118"/>
        <v/>
      </c>
      <c r="O155" s="1077" t="str">
        <f t="shared" si="119"/>
        <v/>
      </c>
      <c r="P155" s="1172" t="str">
        <f t="shared" si="104"/>
        <v/>
      </c>
      <c r="Q155" s="91"/>
      <c r="R155" s="936" t="str">
        <f t="shared" si="120"/>
        <v/>
      </c>
      <c r="S155" s="936" t="str">
        <f t="shared" si="105"/>
        <v/>
      </c>
      <c r="T155" s="937" t="str">
        <f t="shared" si="106"/>
        <v/>
      </c>
      <c r="U155" s="361"/>
      <c r="V155" s="375"/>
      <c r="W155" s="375"/>
      <c r="X155" s="375"/>
      <c r="Y155" s="1120" t="e">
        <f>VLOOKUP(H155,tab!$A$73:$V$114,I155+2,FALSE)</f>
        <v>#VALUE!</v>
      </c>
      <c r="Z155" s="1211">
        <f>tab!$E$64</f>
        <v>0.62</v>
      </c>
      <c r="AA155" s="1163" t="e">
        <f t="shared" si="107"/>
        <v>#VALUE!</v>
      </c>
      <c r="AB155" s="1163" t="e">
        <f t="shared" si="108"/>
        <v>#VALUE!</v>
      </c>
      <c r="AC155" s="1163" t="e">
        <f t="shared" si="109"/>
        <v>#VALUE!</v>
      </c>
      <c r="AD155" s="1162" t="e">
        <f t="shared" si="110"/>
        <v>#VALUE!</v>
      </c>
      <c r="AE155" s="1162">
        <f t="shared" si="111"/>
        <v>0</v>
      </c>
      <c r="AF155" s="1129">
        <f>IF(H155&gt;8,tab!$D$65,tab!$D$67)</f>
        <v>0.5</v>
      </c>
      <c r="AG155" s="1143">
        <f t="shared" si="112"/>
        <v>0</v>
      </c>
      <c r="AH155" s="1159">
        <f t="shared" si="113"/>
        <v>0</v>
      </c>
      <c r="AI155" s="1142" t="e">
        <f>DATE(YEAR(tab!$G$3),MONTH(G155),DAY(G155))&gt;tab!$G$3</f>
        <v>#VALUE!</v>
      </c>
      <c r="AJ155" s="1143" t="e">
        <f t="shared" si="114"/>
        <v>#VALUE!</v>
      </c>
      <c r="AK155" s="1096">
        <f t="shared" si="115"/>
        <v>30</v>
      </c>
      <c r="AL155" s="1096">
        <f t="shared" si="116"/>
        <v>30</v>
      </c>
      <c r="AM155" s="1143">
        <f t="shared" si="117"/>
        <v>0</v>
      </c>
    </row>
    <row r="156" spans="2:40" ht="12.75" customHeight="1" x14ac:dyDescent="0.2">
      <c r="C156" s="90"/>
      <c r="D156" s="97" t="str">
        <f>IF(op!D88="","",op!D88)</f>
        <v/>
      </c>
      <c r="E156" s="97" t="str">
        <f>IF(op!E88=0,"",op!E88)</f>
        <v/>
      </c>
      <c r="F156" s="114" t="str">
        <f>IF(op!F88="","",op!F88+1)</f>
        <v/>
      </c>
      <c r="G156" s="377" t="str">
        <f>IF(op!G88="","",op!G88)</f>
        <v/>
      </c>
      <c r="H156" s="114" t="str">
        <f>IF(op!H88=0,"",op!H88)</f>
        <v/>
      </c>
      <c r="I156" s="129" t="str">
        <f>IF(J156="","",(IF(op!I88+1&gt;LOOKUP(H156,schaal2011,regels2011),op!I88,op!I88+1)))</f>
        <v/>
      </c>
      <c r="J156" s="378" t="str">
        <f>IF(op!J88="","",op!J88)</f>
        <v/>
      </c>
      <c r="K156" s="1194"/>
      <c r="L156" s="1065">
        <f t="shared" si="103"/>
        <v>0</v>
      </c>
      <c r="M156" s="1065">
        <f t="shared" si="103"/>
        <v>0</v>
      </c>
      <c r="N156" s="1077" t="str">
        <f t="shared" si="118"/>
        <v/>
      </c>
      <c r="O156" s="1077" t="str">
        <f t="shared" si="119"/>
        <v/>
      </c>
      <c r="P156" s="1172" t="str">
        <f t="shared" si="104"/>
        <v/>
      </c>
      <c r="Q156" s="91"/>
      <c r="R156" s="936" t="str">
        <f t="shared" si="120"/>
        <v/>
      </c>
      <c r="S156" s="936" t="str">
        <f t="shared" si="105"/>
        <v/>
      </c>
      <c r="T156" s="937" t="str">
        <f t="shared" si="106"/>
        <v/>
      </c>
      <c r="U156" s="361"/>
      <c r="V156" s="375"/>
      <c r="W156" s="375"/>
      <c r="X156" s="375"/>
      <c r="Y156" s="1120" t="e">
        <f>VLOOKUP(H156,tab!$A$73:$V$114,I156+2,FALSE)</f>
        <v>#VALUE!</v>
      </c>
      <c r="Z156" s="1211">
        <f>tab!$E$64</f>
        <v>0.62</v>
      </c>
      <c r="AA156" s="1163" t="e">
        <f t="shared" si="107"/>
        <v>#VALUE!</v>
      </c>
      <c r="AB156" s="1163" t="e">
        <f t="shared" si="108"/>
        <v>#VALUE!</v>
      </c>
      <c r="AC156" s="1163" t="e">
        <f t="shared" si="109"/>
        <v>#VALUE!</v>
      </c>
      <c r="AD156" s="1162" t="e">
        <f t="shared" si="110"/>
        <v>#VALUE!</v>
      </c>
      <c r="AE156" s="1162">
        <f t="shared" si="111"/>
        <v>0</v>
      </c>
      <c r="AF156" s="1129">
        <f>IF(H156&gt;8,tab!$D$65,tab!$D$67)</f>
        <v>0.5</v>
      </c>
      <c r="AG156" s="1143">
        <f t="shared" si="112"/>
        <v>0</v>
      </c>
      <c r="AH156" s="1159">
        <f t="shared" si="113"/>
        <v>0</v>
      </c>
      <c r="AI156" s="1142" t="e">
        <f>DATE(YEAR(tab!$G$3),MONTH(G156),DAY(G156))&gt;tab!$G$3</f>
        <v>#VALUE!</v>
      </c>
      <c r="AJ156" s="1143" t="e">
        <f t="shared" si="114"/>
        <v>#VALUE!</v>
      </c>
      <c r="AK156" s="1096">
        <f t="shared" si="115"/>
        <v>30</v>
      </c>
      <c r="AL156" s="1096">
        <f t="shared" si="116"/>
        <v>30</v>
      </c>
      <c r="AM156" s="1143">
        <f t="shared" si="117"/>
        <v>0</v>
      </c>
    </row>
    <row r="157" spans="2:40" ht="12.75" customHeight="1" x14ac:dyDescent="0.2">
      <c r="C157" s="90"/>
      <c r="D157" s="97" t="str">
        <f>IF(op!D89="","",op!D89)</f>
        <v/>
      </c>
      <c r="E157" s="97" t="str">
        <f>IF(op!E89=0,"",op!E89)</f>
        <v/>
      </c>
      <c r="F157" s="114" t="str">
        <f>IF(op!F89="","",op!F89+1)</f>
        <v/>
      </c>
      <c r="G157" s="377" t="str">
        <f>IF(op!G89="","",op!G89)</f>
        <v/>
      </c>
      <c r="H157" s="114" t="str">
        <f>IF(op!H89=0,"",op!H89)</f>
        <v/>
      </c>
      <c r="I157" s="129" t="str">
        <f>IF(J157="","",(IF(op!I89+1&gt;LOOKUP(H157,schaal2011,regels2011),op!I89,op!I89+1)))</f>
        <v/>
      </c>
      <c r="J157" s="378" t="str">
        <f>IF(op!J89="","",op!J89)</f>
        <v/>
      </c>
      <c r="K157" s="1194"/>
      <c r="L157" s="1065">
        <f t="shared" si="103"/>
        <v>0</v>
      </c>
      <c r="M157" s="1065">
        <f t="shared" si="103"/>
        <v>0</v>
      </c>
      <c r="N157" s="1077" t="str">
        <f t="shared" si="118"/>
        <v/>
      </c>
      <c r="O157" s="1077" t="str">
        <f t="shared" si="119"/>
        <v/>
      </c>
      <c r="P157" s="1172" t="str">
        <f t="shared" si="104"/>
        <v/>
      </c>
      <c r="Q157" s="91"/>
      <c r="R157" s="936" t="str">
        <f t="shared" si="120"/>
        <v/>
      </c>
      <c r="S157" s="936" t="str">
        <f t="shared" si="105"/>
        <v/>
      </c>
      <c r="T157" s="937" t="str">
        <f t="shared" si="106"/>
        <v/>
      </c>
      <c r="U157" s="361"/>
      <c r="V157" s="375"/>
      <c r="W157" s="375"/>
      <c r="X157" s="375"/>
      <c r="Y157" s="1120" t="e">
        <f>VLOOKUP(H157,tab!$A$73:$V$114,I157+2,FALSE)</f>
        <v>#VALUE!</v>
      </c>
      <c r="Z157" s="1211">
        <f>tab!$E$64</f>
        <v>0.62</v>
      </c>
      <c r="AA157" s="1163" t="e">
        <f t="shared" si="107"/>
        <v>#VALUE!</v>
      </c>
      <c r="AB157" s="1163" t="e">
        <f t="shared" si="108"/>
        <v>#VALUE!</v>
      </c>
      <c r="AC157" s="1163" t="e">
        <f t="shared" si="109"/>
        <v>#VALUE!</v>
      </c>
      <c r="AD157" s="1162" t="e">
        <f t="shared" si="110"/>
        <v>#VALUE!</v>
      </c>
      <c r="AE157" s="1162">
        <f t="shared" si="111"/>
        <v>0</v>
      </c>
      <c r="AF157" s="1129">
        <f>IF(H157&gt;8,tab!$D$65,tab!$D$67)</f>
        <v>0.5</v>
      </c>
      <c r="AG157" s="1143">
        <f t="shared" si="112"/>
        <v>0</v>
      </c>
      <c r="AH157" s="1159">
        <f t="shared" si="113"/>
        <v>0</v>
      </c>
      <c r="AI157" s="1142" t="e">
        <f>DATE(YEAR(tab!$G$3),MONTH(G157),DAY(G157))&gt;tab!$G$3</f>
        <v>#VALUE!</v>
      </c>
      <c r="AJ157" s="1143" t="e">
        <f t="shared" si="114"/>
        <v>#VALUE!</v>
      </c>
      <c r="AK157" s="1096">
        <f t="shared" si="115"/>
        <v>30</v>
      </c>
      <c r="AL157" s="1096">
        <f t="shared" si="116"/>
        <v>30</v>
      </c>
      <c r="AM157" s="1143">
        <f t="shared" si="117"/>
        <v>0</v>
      </c>
    </row>
    <row r="158" spans="2:40" ht="12.75" customHeight="1" x14ac:dyDescent="0.2">
      <c r="C158" s="90"/>
      <c r="D158" s="97" t="str">
        <f>IF(op!D90="","",op!D90)</f>
        <v/>
      </c>
      <c r="E158" s="97" t="str">
        <f>IF(op!E90=0,"",op!E90)</f>
        <v/>
      </c>
      <c r="F158" s="114" t="str">
        <f>IF(op!F90="","",op!F90+1)</f>
        <v/>
      </c>
      <c r="G158" s="377" t="str">
        <f>IF(op!G90="","",op!G90)</f>
        <v/>
      </c>
      <c r="H158" s="114" t="str">
        <f>IF(op!H90=0,"",op!H90)</f>
        <v/>
      </c>
      <c r="I158" s="129" t="str">
        <f>IF(J158="","",(IF(op!I90+1&gt;LOOKUP(H158,schaal2011,regels2011),op!I90,op!I90+1)))</f>
        <v/>
      </c>
      <c r="J158" s="378" t="str">
        <f>IF(op!J90="","",op!J90)</f>
        <v/>
      </c>
      <c r="K158" s="1194"/>
      <c r="L158" s="1065">
        <f t="shared" si="103"/>
        <v>0</v>
      </c>
      <c r="M158" s="1065">
        <f t="shared" si="103"/>
        <v>0</v>
      </c>
      <c r="N158" s="1077" t="str">
        <f t="shared" si="118"/>
        <v/>
      </c>
      <c r="O158" s="1077" t="str">
        <f t="shared" si="119"/>
        <v/>
      </c>
      <c r="P158" s="1172" t="str">
        <f t="shared" si="104"/>
        <v/>
      </c>
      <c r="Q158" s="91"/>
      <c r="R158" s="936" t="str">
        <f t="shared" si="120"/>
        <v/>
      </c>
      <c r="S158" s="936" t="str">
        <f t="shared" si="105"/>
        <v/>
      </c>
      <c r="T158" s="937" t="str">
        <f t="shared" si="106"/>
        <v/>
      </c>
      <c r="U158" s="361"/>
      <c r="V158" s="375"/>
      <c r="W158" s="375"/>
      <c r="X158" s="375"/>
      <c r="Y158" s="1120" t="e">
        <f>VLOOKUP(H158,tab!$A$73:$V$114,I158+2,FALSE)</f>
        <v>#VALUE!</v>
      </c>
      <c r="Z158" s="1211">
        <f>tab!$E$64</f>
        <v>0.62</v>
      </c>
      <c r="AA158" s="1163" t="e">
        <f t="shared" si="107"/>
        <v>#VALUE!</v>
      </c>
      <c r="AB158" s="1163" t="e">
        <f t="shared" si="108"/>
        <v>#VALUE!</v>
      </c>
      <c r="AC158" s="1163" t="e">
        <f t="shared" si="109"/>
        <v>#VALUE!</v>
      </c>
      <c r="AD158" s="1162" t="e">
        <f t="shared" si="110"/>
        <v>#VALUE!</v>
      </c>
      <c r="AE158" s="1162">
        <f t="shared" si="111"/>
        <v>0</v>
      </c>
      <c r="AF158" s="1129">
        <f>IF(H158&gt;8,tab!$D$65,tab!$D$67)</f>
        <v>0.5</v>
      </c>
      <c r="AG158" s="1143">
        <f t="shared" si="112"/>
        <v>0</v>
      </c>
      <c r="AH158" s="1159">
        <f t="shared" si="113"/>
        <v>0</v>
      </c>
      <c r="AI158" s="1142" t="e">
        <f>DATE(YEAR(tab!$G$3),MONTH(G158),DAY(G158))&gt;tab!$G$3</f>
        <v>#VALUE!</v>
      </c>
      <c r="AJ158" s="1143" t="e">
        <f t="shared" si="114"/>
        <v>#VALUE!</v>
      </c>
      <c r="AK158" s="1096">
        <f t="shared" si="115"/>
        <v>30</v>
      </c>
      <c r="AL158" s="1096">
        <f t="shared" si="116"/>
        <v>30</v>
      </c>
      <c r="AM158" s="1143">
        <f t="shared" si="117"/>
        <v>0</v>
      </c>
    </row>
    <row r="159" spans="2:40" ht="12.75" customHeight="1" x14ac:dyDescent="0.2">
      <c r="C159" s="90"/>
      <c r="D159" s="97" t="str">
        <f>IF(op!D91="","",op!D91)</f>
        <v/>
      </c>
      <c r="E159" s="97" t="str">
        <f>IF(op!E91=0,"",op!E91)</f>
        <v/>
      </c>
      <c r="F159" s="114" t="str">
        <f>IF(op!F91="","",op!F91+1)</f>
        <v/>
      </c>
      <c r="G159" s="377" t="str">
        <f>IF(op!G91="","",op!G91)</f>
        <v/>
      </c>
      <c r="H159" s="114" t="str">
        <f>IF(op!H91=0,"",op!H91)</f>
        <v/>
      </c>
      <c r="I159" s="129" t="str">
        <f>IF(J159="","",(IF(op!I91+1&gt;LOOKUP(H159,schaal2011,regels2011),op!I91,op!I91+1)))</f>
        <v/>
      </c>
      <c r="J159" s="378" t="str">
        <f>IF(op!J91="","",op!J91)</f>
        <v/>
      </c>
      <c r="K159" s="1194"/>
      <c r="L159" s="1065">
        <f t="shared" si="103"/>
        <v>0</v>
      </c>
      <c r="M159" s="1065">
        <f t="shared" si="103"/>
        <v>0</v>
      </c>
      <c r="N159" s="1077" t="str">
        <f t="shared" si="118"/>
        <v/>
      </c>
      <c r="O159" s="1077" t="str">
        <f t="shared" si="119"/>
        <v/>
      </c>
      <c r="P159" s="1172" t="str">
        <f t="shared" si="104"/>
        <v/>
      </c>
      <c r="Q159" s="91"/>
      <c r="R159" s="936" t="str">
        <f t="shared" si="120"/>
        <v/>
      </c>
      <c r="S159" s="936" t="str">
        <f t="shared" si="105"/>
        <v/>
      </c>
      <c r="T159" s="937" t="str">
        <f t="shared" si="106"/>
        <v/>
      </c>
      <c r="U159" s="361"/>
      <c r="V159" s="375"/>
      <c r="W159" s="375"/>
      <c r="X159" s="375"/>
      <c r="Y159" s="1120" t="e">
        <f>VLOOKUP(H159,tab!$A$73:$V$114,I159+2,FALSE)</f>
        <v>#VALUE!</v>
      </c>
      <c r="Z159" s="1211">
        <f>tab!$E$64</f>
        <v>0.62</v>
      </c>
      <c r="AA159" s="1163" t="e">
        <f t="shared" si="107"/>
        <v>#VALUE!</v>
      </c>
      <c r="AB159" s="1163" t="e">
        <f t="shared" si="108"/>
        <v>#VALUE!</v>
      </c>
      <c r="AC159" s="1163" t="e">
        <f t="shared" si="109"/>
        <v>#VALUE!</v>
      </c>
      <c r="AD159" s="1162" t="e">
        <f t="shared" si="110"/>
        <v>#VALUE!</v>
      </c>
      <c r="AE159" s="1162">
        <f t="shared" si="111"/>
        <v>0</v>
      </c>
      <c r="AF159" s="1129">
        <f>IF(H159&gt;8,tab!$D$65,tab!$D$67)</f>
        <v>0.5</v>
      </c>
      <c r="AG159" s="1143">
        <f t="shared" si="112"/>
        <v>0</v>
      </c>
      <c r="AH159" s="1159">
        <f t="shared" si="113"/>
        <v>0</v>
      </c>
      <c r="AI159" s="1142" t="e">
        <f>DATE(YEAR(tab!$G$3),MONTH(G159),DAY(G159))&gt;tab!$G$3</f>
        <v>#VALUE!</v>
      </c>
      <c r="AJ159" s="1143" t="e">
        <f t="shared" si="114"/>
        <v>#VALUE!</v>
      </c>
      <c r="AK159" s="1096">
        <f t="shared" si="115"/>
        <v>30</v>
      </c>
      <c r="AL159" s="1096">
        <f t="shared" si="116"/>
        <v>30</v>
      </c>
      <c r="AM159" s="1143">
        <f t="shared" si="117"/>
        <v>0</v>
      </c>
    </row>
    <row r="160" spans="2:40" ht="12.75" customHeight="1" x14ac:dyDescent="0.2">
      <c r="C160" s="90"/>
      <c r="D160" s="97" t="str">
        <f>IF(op!D92="","",op!D92)</f>
        <v/>
      </c>
      <c r="E160" s="97" t="str">
        <f>IF(op!E92=0,"",op!E92)</f>
        <v/>
      </c>
      <c r="F160" s="114" t="str">
        <f>IF(op!F92="","",op!F92+1)</f>
        <v/>
      </c>
      <c r="G160" s="377" t="str">
        <f>IF(op!G92="","",op!G92)</f>
        <v/>
      </c>
      <c r="H160" s="114" t="str">
        <f>IF(op!H92=0,"",op!H92)</f>
        <v/>
      </c>
      <c r="I160" s="129" t="str">
        <f>IF(J160="","",(IF(op!I92+1&gt;LOOKUP(H160,schaal2011,regels2011),op!I92,op!I92+1)))</f>
        <v/>
      </c>
      <c r="J160" s="378" t="str">
        <f>IF(op!J92="","",op!J92)</f>
        <v/>
      </c>
      <c r="K160" s="1194"/>
      <c r="L160" s="1065">
        <f t="shared" si="103"/>
        <v>0</v>
      </c>
      <c r="M160" s="1065">
        <f t="shared" si="103"/>
        <v>0</v>
      </c>
      <c r="N160" s="1077" t="str">
        <f t="shared" si="118"/>
        <v/>
      </c>
      <c r="O160" s="1077" t="str">
        <f t="shared" si="119"/>
        <v/>
      </c>
      <c r="P160" s="1172" t="str">
        <f t="shared" si="104"/>
        <v/>
      </c>
      <c r="Q160" s="91"/>
      <c r="R160" s="936" t="str">
        <f t="shared" si="120"/>
        <v/>
      </c>
      <c r="S160" s="936" t="str">
        <f t="shared" si="105"/>
        <v/>
      </c>
      <c r="T160" s="937" t="str">
        <f t="shared" si="106"/>
        <v/>
      </c>
      <c r="U160" s="361"/>
      <c r="V160" s="375"/>
      <c r="W160" s="375"/>
      <c r="X160" s="375"/>
      <c r="Y160" s="1120" t="e">
        <f>VLOOKUP(H160,tab!$A$73:$V$114,I160+2,FALSE)</f>
        <v>#VALUE!</v>
      </c>
      <c r="Z160" s="1211">
        <f>tab!$E$64</f>
        <v>0.62</v>
      </c>
      <c r="AA160" s="1163" t="e">
        <f t="shared" si="107"/>
        <v>#VALUE!</v>
      </c>
      <c r="AB160" s="1163" t="e">
        <f t="shared" si="108"/>
        <v>#VALUE!</v>
      </c>
      <c r="AC160" s="1163" t="e">
        <f t="shared" si="109"/>
        <v>#VALUE!</v>
      </c>
      <c r="AD160" s="1162" t="e">
        <f t="shared" si="110"/>
        <v>#VALUE!</v>
      </c>
      <c r="AE160" s="1162">
        <f t="shared" si="111"/>
        <v>0</v>
      </c>
      <c r="AF160" s="1129">
        <f>IF(H160&gt;8,tab!$D$65,tab!$D$67)</f>
        <v>0.5</v>
      </c>
      <c r="AG160" s="1143">
        <f t="shared" si="112"/>
        <v>0</v>
      </c>
      <c r="AH160" s="1159">
        <f t="shared" si="113"/>
        <v>0</v>
      </c>
      <c r="AI160" s="1142" t="e">
        <f>DATE(YEAR(tab!$G$3),MONTH(G160),DAY(G160))&gt;tab!$G$3</f>
        <v>#VALUE!</v>
      </c>
      <c r="AJ160" s="1143" t="e">
        <f t="shared" si="114"/>
        <v>#VALUE!</v>
      </c>
      <c r="AK160" s="1096">
        <f t="shared" si="115"/>
        <v>30</v>
      </c>
      <c r="AL160" s="1096">
        <f t="shared" si="116"/>
        <v>30</v>
      </c>
      <c r="AM160" s="1143">
        <f t="shared" si="117"/>
        <v>0</v>
      </c>
    </row>
    <row r="161" spans="3:39" ht="12.75" customHeight="1" x14ac:dyDescent="0.2">
      <c r="C161" s="90"/>
      <c r="D161" s="97" t="str">
        <f>IF(op!D93="","",op!D93)</f>
        <v/>
      </c>
      <c r="E161" s="97" t="str">
        <f>IF(op!E93=0,"",op!E93)</f>
        <v/>
      </c>
      <c r="F161" s="114" t="str">
        <f>IF(op!F93="","",op!F93+1)</f>
        <v/>
      </c>
      <c r="G161" s="377" t="str">
        <f>IF(op!G93="","",op!G93)</f>
        <v/>
      </c>
      <c r="H161" s="114" t="str">
        <f>IF(op!H93=0,"",op!H93)</f>
        <v/>
      </c>
      <c r="I161" s="129" t="str">
        <f>IF(J161="","",(IF(op!I93+1&gt;LOOKUP(H161,schaal2011,regels2011),op!I93,op!I93+1)))</f>
        <v/>
      </c>
      <c r="J161" s="378" t="str">
        <f>IF(op!J93="","",op!J93)</f>
        <v/>
      </c>
      <c r="K161" s="1194"/>
      <c r="L161" s="1065">
        <f t="shared" si="103"/>
        <v>0</v>
      </c>
      <c r="M161" s="1065">
        <f t="shared" si="103"/>
        <v>0</v>
      </c>
      <c r="N161" s="1077" t="str">
        <f t="shared" si="118"/>
        <v/>
      </c>
      <c r="O161" s="1077" t="str">
        <f t="shared" si="119"/>
        <v/>
      </c>
      <c r="P161" s="1172" t="str">
        <f t="shared" si="104"/>
        <v/>
      </c>
      <c r="Q161" s="91"/>
      <c r="R161" s="936" t="str">
        <f t="shared" si="120"/>
        <v/>
      </c>
      <c r="S161" s="936" t="str">
        <f t="shared" si="105"/>
        <v/>
      </c>
      <c r="T161" s="937" t="str">
        <f t="shared" si="106"/>
        <v/>
      </c>
      <c r="U161" s="361"/>
      <c r="V161" s="375"/>
      <c r="W161" s="375"/>
      <c r="X161" s="375"/>
      <c r="Y161" s="1120" t="e">
        <f>VLOOKUP(H161,tab!$A$73:$V$114,I161+2,FALSE)</f>
        <v>#VALUE!</v>
      </c>
      <c r="Z161" s="1211">
        <f>tab!$E$64</f>
        <v>0.62</v>
      </c>
      <c r="AA161" s="1163" t="e">
        <f t="shared" si="107"/>
        <v>#VALUE!</v>
      </c>
      <c r="AB161" s="1163" t="e">
        <f t="shared" si="108"/>
        <v>#VALUE!</v>
      </c>
      <c r="AC161" s="1163" t="e">
        <f t="shared" si="109"/>
        <v>#VALUE!</v>
      </c>
      <c r="AD161" s="1162" t="e">
        <f t="shared" si="110"/>
        <v>#VALUE!</v>
      </c>
      <c r="AE161" s="1162">
        <f t="shared" si="111"/>
        <v>0</v>
      </c>
      <c r="AF161" s="1129">
        <f>IF(H161&gt;8,tab!$D$65,tab!$D$67)</f>
        <v>0.5</v>
      </c>
      <c r="AG161" s="1143">
        <f t="shared" si="112"/>
        <v>0</v>
      </c>
      <c r="AH161" s="1159">
        <f t="shared" si="113"/>
        <v>0</v>
      </c>
      <c r="AI161" s="1142" t="e">
        <f>DATE(YEAR(tab!$G$3),MONTH(G161),DAY(G161))&gt;tab!$G$3</f>
        <v>#VALUE!</v>
      </c>
      <c r="AJ161" s="1143" t="e">
        <f t="shared" si="114"/>
        <v>#VALUE!</v>
      </c>
      <c r="AK161" s="1096">
        <f t="shared" si="115"/>
        <v>30</v>
      </c>
      <c r="AL161" s="1096">
        <f t="shared" si="116"/>
        <v>30</v>
      </c>
      <c r="AM161" s="1143">
        <f t="shared" si="117"/>
        <v>0</v>
      </c>
    </row>
    <row r="162" spans="3:39" ht="12.75" customHeight="1" x14ac:dyDescent="0.2">
      <c r="C162" s="90"/>
      <c r="D162" s="97" t="str">
        <f>IF(op!D94="","",op!D94)</f>
        <v/>
      </c>
      <c r="E162" s="97" t="str">
        <f>IF(op!E94=0,"",op!E94)</f>
        <v/>
      </c>
      <c r="F162" s="114" t="str">
        <f>IF(op!F94="","",op!F94+1)</f>
        <v/>
      </c>
      <c r="G162" s="377" t="str">
        <f>IF(op!G94="","",op!G94)</f>
        <v/>
      </c>
      <c r="H162" s="114" t="str">
        <f>IF(op!H94=0,"",op!H94)</f>
        <v/>
      </c>
      <c r="I162" s="129" t="str">
        <f>IF(J162="","",(IF(op!I94+1&gt;LOOKUP(H162,schaal2011,regels2011),op!I94,op!I94+1)))</f>
        <v/>
      </c>
      <c r="J162" s="378" t="str">
        <f>IF(op!J94="","",op!J94)</f>
        <v/>
      </c>
      <c r="K162" s="1194"/>
      <c r="L162" s="1065">
        <f t="shared" si="103"/>
        <v>0</v>
      </c>
      <c r="M162" s="1065">
        <f t="shared" si="103"/>
        <v>0</v>
      </c>
      <c r="N162" s="1077" t="str">
        <f t="shared" si="118"/>
        <v/>
      </c>
      <c r="O162" s="1077" t="str">
        <f t="shared" si="119"/>
        <v/>
      </c>
      <c r="P162" s="1172" t="str">
        <f t="shared" si="104"/>
        <v/>
      </c>
      <c r="Q162" s="91"/>
      <c r="R162" s="936" t="str">
        <f t="shared" si="120"/>
        <v/>
      </c>
      <c r="S162" s="936" t="str">
        <f t="shared" si="105"/>
        <v/>
      </c>
      <c r="T162" s="937" t="str">
        <f t="shared" si="106"/>
        <v/>
      </c>
      <c r="U162" s="361"/>
      <c r="V162" s="375"/>
      <c r="W162" s="375"/>
      <c r="X162" s="375"/>
      <c r="Y162" s="1120" t="e">
        <f>VLOOKUP(H162,tab!$A$73:$V$114,I162+2,FALSE)</f>
        <v>#VALUE!</v>
      </c>
      <c r="Z162" s="1211">
        <f>tab!$E$64</f>
        <v>0.62</v>
      </c>
      <c r="AA162" s="1163" t="e">
        <f t="shared" si="107"/>
        <v>#VALUE!</v>
      </c>
      <c r="AB162" s="1163" t="e">
        <f t="shared" si="108"/>
        <v>#VALUE!</v>
      </c>
      <c r="AC162" s="1163" t="e">
        <f t="shared" si="109"/>
        <v>#VALUE!</v>
      </c>
      <c r="AD162" s="1162" t="e">
        <f t="shared" si="110"/>
        <v>#VALUE!</v>
      </c>
      <c r="AE162" s="1162">
        <f t="shared" si="111"/>
        <v>0</v>
      </c>
      <c r="AF162" s="1129">
        <f>IF(H162&gt;8,tab!$D$65,tab!$D$67)</f>
        <v>0.5</v>
      </c>
      <c r="AG162" s="1143">
        <f t="shared" si="112"/>
        <v>0</v>
      </c>
      <c r="AH162" s="1159">
        <f t="shared" si="113"/>
        <v>0</v>
      </c>
      <c r="AI162" s="1142" t="e">
        <f>DATE(YEAR(tab!$G$3),MONTH(G162),DAY(G162))&gt;tab!$G$3</f>
        <v>#VALUE!</v>
      </c>
      <c r="AJ162" s="1143" t="e">
        <f t="shared" si="114"/>
        <v>#VALUE!</v>
      </c>
      <c r="AK162" s="1096">
        <f t="shared" si="115"/>
        <v>30</v>
      </c>
      <c r="AL162" s="1096">
        <f t="shared" si="116"/>
        <v>30</v>
      </c>
      <c r="AM162" s="1143">
        <f t="shared" si="117"/>
        <v>0</v>
      </c>
    </row>
    <row r="163" spans="3:39" ht="12.75" customHeight="1" x14ac:dyDescent="0.2">
      <c r="C163" s="90"/>
      <c r="D163" s="97" t="str">
        <f>IF(op!D95="","",op!D95)</f>
        <v/>
      </c>
      <c r="E163" s="97" t="str">
        <f>IF(op!E95=0,"",op!E95)</f>
        <v/>
      </c>
      <c r="F163" s="114" t="str">
        <f>IF(op!F95="","",op!F95+1)</f>
        <v/>
      </c>
      <c r="G163" s="377" t="str">
        <f>IF(op!G95="","",op!G95)</f>
        <v/>
      </c>
      <c r="H163" s="114" t="str">
        <f>IF(op!H95=0,"",op!H95)</f>
        <v/>
      </c>
      <c r="I163" s="129" t="str">
        <f>IF(J163="","",(IF(op!I95+1&gt;LOOKUP(H163,schaal2011,regels2011),op!I95,op!I95+1)))</f>
        <v/>
      </c>
      <c r="J163" s="378" t="str">
        <f>IF(op!J95="","",op!J95)</f>
        <v/>
      </c>
      <c r="K163" s="1194"/>
      <c r="L163" s="1065">
        <f t="shared" si="103"/>
        <v>0</v>
      </c>
      <c r="M163" s="1065">
        <f t="shared" si="103"/>
        <v>0</v>
      </c>
      <c r="N163" s="1077" t="str">
        <f t="shared" si="118"/>
        <v/>
      </c>
      <c r="O163" s="1077" t="str">
        <f t="shared" si="119"/>
        <v/>
      </c>
      <c r="P163" s="1172" t="str">
        <f t="shared" si="104"/>
        <v/>
      </c>
      <c r="Q163" s="91"/>
      <c r="R163" s="936" t="str">
        <f t="shared" si="120"/>
        <v/>
      </c>
      <c r="S163" s="936" t="str">
        <f t="shared" si="105"/>
        <v/>
      </c>
      <c r="T163" s="937" t="str">
        <f t="shared" si="106"/>
        <v/>
      </c>
      <c r="U163" s="361"/>
      <c r="V163" s="375"/>
      <c r="W163" s="375"/>
      <c r="X163" s="375"/>
      <c r="Y163" s="1120" t="e">
        <f>VLOOKUP(H163,tab!$A$73:$V$114,I163+2,FALSE)</f>
        <v>#VALUE!</v>
      </c>
      <c r="Z163" s="1211">
        <f>tab!$E$64</f>
        <v>0.62</v>
      </c>
      <c r="AA163" s="1163" t="e">
        <f t="shared" si="107"/>
        <v>#VALUE!</v>
      </c>
      <c r="AB163" s="1163" t="e">
        <f t="shared" si="108"/>
        <v>#VALUE!</v>
      </c>
      <c r="AC163" s="1163" t="e">
        <f t="shared" si="109"/>
        <v>#VALUE!</v>
      </c>
      <c r="AD163" s="1162" t="e">
        <f t="shared" si="110"/>
        <v>#VALUE!</v>
      </c>
      <c r="AE163" s="1162">
        <f t="shared" si="111"/>
        <v>0</v>
      </c>
      <c r="AF163" s="1129">
        <f>IF(H163&gt;8,tab!$D$65,tab!$D$67)</f>
        <v>0.5</v>
      </c>
      <c r="AG163" s="1143">
        <f t="shared" si="112"/>
        <v>0</v>
      </c>
      <c r="AH163" s="1159">
        <f t="shared" si="113"/>
        <v>0</v>
      </c>
      <c r="AI163" s="1142" t="e">
        <f>DATE(YEAR(tab!$G$3),MONTH(G163),DAY(G163))&gt;tab!$G$3</f>
        <v>#VALUE!</v>
      </c>
      <c r="AJ163" s="1143" t="e">
        <f t="shared" si="114"/>
        <v>#VALUE!</v>
      </c>
      <c r="AK163" s="1096">
        <f t="shared" si="115"/>
        <v>30</v>
      </c>
      <c r="AL163" s="1096">
        <f t="shared" si="116"/>
        <v>30</v>
      </c>
      <c r="AM163" s="1143">
        <f t="shared" si="117"/>
        <v>0</v>
      </c>
    </row>
    <row r="164" spans="3:39" ht="12.75" customHeight="1" x14ac:dyDescent="0.2">
      <c r="C164" s="90"/>
      <c r="D164" s="97" t="str">
        <f>IF(op!D96="","",op!D96)</f>
        <v/>
      </c>
      <c r="E164" s="97" t="str">
        <f>IF(op!E96=0,"",op!E96)</f>
        <v/>
      </c>
      <c r="F164" s="114" t="str">
        <f>IF(op!F96="","",op!F96+1)</f>
        <v/>
      </c>
      <c r="G164" s="377" t="str">
        <f>IF(op!G96="","",op!G96)</f>
        <v/>
      </c>
      <c r="H164" s="114" t="str">
        <f>IF(op!H96=0,"",op!H96)</f>
        <v/>
      </c>
      <c r="I164" s="129" t="str">
        <f>IF(J164="","",(IF(op!I96+1&gt;LOOKUP(H164,schaal2011,regels2011),op!I96,op!I96+1)))</f>
        <v/>
      </c>
      <c r="J164" s="378" t="str">
        <f>IF(op!J96="","",op!J96)</f>
        <v/>
      </c>
      <c r="K164" s="1194"/>
      <c r="L164" s="1065">
        <f t="shared" si="103"/>
        <v>0</v>
      </c>
      <c r="M164" s="1065">
        <f t="shared" si="103"/>
        <v>0</v>
      </c>
      <c r="N164" s="1077" t="str">
        <f t="shared" si="118"/>
        <v/>
      </c>
      <c r="O164" s="1077" t="str">
        <f t="shared" si="119"/>
        <v/>
      </c>
      <c r="P164" s="1172" t="str">
        <f t="shared" si="104"/>
        <v/>
      </c>
      <c r="Q164" s="91"/>
      <c r="R164" s="936" t="str">
        <f t="shared" si="120"/>
        <v/>
      </c>
      <c r="S164" s="936" t="str">
        <f t="shared" si="105"/>
        <v/>
      </c>
      <c r="T164" s="937" t="str">
        <f t="shared" si="106"/>
        <v/>
      </c>
      <c r="U164" s="361"/>
      <c r="V164" s="375"/>
      <c r="W164" s="375"/>
      <c r="X164" s="375"/>
      <c r="Y164" s="1120" t="e">
        <f>VLOOKUP(H164,tab!$A$73:$V$114,I164+2,FALSE)</f>
        <v>#VALUE!</v>
      </c>
      <c r="Z164" s="1211">
        <f>tab!$E$64</f>
        <v>0.62</v>
      </c>
      <c r="AA164" s="1163" t="e">
        <f t="shared" si="107"/>
        <v>#VALUE!</v>
      </c>
      <c r="AB164" s="1163" t="e">
        <f t="shared" si="108"/>
        <v>#VALUE!</v>
      </c>
      <c r="AC164" s="1163" t="e">
        <f t="shared" si="109"/>
        <v>#VALUE!</v>
      </c>
      <c r="AD164" s="1162" t="e">
        <f t="shared" si="110"/>
        <v>#VALUE!</v>
      </c>
      <c r="AE164" s="1162">
        <f t="shared" si="111"/>
        <v>0</v>
      </c>
      <c r="AF164" s="1129">
        <f>IF(H164&gt;8,tab!$D$65,tab!$D$67)</f>
        <v>0.5</v>
      </c>
      <c r="AG164" s="1143">
        <f t="shared" si="112"/>
        <v>0</v>
      </c>
      <c r="AH164" s="1159">
        <f t="shared" si="113"/>
        <v>0</v>
      </c>
      <c r="AI164" s="1142" t="e">
        <f>DATE(YEAR(tab!$G$3),MONTH(G164),DAY(G164))&gt;tab!$G$3</f>
        <v>#VALUE!</v>
      </c>
      <c r="AJ164" s="1143" t="e">
        <f t="shared" si="114"/>
        <v>#VALUE!</v>
      </c>
      <c r="AK164" s="1096">
        <f t="shared" si="115"/>
        <v>30</v>
      </c>
      <c r="AL164" s="1096">
        <f t="shared" si="116"/>
        <v>30</v>
      </c>
      <c r="AM164" s="1143">
        <f t="shared" si="117"/>
        <v>0</v>
      </c>
    </row>
    <row r="165" spans="3:39" ht="12.75" customHeight="1" x14ac:dyDescent="0.2">
      <c r="C165" s="90"/>
      <c r="D165" s="97" t="str">
        <f>IF(op!D97="","",op!D97)</f>
        <v/>
      </c>
      <c r="E165" s="97" t="str">
        <f>IF(op!E97=0,"",op!E97)</f>
        <v/>
      </c>
      <c r="F165" s="114" t="str">
        <f>IF(op!F97="","",op!F97+1)</f>
        <v/>
      </c>
      <c r="G165" s="377" t="str">
        <f>IF(op!G97="","",op!G97)</f>
        <v/>
      </c>
      <c r="H165" s="114" t="str">
        <f>IF(op!H97=0,"",op!H97)</f>
        <v/>
      </c>
      <c r="I165" s="129" t="str">
        <f>IF(J165="","",(IF(op!I97+1&gt;LOOKUP(H165,schaal2011,regels2011),op!I97,op!I97+1)))</f>
        <v/>
      </c>
      <c r="J165" s="378" t="str">
        <f>IF(op!J97="","",op!J97)</f>
        <v/>
      </c>
      <c r="K165" s="1194"/>
      <c r="L165" s="1065">
        <f t="shared" si="103"/>
        <v>0</v>
      </c>
      <c r="M165" s="1065">
        <f t="shared" si="103"/>
        <v>0</v>
      </c>
      <c r="N165" s="1077" t="str">
        <f t="shared" si="118"/>
        <v/>
      </c>
      <c r="O165" s="1077" t="str">
        <f t="shared" si="119"/>
        <v/>
      </c>
      <c r="P165" s="1172" t="str">
        <f t="shared" si="104"/>
        <v/>
      </c>
      <c r="Q165" s="91"/>
      <c r="R165" s="936" t="str">
        <f t="shared" si="120"/>
        <v/>
      </c>
      <c r="S165" s="936" t="str">
        <f t="shared" si="105"/>
        <v/>
      </c>
      <c r="T165" s="937" t="str">
        <f t="shared" si="106"/>
        <v/>
      </c>
      <c r="U165" s="361"/>
      <c r="V165" s="375"/>
      <c r="W165" s="375"/>
      <c r="X165" s="375"/>
      <c r="Y165" s="1120" t="e">
        <f>VLOOKUP(H165,tab!$A$73:$V$114,I165+2,FALSE)</f>
        <v>#VALUE!</v>
      </c>
      <c r="Z165" s="1211">
        <f>tab!$E$64</f>
        <v>0.62</v>
      </c>
      <c r="AA165" s="1163" t="e">
        <f t="shared" si="107"/>
        <v>#VALUE!</v>
      </c>
      <c r="AB165" s="1163" t="e">
        <f t="shared" si="108"/>
        <v>#VALUE!</v>
      </c>
      <c r="AC165" s="1163" t="e">
        <f t="shared" si="109"/>
        <v>#VALUE!</v>
      </c>
      <c r="AD165" s="1162" t="e">
        <f t="shared" si="110"/>
        <v>#VALUE!</v>
      </c>
      <c r="AE165" s="1162">
        <f t="shared" si="111"/>
        <v>0</v>
      </c>
      <c r="AF165" s="1129">
        <f>IF(H165&gt;8,tab!$D$65,tab!$D$67)</f>
        <v>0.5</v>
      </c>
      <c r="AG165" s="1143">
        <f t="shared" si="112"/>
        <v>0</v>
      </c>
      <c r="AH165" s="1159">
        <f t="shared" si="113"/>
        <v>0</v>
      </c>
      <c r="AI165" s="1142" t="e">
        <f>DATE(YEAR(tab!$G$3),MONTH(G165),DAY(G165))&gt;tab!$G$3</f>
        <v>#VALUE!</v>
      </c>
      <c r="AJ165" s="1143" t="e">
        <f t="shared" si="114"/>
        <v>#VALUE!</v>
      </c>
      <c r="AK165" s="1096">
        <f t="shared" si="115"/>
        <v>30</v>
      </c>
      <c r="AL165" s="1096">
        <f t="shared" si="116"/>
        <v>30</v>
      </c>
      <c r="AM165" s="1143">
        <f t="shared" si="117"/>
        <v>0</v>
      </c>
    </row>
    <row r="166" spans="3:39" ht="12.75" customHeight="1" x14ac:dyDescent="0.2">
      <c r="C166" s="90"/>
      <c r="D166" s="97" t="str">
        <f>IF(op!D98="","",op!D98)</f>
        <v/>
      </c>
      <c r="E166" s="97" t="str">
        <f>IF(op!E98=0,"",op!E98)</f>
        <v/>
      </c>
      <c r="F166" s="114" t="str">
        <f>IF(op!F98="","",op!F98+1)</f>
        <v/>
      </c>
      <c r="G166" s="377" t="str">
        <f>IF(op!G98="","",op!G98)</f>
        <v/>
      </c>
      <c r="H166" s="114" t="str">
        <f>IF(op!H98=0,"",op!H98)</f>
        <v/>
      </c>
      <c r="I166" s="129" t="str">
        <f>IF(J166="","",(IF(op!I98+1&gt;LOOKUP(H166,schaal2011,regels2011),op!I98,op!I98+1)))</f>
        <v/>
      </c>
      <c r="J166" s="378" t="str">
        <f>IF(op!J98="","",op!J98)</f>
        <v/>
      </c>
      <c r="K166" s="1194"/>
      <c r="L166" s="1065">
        <f t="shared" si="103"/>
        <v>0</v>
      </c>
      <c r="M166" s="1065">
        <f t="shared" si="103"/>
        <v>0</v>
      </c>
      <c r="N166" s="1077" t="str">
        <f t="shared" si="118"/>
        <v/>
      </c>
      <c r="O166" s="1077" t="str">
        <f t="shared" si="119"/>
        <v/>
      </c>
      <c r="P166" s="1172" t="str">
        <f t="shared" si="104"/>
        <v/>
      </c>
      <c r="Q166" s="91"/>
      <c r="R166" s="936" t="str">
        <f t="shared" si="120"/>
        <v/>
      </c>
      <c r="S166" s="936" t="str">
        <f t="shared" si="105"/>
        <v/>
      </c>
      <c r="T166" s="937" t="str">
        <f t="shared" si="106"/>
        <v/>
      </c>
      <c r="U166" s="361"/>
      <c r="V166" s="375"/>
      <c r="W166" s="375"/>
      <c r="X166" s="375"/>
      <c r="Y166" s="1120" t="e">
        <f>VLOOKUP(H166,tab!$A$73:$V$114,I166+2,FALSE)</f>
        <v>#VALUE!</v>
      </c>
      <c r="Z166" s="1211">
        <f>tab!$E$64</f>
        <v>0.62</v>
      </c>
      <c r="AA166" s="1163" t="e">
        <f t="shared" si="107"/>
        <v>#VALUE!</v>
      </c>
      <c r="AB166" s="1163" t="e">
        <f t="shared" si="108"/>
        <v>#VALUE!</v>
      </c>
      <c r="AC166" s="1163" t="e">
        <f t="shared" si="109"/>
        <v>#VALUE!</v>
      </c>
      <c r="AD166" s="1162" t="e">
        <f t="shared" si="110"/>
        <v>#VALUE!</v>
      </c>
      <c r="AE166" s="1162">
        <f t="shared" si="111"/>
        <v>0</v>
      </c>
      <c r="AF166" s="1129">
        <f>IF(H166&gt;8,tab!$D$65,tab!$D$67)</f>
        <v>0.5</v>
      </c>
      <c r="AG166" s="1143">
        <f t="shared" si="112"/>
        <v>0</v>
      </c>
      <c r="AH166" s="1159">
        <f t="shared" si="113"/>
        <v>0</v>
      </c>
      <c r="AI166" s="1142" t="e">
        <f>DATE(YEAR(tab!$G$3),MONTH(G166),DAY(G166))&gt;tab!$G$3</f>
        <v>#VALUE!</v>
      </c>
      <c r="AJ166" s="1143" t="e">
        <f t="shared" si="114"/>
        <v>#VALUE!</v>
      </c>
      <c r="AK166" s="1096">
        <f t="shared" si="115"/>
        <v>30</v>
      </c>
      <c r="AL166" s="1096">
        <f t="shared" si="116"/>
        <v>30</v>
      </c>
      <c r="AM166" s="1143">
        <f t="shared" si="117"/>
        <v>0</v>
      </c>
    </row>
    <row r="167" spans="3:39" ht="12.75" customHeight="1" x14ac:dyDescent="0.2">
      <c r="C167" s="90"/>
      <c r="D167" s="97" t="str">
        <f>IF(op!D99="","",op!D99)</f>
        <v/>
      </c>
      <c r="E167" s="97" t="str">
        <f>IF(op!E99=0,"",op!E99)</f>
        <v/>
      </c>
      <c r="F167" s="114" t="str">
        <f>IF(op!F99="","",op!F99+1)</f>
        <v/>
      </c>
      <c r="G167" s="377" t="str">
        <f>IF(op!G99="","",op!G99)</f>
        <v/>
      </c>
      <c r="H167" s="114" t="str">
        <f>IF(op!H99=0,"",op!H99)</f>
        <v/>
      </c>
      <c r="I167" s="129" t="str">
        <f>IF(J167="","",(IF(op!I99+1&gt;LOOKUP(H167,schaal2011,regels2011),op!I99,op!I99+1)))</f>
        <v/>
      </c>
      <c r="J167" s="378" t="str">
        <f>IF(op!J99="","",op!J99)</f>
        <v/>
      </c>
      <c r="K167" s="1194"/>
      <c r="L167" s="1065">
        <f t="shared" si="103"/>
        <v>0</v>
      </c>
      <c r="M167" s="1065">
        <f t="shared" si="103"/>
        <v>0</v>
      </c>
      <c r="N167" s="1077" t="str">
        <f t="shared" si="118"/>
        <v/>
      </c>
      <c r="O167" s="1077" t="str">
        <f t="shared" si="119"/>
        <v/>
      </c>
      <c r="P167" s="1172" t="str">
        <f t="shared" si="104"/>
        <v/>
      </c>
      <c r="Q167" s="91"/>
      <c r="R167" s="936" t="str">
        <f t="shared" si="120"/>
        <v/>
      </c>
      <c r="S167" s="936" t="str">
        <f t="shared" si="105"/>
        <v/>
      </c>
      <c r="T167" s="937" t="str">
        <f t="shared" si="106"/>
        <v/>
      </c>
      <c r="U167" s="361"/>
      <c r="V167" s="375"/>
      <c r="W167" s="375"/>
      <c r="X167" s="375"/>
      <c r="Y167" s="1120" t="e">
        <f>VLOOKUP(H167,tab!$A$73:$V$114,I167+2,FALSE)</f>
        <v>#VALUE!</v>
      </c>
      <c r="Z167" s="1211">
        <f>tab!$E$64</f>
        <v>0.62</v>
      </c>
      <c r="AA167" s="1163" t="e">
        <f t="shared" si="107"/>
        <v>#VALUE!</v>
      </c>
      <c r="AB167" s="1163" t="e">
        <f t="shared" si="108"/>
        <v>#VALUE!</v>
      </c>
      <c r="AC167" s="1163" t="e">
        <f t="shared" si="109"/>
        <v>#VALUE!</v>
      </c>
      <c r="AD167" s="1162" t="e">
        <f t="shared" si="110"/>
        <v>#VALUE!</v>
      </c>
      <c r="AE167" s="1162">
        <f t="shared" si="111"/>
        <v>0</v>
      </c>
      <c r="AF167" s="1129">
        <f>IF(H167&gt;8,tab!$D$65,tab!$D$67)</f>
        <v>0.5</v>
      </c>
      <c r="AG167" s="1143">
        <f t="shared" si="112"/>
        <v>0</v>
      </c>
      <c r="AH167" s="1159">
        <f t="shared" si="113"/>
        <v>0</v>
      </c>
      <c r="AI167" s="1142" t="e">
        <f>DATE(YEAR(tab!$G$3),MONTH(G167),DAY(G167))&gt;tab!$G$3</f>
        <v>#VALUE!</v>
      </c>
      <c r="AJ167" s="1143" t="e">
        <f t="shared" si="114"/>
        <v>#VALUE!</v>
      </c>
      <c r="AK167" s="1096">
        <f t="shared" si="115"/>
        <v>30</v>
      </c>
      <c r="AL167" s="1096">
        <f t="shared" si="116"/>
        <v>30</v>
      </c>
      <c r="AM167" s="1143">
        <f t="shared" si="117"/>
        <v>0</v>
      </c>
    </row>
    <row r="168" spans="3:39" ht="12.75" customHeight="1" x14ac:dyDescent="0.2">
      <c r="C168" s="90"/>
      <c r="D168" s="97" t="str">
        <f>IF(op!D100="","",op!D100)</f>
        <v/>
      </c>
      <c r="E168" s="97" t="str">
        <f>IF(op!E100=0,"",op!E100)</f>
        <v/>
      </c>
      <c r="F168" s="114" t="str">
        <f>IF(op!F100="","",op!F100+1)</f>
        <v/>
      </c>
      <c r="G168" s="377" t="str">
        <f>IF(op!G100="","",op!G100)</f>
        <v/>
      </c>
      <c r="H168" s="114" t="str">
        <f>IF(op!H100=0,"",op!H100)</f>
        <v/>
      </c>
      <c r="I168" s="129" t="str">
        <f>IF(J168="","",(IF(op!I100+1&gt;LOOKUP(H168,schaal2011,regels2011),op!I100,op!I100+1)))</f>
        <v/>
      </c>
      <c r="J168" s="378" t="str">
        <f>IF(op!J100="","",op!J100)</f>
        <v/>
      </c>
      <c r="K168" s="1194"/>
      <c r="L168" s="1065">
        <f t="shared" si="103"/>
        <v>0</v>
      </c>
      <c r="M168" s="1065">
        <f t="shared" si="103"/>
        <v>0</v>
      </c>
      <c r="N168" s="1077" t="str">
        <f t="shared" si="118"/>
        <v/>
      </c>
      <c r="O168" s="1077" t="str">
        <f t="shared" si="119"/>
        <v/>
      </c>
      <c r="P168" s="1172" t="str">
        <f t="shared" si="104"/>
        <v/>
      </c>
      <c r="Q168" s="91"/>
      <c r="R168" s="936" t="str">
        <f t="shared" si="120"/>
        <v/>
      </c>
      <c r="S168" s="936" t="str">
        <f t="shared" si="105"/>
        <v/>
      </c>
      <c r="T168" s="937" t="str">
        <f t="shared" si="106"/>
        <v/>
      </c>
      <c r="U168" s="361"/>
      <c r="V168" s="375"/>
      <c r="W168" s="375"/>
      <c r="X168" s="375"/>
      <c r="Y168" s="1120" t="e">
        <f>VLOOKUP(H168,tab!$A$73:$V$114,I168+2,FALSE)</f>
        <v>#VALUE!</v>
      </c>
      <c r="Z168" s="1211">
        <f>tab!$E$64</f>
        <v>0.62</v>
      </c>
      <c r="AA168" s="1163" t="e">
        <f t="shared" si="107"/>
        <v>#VALUE!</v>
      </c>
      <c r="AB168" s="1163" t="e">
        <f t="shared" si="108"/>
        <v>#VALUE!</v>
      </c>
      <c r="AC168" s="1163" t="e">
        <f t="shared" si="109"/>
        <v>#VALUE!</v>
      </c>
      <c r="AD168" s="1162" t="e">
        <f t="shared" si="110"/>
        <v>#VALUE!</v>
      </c>
      <c r="AE168" s="1162">
        <f t="shared" si="111"/>
        <v>0</v>
      </c>
      <c r="AF168" s="1129">
        <f>IF(H168&gt;8,tab!$D$65,tab!$D$67)</f>
        <v>0.5</v>
      </c>
      <c r="AG168" s="1143">
        <f t="shared" si="112"/>
        <v>0</v>
      </c>
      <c r="AH168" s="1159">
        <f t="shared" si="113"/>
        <v>0</v>
      </c>
      <c r="AI168" s="1142" t="e">
        <f>DATE(YEAR(tab!$G$3),MONTH(G168),DAY(G168))&gt;tab!$G$3</f>
        <v>#VALUE!</v>
      </c>
      <c r="AJ168" s="1143" t="e">
        <f t="shared" si="114"/>
        <v>#VALUE!</v>
      </c>
      <c r="AK168" s="1096">
        <f t="shared" si="115"/>
        <v>30</v>
      </c>
      <c r="AL168" s="1096">
        <f t="shared" si="116"/>
        <v>30</v>
      </c>
      <c r="AM168" s="1143">
        <f t="shared" si="117"/>
        <v>0</v>
      </c>
    </row>
    <row r="169" spans="3:39" ht="12.75" customHeight="1" x14ac:dyDescent="0.2">
      <c r="C169" s="90"/>
      <c r="D169" s="97" t="str">
        <f>IF(op!D101="","",op!D101)</f>
        <v/>
      </c>
      <c r="E169" s="97" t="str">
        <f>IF(op!E101=0,"",op!E101)</f>
        <v/>
      </c>
      <c r="F169" s="114" t="str">
        <f>IF(op!F101="","",op!F101+1)</f>
        <v/>
      </c>
      <c r="G169" s="377" t="str">
        <f>IF(op!G101="","",op!G101)</f>
        <v/>
      </c>
      <c r="H169" s="114" t="str">
        <f>IF(op!H101=0,"",op!H101)</f>
        <v/>
      </c>
      <c r="I169" s="129" t="str">
        <f>IF(J169="","",(IF(op!I101+1&gt;LOOKUP(H169,schaal2011,regels2011),op!I101,op!I101+1)))</f>
        <v/>
      </c>
      <c r="J169" s="378" t="str">
        <f>IF(op!J101="","",op!J101)</f>
        <v/>
      </c>
      <c r="K169" s="1194"/>
      <c r="L169" s="1065">
        <f t="shared" si="103"/>
        <v>0</v>
      </c>
      <c r="M169" s="1065">
        <f t="shared" si="103"/>
        <v>0</v>
      </c>
      <c r="N169" s="1077" t="str">
        <f t="shared" si="118"/>
        <v/>
      </c>
      <c r="O169" s="1077" t="str">
        <f t="shared" si="119"/>
        <v/>
      </c>
      <c r="P169" s="1172" t="str">
        <f t="shared" si="104"/>
        <v/>
      </c>
      <c r="Q169" s="91"/>
      <c r="R169" s="936" t="str">
        <f t="shared" si="120"/>
        <v/>
      </c>
      <c r="S169" s="936" t="str">
        <f t="shared" si="105"/>
        <v/>
      </c>
      <c r="T169" s="937" t="str">
        <f t="shared" si="106"/>
        <v/>
      </c>
      <c r="U169" s="361"/>
      <c r="V169" s="375"/>
      <c r="W169" s="375"/>
      <c r="X169" s="375"/>
      <c r="Y169" s="1120" t="e">
        <f>VLOOKUP(H169,tab!$A$73:$V$114,I169+2,FALSE)</f>
        <v>#VALUE!</v>
      </c>
      <c r="Z169" s="1211">
        <f>tab!$E$64</f>
        <v>0.62</v>
      </c>
      <c r="AA169" s="1163" t="e">
        <f t="shared" si="107"/>
        <v>#VALUE!</v>
      </c>
      <c r="AB169" s="1163" t="e">
        <f t="shared" si="108"/>
        <v>#VALUE!</v>
      </c>
      <c r="AC169" s="1163" t="e">
        <f t="shared" si="109"/>
        <v>#VALUE!</v>
      </c>
      <c r="AD169" s="1162" t="e">
        <f t="shared" si="110"/>
        <v>#VALUE!</v>
      </c>
      <c r="AE169" s="1162">
        <f t="shared" si="111"/>
        <v>0</v>
      </c>
      <c r="AF169" s="1129">
        <f>IF(H169&gt;8,tab!$D$65,tab!$D$67)</f>
        <v>0.5</v>
      </c>
      <c r="AG169" s="1143">
        <f t="shared" si="112"/>
        <v>0</v>
      </c>
      <c r="AH169" s="1159">
        <f t="shared" si="113"/>
        <v>0</v>
      </c>
      <c r="AI169" s="1142" t="e">
        <f>DATE(YEAR(tab!$G$3),MONTH(G169),DAY(G169))&gt;tab!$G$3</f>
        <v>#VALUE!</v>
      </c>
      <c r="AJ169" s="1143" t="e">
        <f t="shared" si="114"/>
        <v>#VALUE!</v>
      </c>
      <c r="AK169" s="1096">
        <f t="shared" si="115"/>
        <v>30</v>
      </c>
      <c r="AL169" s="1096">
        <f t="shared" si="116"/>
        <v>30</v>
      </c>
      <c r="AM169" s="1143">
        <f t="shared" si="117"/>
        <v>0</v>
      </c>
    </row>
    <row r="170" spans="3:39" ht="12.75" customHeight="1" x14ac:dyDescent="0.2">
      <c r="C170" s="90"/>
      <c r="D170" s="97" t="str">
        <f>IF(op!D102="","",op!D102)</f>
        <v/>
      </c>
      <c r="E170" s="97" t="str">
        <f>IF(op!E102=0,"",op!E102)</f>
        <v/>
      </c>
      <c r="F170" s="114" t="str">
        <f>IF(op!F102="","",op!F102+1)</f>
        <v/>
      </c>
      <c r="G170" s="377" t="str">
        <f>IF(op!G102="","",op!G102)</f>
        <v/>
      </c>
      <c r="H170" s="114" t="str">
        <f>IF(op!H102=0,"",op!H102)</f>
        <v/>
      </c>
      <c r="I170" s="129" t="str">
        <f>IF(J170="","",(IF(op!I102+1&gt;LOOKUP(H170,schaal2011,regels2011),op!I102,op!I102+1)))</f>
        <v/>
      </c>
      <c r="J170" s="378" t="str">
        <f>IF(op!J102="","",op!J102)</f>
        <v/>
      </c>
      <c r="K170" s="1194"/>
      <c r="L170" s="1065">
        <f t="shared" si="103"/>
        <v>0</v>
      </c>
      <c r="M170" s="1065">
        <f t="shared" si="103"/>
        <v>0</v>
      </c>
      <c r="N170" s="1077" t="str">
        <f t="shared" si="118"/>
        <v/>
      </c>
      <c r="O170" s="1077" t="str">
        <f t="shared" si="119"/>
        <v/>
      </c>
      <c r="P170" s="1172" t="str">
        <f t="shared" si="104"/>
        <v/>
      </c>
      <c r="Q170" s="91"/>
      <c r="R170" s="936" t="str">
        <f t="shared" si="120"/>
        <v/>
      </c>
      <c r="S170" s="936" t="str">
        <f t="shared" si="105"/>
        <v/>
      </c>
      <c r="T170" s="937" t="str">
        <f t="shared" si="106"/>
        <v/>
      </c>
      <c r="U170" s="361"/>
      <c r="V170" s="375"/>
      <c r="W170" s="375"/>
      <c r="X170" s="375"/>
      <c r="Y170" s="1120" t="e">
        <f>VLOOKUP(H170,tab!$A$73:$V$114,I170+2,FALSE)</f>
        <v>#VALUE!</v>
      </c>
      <c r="Z170" s="1211">
        <f>tab!$E$64</f>
        <v>0.62</v>
      </c>
      <c r="AA170" s="1163" t="e">
        <f t="shared" si="107"/>
        <v>#VALUE!</v>
      </c>
      <c r="AB170" s="1163" t="e">
        <f t="shared" si="108"/>
        <v>#VALUE!</v>
      </c>
      <c r="AC170" s="1163" t="e">
        <f t="shared" si="109"/>
        <v>#VALUE!</v>
      </c>
      <c r="AD170" s="1162" t="e">
        <f t="shared" si="110"/>
        <v>#VALUE!</v>
      </c>
      <c r="AE170" s="1162">
        <f t="shared" si="111"/>
        <v>0</v>
      </c>
      <c r="AF170" s="1129">
        <f>IF(H170&gt;8,tab!$D$65,tab!$D$67)</f>
        <v>0.5</v>
      </c>
      <c r="AG170" s="1143">
        <f t="shared" si="112"/>
        <v>0</v>
      </c>
      <c r="AH170" s="1159">
        <f t="shared" si="113"/>
        <v>0</v>
      </c>
      <c r="AI170" s="1142" t="e">
        <f>DATE(YEAR(tab!$G$3),MONTH(G170),DAY(G170))&gt;tab!$G$3</f>
        <v>#VALUE!</v>
      </c>
      <c r="AJ170" s="1143" t="e">
        <f t="shared" si="114"/>
        <v>#VALUE!</v>
      </c>
      <c r="AK170" s="1096">
        <f t="shared" si="115"/>
        <v>30</v>
      </c>
      <c r="AL170" s="1096">
        <f t="shared" si="116"/>
        <v>30</v>
      </c>
      <c r="AM170" s="1143">
        <f t="shared" si="117"/>
        <v>0</v>
      </c>
    </row>
    <row r="171" spans="3:39" ht="12.75" customHeight="1" x14ac:dyDescent="0.2">
      <c r="C171" s="90"/>
      <c r="D171" s="97" t="str">
        <f>IF(op!D103="","",op!D103)</f>
        <v/>
      </c>
      <c r="E171" s="97" t="str">
        <f>IF(op!E103=0,"",op!E103)</f>
        <v/>
      </c>
      <c r="F171" s="114" t="str">
        <f>IF(op!F103="","",op!F103+1)</f>
        <v/>
      </c>
      <c r="G171" s="377" t="str">
        <f>IF(op!G103="","",op!G103)</f>
        <v/>
      </c>
      <c r="H171" s="114" t="str">
        <f>IF(op!H103=0,"",op!H103)</f>
        <v/>
      </c>
      <c r="I171" s="129" t="str">
        <f>IF(J171="","",(IF(op!I103+1&gt;LOOKUP(H171,schaal2011,regels2011),op!I103,op!I103+1)))</f>
        <v/>
      </c>
      <c r="J171" s="378" t="str">
        <f>IF(op!J103="","",op!J103)</f>
        <v/>
      </c>
      <c r="K171" s="1194"/>
      <c r="L171" s="1065">
        <f t="shared" si="103"/>
        <v>0</v>
      </c>
      <c r="M171" s="1065">
        <f t="shared" si="103"/>
        <v>0</v>
      </c>
      <c r="N171" s="1077" t="str">
        <f t="shared" si="118"/>
        <v/>
      </c>
      <c r="O171" s="1077" t="str">
        <f t="shared" si="119"/>
        <v/>
      </c>
      <c r="P171" s="1172" t="str">
        <f t="shared" si="104"/>
        <v/>
      </c>
      <c r="Q171" s="91"/>
      <c r="R171" s="936" t="str">
        <f t="shared" si="120"/>
        <v/>
      </c>
      <c r="S171" s="936" t="str">
        <f t="shared" si="105"/>
        <v/>
      </c>
      <c r="T171" s="937" t="str">
        <f t="shared" si="106"/>
        <v/>
      </c>
      <c r="U171" s="361"/>
      <c r="V171" s="375"/>
      <c r="W171" s="375"/>
      <c r="X171" s="375"/>
      <c r="Y171" s="1120" t="e">
        <f>VLOOKUP(H171,tab!$A$73:$V$114,I171+2,FALSE)</f>
        <v>#VALUE!</v>
      </c>
      <c r="Z171" s="1211">
        <f>tab!$E$64</f>
        <v>0.62</v>
      </c>
      <c r="AA171" s="1163" t="e">
        <f t="shared" si="107"/>
        <v>#VALUE!</v>
      </c>
      <c r="AB171" s="1163" t="e">
        <f t="shared" si="108"/>
        <v>#VALUE!</v>
      </c>
      <c r="AC171" s="1163" t="e">
        <f t="shared" si="109"/>
        <v>#VALUE!</v>
      </c>
      <c r="AD171" s="1162" t="e">
        <f t="shared" si="110"/>
        <v>#VALUE!</v>
      </c>
      <c r="AE171" s="1162">
        <f t="shared" si="111"/>
        <v>0</v>
      </c>
      <c r="AF171" s="1129">
        <f>IF(H171&gt;8,tab!$D$65,tab!$D$67)</f>
        <v>0.5</v>
      </c>
      <c r="AG171" s="1143">
        <f t="shared" si="112"/>
        <v>0</v>
      </c>
      <c r="AH171" s="1159">
        <f t="shared" si="113"/>
        <v>0</v>
      </c>
      <c r="AI171" s="1142" t="e">
        <f>DATE(YEAR(tab!$G$3),MONTH(G171),DAY(G171))&gt;tab!$G$3</f>
        <v>#VALUE!</v>
      </c>
      <c r="AJ171" s="1143" t="e">
        <f t="shared" si="114"/>
        <v>#VALUE!</v>
      </c>
      <c r="AK171" s="1096">
        <f t="shared" si="115"/>
        <v>30</v>
      </c>
      <c r="AL171" s="1096">
        <f t="shared" si="116"/>
        <v>30</v>
      </c>
      <c r="AM171" s="1143">
        <f t="shared" si="117"/>
        <v>0</v>
      </c>
    </row>
    <row r="172" spans="3:39" ht="12.75" customHeight="1" x14ac:dyDescent="0.2">
      <c r="C172" s="90"/>
      <c r="D172" s="97" t="str">
        <f>IF(op!D104="","",op!D104)</f>
        <v/>
      </c>
      <c r="E172" s="97" t="str">
        <f>IF(op!E104=0,"",op!E104)</f>
        <v/>
      </c>
      <c r="F172" s="114" t="str">
        <f>IF(op!F104="","",op!F104+1)</f>
        <v/>
      </c>
      <c r="G172" s="377" t="str">
        <f>IF(op!G104="","",op!G104)</f>
        <v/>
      </c>
      <c r="H172" s="114" t="str">
        <f>IF(op!H104=0,"",op!H104)</f>
        <v/>
      </c>
      <c r="I172" s="129" t="str">
        <f>IF(J172="","",(IF(op!I104+1&gt;LOOKUP(H172,schaal2011,regels2011),op!I104,op!I104+1)))</f>
        <v/>
      </c>
      <c r="J172" s="378" t="str">
        <f>IF(op!J104="","",op!J104)</f>
        <v/>
      </c>
      <c r="K172" s="1194"/>
      <c r="L172" s="1065">
        <f t="shared" ref="L172:M191" si="121">IF(L104="","",L104)</f>
        <v>0</v>
      </c>
      <c r="M172" s="1065">
        <f t="shared" si="121"/>
        <v>0</v>
      </c>
      <c r="N172" s="1077" t="str">
        <f t="shared" si="118"/>
        <v/>
      </c>
      <c r="O172" s="1077" t="str">
        <f t="shared" si="119"/>
        <v/>
      </c>
      <c r="P172" s="1172" t="str">
        <f t="shared" si="104"/>
        <v/>
      </c>
      <c r="Q172" s="91"/>
      <c r="R172" s="936" t="str">
        <f t="shared" si="120"/>
        <v/>
      </c>
      <c r="S172" s="936" t="str">
        <f t="shared" si="105"/>
        <v/>
      </c>
      <c r="T172" s="937" t="str">
        <f t="shared" si="106"/>
        <v/>
      </c>
      <c r="U172" s="361"/>
      <c r="V172" s="375"/>
      <c r="W172" s="375"/>
      <c r="X172" s="375"/>
      <c r="Y172" s="1120" t="e">
        <f>VLOOKUP(H172,tab!$A$73:$V$114,I172+2,FALSE)</f>
        <v>#VALUE!</v>
      </c>
      <c r="Z172" s="1211">
        <f>tab!$E$64</f>
        <v>0.62</v>
      </c>
      <c r="AA172" s="1163" t="e">
        <f t="shared" si="107"/>
        <v>#VALUE!</v>
      </c>
      <c r="AB172" s="1163" t="e">
        <f t="shared" si="108"/>
        <v>#VALUE!</v>
      </c>
      <c r="AC172" s="1163" t="e">
        <f t="shared" si="109"/>
        <v>#VALUE!</v>
      </c>
      <c r="AD172" s="1162" t="e">
        <f t="shared" si="110"/>
        <v>#VALUE!</v>
      </c>
      <c r="AE172" s="1162">
        <f t="shared" si="111"/>
        <v>0</v>
      </c>
      <c r="AF172" s="1129">
        <f>IF(H172&gt;8,tab!$D$65,tab!$D$67)</f>
        <v>0.5</v>
      </c>
      <c r="AG172" s="1143">
        <f t="shared" si="112"/>
        <v>0</v>
      </c>
      <c r="AH172" s="1159">
        <f t="shared" si="113"/>
        <v>0</v>
      </c>
      <c r="AI172" s="1142" t="e">
        <f>DATE(YEAR(tab!$G$3),MONTH(G172),DAY(G172))&gt;tab!$G$3</f>
        <v>#VALUE!</v>
      </c>
      <c r="AJ172" s="1143" t="e">
        <f t="shared" si="114"/>
        <v>#VALUE!</v>
      </c>
      <c r="AK172" s="1096">
        <f t="shared" si="115"/>
        <v>30</v>
      </c>
      <c r="AL172" s="1096">
        <f t="shared" si="116"/>
        <v>30</v>
      </c>
      <c r="AM172" s="1143">
        <f t="shared" si="117"/>
        <v>0</v>
      </c>
    </row>
    <row r="173" spans="3:39" ht="12.75" customHeight="1" x14ac:dyDescent="0.2">
      <c r="C173" s="90"/>
      <c r="D173" s="97" t="str">
        <f>IF(op!D105="","",op!D105)</f>
        <v/>
      </c>
      <c r="E173" s="97" t="str">
        <f>IF(op!E105=0,"",op!E105)</f>
        <v/>
      </c>
      <c r="F173" s="114" t="str">
        <f>IF(op!F105="","",op!F105+1)</f>
        <v/>
      </c>
      <c r="G173" s="377" t="str">
        <f>IF(op!G105="","",op!G105)</f>
        <v/>
      </c>
      <c r="H173" s="114" t="str">
        <f>IF(op!H105=0,"",op!H105)</f>
        <v/>
      </c>
      <c r="I173" s="129" t="str">
        <f>IF(J173="","",(IF(op!I105+1&gt;LOOKUP(H173,schaal2011,regels2011),op!I105,op!I105+1)))</f>
        <v/>
      </c>
      <c r="J173" s="378" t="str">
        <f>IF(op!J105="","",op!J105)</f>
        <v/>
      </c>
      <c r="K173" s="1194"/>
      <c r="L173" s="1065">
        <f t="shared" si="121"/>
        <v>0</v>
      </c>
      <c r="M173" s="1065">
        <f t="shared" si="121"/>
        <v>0</v>
      </c>
      <c r="N173" s="1077" t="str">
        <f t="shared" si="118"/>
        <v/>
      </c>
      <c r="O173" s="1077" t="str">
        <f t="shared" si="119"/>
        <v/>
      </c>
      <c r="P173" s="1172" t="str">
        <f t="shared" si="104"/>
        <v/>
      </c>
      <c r="Q173" s="91"/>
      <c r="R173" s="936" t="str">
        <f t="shared" si="120"/>
        <v/>
      </c>
      <c r="S173" s="936" t="str">
        <f t="shared" si="105"/>
        <v/>
      </c>
      <c r="T173" s="937" t="str">
        <f t="shared" si="106"/>
        <v/>
      </c>
      <c r="U173" s="361"/>
      <c r="V173" s="375"/>
      <c r="W173" s="375"/>
      <c r="X173" s="375"/>
      <c r="Y173" s="1120" t="e">
        <f>VLOOKUP(H173,tab!$A$73:$V$114,I173+2,FALSE)</f>
        <v>#VALUE!</v>
      </c>
      <c r="Z173" s="1211">
        <f>tab!$E$64</f>
        <v>0.62</v>
      </c>
      <c r="AA173" s="1163" t="e">
        <f t="shared" si="107"/>
        <v>#VALUE!</v>
      </c>
      <c r="AB173" s="1163" t="e">
        <f t="shared" si="108"/>
        <v>#VALUE!</v>
      </c>
      <c r="AC173" s="1163" t="e">
        <f t="shared" si="109"/>
        <v>#VALUE!</v>
      </c>
      <c r="AD173" s="1162" t="e">
        <f t="shared" si="110"/>
        <v>#VALUE!</v>
      </c>
      <c r="AE173" s="1162">
        <f t="shared" si="111"/>
        <v>0</v>
      </c>
      <c r="AF173" s="1129">
        <f>IF(H173&gt;8,tab!$D$65,tab!$D$67)</f>
        <v>0.5</v>
      </c>
      <c r="AG173" s="1143">
        <f t="shared" si="112"/>
        <v>0</v>
      </c>
      <c r="AH173" s="1159">
        <f t="shared" si="113"/>
        <v>0</v>
      </c>
      <c r="AI173" s="1142" t="e">
        <f>DATE(YEAR(tab!$G$3),MONTH(G173),DAY(G173))&gt;tab!$G$3</f>
        <v>#VALUE!</v>
      </c>
      <c r="AJ173" s="1143" t="e">
        <f t="shared" si="114"/>
        <v>#VALUE!</v>
      </c>
      <c r="AK173" s="1096">
        <f t="shared" si="115"/>
        <v>30</v>
      </c>
      <c r="AL173" s="1096">
        <f t="shared" si="116"/>
        <v>30</v>
      </c>
      <c r="AM173" s="1143">
        <f t="shared" si="117"/>
        <v>0</v>
      </c>
    </row>
    <row r="174" spans="3:39" ht="12.75" customHeight="1" x14ac:dyDescent="0.2">
      <c r="C174" s="90"/>
      <c r="D174" s="97" t="str">
        <f>IF(op!D106="","",op!D106)</f>
        <v/>
      </c>
      <c r="E174" s="97" t="str">
        <f>IF(op!E106=0,"",op!E106)</f>
        <v/>
      </c>
      <c r="F174" s="114" t="str">
        <f>IF(op!F106="","",op!F106+1)</f>
        <v/>
      </c>
      <c r="G174" s="377" t="str">
        <f>IF(op!G106="","",op!G106)</f>
        <v/>
      </c>
      <c r="H174" s="114" t="str">
        <f>IF(op!H106=0,"",op!H106)</f>
        <v/>
      </c>
      <c r="I174" s="129" t="str">
        <f>IF(J174="","",(IF(op!I106+1&gt;LOOKUP(H174,schaal2011,regels2011),op!I106,op!I106+1)))</f>
        <v/>
      </c>
      <c r="J174" s="378" t="str">
        <f>IF(op!J106="","",op!J106)</f>
        <v/>
      </c>
      <c r="K174" s="1194"/>
      <c r="L174" s="1065">
        <f t="shared" si="121"/>
        <v>0</v>
      </c>
      <c r="M174" s="1065">
        <f t="shared" si="121"/>
        <v>0</v>
      </c>
      <c r="N174" s="1077" t="str">
        <f t="shared" si="118"/>
        <v/>
      </c>
      <c r="O174" s="1077" t="str">
        <f t="shared" si="119"/>
        <v/>
      </c>
      <c r="P174" s="1172" t="str">
        <f t="shared" si="104"/>
        <v/>
      </c>
      <c r="Q174" s="91"/>
      <c r="R174" s="936" t="str">
        <f t="shared" si="120"/>
        <v/>
      </c>
      <c r="S174" s="936" t="str">
        <f t="shared" si="105"/>
        <v/>
      </c>
      <c r="T174" s="937" t="str">
        <f t="shared" si="106"/>
        <v/>
      </c>
      <c r="U174" s="361"/>
      <c r="V174" s="375"/>
      <c r="W174" s="375"/>
      <c r="X174" s="375"/>
      <c r="Y174" s="1120" t="e">
        <f>VLOOKUP(H174,tab!$A$73:$V$114,I174+2,FALSE)</f>
        <v>#VALUE!</v>
      </c>
      <c r="Z174" s="1211">
        <f>tab!$E$64</f>
        <v>0.62</v>
      </c>
      <c r="AA174" s="1163" t="e">
        <f t="shared" si="107"/>
        <v>#VALUE!</v>
      </c>
      <c r="AB174" s="1163" t="e">
        <f t="shared" si="108"/>
        <v>#VALUE!</v>
      </c>
      <c r="AC174" s="1163" t="e">
        <f t="shared" si="109"/>
        <v>#VALUE!</v>
      </c>
      <c r="AD174" s="1162" t="e">
        <f t="shared" si="110"/>
        <v>#VALUE!</v>
      </c>
      <c r="AE174" s="1162">
        <f t="shared" si="111"/>
        <v>0</v>
      </c>
      <c r="AF174" s="1129">
        <f>IF(H174&gt;8,tab!$D$65,tab!$D$67)</f>
        <v>0.5</v>
      </c>
      <c r="AG174" s="1143">
        <f t="shared" si="112"/>
        <v>0</v>
      </c>
      <c r="AH174" s="1159">
        <f t="shared" si="113"/>
        <v>0</v>
      </c>
      <c r="AI174" s="1142" t="e">
        <f>DATE(YEAR(tab!$G$3),MONTH(G174),DAY(G174))&gt;tab!$G$3</f>
        <v>#VALUE!</v>
      </c>
      <c r="AJ174" s="1143" t="e">
        <f t="shared" si="114"/>
        <v>#VALUE!</v>
      </c>
      <c r="AK174" s="1096">
        <f t="shared" si="115"/>
        <v>30</v>
      </c>
      <c r="AL174" s="1096">
        <f t="shared" si="116"/>
        <v>30</v>
      </c>
      <c r="AM174" s="1143">
        <f t="shared" si="117"/>
        <v>0</v>
      </c>
    </row>
    <row r="175" spans="3:39" ht="12.75" customHeight="1" x14ac:dyDescent="0.2">
      <c r="C175" s="90"/>
      <c r="D175" s="97" t="str">
        <f>IF(op!D107="","",op!D107)</f>
        <v/>
      </c>
      <c r="E175" s="97" t="str">
        <f>IF(op!E107=0,"",op!E107)</f>
        <v/>
      </c>
      <c r="F175" s="114" t="str">
        <f>IF(op!F107="","",op!F107+1)</f>
        <v/>
      </c>
      <c r="G175" s="377" t="str">
        <f>IF(op!G107="","",op!G107)</f>
        <v/>
      </c>
      <c r="H175" s="114" t="str">
        <f>IF(op!H107=0,"",op!H107)</f>
        <v/>
      </c>
      <c r="I175" s="129" t="str">
        <f>IF(J175="","",(IF(op!I107+1&gt;LOOKUP(H175,schaal2011,regels2011),op!I107,op!I107+1)))</f>
        <v/>
      </c>
      <c r="J175" s="378" t="str">
        <f>IF(op!J107="","",op!J107)</f>
        <v/>
      </c>
      <c r="K175" s="1194"/>
      <c r="L175" s="1065">
        <f t="shared" si="121"/>
        <v>0</v>
      </c>
      <c r="M175" s="1065">
        <f t="shared" si="121"/>
        <v>0</v>
      </c>
      <c r="N175" s="1077" t="str">
        <f t="shared" si="118"/>
        <v/>
      </c>
      <c r="O175" s="1077" t="str">
        <f t="shared" si="119"/>
        <v/>
      </c>
      <c r="P175" s="1172" t="str">
        <f t="shared" si="104"/>
        <v/>
      </c>
      <c r="Q175" s="91"/>
      <c r="R175" s="936" t="str">
        <f t="shared" si="120"/>
        <v/>
      </c>
      <c r="S175" s="936" t="str">
        <f t="shared" si="105"/>
        <v/>
      </c>
      <c r="T175" s="937" t="str">
        <f t="shared" si="106"/>
        <v/>
      </c>
      <c r="U175" s="361"/>
      <c r="V175" s="375"/>
      <c r="W175" s="375"/>
      <c r="X175" s="375"/>
      <c r="Y175" s="1120" t="e">
        <f>VLOOKUP(H175,tab!$A$73:$V$114,I175+2,FALSE)</f>
        <v>#VALUE!</v>
      </c>
      <c r="Z175" s="1211">
        <f>tab!$E$64</f>
        <v>0.62</v>
      </c>
      <c r="AA175" s="1163" t="e">
        <f t="shared" si="107"/>
        <v>#VALUE!</v>
      </c>
      <c r="AB175" s="1163" t="e">
        <f t="shared" si="108"/>
        <v>#VALUE!</v>
      </c>
      <c r="AC175" s="1163" t="e">
        <f t="shared" si="109"/>
        <v>#VALUE!</v>
      </c>
      <c r="AD175" s="1162" t="e">
        <f t="shared" si="110"/>
        <v>#VALUE!</v>
      </c>
      <c r="AE175" s="1162">
        <f t="shared" si="111"/>
        <v>0</v>
      </c>
      <c r="AF175" s="1129">
        <f>IF(H175&gt;8,tab!$D$65,tab!$D$67)</f>
        <v>0.5</v>
      </c>
      <c r="AG175" s="1143">
        <f t="shared" si="112"/>
        <v>0</v>
      </c>
      <c r="AH175" s="1159">
        <f t="shared" si="113"/>
        <v>0</v>
      </c>
      <c r="AI175" s="1142" t="e">
        <f>DATE(YEAR(tab!$G$3),MONTH(G175),DAY(G175))&gt;tab!$G$3</f>
        <v>#VALUE!</v>
      </c>
      <c r="AJ175" s="1143" t="e">
        <f t="shared" si="114"/>
        <v>#VALUE!</v>
      </c>
      <c r="AK175" s="1096">
        <f t="shared" si="115"/>
        <v>30</v>
      </c>
      <c r="AL175" s="1096">
        <f t="shared" si="116"/>
        <v>30</v>
      </c>
      <c r="AM175" s="1143">
        <f t="shared" si="117"/>
        <v>0</v>
      </c>
    </row>
    <row r="176" spans="3:39" ht="12.75" customHeight="1" x14ac:dyDescent="0.2">
      <c r="C176" s="90"/>
      <c r="D176" s="97" t="str">
        <f>IF(op!D108="","",op!D108)</f>
        <v/>
      </c>
      <c r="E176" s="97" t="str">
        <f>IF(op!E108=0,"",op!E108)</f>
        <v/>
      </c>
      <c r="F176" s="114" t="str">
        <f>IF(op!F108="","",op!F108+1)</f>
        <v/>
      </c>
      <c r="G176" s="377" t="str">
        <f>IF(op!G108="","",op!G108)</f>
        <v/>
      </c>
      <c r="H176" s="114" t="str">
        <f>IF(op!H108=0,"",op!H108)</f>
        <v/>
      </c>
      <c r="I176" s="129" t="str">
        <f>IF(J176="","",(IF(op!I108+1&gt;LOOKUP(H176,schaal2011,regels2011),op!I108,op!I108+1)))</f>
        <v/>
      </c>
      <c r="J176" s="378" t="str">
        <f>IF(op!J108="","",op!J108)</f>
        <v/>
      </c>
      <c r="K176" s="1194"/>
      <c r="L176" s="1065">
        <f t="shared" si="121"/>
        <v>0</v>
      </c>
      <c r="M176" s="1065">
        <f t="shared" si="121"/>
        <v>0</v>
      </c>
      <c r="N176" s="1077" t="str">
        <f t="shared" si="118"/>
        <v/>
      </c>
      <c r="O176" s="1077" t="str">
        <f t="shared" si="119"/>
        <v/>
      </c>
      <c r="P176" s="1172" t="str">
        <f t="shared" si="104"/>
        <v/>
      </c>
      <c r="Q176" s="91"/>
      <c r="R176" s="936" t="str">
        <f t="shared" si="120"/>
        <v/>
      </c>
      <c r="S176" s="936" t="str">
        <f t="shared" si="105"/>
        <v/>
      </c>
      <c r="T176" s="937" t="str">
        <f t="shared" si="106"/>
        <v/>
      </c>
      <c r="U176" s="361"/>
      <c r="V176" s="375"/>
      <c r="W176" s="375"/>
      <c r="X176" s="375"/>
      <c r="Y176" s="1120" t="e">
        <f>VLOOKUP(H176,tab!$A$73:$V$114,I176+2,FALSE)</f>
        <v>#VALUE!</v>
      </c>
      <c r="Z176" s="1211">
        <f>tab!$E$64</f>
        <v>0.62</v>
      </c>
      <c r="AA176" s="1163" t="e">
        <f t="shared" si="107"/>
        <v>#VALUE!</v>
      </c>
      <c r="AB176" s="1163" t="e">
        <f t="shared" si="108"/>
        <v>#VALUE!</v>
      </c>
      <c r="AC176" s="1163" t="e">
        <f t="shared" si="109"/>
        <v>#VALUE!</v>
      </c>
      <c r="AD176" s="1162" t="e">
        <f t="shared" si="110"/>
        <v>#VALUE!</v>
      </c>
      <c r="AE176" s="1162">
        <f t="shared" si="111"/>
        <v>0</v>
      </c>
      <c r="AF176" s="1129">
        <f>IF(H176&gt;8,tab!$D$65,tab!$D$67)</f>
        <v>0.5</v>
      </c>
      <c r="AG176" s="1143">
        <f t="shared" si="112"/>
        <v>0</v>
      </c>
      <c r="AH176" s="1159">
        <f t="shared" si="113"/>
        <v>0</v>
      </c>
      <c r="AI176" s="1142" t="e">
        <f>DATE(YEAR(tab!$G$3),MONTH(G176),DAY(G176))&gt;tab!$G$3</f>
        <v>#VALUE!</v>
      </c>
      <c r="AJ176" s="1143" t="e">
        <f t="shared" si="114"/>
        <v>#VALUE!</v>
      </c>
      <c r="AK176" s="1096">
        <f t="shared" si="115"/>
        <v>30</v>
      </c>
      <c r="AL176" s="1096">
        <f t="shared" si="116"/>
        <v>30</v>
      </c>
      <c r="AM176" s="1143">
        <f t="shared" si="117"/>
        <v>0</v>
      </c>
    </row>
    <row r="177" spans="3:39" ht="12.75" customHeight="1" x14ac:dyDescent="0.2">
      <c r="C177" s="90"/>
      <c r="D177" s="97" t="str">
        <f>IF(op!D109="","",op!D109)</f>
        <v/>
      </c>
      <c r="E177" s="97" t="str">
        <f>IF(op!E109=0,"",op!E109)</f>
        <v/>
      </c>
      <c r="F177" s="114" t="str">
        <f>IF(op!F109="","",op!F109+1)</f>
        <v/>
      </c>
      <c r="G177" s="377" t="str">
        <f>IF(op!G109="","",op!G109)</f>
        <v/>
      </c>
      <c r="H177" s="114" t="str">
        <f>IF(op!H109=0,"",op!H109)</f>
        <v/>
      </c>
      <c r="I177" s="129" t="str">
        <f>IF(J177="","",(IF(op!I109+1&gt;LOOKUP(H177,schaal2011,regels2011),op!I109,op!I109+1)))</f>
        <v/>
      </c>
      <c r="J177" s="378" t="str">
        <f>IF(op!J109="","",op!J109)</f>
        <v/>
      </c>
      <c r="K177" s="1194"/>
      <c r="L177" s="1065">
        <f t="shared" si="121"/>
        <v>0</v>
      </c>
      <c r="M177" s="1065">
        <f t="shared" si="121"/>
        <v>0</v>
      </c>
      <c r="N177" s="1077" t="str">
        <f t="shared" si="118"/>
        <v/>
      </c>
      <c r="O177" s="1077" t="str">
        <f t="shared" si="119"/>
        <v/>
      </c>
      <c r="P177" s="1172" t="str">
        <f t="shared" si="104"/>
        <v/>
      </c>
      <c r="Q177" s="91"/>
      <c r="R177" s="936" t="str">
        <f t="shared" si="120"/>
        <v/>
      </c>
      <c r="S177" s="936" t="str">
        <f t="shared" si="105"/>
        <v/>
      </c>
      <c r="T177" s="937" t="str">
        <f t="shared" si="106"/>
        <v/>
      </c>
      <c r="U177" s="361"/>
      <c r="V177" s="375"/>
      <c r="W177" s="375"/>
      <c r="X177" s="375"/>
      <c r="Y177" s="1120" t="e">
        <f>VLOOKUP(H177,tab!$A$73:$V$114,I177+2,FALSE)</f>
        <v>#VALUE!</v>
      </c>
      <c r="Z177" s="1211">
        <f>tab!$E$64</f>
        <v>0.62</v>
      </c>
      <c r="AA177" s="1163" t="e">
        <f t="shared" si="107"/>
        <v>#VALUE!</v>
      </c>
      <c r="AB177" s="1163" t="e">
        <f t="shared" si="108"/>
        <v>#VALUE!</v>
      </c>
      <c r="AC177" s="1163" t="e">
        <f t="shared" si="109"/>
        <v>#VALUE!</v>
      </c>
      <c r="AD177" s="1162" t="e">
        <f t="shared" si="110"/>
        <v>#VALUE!</v>
      </c>
      <c r="AE177" s="1162">
        <f t="shared" si="111"/>
        <v>0</v>
      </c>
      <c r="AF177" s="1129">
        <f>IF(H177&gt;8,tab!$D$65,tab!$D$67)</f>
        <v>0.5</v>
      </c>
      <c r="AG177" s="1143">
        <f t="shared" si="112"/>
        <v>0</v>
      </c>
      <c r="AH177" s="1159">
        <f t="shared" si="113"/>
        <v>0</v>
      </c>
      <c r="AI177" s="1142" t="e">
        <f>DATE(YEAR(tab!$G$3),MONTH(G177),DAY(G177))&gt;tab!$G$3</f>
        <v>#VALUE!</v>
      </c>
      <c r="AJ177" s="1143" t="e">
        <f t="shared" si="114"/>
        <v>#VALUE!</v>
      </c>
      <c r="AK177" s="1096">
        <f t="shared" si="115"/>
        <v>30</v>
      </c>
      <c r="AL177" s="1096">
        <f t="shared" si="116"/>
        <v>30</v>
      </c>
      <c r="AM177" s="1143">
        <f t="shared" si="117"/>
        <v>0</v>
      </c>
    </row>
    <row r="178" spans="3:39" ht="12.75" customHeight="1" x14ac:dyDescent="0.2">
      <c r="C178" s="90"/>
      <c r="D178" s="97" t="str">
        <f>IF(op!D110="","",op!D110)</f>
        <v/>
      </c>
      <c r="E178" s="97" t="str">
        <f>IF(op!E110=0,"",op!E110)</f>
        <v/>
      </c>
      <c r="F178" s="114" t="str">
        <f>IF(op!F110="","",op!F110+1)</f>
        <v/>
      </c>
      <c r="G178" s="377" t="str">
        <f>IF(op!G110="","",op!G110)</f>
        <v/>
      </c>
      <c r="H178" s="114" t="str">
        <f>IF(op!H110=0,"",op!H110)</f>
        <v/>
      </c>
      <c r="I178" s="129" t="str">
        <f>IF(J178="","",(IF(op!I110+1&gt;LOOKUP(H178,schaal2011,regels2011),op!I110,op!I110+1)))</f>
        <v/>
      </c>
      <c r="J178" s="378" t="str">
        <f>IF(op!J110="","",op!J110)</f>
        <v/>
      </c>
      <c r="K178" s="1194"/>
      <c r="L178" s="1065">
        <f t="shared" si="121"/>
        <v>0</v>
      </c>
      <c r="M178" s="1065">
        <f t="shared" si="121"/>
        <v>0</v>
      </c>
      <c r="N178" s="1077" t="str">
        <f t="shared" si="118"/>
        <v/>
      </c>
      <c r="O178" s="1077" t="str">
        <f t="shared" si="119"/>
        <v/>
      </c>
      <c r="P178" s="1172" t="str">
        <f t="shared" si="104"/>
        <v/>
      </c>
      <c r="Q178" s="91"/>
      <c r="R178" s="936" t="str">
        <f t="shared" si="120"/>
        <v/>
      </c>
      <c r="S178" s="936" t="str">
        <f t="shared" si="105"/>
        <v/>
      </c>
      <c r="T178" s="937" t="str">
        <f t="shared" si="106"/>
        <v/>
      </c>
      <c r="U178" s="361"/>
      <c r="V178" s="375"/>
      <c r="W178" s="375"/>
      <c r="X178" s="375"/>
      <c r="Y178" s="1120" t="e">
        <f>VLOOKUP(H178,tab!$A$73:$V$114,I178+2,FALSE)</f>
        <v>#VALUE!</v>
      </c>
      <c r="Z178" s="1211">
        <f>tab!$E$64</f>
        <v>0.62</v>
      </c>
      <c r="AA178" s="1163" t="e">
        <f t="shared" si="107"/>
        <v>#VALUE!</v>
      </c>
      <c r="AB178" s="1163" t="e">
        <f t="shared" si="108"/>
        <v>#VALUE!</v>
      </c>
      <c r="AC178" s="1163" t="e">
        <f t="shared" si="109"/>
        <v>#VALUE!</v>
      </c>
      <c r="AD178" s="1162" t="e">
        <f t="shared" si="110"/>
        <v>#VALUE!</v>
      </c>
      <c r="AE178" s="1162">
        <f t="shared" si="111"/>
        <v>0</v>
      </c>
      <c r="AF178" s="1129">
        <f>IF(H178&gt;8,tab!$D$65,tab!$D$67)</f>
        <v>0.5</v>
      </c>
      <c r="AG178" s="1143">
        <f t="shared" si="112"/>
        <v>0</v>
      </c>
      <c r="AH178" s="1159">
        <f t="shared" si="113"/>
        <v>0</v>
      </c>
      <c r="AI178" s="1142" t="e">
        <f>DATE(YEAR(tab!$G$3),MONTH(G178),DAY(G178))&gt;tab!$G$3</f>
        <v>#VALUE!</v>
      </c>
      <c r="AJ178" s="1143" t="e">
        <f t="shared" si="114"/>
        <v>#VALUE!</v>
      </c>
      <c r="AK178" s="1096">
        <f t="shared" si="115"/>
        <v>30</v>
      </c>
      <c r="AL178" s="1096">
        <f t="shared" si="116"/>
        <v>30</v>
      </c>
      <c r="AM178" s="1143">
        <f t="shared" si="117"/>
        <v>0</v>
      </c>
    </row>
    <row r="179" spans="3:39" ht="12.75" customHeight="1" x14ac:dyDescent="0.2">
      <c r="C179" s="90"/>
      <c r="D179" s="97" t="str">
        <f>IF(op!D111="","",op!D111)</f>
        <v/>
      </c>
      <c r="E179" s="97" t="str">
        <f>IF(op!E111=0,"",op!E111)</f>
        <v/>
      </c>
      <c r="F179" s="114" t="str">
        <f>IF(op!F111="","",op!F111+1)</f>
        <v/>
      </c>
      <c r="G179" s="377" t="str">
        <f>IF(op!G111="","",op!G111)</f>
        <v/>
      </c>
      <c r="H179" s="114" t="str">
        <f>IF(op!H111=0,"",op!H111)</f>
        <v/>
      </c>
      <c r="I179" s="129" t="str">
        <f>IF(J179="","",(IF(op!I111+1&gt;LOOKUP(H179,schaal2011,regels2011),op!I111,op!I111+1)))</f>
        <v/>
      </c>
      <c r="J179" s="378" t="str">
        <f>IF(op!J111="","",op!J111)</f>
        <v/>
      </c>
      <c r="K179" s="1194"/>
      <c r="L179" s="1065">
        <f t="shared" si="121"/>
        <v>0</v>
      </c>
      <c r="M179" s="1065">
        <f t="shared" si="121"/>
        <v>0</v>
      </c>
      <c r="N179" s="1077" t="str">
        <f t="shared" si="118"/>
        <v/>
      </c>
      <c r="O179" s="1077" t="str">
        <f t="shared" si="119"/>
        <v/>
      </c>
      <c r="P179" s="1172" t="str">
        <f t="shared" si="104"/>
        <v/>
      </c>
      <c r="Q179" s="91"/>
      <c r="R179" s="936" t="str">
        <f t="shared" si="120"/>
        <v/>
      </c>
      <c r="S179" s="936" t="str">
        <f t="shared" si="105"/>
        <v/>
      </c>
      <c r="T179" s="937" t="str">
        <f t="shared" si="106"/>
        <v/>
      </c>
      <c r="U179" s="361"/>
      <c r="V179" s="375"/>
      <c r="W179" s="375"/>
      <c r="X179" s="375"/>
      <c r="Y179" s="1120" t="e">
        <f>VLOOKUP(H179,tab!$A$73:$V$114,I179+2,FALSE)</f>
        <v>#VALUE!</v>
      </c>
      <c r="Z179" s="1211">
        <f>tab!$E$64</f>
        <v>0.62</v>
      </c>
      <c r="AA179" s="1163" t="e">
        <f t="shared" si="107"/>
        <v>#VALUE!</v>
      </c>
      <c r="AB179" s="1163" t="e">
        <f t="shared" si="108"/>
        <v>#VALUE!</v>
      </c>
      <c r="AC179" s="1163" t="e">
        <f t="shared" si="109"/>
        <v>#VALUE!</v>
      </c>
      <c r="AD179" s="1162" t="e">
        <f t="shared" si="110"/>
        <v>#VALUE!</v>
      </c>
      <c r="AE179" s="1162">
        <f t="shared" si="111"/>
        <v>0</v>
      </c>
      <c r="AF179" s="1129">
        <f>IF(H179&gt;8,tab!$D$65,tab!$D$67)</f>
        <v>0.5</v>
      </c>
      <c r="AG179" s="1143">
        <f t="shared" si="112"/>
        <v>0</v>
      </c>
      <c r="AH179" s="1159">
        <f t="shared" si="113"/>
        <v>0</v>
      </c>
      <c r="AI179" s="1142" t="e">
        <f>DATE(YEAR(tab!$G$3),MONTH(G179),DAY(G179))&gt;tab!$G$3</f>
        <v>#VALUE!</v>
      </c>
      <c r="AJ179" s="1143" t="e">
        <f t="shared" si="114"/>
        <v>#VALUE!</v>
      </c>
      <c r="AK179" s="1096">
        <f t="shared" si="115"/>
        <v>30</v>
      </c>
      <c r="AL179" s="1096">
        <f t="shared" si="116"/>
        <v>30</v>
      </c>
      <c r="AM179" s="1143">
        <f t="shared" si="117"/>
        <v>0</v>
      </c>
    </row>
    <row r="180" spans="3:39" ht="12.75" customHeight="1" x14ac:dyDescent="0.2">
      <c r="C180" s="90"/>
      <c r="D180" s="97" t="str">
        <f>IF(op!D112="","",op!D112)</f>
        <v/>
      </c>
      <c r="E180" s="97" t="str">
        <f>IF(op!E112=0,"",op!E112)</f>
        <v/>
      </c>
      <c r="F180" s="114" t="str">
        <f>IF(op!F112="","",op!F112+1)</f>
        <v/>
      </c>
      <c r="G180" s="377" t="str">
        <f>IF(op!G112="","",op!G112)</f>
        <v/>
      </c>
      <c r="H180" s="114" t="str">
        <f>IF(op!H112=0,"",op!H112)</f>
        <v/>
      </c>
      <c r="I180" s="129" t="str">
        <f>IF(J180="","",(IF(op!I112+1&gt;LOOKUP(H180,schaal2011,regels2011),op!I112,op!I112+1)))</f>
        <v/>
      </c>
      <c r="J180" s="378" t="str">
        <f>IF(op!J112="","",op!J112)</f>
        <v/>
      </c>
      <c r="K180" s="1194"/>
      <c r="L180" s="1065">
        <f t="shared" si="121"/>
        <v>0</v>
      </c>
      <c r="M180" s="1065">
        <f t="shared" si="121"/>
        <v>0</v>
      </c>
      <c r="N180" s="1077" t="str">
        <f t="shared" si="118"/>
        <v/>
      </c>
      <c r="O180" s="1077" t="str">
        <f t="shared" si="119"/>
        <v/>
      </c>
      <c r="P180" s="1172" t="str">
        <f t="shared" si="104"/>
        <v/>
      </c>
      <c r="Q180" s="91"/>
      <c r="R180" s="936" t="str">
        <f t="shared" si="120"/>
        <v/>
      </c>
      <c r="S180" s="936" t="str">
        <f t="shared" si="105"/>
        <v/>
      </c>
      <c r="T180" s="937" t="str">
        <f t="shared" si="106"/>
        <v/>
      </c>
      <c r="U180" s="361"/>
      <c r="V180" s="375"/>
      <c r="W180" s="375"/>
      <c r="X180" s="375"/>
      <c r="Y180" s="1120" t="e">
        <f>VLOOKUP(H180,tab!$A$73:$V$114,I180+2,FALSE)</f>
        <v>#VALUE!</v>
      </c>
      <c r="Z180" s="1211">
        <f>tab!$E$64</f>
        <v>0.62</v>
      </c>
      <c r="AA180" s="1163" t="e">
        <f t="shared" si="107"/>
        <v>#VALUE!</v>
      </c>
      <c r="AB180" s="1163" t="e">
        <f t="shared" si="108"/>
        <v>#VALUE!</v>
      </c>
      <c r="AC180" s="1163" t="e">
        <f t="shared" si="109"/>
        <v>#VALUE!</v>
      </c>
      <c r="AD180" s="1162" t="e">
        <f t="shared" si="110"/>
        <v>#VALUE!</v>
      </c>
      <c r="AE180" s="1162">
        <f t="shared" si="111"/>
        <v>0</v>
      </c>
      <c r="AF180" s="1129">
        <f>IF(H180&gt;8,tab!$D$65,tab!$D$67)</f>
        <v>0.5</v>
      </c>
      <c r="AG180" s="1143">
        <f t="shared" si="112"/>
        <v>0</v>
      </c>
      <c r="AH180" s="1159">
        <f t="shared" si="113"/>
        <v>0</v>
      </c>
      <c r="AI180" s="1142" t="e">
        <f>DATE(YEAR(tab!$G$3),MONTH(G180),DAY(G180))&gt;tab!$G$3</f>
        <v>#VALUE!</v>
      </c>
      <c r="AJ180" s="1143" t="e">
        <f t="shared" si="114"/>
        <v>#VALUE!</v>
      </c>
      <c r="AK180" s="1096">
        <f t="shared" si="115"/>
        <v>30</v>
      </c>
      <c r="AL180" s="1096">
        <f t="shared" si="116"/>
        <v>30</v>
      </c>
      <c r="AM180" s="1143">
        <f t="shared" si="117"/>
        <v>0</v>
      </c>
    </row>
    <row r="181" spans="3:39" ht="12.75" customHeight="1" x14ac:dyDescent="0.2">
      <c r="C181" s="90"/>
      <c r="D181" s="97" t="str">
        <f>IF(op!D113="","",op!D113)</f>
        <v/>
      </c>
      <c r="E181" s="97" t="str">
        <f>IF(op!E113=0,"",op!E113)</f>
        <v/>
      </c>
      <c r="F181" s="114" t="str">
        <f>IF(op!F113="","",op!F113+1)</f>
        <v/>
      </c>
      <c r="G181" s="377" t="str">
        <f>IF(op!G113="","",op!G113)</f>
        <v/>
      </c>
      <c r="H181" s="114" t="str">
        <f>IF(op!H113=0,"",op!H113)</f>
        <v/>
      </c>
      <c r="I181" s="129" t="str">
        <f>IF(J181="","",(IF(op!I113+1&gt;LOOKUP(H181,schaal2011,regels2011),op!I113,op!I113+1)))</f>
        <v/>
      </c>
      <c r="J181" s="378" t="str">
        <f>IF(op!J113="","",op!J113)</f>
        <v/>
      </c>
      <c r="K181" s="1194"/>
      <c r="L181" s="1065">
        <f t="shared" si="121"/>
        <v>0</v>
      </c>
      <c r="M181" s="1065">
        <f t="shared" si="121"/>
        <v>0</v>
      </c>
      <c r="N181" s="1077" t="str">
        <f t="shared" si="118"/>
        <v/>
      </c>
      <c r="O181" s="1077" t="str">
        <f t="shared" si="119"/>
        <v/>
      </c>
      <c r="P181" s="1172" t="str">
        <f t="shared" si="104"/>
        <v/>
      </c>
      <c r="Q181" s="91"/>
      <c r="R181" s="936" t="str">
        <f t="shared" si="120"/>
        <v/>
      </c>
      <c r="S181" s="936" t="str">
        <f t="shared" si="105"/>
        <v/>
      </c>
      <c r="T181" s="937" t="str">
        <f t="shared" si="106"/>
        <v/>
      </c>
      <c r="U181" s="361"/>
      <c r="V181" s="375"/>
      <c r="W181" s="375"/>
      <c r="X181" s="375"/>
      <c r="Y181" s="1120" t="e">
        <f>VLOOKUP(H181,tab!$A$73:$V$114,I181+2,FALSE)</f>
        <v>#VALUE!</v>
      </c>
      <c r="Z181" s="1211">
        <f>tab!$E$64</f>
        <v>0.62</v>
      </c>
      <c r="AA181" s="1163" t="e">
        <f t="shared" si="107"/>
        <v>#VALUE!</v>
      </c>
      <c r="AB181" s="1163" t="e">
        <f t="shared" si="108"/>
        <v>#VALUE!</v>
      </c>
      <c r="AC181" s="1163" t="e">
        <f t="shared" si="109"/>
        <v>#VALUE!</v>
      </c>
      <c r="AD181" s="1162" t="e">
        <f t="shared" si="110"/>
        <v>#VALUE!</v>
      </c>
      <c r="AE181" s="1162">
        <f t="shared" si="111"/>
        <v>0</v>
      </c>
      <c r="AF181" s="1129">
        <f>IF(H181&gt;8,tab!$D$65,tab!$D$67)</f>
        <v>0.5</v>
      </c>
      <c r="AG181" s="1143">
        <f t="shared" si="112"/>
        <v>0</v>
      </c>
      <c r="AH181" s="1159">
        <f t="shared" si="113"/>
        <v>0</v>
      </c>
      <c r="AI181" s="1142" t="e">
        <f>DATE(YEAR(tab!$G$3),MONTH(G181),DAY(G181))&gt;tab!$G$3</f>
        <v>#VALUE!</v>
      </c>
      <c r="AJ181" s="1143" t="e">
        <f t="shared" si="114"/>
        <v>#VALUE!</v>
      </c>
      <c r="AK181" s="1096">
        <f t="shared" si="115"/>
        <v>30</v>
      </c>
      <c r="AL181" s="1096">
        <f t="shared" si="116"/>
        <v>30</v>
      </c>
      <c r="AM181" s="1143">
        <f t="shared" si="117"/>
        <v>0</v>
      </c>
    </row>
    <row r="182" spans="3:39" ht="12.75" customHeight="1" x14ac:dyDescent="0.2">
      <c r="C182" s="90"/>
      <c r="D182" s="97" t="str">
        <f>IF(op!D114="","",op!D114)</f>
        <v/>
      </c>
      <c r="E182" s="97" t="str">
        <f>IF(op!E114=0,"",op!E114)</f>
        <v/>
      </c>
      <c r="F182" s="114" t="str">
        <f>IF(op!F114="","",op!F114+1)</f>
        <v/>
      </c>
      <c r="G182" s="377" t="str">
        <f>IF(op!G114="","",op!G114)</f>
        <v/>
      </c>
      <c r="H182" s="114" t="str">
        <f>IF(op!H114=0,"",op!H114)</f>
        <v/>
      </c>
      <c r="I182" s="129" t="str">
        <f>IF(J182="","",(IF(op!I114+1&gt;LOOKUP(H182,schaal2011,regels2011),op!I114,op!I114+1)))</f>
        <v/>
      </c>
      <c r="J182" s="378" t="str">
        <f>IF(op!J114="","",op!J114)</f>
        <v/>
      </c>
      <c r="K182" s="1194"/>
      <c r="L182" s="1065">
        <f t="shared" si="121"/>
        <v>0</v>
      </c>
      <c r="M182" s="1065">
        <f t="shared" si="121"/>
        <v>0</v>
      </c>
      <c r="N182" s="1077" t="str">
        <f t="shared" si="118"/>
        <v/>
      </c>
      <c r="O182" s="1077" t="str">
        <f t="shared" si="119"/>
        <v/>
      </c>
      <c r="P182" s="1172" t="str">
        <f t="shared" si="104"/>
        <v/>
      </c>
      <c r="Q182" s="91"/>
      <c r="R182" s="936" t="str">
        <f t="shared" si="120"/>
        <v/>
      </c>
      <c r="S182" s="936" t="str">
        <f t="shared" si="105"/>
        <v/>
      </c>
      <c r="T182" s="937" t="str">
        <f t="shared" si="106"/>
        <v/>
      </c>
      <c r="U182" s="361"/>
      <c r="V182" s="375"/>
      <c r="W182" s="375"/>
      <c r="X182" s="375"/>
      <c r="Y182" s="1120" t="e">
        <f>VLOOKUP(H182,tab!$A$73:$V$114,I182+2,FALSE)</f>
        <v>#VALUE!</v>
      </c>
      <c r="Z182" s="1211">
        <f>tab!$E$64</f>
        <v>0.62</v>
      </c>
      <c r="AA182" s="1163" t="e">
        <f t="shared" si="107"/>
        <v>#VALUE!</v>
      </c>
      <c r="AB182" s="1163" t="e">
        <f t="shared" si="108"/>
        <v>#VALUE!</v>
      </c>
      <c r="AC182" s="1163" t="e">
        <f t="shared" si="109"/>
        <v>#VALUE!</v>
      </c>
      <c r="AD182" s="1162" t="e">
        <f t="shared" si="110"/>
        <v>#VALUE!</v>
      </c>
      <c r="AE182" s="1162">
        <f t="shared" si="111"/>
        <v>0</v>
      </c>
      <c r="AF182" s="1129">
        <f>IF(H182&gt;8,tab!$D$65,tab!$D$67)</f>
        <v>0.5</v>
      </c>
      <c r="AG182" s="1143">
        <f t="shared" si="112"/>
        <v>0</v>
      </c>
      <c r="AH182" s="1159">
        <f t="shared" si="113"/>
        <v>0</v>
      </c>
      <c r="AI182" s="1142" t="e">
        <f>DATE(YEAR(tab!$G$3),MONTH(G182),DAY(G182))&gt;tab!$G$3</f>
        <v>#VALUE!</v>
      </c>
      <c r="AJ182" s="1143" t="e">
        <f t="shared" si="114"/>
        <v>#VALUE!</v>
      </c>
      <c r="AK182" s="1096">
        <f t="shared" si="115"/>
        <v>30</v>
      </c>
      <c r="AL182" s="1096">
        <f t="shared" si="116"/>
        <v>30</v>
      </c>
      <c r="AM182" s="1143">
        <f t="shared" si="117"/>
        <v>0</v>
      </c>
    </row>
    <row r="183" spans="3:39" ht="12.75" customHeight="1" x14ac:dyDescent="0.2">
      <c r="C183" s="90"/>
      <c r="D183" s="97" t="str">
        <f>IF(op!D115="","",op!D115)</f>
        <v/>
      </c>
      <c r="E183" s="97" t="str">
        <f>IF(op!E115=0,"",op!E115)</f>
        <v/>
      </c>
      <c r="F183" s="114" t="str">
        <f>IF(op!F115="","",op!F115+1)</f>
        <v/>
      </c>
      <c r="G183" s="377" t="str">
        <f>IF(op!G115="","",op!G115)</f>
        <v/>
      </c>
      <c r="H183" s="114" t="str">
        <f>IF(op!H115=0,"",op!H115)</f>
        <v/>
      </c>
      <c r="I183" s="129" t="str">
        <f>IF(J183="","",(IF(op!I115+1&gt;LOOKUP(H183,schaal2011,regels2011),op!I115,op!I115+1)))</f>
        <v/>
      </c>
      <c r="J183" s="378" t="str">
        <f>IF(op!J115="","",op!J115)</f>
        <v/>
      </c>
      <c r="K183" s="1194"/>
      <c r="L183" s="1065">
        <f t="shared" si="121"/>
        <v>0</v>
      </c>
      <c r="M183" s="1065">
        <f t="shared" si="121"/>
        <v>0</v>
      </c>
      <c r="N183" s="1077" t="str">
        <f t="shared" si="118"/>
        <v/>
      </c>
      <c r="O183" s="1077" t="str">
        <f t="shared" si="119"/>
        <v/>
      </c>
      <c r="P183" s="1172" t="str">
        <f t="shared" si="104"/>
        <v/>
      </c>
      <c r="Q183" s="91"/>
      <c r="R183" s="936" t="str">
        <f t="shared" si="120"/>
        <v/>
      </c>
      <c r="S183" s="936" t="str">
        <f t="shared" si="105"/>
        <v/>
      </c>
      <c r="T183" s="937" t="str">
        <f t="shared" si="106"/>
        <v/>
      </c>
      <c r="U183" s="361"/>
      <c r="V183" s="375"/>
      <c r="W183" s="375"/>
      <c r="X183" s="375"/>
      <c r="Y183" s="1120" t="e">
        <f>VLOOKUP(H183,tab!$A$73:$V$114,I183+2,FALSE)</f>
        <v>#VALUE!</v>
      </c>
      <c r="Z183" s="1211">
        <f>tab!$E$64</f>
        <v>0.62</v>
      </c>
      <c r="AA183" s="1163" t="e">
        <f t="shared" si="107"/>
        <v>#VALUE!</v>
      </c>
      <c r="AB183" s="1163" t="e">
        <f t="shared" si="108"/>
        <v>#VALUE!</v>
      </c>
      <c r="AC183" s="1163" t="e">
        <f t="shared" si="109"/>
        <v>#VALUE!</v>
      </c>
      <c r="AD183" s="1162" t="e">
        <f t="shared" si="110"/>
        <v>#VALUE!</v>
      </c>
      <c r="AE183" s="1162">
        <f t="shared" si="111"/>
        <v>0</v>
      </c>
      <c r="AF183" s="1129">
        <f>IF(H183&gt;8,tab!$D$65,tab!$D$67)</f>
        <v>0.5</v>
      </c>
      <c r="AG183" s="1143">
        <f t="shared" si="112"/>
        <v>0</v>
      </c>
      <c r="AH183" s="1159">
        <f t="shared" si="113"/>
        <v>0</v>
      </c>
      <c r="AI183" s="1142" t="e">
        <f>DATE(YEAR(tab!$G$3),MONTH(G183),DAY(G183))&gt;tab!$G$3</f>
        <v>#VALUE!</v>
      </c>
      <c r="AJ183" s="1143" t="e">
        <f t="shared" si="114"/>
        <v>#VALUE!</v>
      </c>
      <c r="AK183" s="1096">
        <f t="shared" si="115"/>
        <v>30</v>
      </c>
      <c r="AL183" s="1096">
        <f t="shared" si="116"/>
        <v>30</v>
      </c>
      <c r="AM183" s="1143">
        <f t="shared" si="117"/>
        <v>0</v>
      </c>
    </row>
    <row r="184" spans="3:39" ht="12.75" customHeight="1" x14ac:dyDescent="0.2">
      <c r="C184" s="90"/>
      <c r="D184" s="97" t="str">
        <f>IF(op!D116="","",op!D116)</f>
        <v/>
      </c>
      <c r="E184" s="97" t="str">
        <f>IF(op!E116=0,"",op!E116)</f>
        <v/>
      </c>
      <c r="F184" s="114" t="str">
        <f>IF(op!F116="","",op!F116+1)</f>
        <v/>
      </c>
      <c r="G184" s="377" t="str">
        <f>IF(op!G116="","",op!G116)</f>
        <v/>
      </c>
      <c r="H184" s="114" t="str">
        <f>IF(op!H116=0,"",op!H116)</f>
        <v/>
      </c>
      <c r="I184" s="129" t="str">
        <f>IF(J184="","",(IF(op!I116+1&gt;LOOKUP(H184,schaal2011,regels2011),op!I116,op!I116+1)))</f>
        <v/>
      </c>
      <c r="J184" s="378" t="str">
        <f>IF(op!J116="","",op!J116)</f>
        <v/>
      </c>
      <c r="K184" s="1194"/>
      <c r="L184" s="1065">
        <f t="shared" si="121"/>
        <v>0</v>
      </c>
      <c r="M184" s="1065">
        <f t="shared" si="121"/>
        <v>0</v>
      </c>
      <c r="N184" s="1077" t="str">
        <f t="shared" si="118"/>
        <v/>
      </c>
      <c r="O184" s="1077" t="str">
        <f t="shared" si="119"/>
        <v/>
      </c>
      <c r="P184" s="1172" t="str">
        <f t="shared" si="104"/>
        <v/>
      </c>
      <c r="Q184" s="91"/>
      <c r="R184" s="936" t="str">
        <f t="shared" si="120"/>
        <v/>
      </c>
      <c r="S184" s="936" t="str">
        <f t="shared" si="105"/>
        <v/>
      </c>
      <c r="T184" s="937" t="str">
        <f t="shared" si="106"/>
        <v/>
      </c>
      <c r="U184" s="361"/>
      <c r="V184" s="375"/>
      <c r="W184" s="375"/>
      <c r="X184" s="375"/>
      <c r="Y184" s="1120" t="e">
        <f>VLOOKUP(H184,tab!$A$73:$V$114,I184+2,FALSE)</f>
        <v>#VALUE!</v>
      </c>
      <c r="Z184" s="1211">
        <f>tab!$E$64</f>
        <v>0.62</v>
      </c>
      <c r="AA184" s="1163" t="e">
        <f t="shared" si="107"/>
        <v>#VALUE!</v>
      </c>
      <c r="AB184" s="1163" t="e">
        <f t="shared" si="108"/>
        <v>#VALUE!</v>
      </c>
      <c r="AC184" s="1163" t="e">
        <f t="shared" si="109"/>
        <v>#VALUE!</v>
      </c>
      <c r="AD184" s="1162" t="e">
        <f t="shared" si="110"/>
        <v>#VALUE!</v>
      </c>
      <c r="AE184" s="1162">
        <f t="shared" si="111"/>
        <v>0</v>
      </c>
      <c r="AF184" s="1129">
        <f>IF(H184&gt;8,tab!$D$65,tab!$D$67)</f>
        <v>0.5</v>
      </c>
      <c r="AG184" s="1143">
        <f t="shared" ref="AG184:AG206" si="122">IF(F184&lt;25,0,IF(F184=25,25,IF(F184&lt;40,0,IF(F184=40,40,IF(F184&gt;=40,0)))))</f>
        <v>0</v>
      </c>
      <c r="AH184" s="1159">
        <f t="shared" ref="AH184:AH206" si="123">IF(AG184=25,(Y184*1.08*(J184)/2),IF(AG184=40,(Y184*1.08*(J184)),IF(AG184=0,0)))</f>
        <v>0</v>
      </c>
      <c r="AI184" s="1142" t="e">
        <f>DATE(YEAR(tab!$G$3),MONTH(G184),DAY(G184))&gt;tab!$G$3</f>
        <v>#VALUE!</v>
      </c>
      <c r="AJ184" s="1143" t="e">
        <f t="shared" ref="AJ184:AJ206" si="124">YEAR($E$145)-YEAR(G184)-AI184</f>
        <v>#VALUE!</v>
      </c>
      <c r="AK184" s="1096">
        <f t="shared" ref="AK184:AK206" si="125">IF((G184=""),30,AJ184)</f>
        <v>30</v>
      </c>
      <c r="AL184" s="1096">
        <f t="shared" ref="AL184:AL206" si="126">IF((AK184)&gt;50,50,(AK184))</f>
        <v>30</v>
      </c>
      <c r="AM184" s="1143">
        <f t="shared" ref="AM184:AM206" si="127">ROUND((AL184*(SUM(J184:J184))),2)</f>
        <v>0</v>
      </c>
    </row>
    <row r="185" spans="3:39" ht="12.75" customHeight="1" x14ac:dyDescent="0.2">
      <c r="C185" s="90"/>
      <c r="D185" s="97" t="str">
        <f>IF(op!D117="","",op!D117)</f>
        <v/>
      </c>
      <c r="E185" s="97" t="str">
        <f>IF(op!E117=0,"",op!E117)</f>
        <v/>
      </c>
      <c r="F185" s="114" t="str">
        <f>IF(op!F117="","",op!F117+1)</f>
        <v/>
      </c>
      <c r="G185" s="377" t="str">
        <f>IF(op!G117="","",op!G117)</f>
        <v/>
      </c>
      <c r="H185" s="114" t="str">
        <f>IF(op!H117=0,"",op!H117)</f>
        <v/>
      </c>
      <c r="I185" s="129" t="str">
        <f>IF(J185="","",(IF(op!I117+1&gt;LOOKUP(H185,schaal2011,regels2011),op!I117,op!I117+1)))</f>
        <v/>
      </c>
      <c r="J185" s="378" t="str">
        <f>IF(op!J117="","",op!J117)</f>
        <v/>
      </c>
      <c r="K185" s="1194"/>
      <c r="L185" s="1065">
        <f t="shared" si="121"/>
        <v>0</v>
      </c>
      <c r="M185" s="1065">
        <f t="shared" si="121"/>
        <v>0</v>
      </c>
      <c r="N185" s="1077" t="str">
        <f t="shared" si="118"/>
        <v/>
      </c>
      <c r="O185" s="1077" t="str">
        <f t="shared" si="119"/>
        <v/>
      </c>
      <c r="P185" s="1172" t="str">
        <f t="shared" si="104"/>
        <v/>
      </c>
      <c r="Q185" s="91"/>
      <c r="R185" s="936" t="str">
        <f t="shared" si="120"/>
        <v/>
      </c>
      <c r="S185" s="936" t="str">
        <f t="shared" si="105"/>
        <v/>
      </c>
      <c r="T185" s="937" t="str">
        <f t="shared" si="106"/>
        <v/>
      </c>
      <c r="U185" s="361"/>
      <c r="V185" s="375"/>
      <c r="W185" s="375"/>
      <c r="X185" s="375"/>
      <c r="Y185" s="1120" t="e">
        <f>VLOOKUP(H185,tab!$A$73:$V$114,I185+2,FALSE)</f>
        <v>#VALUE!</v>
      </c>
      <c r="Z185" s="1211">
        <f>tab!$E$64</f>
        <v>0.62</v>
      </c>
      <c r="AA185" s="1163" t="e">
        <f t="shared" si="107"/>
        <v>#VALUE!</v>
      </c>
      <c r="AB185" s="1163" t="e">
        <f t="shared" si="108"/>
        <v>#VALUE!</v>
      </c>
      <c r="AC185" s="1163" t="e">
        <f t="shared" si="109"/>
        <v>#VALUE!</v>
      </c>
      <c r="AD185" s="1162" t="e">
        <f t="shared" si="110"/>
        <v>#VALUE!</v>
      </c>
      <c r="AE185" s="1162">
        <f t="shared" si="111"/>
        <v>0</v>
      </c>
      <c r="AF185" s="1129">
        <f>IF(H185&gt;8,tab!$D$65,tab!$D$67)</f>
        <v>0.5</v>
      </c>
      <c r="AG185" s="1143">
        <f t="shared" si="122"/>
        <v>0</v>
      </c>
      <c r="AH185" s="1159">
        <f t="shared" si="123"/>
        <v>0</v>
      </c>
      <c r="AI185" s="1142" t="e">
        <f>DATE(YEAR(tab!$G$3),MONTH(G185),DAY(G185))&gt;tab!$G$3</f>
        <v>#VALUE!</v>
      </c>
      <c r="AJ185" s="1143" t="e">
        <f t="shared" si="124"/>
        <v>#VALUE!</v>
      </c>
      <c r="AK185" s="1096">
        <f t="shared" si="125"/>
        <v>30</v>
      </c>
      <c r="AL185" s="1096">
        <f t="shared" si="126"/>
        <v>30</v>
      </c>
      <c r="AM185" s="1143">
        <f t="shared" si="127"/>
        <v>0</v>
      </c>
    </row>
    <row r="186" spans="3:39" ht="12.75" customHeight="1" x14ac:dyDescent="0.2">
      <c r="C186" s="90"/>
      <c r="D186" s="97" t="str">
        <f>IF(op!D118="","",op!D118)</f>
        <v/>
      </c>
      <c r="E186" s="97" t="str">
        <f>IF(op!E118=0,"",op!E118)</f>
        <v/>
      </c>
      <c r="F186" s="114" t="str">
        <f>IF(op!F118="","",op!F118+1)</f>
        <v/>
      </c>
      <c r="G186" s="377" t="str">
        <f>IF(op!G118="","",op!G118)</f>
        <v/>
      </c>
      <c r="H186" s="114" t="str">
        <f>IF(op!H118=0,"",op!H118)</f>
        <v/>
      </c>
      <c r="I186" s="129" t="str">
        <f>IF(J186="","",(IF(op!I118+1&gt;LOOKUP(H186,schaal2011,regels2011),op!I118,op!I118+1)))</f>
        <v/>
      </c>
      <c r="J186" s="378" t="str">
        <f>IF(op!J118="","",op!J118)</f>
        <v/>
      </c>
      <c r="K186" s="1194"/>
      <c r="L186" s="1065">
        <f t="shared" si="121"/>
        <v>0</v>
      </c>
      <c r="M186" s="1065">
        <f t="shared" si="121"/>
        <v>0</v>
      </c>
      <c r="N186" s="1077" t="str">
        <f t="shared" si="118"/>
        <v/>
      </c>
      <c r="O186" s="1077" t="str">
        <f t="shared" si="119"/>
        <v/>
      </c>
      <c r="P186" s="1172" t="str">
        <f t="shared" si="104"/>
        <v/>
      </c>
      <c r="Q186" s="91"/>
      <c r="R186" s="936" t="str">
        <f t="shared" si="120"/>
        <v/>
      </c>
      <c r="S186" s="936" t="str">
        <f t="shared" si="105"/>
        <v/>
      </c>
      <c r="T186" s="937" t="str">
        <f t="shared" si="106"/>
        <v/>
      </c>
      <c r="U186" s="361"/>
      <c r="V186" s="375"/>
      <c r="W186" s="375"/>
      <c r="X186" s="375"/>
      <c r="Y186" s="1120" t="e">
        <f>VLOOKUP(H186,tab!$A$73:$V$114,I186+2,FALSE)</f>
        <v>#VALUE!</v>
      </c>
      <c r="Z186" s="1211">
        <f>tab!$E$64</f>
        <v>0.62</v>
      </c>
      <c r="AA186" s="1163" t="e">
        <f t="shared" si="107"/>
        <v>#VALUE!</v>
      </c>
      <c r="AB186" s="1163" t="e">
        <f t="shared" si="108"/>
        <v>#VALUE!</v>
      </c>
      <c r="AC186" s="1163" t="e">
        <f t="shared" si="109"/>
        <v>#VALUE!</v>
      </c>
      <c r="AD186" s="1162" t="e">
        <f t="shared" si="110"/>
        <v>#VALUE!</v>
      </c>
      <c r="AE186" s="1162">
        <f t="shared" si="111"/>
        <v>0</v>
      </c>
      <c r="AF186" s="1129">
        <f>IF(H186&gt;8,tab!$D$65,tab!$D$67)</f>
        <v>0.5</v>
      </c>
      <c r="AG186" s="1143">
        <f t="shared" si="122"/>
        <v>0</v>
      </c>
      <c r="AH186" s="1159">
        <f t="shared" si="123"/>
        <v>0</v>
      </c>
      <c r="AI186" s="1142" t="e">
        <f>DATE(YEAR(tab!$G$3),MONTH(G186),DAY(G186))&gt;tab!$G$3</f>
        <v>#VALUE!</v>
      </c>
      <c r="AJ186" s="1143" t="e">
        <f t="shared" si="124"/>
        <v>#VALUE!</v>
      </c>
      <c r="AK186" s="1096">
        <f t="shared" si="125"/>
        <v>30</v>
      </c>
      <c r="AL186" s="1096">
        <f t="shared" si="126"/>
        <v>30</v>
      </c>
      <c r="AM186" s="1143">
        <f t="shared" si="127"/>
        <v>0</v>
      </c>
    </row>
    <row r="187" spans="3:39" ht="12.75" customHeight="1" x14ac:dyDescent="0.2">
      <c r="C187" s="90"/>
      <c r="D187" s="97" t="str">
        <f>IF(op!D119="","",op!D119)</f>
        <v/>
      </c>
      <c r="E187" s="97" t="str">
        <f>IF(op!E119=0,"",op!E119)</f>
        <v/>
      </c>
      <c r="F187" s="114" t="str">
        <f>IF(op!F119="","",op!F119+1)</f>
        <v/>
      </c>
      <c r="G187" s="377" t="str">
        <f>IF(op!G119="","",op!G119)</f>
        <v/>
      </c>
      <c r="H187" s="114" t="str">
        <f>IF(op!H119=0,"",op!H119)</f>
        <v/>
      </c>
      <c r="I187" s="129" t="str">
        <f>IF(J187="","",(IF(op!I119+1&gt;LOOKUP(H187,schaal2011,regels2011),op!I119,op!I119+1)))</f>
        <v/>
      </c>
      <c r="J187" s="378" t="str">
        <f>IF(op!J119="","",op!J119)</f>
        <v/>
      </c>
      <c r="K187" s="1194"/>
      <c r="L187" s="1065">
        <f t="shared" si="121"/>
        <v>0</v>
      </c>
      <c r="M187" s="1065">
        <f t="shared" si="121"/>
        <v>0</v>
      </c>
      <c r="N187" s="1077" t="str">
        <f t="shared" si="118"/>
        <v/>
      </c>
      <c r="O187" s="1077" t="str">
        <f t="shared" si="119"/>
        <v/>
      </c>
      <c r="P187" s="1172" t="str">
        <f t="shared" si="104"/>
        <v/>
      </c>
      <c r="Q187" s="91"/>
      <c r="R187" s="936" t="str">
        <f t="shared" si="120"/>
        <v/>
      </c>
      <c r="S187" s="936" t="str">
        <f t="shared" si="105"/>
        <v/>
      </c>
      <c r="T187" s="937" t="str">
        <f t="shared" si="106"/>
        <v/>
      </c>
      <c r="U187" s="361"/>
      <c r="V187" s="375"/>
      <c r="W187" s="375"/>
      <c r="X187" s="375"/>
      <c r="Y187" s="1120" t="e">
        <f>VLOOKUP(H187,tab!$A$73:$V$114,I187+2,FALSE)</f>
        <v>#VALUE!</v>
      </c>
      <c r="Z187" s="1211">
        <f>tab!$E$64</f>
        <v>0.62</v>
      </c>
      <c r="AA187" s="1163" t="e">
        <f t="shared" si="107"/>
        <v>#VALUE!</v>
      </c>
      <c r="AB187" s="1163" t="e">
        <f t="shared" si="108"/>
        <v>#VALUE!</v>
      </c>
      <c r="AC187" s="1163" t="e">
        <f t="shared" si="109"/>
        <v>#VALUE!</v>
      </c>
      <c r="AD187" s="1162" t="e">
        <f t="shared" si="110"/>
        <v>#VALUE!</v>
      </c>
      <c r="AE187" s="1162">
        <f t="shared" si="111"/>
        <v>0</v>
      </c>
      <c r="AF187" s="1129">
        <f>IF(H187&gt;8,tab!$D$65,tab!$D$67)</f>
        <v>0.5</v>
      </c>
      <c r="AG187" s="1143">
        <f t="shared" si="122"/>
        <v>0</v>
      </c>
      <c r="AH187" s="1159">
        <f t="shared" si="123"/>
        <v>0</v>
      </c>
      <c r="AI187" s="1142" t="e">
        <f>DATE(YEAR(tab!$G$3),MONTH(G187),DAY(G187))&gt;tab!$G$3</f>
        <v>#VALUE!</v>
      </c>
      <c r="AJ187" s="1143" t="e">
        <f t="shared" si="124"/>
        <v>#VALUE!</v>
      </c>
      <c r="AK187" s="1096">
        <f t="shared" si="125"/>
        <v>30</v>
      </c>
      <c r="AL187" s="1096">
        <f t="shared" si="126"/>
        <v>30</v>
      </c>
      <c r="AM187" s="1143">
        <f t="shared" si="127"/>
        <v>0</v>
      </c>
    </row>
    <row r="188" spans="3:39" ht="12.75" customHeight="1" x14ac:dyDescent="0.2">
      <c r="C188" s="90"/>
      <c r="D188" s="97" t="str">
        <f>IF(op!D120="","",op!D120)</f>
        <v/>
      </c>
      <c r="E188" s="97" t="str">
        <f>IF(op!E120=0,"",op!E120)</f>
        <v/>
      </c>
      <c r="F188" s="114" t="str">
        <f>IF(op!F120="","",op!F120+1)</f>
        <v/>
      </c>
      <c r="G188" s="377" t="str">
        <f>IF(op!G120="","",op!G120)</f>
        <v/>
      </c>
      <c r="H188" s="114" t="str">
        <f>IF(op!H120=0,"",op!H120)</f>
        <v/>
      </c>
      <c r="I188" s="129" t="str">
        <f>IF(J188="","",(IF(op!I120+1&gt;LOOKUP(H188,schaal2011,regels2011),op!I120,op!I120+1)))</f>
        <v/>
      </c>
      <c r="J188" s="378" t="str">
        <f>IF(op!J120="","",op!J120)</f>
        <v/>
      </c>
      <c r="K188" s="1194"/>
      <c r="L188" s="1065">
        <f t="shared" si="121"/>
        <v>0</v>
      </c>
      <c r="M188" s="1065">
        <f t="shared" si="121"/>
        <v>0</v>
      </c>
      <c r="N188" s="1077" t="str">
        <f t="shared" si="118"/>
        <v/>
      </c>
      <c r="O188" s="1077" t="str">
        <f t="shared" si="119"/>
        <v/>
      </c>
      <c r="P188" s="1172" t="str">
        <f t="shared" si="104"/>
        <v/>
      </c>
      <c r="Q188" s="91"/>
      <c r="R188" s="936" t="str">
        <f t="shared" si="120"/>
        <v/>
      </c>
      <c r="S188" s="936" t="str">
        <f t="shared" si="105"/>
        <v/>
      </c>
      <c r="T188" s="937" t="str">
        <f t="shared" si="106"/>
        <v/>
      </c>
      <c r="U188" s="361"/>
      <c r="V188" s="375"/>
      <c r="W188" s="375"/>
      <c r="X188" s="375"/>
      <c r="Y188" s="1120" t="e">
        <f>VLOOKUP(H188,tab!$A$73:$V$114,I188+2,FALSE)</f>
        <v>#VALUE!</v>
      </c>
      <c r="Z188" s="1211">
        <f>tab!$E$64</f>
        <v>0.62</v>
      </c>
      <c r="AA188" s="1163" t="e">
        <f t="shared" si="107"/>
        <v>#VALUE!</v>
      </c>
      <c r="AB188" s="1163" t="e">
        <f t="shared" si="108"/>
        <v>#VALUE!</v>
      </c>
      <c r="AC188" s="1163" t="e">
        <f t="shared" si="109"/>
        <v>#VALUE!</v>
      </c>
      <c r="AD188" s="1162" t="e">
        <f t="shared" si="110"/>
        <v>#VALUE!</v>
      </c>
      <c r="AE188" s="1162">
        <f t="shared" si="111"/>
        <v>0</v>
      </c>
      <c r="AF188" s="1129">
        <f>IF(H188&gt;8,tab!$D$65,tab!$D$67)</f>
        <v>0.5</v>
      </c>
      <c r="AG188" s="1143">
        <f t="shared" si="122"/>
        <v>0</v>
      </c>
      <c r="AH188" s="1159">
        <f t="shared" si="123"/>
        <v>0</v>
      </c>
      <c r="AI188" s="1142" t="e">
        <f>DATE(YEAR(tab!$G$3),MONTH(G188),DAY(G188))&gt;tab!$G$3</f>
        <v>#VALUE!</v>
      </c>
      <c r="AJ188" s="1143" t="e">
        <f t="shared" si="124"/>
        <v>#VALUE!</v>
      </c>
      <c r="AK188" s="1096">
        <f t="shared" si="125"/>
        <v>30</v>
      </c>
      <c r="AL188" s="1096">
        <f t="shared" si="126"/>
        <v>30</v>
      </c>
      <c r="AM188" s="1143">
        <f t="shared" si="127"/>
        <v>0</v>
      </c>
    </row>
    <row r="189" spans="3:39" ht="12.75" customHeight="1" x14ac:dyDescent="0.2">
      <c r="C189" s="90"/>
      <c r="D189" s="97" t="str">
        <f>IF(op!D121="","",op!D121)</f>
        <v/>
      </c>
      <c r="E189" s="97" t="str">
        <f>IF(op!E121=0,"",op!E121)</f>
        <v/>
      </c>
      <c r="F189" s="114" t="str">
        <f>IF(op!F121="","",op!F121+1)</f>
        <v/>
      </c>
      <c r="G189" s="377" t="str">
        <f>IF(op!G121="","",op!G121)</f>
        <v/>
      </c>
      <c r="H189" s="114" t="str">
        <f>IF(op!H121=0,"",op!H121)</f>
        <v/>
      </c>
      <c r="I189" s="129" t="str">
        <f>IF(J189="","",(IF(op!I121+1&gt;LOOKUP(H189,schaal2011,regels2011),op!I121,op!I121+1)))</f>
        <v/>
      </c>
      <c r="J189" s="378" t="str">
        <f>IF(op!J121="","",op!J121)</f>
        <v/>
      </c>
      <c r="K189" s="1194"/>
      <c r="L189" s="1065">
        <f t="shared" si="121"/>
        <v>0</v>
      </c>
      <c r="M189" s="1065">
        <f t="shared" si="121"/>
        <v>0</v>
      </c>
      <c r="N189" s="1077" t="str">
        <f t="shared" si="118"/>
        <v/>
      </c>
      <c r="O189" s="1077" t="str">
        <f t="shared" si="119"/>
        <v/>
      </c>
      <c r="P189" s="1172" t="str">
        <f t="shared" si="104"/>
        <v/>
      </c>
      <c r="Q189" s="91"/>
      <c r="R189" s="936" t="str">
        <f t="shared" si="120"/>
        <v/>
      </c>
      <c r="S189" s="936" t="str">
        <f t="shared" si="105"/>
        <v/>
      </c>
      <c r="T189" s="937" t="str">
        <f t="shared" si="106"/>
        <v/>
      </c>
      <c r="U189" s="361"/>
      <c r="V189" s="375"/>
      <c r="W189" s="375"/>
      <c r="X189" s="375"/>
      <c r="Y189" s="1120" t="e">
        <f>VLOOKUP(H189,tab!$A$73:$V$114,I189+2,FALSE)</f>
        <v>#VALUE!</v>
      </c>
      <c r="Z189" s="1211">
        <f>tab!$E$64</f>
        <v>0.62</v>
      </c>
      <c r="AA189" s="1163" t="e">
        <f t="shared" si="107"/>
        <v>#VALUE!</v>
      </c>
      <c r="AB189" s="1163" t="e">
        <f t="shared" si="108"/>
        <v>#VALUE!</v>
      </c>
      <c r="AC189" s="1163" t="e">
        <f t="shared" si="109"/>
        <v>#VALUE!</v>
      </c>
      <c r="AD189" s="1162" t="e">
        <f t="shared" si="110"/>
        <v>#VALUE!</v>
      </c>
      <c r="AE189" s="1162">
        <f t="shared" si="111"/>
        <v>0</v>
      </c>
      <c r="AF189" s="1129">
        <f>IF(H189&gt;8,tab!$D$65,tab!$D$67)</f>
        <v>0.5</v>
      </c>
      <c r="AG189" s="1143">
        <f t="shared" si="122"/>
        <v>0</v>
      </c>
      <c r="AH189" s="1159">
        <f t="shared" si="123"/>
        <v>0</v>
      </c>
      <c r="AI189" s="1142" t="e">
        <f>DATE(YEAR(tab!$G$3),MONTH(G189),DAY(G189))&gt;tab!$G$3</f>
        <v>#VALUE!</v>
      </c>
      <c r="AJ189" s="1143" t="e">
        <f t="shared" si="124"/>
        <v>#VALUE!</v>
      </c>
      <c r="AK189" s="1096">
        <f t="shared" si="125"/>
        <v>30</v>
      </c>
      <c r="AL189" s="1096">
        <f t="shared" si="126"/>
        <v>30</v>
      </c>
      <c r="AM189" s="1143">
        <f t="shared" si="127"/>
        <v>0</v>
      </c>
    </row>
    <row r="190" spans="3:39" ht="12.75" customHeight="1" x14ac:dyDescent="0.2">
      <c r="C190" s="90"/>
      <c r="D190" s="97" t="str">
        <f>IF(op!D122="","",op!D122)</f>
        <v/>
      </c>
      <c r="E190" s="97" t="str">
        <f>IF(op!E122=0,"",op!E122)</f>
        <v/>
      </c>
      <c r="F190" s="114" t="str">
        <f>IF(op!F122="","",op!F122+1)</f>
        <v/>
      </c>
      <c r="G190" s="377" t="str">
        <f>IF(op!G122="","",op!G122)</f>
        <v/>
      </c>
      <c r="H190" s="114" t="str">
        <f>IF(op!H122=0,"",op!H122)</f>
        <v/>
      </c>
      <c r="I190" s="129" t="str">
        <f>IF(J190="","",(IF(op!I122+1&gt;LOOKUP(H190,schaal2011,regels2011),op!I122,op!I122+1)))</f>
        <v/>
      </c>
      <c r="J190" s="378" t="str">
        <f>IF(op!J122="","",op!J122)</f>
        <v/>
      </c>
      <c r="K190" s="1194"/>
      <c r="L190" s="1065">
        <f t="shared" si="121"/>
        <v>0</v>
      </c>
      <c r="M190" s="1065">
        <f t="shared" si="121"/>
        <v>0</v>
      </c>
      <c r="N190" s="1077" t="str">
        <f t="shared" si="118"/>
        <v/>
      </c>
      <c r="O190" s="1077" t="str">
        <f t="shared" si="119"/>
        <v/>
      </c>
      <c r="P190" s="1172" t="str">
        <f t="shared" si="104"/>
        <v/>
      </c>
      <c r="Q190" s="91"/>
      <c r="R190" s="936" t="str">
        <f t="shared" si="120"/>
        <v/>
      </c>
      <c r="S190" s="936" t="str">
        <f t="shared" si="105"/>
        <v/>
      </c>
      <c r="T190" s="937" t="str">
        <f t="shared" si="106"/>
        <v/>
      </c>
      <c r="U190" s="361"/>
      <c r="V190" s="375"/>
      <c r="W190" s="375"/>
      <c r="X190" s="375"/>
      <c r="Y190" s="1120" t="e">
        <f>VLOOKUP(H190,tab!$A$73:$V$114,I190+2,FALSE)</f>
        <v>#VALUE!</v>
      </c>
      <c r="Z190" s="1211">
        <f>tab!$E$64</f>
        <v>0.62</v>
      </c>
      <c r="AA190" s="1163" t="e">
        <f t="shared" si="107"/>
        <v>#VALUE!</v>
      </c>
      <c r="AB190" s="1163" t="e">
        <f t="shared" si="108"/>
        <v>#VALUE!</v>
      </c>
      <c r="AC190" s="1163" t="e">
        <f t="shared" si="109"/>
        <v>#VALUE!</v>
      </c>
      <c r="AD190" s="1162" t="e">
        <f t="shared" si="110"/>
        <v>#VALUE!</v>
      </c>
      <c r="AE190" s="1162">
        <f t="shared" si="111"/>
        <v>0</v>
      </c>
      <c r="AF190" s="1129">
        <f>IF(H190&gt;8,tab!$D$65,tab!$D$67)</f>
        <v>0.5</v>
      </c>
      <c r="AG190" s="1143">
        <f t="shared" si="122"/>
        <v>0</v>
      </c>
      <c r="AH190" s="1159">
        <f t="shared" si="123"/>
        <v>0</v>
      </c>
      <c r="AI190" s="1142" t="e">
        <f>DATE(YEAR(tab!$G$3),MONTH(G190),DAY(G190))&gt;tab!$G$3</f>
        <v>#VALUE!</v>
      </c>
      <c r="AJ190" s="1143" t="e">
        <f t="shared" si="124"/>
        <v>#VALUE!</v>
      </c>
      <c r="AK190" s="1096">
        <f t="shared" si="125"/>
        <v>30</v>
      </c>
      <c r="AL190" s="1096">
        <f t="shared" si="126"/>
        <v>30</v>
      </c>
      <c r="AM190" s="1143">
        <f t="shared" si="127"/>
        <v>0</v>
      </c>
    </row>
    <row r="191" spans="3:39" ht="12.75" customHeight="1" x14ac:dyDescent="0.2">
      <c r="C191" s="90"/>
      <c r="D191" s="97" t="str">
        <f>IF(op!D123="","",op!D123)</f>
        <v/>
      </c>
      <c r="E191" s="97" t="str">
        <f>IF(op!E123=0,"",op!E123)</f>
        <v/>
      </c>
      <c r="F191" s="114" t="str">
        <f>IF(op!F123="","",op!F123+1)</f>
        <v/>
      </c>
      <c r="G191" s="377" t="str">
        <f>IF(op!G123="","",op!G123)</f>
        <v/>
      </c>
      <c r="H191" s="114" t="str">
        <f>IF(op!H123=0,"",op!H123)</f>
        <v/>
      </c>
      <c r="I191" s="129" t="str">
        <f>IF(J191="","",(IF(op!I123+1&gt;LOOKUP(H191,schaal2011,regels2011),op!I123,op!I123+1)))</f>
        <v/>
      </c>
      <c r="J191" s="378" t="str">
        <f>IF(op!J123="","",op!J123)</f>
        <v/>
      </c>
      <c r="K191" s="1194"/>
      <c r="L191" s="1065">
        <f t="shared" si="121"/>
        <v>0</v>
      </c>
      <c r="M191" s="1065">
        <f t="shared" si="121"/>
        <v>0</v>
      </c>
      <c r="N191" s="1077" t="str">
        <f t="shared" si="118"/>
        <v/>
      </c>
      <c r="O191" s="1077" t="str">
        <f t="shared" si="119"/>
        <v/>
      </c>
      <c r="P191" s="1172" t="str">
        <f t="shared" si="104"/>
        <v/>
      </c>
      <c r="Q191" s="91"/>
      <c r="R191" s="936" t="str">
        <f t="shared" si="120"/>
        <v/>
      </c>
      <c r="S191" s="936" t="str">
        <f t="shared" si="105"/>
        <v/>
      </c>
      <c r="T191" s="937" t="str">
        <f t="shared" si="106"/>
        <v/>
      </c>
      <c r="U191" s="361"/>
      <c r="V191" s="375"/>
      <c r="W191" s="375"/>
      <c r="X191" s="375"/>
      <c r="Y191" s="1120" t="e">
        <f>VLOOKUP(H191,tab!$A$73:$V$114,I191+2,FALSE)</f>
        <v>#VALUE!</v>
      </c>
      <c r="Z191" s="1211">
        <f>tab!$E$64</f>
        <v>0.62</v>
      </c>
      <c r="AA191" s="1163" t="e">
        <f t="shared" si="107"/>
        <v>#VALUE!</v>
      </c>
      <c r="AB191" s="1163" t="e">
        <f t="shared" si="108"/>
        <v>#VALUE!</v>
      </c>
      <c r="AC191" s="1163" t="e">
        <f t="shared" si="109"/>
        <v>#VALUE!</v>
      </c>
      <c r="AD191" s="1162" t="e">
        <f t="shared" si="110"/>
        <v>#VALUE!</v>
      </c>
      <c r="AE191" s="1162">
        <f t="shared" si="111"/>
        <v>0</v>
      </c>
      <c r="AF191" s="1129">
        <f>IF(H191&gt;8,tab!$D$65,tab!$D$67)</f>
        <v>0.5</v>
      </c>
      <c r="AG191" s="1143">
        <f t="shared" si="122"/>
        <v>0</v>
      </c>
      <c r="AH191" s="1159">
        <f t="shared" si="123"/>
        <v>0</v>
      </c>
      <c r="AI191" s="1142" t="e">
        <f>DATE(YEAR(tab!$G$3),MONTH(G191),DAY(G191))&gt;tab!$G$3</f>
        <v>#VALUE!</v>
      </c>
      <c r="AJ191" s="1143" t="e">
        <f t="shared" si="124"/>
        <v>#VALUE!</v>
      </c>
      <c r="AK191" s="1096">
        <f t="shared" si="125"/>
        <v>30</v>
      </c>
      <c r="AL191" s="1096">
        <f t="shared" si="126"/>
        <v>30</v>
      </c>
      <c r="AM191" s="1143">
        <f t="shared" si="127"/>
        <v>0</v>
      </c>
    </row>
    <row r="192" spans="3:39" ht="12.75" customHeight="1" x14ac:dyDescent="0.2">
      <c r="C192" s="90"/>
      <c r="D192" s="97" t="str">
        <f>IF(op!D124="","",op!D124)</f>
        <v/>
      </c>
      <c r="E192" s="97" t="str">
        <f>IF(op!E124=0,"",op!E124)</f>
        <v/>
      </c>
      <c r="F192" s="114" t="str">
        <f>IF(op!F124="","",op!F124+1)</f>
        <v/>
      </c>
      <c r="G192" s="377" t="str">
        <f>IF(op!G124="","",op!G124)</f>
        <v/>
      </c>
      <c r="H192" s="114" t="str">
        <f>IF(op!H124=0,"",op!H124)</f>
        <v/>
      </c>
      <c r="I192" s="129" t="str">
        <f>IF(J192="","",(IF(op!I124+1&gt;LOOKUP(H192,schaal2011,regels2011),op!I124,op!I124+1)))</f>
        <v/>
      </c>
      <c r="J192" s="378" t="str">
        <f>IF(op!J124="","",op!J124)</f>
        <v/>
      </c>
      <c r="K192" s="1194"/>
      <c r="L192" s="1065">
        <f t="shared" ref="L192:M206" si="128">IF(L124="","",L124)</f>
        <v>0</v>
      </c>
      <c r="M192" s="1065">
        <f t="shared" si="128"/>
        <v>0</v>
      </c>
      <c r="N192" s="1077" t="str">
        <f t="shared" si="118"/>
        <v/>
      </c>
      <c r="O192" s="1077" t="str">
        <f t="shared" si="119"/>
        <v/>
      </c>
      <c r="P192" s="1172" t="str">
        <f t="shared" si="104"/>
        <v/>
      </c>
      <c r="Q192" s="91"/>
      <c r="R192" s="936" t="str">
        <f t="shared" si="120"/>
        <v/>
      </c>
      <c r="S192" s="936" t="str">
        <f t="shared" si="105"/>
        <v/>
      </c>
      <c r="T192" s="937" t="str">
        <f t="shared" si="106"/>
        <v/>
      </c>
      <c r="U192" s="361"/>
      <c r="V192" s="375"/>
      <c r="W192" s="375"/>
      <c r="X192" s="375"/>
      <c r="Y192" s="1120" t="e">
        <f>VLOOKUP(H192,tab!$A$73:$V$114,I192+2,FALSE)</f>
        <v>#VALUE!</v>
      </c>
      <c r="Z192" s="1211">
        <f>tab!$E$64</f>
        <v>0.62</v>
      </c>
      <c r="AA192" s="1163" t="e">
        <f t="shared" si="107"/>
        <v>#VALUE!</v>
      </c>
      <c r="AB192" s="1163" t="e">
        <f t="shared" si="108"/>
        <v>#VALUE!</v>
      </c>
      <c r="AC192" s="1163" t="e">
        <f t="shared" si="109"/>
        <v>#VALUE!</v>
      </c>
      <c r="AD192" s="1162" t="e">
        <f t="shared" si="110"/>
        <v>#VALUE!</v>
      </c>
      <c r="AE192" s="1162">
        <f t="shared" si="111"/>
        <v>0</v>
      </c>
      <c r="AF192" s="1129">
        <f>IF(H192&gt;8,tab!$D$65,tab!$D$67)</f>
        <v>0.5</v>
      </c>
      <c r="AG192" s="1143">
        <f t="shared" si="122"/>
        <v>0</v>
      </c>
      <c r="AH192" s="1159">
        <f t="shared" si="123"/>
        <v>0</v>
      </c>
      <c r="AI192" s="1142" t="e">
        <f>DATE(YEAR(tab!$G$3),MONTH(G192),DAY(G192))&gt;tab!$G$3</f>
        <v>#VALUE!</v>
      </c>
      <c r="AJ192" s="1143" t="e">
        <f t="shared" si="124"/>
        <v>#VALUE!</v>
      </c>
      <c r="AK192" s="1096">
        <f t="shared" si="125"/>
        <v>30</v>
      </c>
      <c r="AL192" s="1096">
        <f t="shared" si="126"/>
        <v>30</v>
      </c>
      <c r="AM192" s="1143">
        <f t="shared" si="127"/>
        <v>0</v>
      </c>
    </row>
    <row r="193" spans="3:39" ht="12.75" customHeight="1" x14ac:dyDescent="0.2">
      <c r="C193" s="90"/>
      <c r="D193" s="97" t="str">
        <f>IF(op!D125="","",op!D125)</f>
        <v/>
      </c>
      <c r="E193" s="97" t="str">
        <f>IF(op!E125=0,"",op!E125)</f>
        <v/>
      </c>
      <c r="F193" s="114" t="str">
        <f>IF(op!F125="","",op!F125+1)</f>
        <v/>
      </c>
      <c r="G193" s="377" t="str">
        <f>IF(op!G125="","",op!G125)</f>
        <v/>
      </c>
      <c r="H193" s="114" t="str">
        <f>IF(op!H125=0,"",op!H125)</f>
        <v/>
      </c>
      <c r="I193" s="129" t="str">
        <f>IF(J193="","",(IF(op!I125+1&gt;LOOKUP(H193,schaal2011,regels2011),op!I125,op!I125+1)))</f>
        <v/>
      </c>
      <c r="J193" s="378" t="str">
        <f>IF(op!J125="","",op!J125)</f>
        <v/>
      </c>
      <c r="K193" s="1194"/>
      <c r="L193" s="1065">
        <f t="shared" si="128"/>
        <v>0</v>
      </c>
      <c r="M193" s="1065">
        <f t="shared" si="128"/>
        <v>0</v>
      </c>
      <c r="N193" s="1077" t="str">
        <f t="shared" si="118"/>
        <v/>
      </c>
      <c r="O193" s="1077" t="str">
        <f t="shared" si="119"/>
        <v/>
      </c>
      <c r="P193" s="1172" t="str">
        <f t="shared" si="104"/>
        <v/>
      </c>
      <c r="Q193" s="91"/>
      <c r="R193" s="936" t="str">
        <f t="shared" si="120"/>
        <v/>
      </c>
      <c r="S193" s="936" t="str">
        <f t="shared" si="105"/>
        <v/>
      </c>
      <c r="T193" s="937" t="str">
        <f t="shared" si="106"/>
        <v/>
      </c>
      <c r="U193" s="361"/>
      <c r="V193" s="375"/>
      <c r="W193" s="375"/>
      <c r="X193" s="375"/>
      <c r="Y193" s="1120" t="e">
        <f>VLOOKUP(H193,tab!$A$73:$V$114,I193+2,FALSE)</f>
        <v>#VALUE!</v>
      </c>
      <c r="Z193" s="1211">
        <f>tab!$E$64</f>
        <v>0.62</v>
      </c>
      <c r="AA193" s="1163" t="e">
        <f t="shared" si="107"/>
        <v>#VALUE!</v>
      </c>
      <c r="AB193" s="1163" t="e">
        <f t="shared" si="108"/>
        <v>#VALUE!</v>
      </c>
      <c r="AC193" s="1163" t="e">
        <f t="shared" si="109"/>
        <v>#VALUE!</v>
      </c>
      <c r="AD193" s="1162" t="e">
        <f t="shared" si="110"/>
        <v>#VALUE!</v>
      </c>
      <c r="AE193" s="1162">
        <f t="shared" si="111"/>
        <v>0</v>
      </c>
      <c r="AF193" s="1129">
        <f>IF(H193&gt;8,tab!$D$65,tab!$D$67)</f>
        <v>0.5</v>
      </c>
      <c r="AG193" s="1143">
        <f t="shared" si="122"/>
        <v>0</v>
      </c>
      <c r="AH193" s="1159">
        <f t="shared" si="123"/>
        <v>0</v>
      </c>
      <c r="AI193" s="1142" t="e">
        <f>DATE(YEAR(tab!$G$3),MONTH(G193),DAY(G193))&gt;tab!$G$3</f>
        <v>#VALUE!</v>
      </c>
      <c r="AJ193" s="1143" t="e">
        <f t="shared" si="124"/>
        <v>#VALUE!</v>
      </c>
      <c r="AK193" s="1096">
        <f t="shared" si="125"/>
        <v>30</v>
      </c>
      <c r="AL193" s="1096">
        <f t="shared" si="126"/>
        <v>30</v>
      </c>
      <c r="AM193" s="1143">
        <f t="shared" si="127"/>
        <v>0</v>
      </c>
    </row>
    <row r="194" spans="3:39" ht="12.75" customHeight="1" x14ac:dyDescent="0.2">
      <c r="C194" s="90"/>
      <c r="D194" s="97" t="str">
        <f>IF(op!D126="","",op!D126)</f>
        <v/>
      </c>
      <c r="E194" s="97" t="str">
        <f>IF(op!E126=0,"",op!E126)</f>
        <v/>
      </c>
      <c r="F194" s="114" t="str">
        <f>IF(op!F126="","",op!F126+1)</f>
        <v/>
      </c>
      <c r="G194" s="377" t="str">
        <f>IF(op!G126="","",op!G126)</f>
        <v/>
      </c>
      <c r="H194" s="114" t="str">
        <f>IF(op!H126=0,"",op!H126)</f>
        <v/>
      </c>
      <c r="I194" s="129" t="str">
        <f>IF(J194="","",(IF(op!I126+1&gt;LOOKUP(H194,schaal2011,regels2011),op!I126,op!I126+1)))</f>
        <v/>
      </c>
      <c r="J194" s="378" t="str">
        <f>IF(op!J126="","",op!J126)</f>
        <v/>
      </c>
      <c r="K194" s="1194"/>
      <c r="L194" s="1065">
        <f t="shared" si="128"/>
        <v>0</v>
      </c>
      <c r="M194" s="1065">
        <f t="shared" si="128"/>
        <v>0</v>
      </c>
      <c r="N194" s="1077" t="str">
        <f t="shared" si="118"/>
        <v/>
      </c>
      <c r="O194" s="1077" t="str">
        <f t="shared" si="119"/>
        <v/>
      </c>
      <c r="P194" s="1172" t="str">
        <f t="shared" si="104"/>
        <v/>
      </c>
      <c r="Q194" s="91"/>
      <c r="R194" s="936" t="str">
        <f t="shared" si="120"/>
        <v/>
      </c>
      <c r="S194" s="936" t="str">
        <f t="shared" si="105"/>
        <v/>
      </c>
      <c r="T194" s="937" t="str">
        <f t="shared" si="106"/>
        <v/>
      </c>
      <c r="U194" s="361"/>
      <c r="V194" s="375"/>
      <c r="W194" s="375"/>
      <c r="X194" s="375"/>
      <c r="Y194" s="1120" t="e">
        <f>VLOOKUP(H194,tab!$A$73:$V$114,I194+2,FALSE)</f>
        <v>#VALUE!</v>
      </c>
      <c r="Z194" s="1211">
        <f>tab!$E$64</f>
        <v>0.62</v>
      </c>
      <c r="AA194" s="1163" t="e">
        <f t="shared" si="107"/>
        <v>#VALUE!</v>
      </c>
      <c r="AB194" s="1163" t="e">
        <f t="shared" si="108"/>
        <v>#VALUE!</v>
      </c>
      <c r="AC194" s="1163" t="e">
        <f t="shared" si="109"/>
        <v>#VALUE!</v>
      </c>
      <c r="AD194" s="1162" t="e">
        <f t="shared" si="110"/>
        <v>#VALUE!</v>
      </c>
      <c r="AE194" s="1162">
        <f t="shared" si="111"/>
        <v>0</v>
      </c>
      <c r="AF194" s="1129">
        <f>IF(H194&gt;8,tab!$D$65,tab!$D$67)</f>
        <v>0.5</v>
      </c>
      <c r="AG194" s="1143">
        <f t="shared" si="122"/>
        <v>0</v>
      </c>
      <c r="AH194" s="1159">
        <f t="shared" si="123"/>
        <v>0</v>
      </c>
      <c r="AI194" s="1142" t="e">
        <f>DATE(YEAR(tab!$G$3),MONTH(G194),DAY(G194))&gt;tab!$G$3</f>
        <v>#VALUE!</v>
      </c>
      <c r="AJ194" s="1143" t="e">
        <f t="shared" si="124"/>
        <v>#VALUE!</v>
      </c>
      <c r="AK194" s="1096">
        <f t="shared" si="125"/>
        <v>30</v>
      </c>
      <c r="AL194" s="1096">
        <f t="shared" si="126"/>
        <v>30</v>
      </c>
      <c r="AM194" s="1143">
        <f t="shared" si="127"/>
        <v>0</v>
      </c>
    </row>
    <row r="195" spans="3:39" ht="12.75" customHeight="1" x14ac:dyDescent="0.2">
      <c r="C195" s="90"/>
      <c r="D195" s="97" t="str">
        <f>IF(op!D127="","",op!D127)</f>
        <v/>
      </c>
      <c r="E195" s="97" t="str">
        <f>IF(op!E127=0,"",op!E127)</f>
        <v/>
      </c>
      <c r="F195" s="114" t="str">
        <f>IF(op!F127="","",op!F127+1)</f>
        <v/>
      </c>
      <c r="G195" s="377" t="str">
        <f>IF(op!G127="","",op!G127)</f>
        <v/>
      </c>
      <c r="H195" s="114" t="str">
        <f>IF(op!H127=0,"",op!H127)</f>
        <v/>
      </c>
      <c r="I195" s="129" t="str">
        <f>IF(J195="","",(IF(op!I127+1&gt;LOOKUP(H195,schaal2011,regels2011),op!I127,op!I127+1)))</f>
        <v/>
      </c>
      <c r="J195" s="378" t="str">
        <f>IF(op!J127="","",op!J127)</f>
        <v/>
      </c>
      <c r="K195" s="1194"/>
      <c r="L195" s="1065">
        <f t="shared" si="128"/>
        <v>0</v>
      </c>
      <c r="M195" s="1065">
        <f t="shared" si="128"/>
        <v>0</v>
      </c>
      <c r="N195" s="1077" t="str">
        <f t="shared" si="118"/>
        <v/>
      </c>
      <c r="O195" s="1077" t="str">
        <f t="shared" si="119"/>
        <v/>
      </c>
      <c r="P195" s="1172" t="str">
        <f t="shared" si="104"/>
        <v/>
      </c>
      <c r="Q195" s="91"/>
      <c r="R195" s="936" t="str">
        <f t="shared" si="120"/>
        <v/>
      </c>
      <c r="S195" s="936" t="str">
        <f t="shared" si="105"/>
        <v/>
      </c>
      <c r="T195" s="937" t="str">
        <f t="shared" si="106"/>
        <v/>
      </c>
      <c r="U195" s="361"/>
      <c r="V195" s="375"/>
      <c r="W195" s="375"/>
      <c r="X195" s="375"/>
      <c r="Y195" s="1120" t="e">
        <f>VLOOKUP(H195,tab!$A$73:$V$114,I195+2,FALSE)</f>
        <v>#VALUE!</v>
      </c>
      <c r="Z195" s="1211">
        <f>tab!$E$64</f>
        <v>0.62</v>
      </c>
      <c r="AA195" s="1163" t="e">
        <f t="shared" si="107"/>
        <v>#VALUE!</v>
      </c>
      <c r="AB195" s="1163" t="e">
        <f t="shared" si="108"/>
        <v>#VALUE!</v>
      </c>
      <c r="AC195" s="1163" t="e">
        <f t="shared" si="109"/>
        <v>#VALUE!</v>
      </c>
      <c r="AD195" s="1162" t="e">
        <f t="shared" si="110"/>
        <v>#VALUE!</v>
      </c>
      <c r="AE195" s="1162">
        <f t="shared" si="111"/>
        <v>0</v>
      </c>
      <c r="AF195" s="1129">
        <f>IF(H195&gt;8,tab!$D$65,tab!$D$67)</f>
        <v>0.5</v>
      </c>
      <c r="AG195" s="1143">
        <f t="shared" si="122"/>
        <v>0</v>
      </c>
      <c r="AH195" s="1159">
        <f t="shared" si="123"/>
        <v>0</v>
      </c>
      <c r="AI195" s="1142" t="e">
        <f>DATE(YEAR(tab!$G$3),MONTH(G195),DAY(G195))&gt;tab!$G$3</f>
        <v>#VALUE!</v>
      </c>
      <c r="AJ195" s="1143" t="e">
        <f t="shared" si="124"/>
        <v>#VALUE!</v>
      </c>
      <c r="AK195" s="1096">
        <f t="shared" si="125"/>
        <v>30</v>
      </c>
      <c r="AL195" s="1096">
        <f t="shared" si="126"/>
        <v>30</v>
      </c>
      <c r="AM195" s="1143">
        <f t="shared" si="127"/>
        <v>0</v>
      </c>
    </row>
    <row r="196" spans="3:39" ht="12.75" customHeight="1" x14ac:dyDescent="0.2">
      <c r="C196" s="90"/>
      <c r="D196" s="97" t="str">
        <f>IF(op!D128="","",op!D128)</f>
        <v/>
      </c>
      <c r="E196" s="97" t="str">
        <f>IF(op!E128=0,"",op!E128)</f>
        <v/>
      </c>
      <c r="F196" s="114" t="str">
        <f>IF(op!F128="","",op!F128+1)</f>
        <v/>
      </c>
      <c r="G196" s="377" t="str">
        <f>IF(op!G128="","",op!G128)</f>
        <v/>
      </c>
      <c r="H196" s="114" t="str">
        <f>IF(op!H128=0,"",op!H128)</f>
        <v/>
      </c>
      <c r="I196" s="129" t="str">
        <f>IF(J196="","",(IF(op!I128+1&gt;LOOKUP(H196,schaal2011,regels2011),op!I128,op!I128+1)))</f>
        <v/>
      </c>
      <c r="J196" s="378" t="str">
        <f>IF(op!J128="","",op!J128)</f>
        <v/>
      </c>
      <c r="K196" s="1194"/>
      <c r="L196" s="1065">
        <f t="shared" si="128"/>
        <v>0</v>
      </c>
      <c r="M196" s="1065">
        <f t="shared" si="128"/>
        <v>0</v>
      </c>
      <c r="N196" s="1077" t="str">
        <f t="shared" si="118"/>
        <v/>
      </c>
      <c r="O196" s="1077" t="str">
        <f t="shared" si="119"/>
        <v/>
      </c>
      <c r="P196" s="1172" t="str">
        <f t="shared" si="104"/>
        <v/>
      </c>
      <c r="Q196" s="91"/>
      <c r="R196" s="936" t="str">
        <f t="shared" si="120"/>
        <v/>
      </c>
      <c r="S196" s="936" t="str">
        <f t="shared" si="105"/>
        <v/>
      </c>
      <c r="T196" s="937" t="str">
        <f t="shared" si="106"/>
        <v/>
      </c>
      <c r="U196" s="361"/>
      <c r="V196" s="375"/>
      <c r="W196" s="375"/>
      <c r="X196" s="375"/>
      <c r="Y196" s="1120" t="e">
        <f>VLOOKUP(H196,tab!$A$73:$V$114,I196+2,FALSE)</f>
        <v>#VALUE!</v>
      </c>
      <c r="Z196" s="1211">
        <f>tab!$E$64</f>
        <v>0.62</v>
      </c>
      <c r="AA196" s="1163" t="e">
        <f t="shared" si="107"/>
        <v>#VALUE!</v>
      </c>
      <c r="AB196" s="1163" t="e">
        <f t="shared" si="108"/>
        <v>#VALUE!</v>
      </c>
      <c r="AC196" s="1163" t="e">
        <f t="shared" si="109"/>
        <v>#VALUE!</v>
      </c>
      <c r="AD196" s="1162" t="e">
        <f t="shared" si="110"/>
        <v>#VALUE!</v>
      </c>
      <c r="AE196" s="1162">
        <f t="shared" si="111"/>
        <v>0</v>
      </c>
      <c r="AF196" s="1129">
        <f>IF(H196&gt;8,tab!$D$65,tab!$D$67)</f>
        <v>0.5</v>
      </c>
      <c r="AG196" s="1143">
        <f t="shared" si="122"/>
        <v>0</v>
      </c>
      <c r="AH196" s="1159">
        <f t="shared" si="123"/>
        <v>0</v>
      </c>
      <c r="AI196" s="1142" t="e">
        <f>DATE(YEAR(tab!$G$3),MONTH(G196),DAY(G196))&gt;tab!$G$3</f>
        <v>#VALUE!</v>
      </c>
      <c r="AJ196" s="1143" t="e">
        <f t="shared" si="124"/>
        <v>#VALUE!</v>
      </c>
      <c r="AK196" s="1096">
        <f t="shared" si="125"/>
        <v>30</v>
      </c>
      <c r="AL196" s="1096">
        <f t="shared" si="126"/>
        <v>30</v>
      </c>
      <c r="AM196" s="1143">
        <f t="shared" si="127"/>
        <v>0</v>
      </c>
    </row>
    <row r="197" spans="3:39" ht="12.75" customHeight="1" x14ac:dyDescent="0.2">
      <c r="C197" s="90"/>
      <c r="D197" s="97" t="str">
        <f>IF(op!D129="","",op!D129)</f>
        <v/>
      </c>
      <c r="E197" s="97" t="str">
        <f>IF(op!E129=0,"",op!E129)</f>
        <v/>
      </c>
      <c r="F197" s="114" t="str">
        <f>IF(op!F129="","",op!F129+1)</f>
        <v/>
      </c>
      <c r="G197" s="377" t="str">
        <f>IF(op!G129="","",op!G129)</f>
        <v/>
      </c>
      <c r="H197" s="114" t="str">
        <f>IF(op!H129=0,"",op!H129)</f>
        <v/>
      </c>
      <c r="I197" s="129" t="str">
        <f>IF(J197="","",(IF(op!I129+1&gt;LOOKUP(H197,schaal2011,regels2011),op!I129,op!I129+1)))</f>
        <v/>
      </c>
      <c r="J197" s="378" t="str">
        <f>IF(op!J129="","",op!J129)</f>
        <v/>
      </c>
      <c r="K197" s="1194"/>
      <c r="L197" s="1065">
        <f t="shared" si="128"/>
        <v>0</v>
      </c>
      <c r="M197" s="1065">
        <f t="shared" si="128"/>
        <v>0</v>
      </c>
      <c r="N197" s="1077" t="str">
        <f t="shared" si="118"/>
        <v/>
      </c>
      <c r="O197" s="1077" t="str">
        <f t="shared" si="119"/>
        <v/>
      </c>
      <c r="P197" s="1172" t="str">
        <f t="shared" si="104"/>
        <v/>
      </c>
      <c r="Q197" s="91"/>
      <c r="R197" s="936" t="str">
        <f t="shared" si="120"/>
        <v/>
      </c>
      <c r="S197" s="936" t="str">
        <f t="shared" si="105"/>
        <v/>
      </c>
      <c r="T197" s="937" t="str">
        <f t="shared" si="106"/>
        <v/>
      </c>
      <c r="U197" s="361"/>
      <c r="V197" s="375"/>
      <c r="W197" s="375"/>
      <c r="X197" s="375"/>
      <c r="Y197" s="1120" t="e">
        <f>VLOOKUP(H197,tab!$A$73:$V$114,I197+2,FALSE)</f>
        <v>#VALUE!</v>
      </c>
      <c r="Z197" s="1211">
        <f>tab!$E$64</f>
        <v>0.62</v>
      </c>
      <c r="AA197" s="1163" t="e">
        <f t="shared" si="107"/>
        <v>#VALUE!</v>
      </c>
      <c r="AB197" s="1163" t="e">
        <f t="shared" si="108"/>
        <v>#VALUE!</v>
      </c>
      <c r="AC197" s="1163" t="e">
        <f t="shared" si="109"/>
        <v>#VALUE!</v>
      </c>
      <c r="AD197" s="1162" t="e">
        <f t="shared" si="110"/>
        <v>#VALUE!</v>
      </c>
      <c r="AE197" s="1162">
        <f t="shared" si="111"/>
        <v>0</v>
      </c>
      <c r="AF197" s="1129">
        <f>IF(H197&gt;8,tab!$D$65,tab!$D$67)</f>
        <v>0.5</v>
      </c>
      <c r="AG197" s="1143">
        <f t="shared" si="122"/>
        <v>0</v>
      </c>
      <c r="AH197" s="1159">
        <f t="shared" si="123"/>
        <v>0</v>
      </c>
      <c r="AI197" s="1142" t="e">
        <f>DATE(YEAR(tab!$G$3),MONTH(G197),DAY(G197))&gt;tab!$G$3</f>
        <v>#VALUE!</v>
      </c>
      <c r="AJ197" s="1143" t="e">
        <f t="shared" si="124"/>
        <v>#VALUE!</v>
      </c>
      <c r="AK197" s="1096">
        <f t="shared" si="125"/>
        <v>30</v>
      </c>
      <c r="AL197" s="1096">
        <f t="shared" si="126"/>
        <v>30</v>
      </c>
      <c r="AM197" s="1143">
        <f t="shared" si="127"/>
        <v>0</v>
      </c>
    </row>
    <row r="198" spans="3:39" ht="12.75" customHeight="1" x14ac:dyDescent="0.2">
      <c r="C198" s="90"/>
      <c r="D198" s="97" t="str">
        <f>IF(op!D130="","",op!D130)</f>
        <v/>
      </c>
      <c r="E198" s="97" t="str">
        <f>IF(op!E130=0,"",op!E130)</f>
        <v/>
      </c>
      <c r="F198" s="114" t="str">
        <f>IF(op!F130="","",op!F130+1)</f>
        <v/>
      </c>
      <c r="G198" s="377" t="str">
        <f>IF(op!G130="","",op!G130)</f>
        <v/>
      </c>
      <c r="H198" s="114" t="str">
        <f>IF(op!H130=0,"",op!H130)</f>
        <v/>
      </c>
      <c r="I198" s="129" t="str">
        <f>IF(J198="","",(IF(op!I130+1&gt;LOOKUP(H198,schaal2011,regels2011),op!I130,op!I130+1)))</f>
        <v/>
      </c>
      <c r="J198" s="378" t="str">
        <f>IF(op!J130="","",op!J130)</f>
        <v/>
      </c>
      <c r="K198" s="1194"/>
      <c r="L198" s="1065">
        <f t="shared" si="128"/>
        <v>0</v>
      </c>
      <c r="M198" s="1065">
        <f t="shared" si="128"/>
        <v>0</v>
      </c>
      <c r="N198" s="1077" t="str">
        <f t="shared" si="118"/>
        <v/>
      </c>
      <c r="O198" s="1077" t="str">
        <f t="shared" si="119"/>
        <v/>
      </c>
      <c r="P198" s="1172" t="str">
        <f t="shared" si="104"/>
        <v/>
      </c>
      <c r="Q198" s="91"/>
      <c r="R198" s="936" t="str">
        <f t="shared" si="120"/>
        <v/>
      </c>
      <c r="S198" s="936" t="str">
        <f t="shared" si="105"/>
        <v/>
      </c>
      <c r="T198" s="937" t="str">
        <f t="shared" si="106"/>
        <v/>
      </c>
      <c r="U198" s="361"/>
      <c r="V198" s="375"/>
      <c r="W198" s="375"/>
      <c r="X198" s="375"/>
      <c r="Y198" s="1120" t="e">
        <f>VLOOKUP(H198,tab!$A$73:$V$114,I198+2,FALSE)</f>
        <v>#VALUE!</v>
      </c>
      <c r="Z198" s="1211">
        <f>tab!$E$64</f>
        <v>0.62</v>
      </c>
      <c r="AA198" s="1163" t="e">
        <f t="shared" si="107"/>
        <v>#VALUE!</v>
      </c>
      <c r="AB198" s="1163" t="e">
        <f t="shared" si="108"/>
        <v>#VALUE!</v>
      </c>
      <c r="AC198" s="1163" t="e">
        <f t="shared" si="109"/>
        <v>#VALUE!</v>
      </c>
      <c r="AD198" s="1162" t="e">
        <f t="shared" si="110"/>
        <v>#VALUE!</v>
      </c>
      <c r="AE198" s="1162">
        <f t="shared" si="111"/>
        <v>0</v>
      </c>
      <c r="AF198" s="1129">
        <f>IF(H198&gt;8,tab!$D$65,tab!$D$67)</f>
        <v>0.5</v>
      </c>
      <c r="AG198" s="1143">
        <f t="shared" si="122"/>
        <v>0</v>
      </c>
      <c r="AH198" s="1159">
        <f t="shared" si="123"/>
        <v>0</v>
      </c>
      <c r="AI198" s="1142" t="e">
        <f>DATE(YEAR(tab!$G$3),MONTH(G198),DAY(G198))&gt;tab!$G$3</f>
        <v>#VALUE!</v>
      </c>
      <c r="AJ198" s="1143" t="e">
        <f t="shared" si="124"/>
        <v>#VALUE!</v>
      </c>
      <c r="AK198" s="1096">
        <f t="shared" si="125"/>
        <v>30</v>
      </c>
      <c r="AL198" s="1096">
        <f t="shared" si="126"/>
        <v>30</v>
      </c>
      <c r="AM198" s="1143">
        <f t="shared" si="127"/>
        <v>0</v>
      </c>
    </row>
    <row r="199" spans="3:39" ht="12.75" customHeight="1" x14ac:dyDescent="0.2">
      <c r="C199" s="90"/>
      <c r="D199" s="97" t="str">
        <f>IF(op!D131="","",op!D131)</f>
        <v/>
      </c>
      <c r="E199" s="97" t="str">
        <f>IF(op!E131=0,"",op!E131)</f>
        <v/>
      </c>
      <c r="F199" s="114" t="str">
        <f>IF(op!F131="","",op!F131+1)</f>
        <v/>
      </c>
      <c r="G199" s="377" t="str">
        <f>IF(op!G131="","",op!G131)</f>
        <v/>
      </c>
      <c r="H199" s="114" t="str">
        <f>IF(op!H131=0,"",op!H131)</f>
        <v/>
      </c>
      <c r="I199" s="129" t="str">
        <f>IF(J199="","",(IF(op!I131+1&gt;LOOKUP(H199,schaal2011,regels2011),op!I131,op!I131+1)))</f>
        <v/>
      </c>
      <c r="J199" s="378" t="str">
        <f>IF(op!J131="","",op!J131)</f>
        <v/>
      </c>
      <c r="K199" s="1194"/>
      <c r="L199" s="1065">
        <f t="shared" si="128"/>
        <v>0</v>
      </c>
      <c r="M199" s="1065">
        <f t="shared" si="128"/>
        <v>0</v>
      </c>
      <c r="N199" s="1077" t="str">
        <f t="shared" si="118"/>
        <v/>
      </c>
      <c r="O199" s="1077" t="str">
        <f t="shared" si="119"/>
        <v/>
      </c>
      <c r="P199" s="1172" t="str">
        <f t="shared" si="104"/>
        <v/>
      </c>
      <c r="Q199" s="91"/>
      <c r="R199" s="936" t="str">
        <f t="shared" si="120"/>
        <v/>
      </c>
      <c r="S199" s="936" t="str">
        <f t="shared" si="105"/>
        <v/>
      </c>
      <c r="T199" s="937" t="str">
        <f t="shared" si="106"/>
        <v/>
      </c>
      <c r="U199" s="361"/>
      <c r="V199" s="375"/>
      <c r="W199" s="375"/>
      <c r="X199" s="375"/>
      <c r="Y199" s="1120" t="e">
        <f>VLOOKUP(H199,tab!$A$73:$V$114,I199+2,FALSE)</f>
        <v>#VALUE!</v>
      </c>
      <c r="Z199" s="1211">
        <f>tab!$E$64</f>
        <v>0.62</v>
      </c>
      <c r="AA199" s="1163" t="e">
        <f t="shared" si="107"/>
        <v>#VALUE!</v>
      </c>
      <c r="AB199" s="1163" t="e">
        <f t="shared" si="108"/>
        <v>#VALUE!</v>
      </c>
      <c r="AC199" s="1163" t="e">
        <f t="shared" si="109"/>
        <v>#VALUE!</v>
      </c>
      <c r="AD199" s="1162" t="e">
        <f t="shared" si="110"/>
        <v>#VALUE!</v>
      </c>
      <c r="AE199" s="1162">
        <f t="shared" si="111"/>
        <v>0</v>
      </c>
      <c r="AF199" s="1129">
        <f>IF(H199&gt;8,tab!$D$65,tab!$D$67)</f>
        <v>0.5</v>
      </c>
      <c r="AG199" s="1143">
        <f t="shared" si="122"/>
        <v>0</v>
      </c>
      <c r="AH199" s="1159">
        <f t="shared" si="123"/>
        <v>0</v>
      </c>
      <c r="AI199" s="1142" t="e">
        <f>DATE(YEAR(tab!$G$3),MONTH(G199),DAY(G199))&gt;tab!$G$3</f>
        <v>#VALUE!</v>
      </c>
      <c r="AJ199" s="1143" t="e">
        <f t="shared" si="124"/>
        <v>#VALUE!</v>
      </c>
      <c r="AK199" s="1096">
        <f t="shared" si="125"/>
        <v>30</v>
      </c>
      <c r="AL199" s="1096">
        <f t="shared" si="126"/>
        <v>30</v>
      </c>
      <c r="AM199" s="1143">
        <f t="shared" si="127"/>
        <v>0</v>
      </c>
    </row>
    <row r="200" spans="3:39" ht="12.75" customHeight="1" x14ac:dyDescent="0.2">
      <c r="C200" s="90"/>
      <c r="D200" s="97" t="str">
        <f>IF(op!D132="","",op!D132)</f>
        <v/>
      </c>
      <c r="E200" s="97" t="str">
        <f>IF(op!E132=0,"",op!E132)</f>
        <v/>
      </c>
      <c r="F200" s="114" t="str">
        <f>IF(op!F132="","",op!F132+1)</f>
        <v/>
      </c>
      <c r="G200" s="377" t="str">
        <f>IF(op!G132="","",op!G132)</f>
        <v/>
      </c>
      <c r="H200" s="114" t="str">
        <f>IF(op!H132=0,"",op!H132)</f>
        <v/>
      </c>
      <c r="I200" s="129" t="str">
        <f>IF(J200="","",(IF(op!I132+1&gt;LOOKUP(H200,schaal2011,regels2011),op!I132,op!I132+1)))</f>
        <v/>
      </c>
      <c r="J200" s="378" t="str">
        <f>IF(op!J132="","",op!J132)</f>
        <v/>
      </c>
      <c r="K200" s="1194"/>
      <c r="L200" s="1065">
        <f t="shared" si="128"/>
        <v>0</v>
      </c>
      <c r="M200" s="1065">
        <f t="shared" si="128"/>
        <v>0</v>
      </c>
      <c r="N200" s="1077" t="str">
        <f t="shared" si="118"/>
        <v/>
      </c>
      <c r="O200" s="1077" t="str">
        <f t="shared" si="119"/>
        <v/>
      </c>
      <c r="P200" s="1172" t="str">
        <f t="shared" si="104"/>
        <v/>
      </c>
      <c r="Q200" s="91"/>
      <c r="R200" s="936" t="str">
        <f t="shared" si="120"/>
        <v/>
      </c>
      <c r="S200" s="936" t="str">
        <f t="shared" si="105"/>
        <v/>
      </c>
      <c r="T200" s="937" t="str">
        <f t="shared" si="106"/>
        <v/>
      </c>
      <c r="U200" s="361"/>
      <c r="V200" s="375"/>
      <c r="W200" s="375"/>
      <c r="X200" s="375"/>
      <c r="Y200" s="1120" t="e">
        <f>VLOOKUP(H200,tab!$A$73:$V$114,I200+2,FALSE)</f>
        <v>#VALUE!</v>
      </c>
      <c r="Z200" s="1211">
        <f>tab!$E$64</f>
        <v>0.62</v>
      </c>
      <c r="AA200" s="1163" t="e">
        <f t="shared" si="107"/>
        <v>#VALUE!</v>
      </c>
      <c r="AB200" s="1163" t="e">
        <f t="shared" si="108"/>
        <v>#VALUE!</v>
      </c>
      <c r="AC200" s="1163" t="e">
        <f t="shared" si="109"/>
        <v>#VALUE!</v>
      </c>
      <c r="AD200" s="1162" t="e">
        <f t="shared" si="110"/>
        <v>#VALUE!</v>
      </c>
      <c r="AE200" s="1162">
        <f t="shared" si="111"/>
        <v>0</v>
      </c>
      <c r="AF200" s="1129">
        <f>IF(H200&gt;8,tab!$D$65,tab!$D$67)</f>
        <v>0.5</v>
      </c>
      <c r="AG200" s="1143">
        <f t="shared" si="122"/>
        <v>0</v>
      </c>
      <c r="AH200" s="1159">
        <f t="shared" si="123"/>
        <v>0</v>
      </c>
      <c r="AI200" s="1142" t="e">
        <f>DATE(YEAR(tab!$G$3),MONTH(G200),DAY(G200))&gt;tab!$G$3</f>
        <v>#VALUE!</v>
      </c>
      <c r="AJ200" s="1143" t="e">
        <f t="shared" si="124"/>
        <v>#VALUE!</v>
      </c>
      <c r="AK200" s="1096">
        <f t="shared" si="125"/>
        <v>30</v>
      </c>
      <c r="AL200" s="1096">
        <f t="shared" si="126"/>
        <v>30</v>
      </c>
      <c r="AM200" s="1143">
        <f t="shared" si="127"/>
        <v>0</v>
      </c>
    </row>
    <row r="201" spans="3:39" ht="12.75" customHeight="1" x14ac:dyDescent="0.2">
      <c r="C201" s="90"/>
      <c r="D201" s="97" t="str">
        <f>IF(op!D133="","",op!D133)</f>
        <v/>
      </c>
      <c r="E201" s="97" t="str">
        <f>IF(op!E133=0,"",op!E133)</f>
        <v/>
      </c>
      <c r="F201" s="114" t="str">
        <f>IF(op!F133="","",op!F133+1)</f>
        <v/>
      </c>
      <c r="G201" s="377" t="str">
        <f>IF(op!G133="","",op!G133)</f>
        <v/>
      </c>
      <c r="H201" s="114" t="str">
        <f>IF(op!H133=0,"",op!H133)</f>
        <v/>
      </c>
      <c r="I201" s="129" t="str">
        <f>IF(J201="","",(IF(op!I133+1&gt;LOOKUP(H201,schaal2011,regels2011),op!I133,op!I133+1)))</f>
        <v/>
      </c>
      <c r="J201" s="378" t="str">
        <f>IF(op!J133="","",op!J133)</f>
        <v/>
      </c>
      <c r="K201" s="1194"/>
      <c r="L201" s="1065">
        <f t="shared" si="128"/>
        <v>0</v>
      </c>
      <c r="M201" s="1065">
        <f t="shared" si="128"/>
        <v>0</v>
      </c>
      <c r="N201" s="1077" t="str">
        <f t="shared" si="118"/>
        <v/>
      </c>
      <c r="O201" s="1077" t="str">
        <f t="shared" si="119"/>
        <v/>
      </c>
      <c r="P201" s="1172" t="str">
        <f t="shared" si="104"/>
        <v/>
      </c>
      <c r="Q201" s="91"/>
      <c r="R201" s="936" t="str">
        <f t="shared" si="120"/>
        <v/>
      </c>
      <c r="S201" s="936" t="str">
        <f t="shared" si="105"/>
        <v/>
      </c>
      <c r="T201" s="937" t="str">
        <f t="shared" si="106"/>
        <v/>
      </c>
      <c r="U201" s="361"/>
      <c r="V201" s="375"/>
      <c r="W201" s="375"/>
      <c r="X201" s="375"/>
      <c r="Y201" s="1120" t="e">
        <f>VLOOKUP(H201,tab!$A$73:$V$114,I201+2,FALSE)</f>
        <v>#VALUE!</v>
      </c>
      <c r="Z201" s="1211">
        <f>tab!$E$64</f>
        <v>0.62</v>
      </c>
      <c r="AA201" s="1163" t="e">
        <f t="shared" si="107"/>
        <v>#VALUE!</v>
      </c>
      <c r="AB201" s="1163" t="e">
        <f t="shared" si="108"/>
        <v>#VALUE!</v>
      </c>
      <c r="AC201" s="1163" t="e">
        <f t="shared" si="109"/>
        <v>#VALUE!</v>
      </c>
      <c r="AD201" s="1162" t="e">
        <f t="shared" si="110"/>
        <v>#VALUE!</v>
      </c>
      <c r="AE201" s="1162">
        <f t="shared" si="111"/>
        <v>0</v>
      </c>
      <c r="AF201" s="1129">
        <f>IF(H201&gt;8,tab!$D$65,tab!$D$67)</f>
        <v>0.5</v>
      </c>
      <c r="AG201" s="1143">
        <f t="shared" si="122"/>
        <v>0</v>
      </c>
      <c r="AH201" s="1159">
        <f t="shared" si="123"/>
        <v>0</v>
      </c>
      <c r="AI201" s="1142" t="e">
        <f>DATE(YEAR(tab!$G$3),MONTH(G201),DAY(G201))&gt;tab!$G$3</f>
        <v>#VALUE!</v>
      </c>
      <c r="AJ201" s="1143" t="e">
        <f t="shared" si="124"/>
        <v>#VALUE!</v>
      </c>
      <c r="AK201" s="1096">
        <f t="shared" si="125"/>
        <v>30</v>
      </c>
      <c r="AL201" s="1096">
        <f t="shared" si="126"/>
        <v>30</v>
      </c>
      <c r="AM201" s="1143">
        <f t="shared" si="127"/>
        <v>0</v>
      </c>
    </row>
    <row r="202" spans="3:39" ht="12.75" customHeight="1" x14ac:dyDescent="0.2">
      <c r="C202" s="90"/>
      <c r="D202" s="97" t="str">
        <f>IF(op!D134="","",op!D134)</f>
        <v/>
      </c>
      <c r="E202" s="97" t="str">
        <f>IF(op!E134=0,"",op!E134)</f>
        <v/>
      </c>
      <c r="F202" s="114" t="str">
        <f>IF(op!F134="","",op!F134+1)</f>
        <v/>
      </c>
      <c r="G202" s="377" t="str">
        <f>IF(op!G134="","",op!G134)</f>
        <v/>
      </c>
      <c r="H202" s="114" t="str">
        <f>IF(op!H134=0,"",op!H134)</f>
        <v/>
      </c>
      <c r="I202" s="129" t="str">
        <f>IF(J202="","",(IF(op!I134+1&gt;LOOKUP(H202,schaal2011,regels2011),op!I134,op!I134+1)))</f>
        <v/>
      </c>
      <c r="J202" s="378" t="str">
        <f>IF(op!J134="","",op!J134)</f>
        <v/>
      </c>
      <c r="K202" s="1194"/>
      <c r="L202" s="1065">
        <f t="shared" si="128"/>
        <v>0</v>
      </c>
      <c r="M202" s="1065">
        <f t="shared" si="128"/>
        <v>0</v>
      </c>
      <c r="N202" s="1077" t="str">
        <f t="shared" si="118"/>
        <v/>
      </c>
      <c r="O202" s="1077" t="str">
        <f t="shared" si="119"/>
        <v/>
      </c>
      <c r="P202" s="1172" t="str">
        <f t="shared" si="104"/>
        <v/>
      </c>
      <c r="Q202" s="91"/>
      <c r="R202" s="936" t="str">
        <f t="shared" si="120"/>
        <v/>
      </c>
      <c r="S202" s="936" t="str">
        <f t="shared" si="105"/>
        <v/>
      </c>
      <c r="T202" s="937" t="str">
        <f t="shared" si="106"/>
        <v/>
      </c>
      <c r="U202" s="361"/>
      <c r="V202" s="375"/>
      <c r="W202" s="375"/>
      <c r="X202" s="375"/>
      <c r="Y202" s="1120" t="e">
        <f>VLOOKUP(H202,tab!$A$73:$V$114,I202+2,FALSE)</f>
        <v>#VALUE!</v>
      </c>
      <c r="Z202" s="1211">
        <f>tab!$E$64</f>
        <v>0.62</v>
      </c>
      <c r="AA202" s="1163" t="e">
        <f t="shared" si="107"/>
        <v>#VALUE!</v>
      </c>
      <c r="AB202" s="1163" t="e">
        <f t="shared" si="108"/>
        <v>#VALUE!</v>
      </c>
      <c r="AC202" s="1163" t="e">
        <f t="shared" si="109"/>
        <v>#VALUE!</v>
      </c>
      <c r="AD202" s="1162" t="e">
        <f t="shared" si="110"/>
        <v>#VALUE!</v>
      </c>
      <c r="AE202" s="1162">
        <f t="shared" si="111"/>
        <v>0</v>
      </c>
      <c r="AF202" s="1129">
        <f>IF(H202&gt;8,tab!$D$65,tab!$D$67)</f>
        <v>0.5</v>
      </c>
      <c r="AG202" s="1143">
        <f t="shared" si="122"/>
        <v>0</v>
      </c>
      <c r="AH202" s="1159">
        <f t="shared" si="123"/>
        <v>0</v>
      </c>
      <c r="AI202" s="1142" t="e">
        <f>DATE(YEAR(tab!$G$3),MONTH(G202),DAY(G202))&gt;tab!$G$3</f>
        <v>#VALUE!</v>
      </c>
      <c r="AJ202" s="1143" t="e">
        <f t="shared" si="124"/>
        <v>#VALUE!</v>
      </c>
      <c r="AK202" s="1096">
        <f t="shared" si="125"/>
        <v>30</v>
      </c>
      <c r="AL202" s="1096">
        <f t="shared" si="126"/>
        <v>30</v>
      </c>
      <c r="AM202" s="1143">
        <f t="shared" si="127"/>
        <v>0</v>
      </c>
    </row>
    <row r="203" spans="3:39" ht="12.75" customHeight="1" x14ac:dyDescent="0.2">
      <c r="C203" s="90"/>
      <c r="D203" s="97" t="str">
        <f>IF(op!D135="","",op!D135)</f>
        <v/>
      </c>
      <c r="E203" s="97" t="str">
        <f>IF(op!E135=0,"",op!E135)</f>
        <v/>
      </c>
      <c r="F203" s="114" t="str">
        <f>IF(op!F135="","",op!F135+1)</f>
        <v/>
      </c>
      <c r="G203" s="377" t="str">
        <f>IF(op!G135="","",op!G135)</f>
        <v/>
      </c>
      <c r="H203" s="114" t="str">
        <f>IF(op!H135=0,"",op!H135)</f>
        <v/>
      </c>
      <c r="I203" s="129" t="str">
        <f>IF(J203="","",(IF(op!I135+1&gt;LOOKUP(H203,schaal2011,regels2011),op!I135,op!I135+1)))</f>
        <v/>
      </c>
      <c r="J203" s="378" t="str">
        <f>IF(op!J135="","",op!J135)</f>
        <v/>
      </c>
      <c r="K203" s="1194"/>
      <c r="L203" s="1065">
        <f t="shared" si="128"/>
        <v>0</v>
      </c>
      <c r="M203" s="1065">
        <f t="shared" si="128"/>
        <v>0</v>
      </c>
      <c r="N203" s="1077" t="str">
        <f t="shared" si="118"/>
        <v/>
      </c>
      <c r="O203" s="1077" t="str">
        <f t="shared" si="119"/>
        <v/>
      </c>
      <c r="P203" s="1172" t="str">
        <f t="shared" si="104"/>
        <v/>
      </c>
      <c r="Q203" s="91"/>
      <c r="R203" s="936" t="str">
        <f t="shared" si="120"/>
        <v/>
      </c>
      <c r="S203" s="936" t="str">
        <f t="shared" si="105"/>
        <v/>
      </c>
      <c r="T203" s="937" t="str">
        <f t="shared" si="106"/>
        <v/>
      </c>
      <c r="U203" s="361"/>
      <c r="V203" s="375"/>
      <c r="W203" s="375"/>
      <c r="X203" s="375"/>
      <c r="Y203" s="1120" t="e">
        <f>VLOOKUP(H203,tab!$A$73:$V$114,I203+2,FALSE)</f>
        <v>#VALUE!</v>
      </c>
      <c r="Z203" s="1211">
        <f>tab!$E$64</f>
        <v>0.62</v>
      </c>
      <c r="AA203" s="1163" t="e">
        <f t="shared" si="107"/>
        <v>#VALUE!</v>
      </c>
      <c r="AB203" s="1163" t="e">
        <f t="shared" si="108"/>
        <v>#VALUE!</v>
      </c>
      <c r="AC203" s="1163" t="e">
        <f t="shared" si="109"/>
        <v>#VALUE!</v>
      </c>
      <c r="AD203" s="1162" t="e">
        <f t="shared" si="110"/>
        <v>#VALUE!</v>
      </c>
      <c r="AE203" s="1162">
        <f t="shared" si="111"/>
        <v>0</v>
      </c>
      <c r="AF203" s="1129">
        <f>IF(H203&gt;8,tab!$D$65,tab!$D$67)</f>
        <v>0.5</v>
      </c>
      <c r="AG203" s="1143">
        <f t="shared" si="122"/>
        <v>0</v>
      </c>
      <c r="AH203" s="1159">
        <f t="shared" si="123"/>
        <v>0</v>
      </c>
      <c r="AI203" s="1142" t="e">
        <f>DATE(YEAR(tab!$G$3),MONTH(G203),DAY(G203))&gt;tab!$G$3</f>
        <v>#VALUE!</v>
      </c>
      <c r="AJ203" s="1143" t="e">
        <f t="shared" si="124"/>
        <v>#VALUE!</v>
      </c>
      <c r="AK203" s="1096">
        <f t="shared" si="125"/>
        <v>30</v>
      </c>
      <c r="AL203" s="1096">
        <f t="shared" si="126"/>
        <v>30</v>
      </c>
      <c r="AM203" s="1143">
        <f t="shared" si="127"/>
        <v>0</v>
      </c>
    </row>
    <row r="204" spans="3:39" ht="12.75" customHeight="1" x14ac:dyDescent="0.2">
      <c r="C204" s="90"/>
      <c r="D204" s="97" t="str">
        <f>IF(op!D136="","",op!D136)</f>
        <v/>
      </c>
      <c r="E204" s="97" t="str">
        <f>IF(op!E136=0,"",op!E136)</f>
        <v/>
      </c>
      <c r="F204" s="114" t="str">
        <f>IF(op!F136="","",op!F136+1)</f>
        <v/>
      </c>
      <c r="G204" s="377" t="str">
        <f>IF(op!G136="","",op!G136)</f>
        <v/>
      </c>
      <c r="H204" s="114" t="str">
        <f>IF(op!H136=0,"",op!H136)</f>
        <v/>
      </c>
      <c r="I204" s="129" t="str">
        <f>IF(J204="","",(IF(op!I136+1&gt;LOOKUP(H204,schaal2011,regels2011),op!I136,op!I136+1)))</f>
        <v/>
      </c>
      <c r="J204" s="378" t="str">
        <f>IF(op!J136="","",op!J136)</f>
        <v/>
      </c>
      <c r="K204" s="1194"/>
      <c r="L204" s="1065">
        <f t="shared" si="128"/>
        <v>0</v>
      </c>
      <c r="M204" s="1065">
        <f t="shared" si="128"/>
        <v>0</v>
      </c>
      <c r="N204" s="1077" t="str">
        <f t="shared" si="118"/>
        <v/>
      </c>
      <c r="O204" s="1077" t="str">
        <f t="shared" si="119"/>
        <v/>
      </c>
      <c r="P204" s="1172" t="str">
        <f t="shared" si="104"/>
        <v/>
      </c>
      <c r="Q204" s="91"/>
      <c r="R204" s="936" t="str">
        <f t="shared" si="120"/>
        <v/>
      </c>
      <c r="S204" s="936" t="str">
        <f t="shared" si="105"/>
        <v/>
      </c>
      <c r="T204" s="937" t="str">
        <f t="shared" si="106"/>
        <v/>
      </c>
      <c r="U204" s="361"/>
      <c r="V204" s="375"/>
      <c r="W204" s="375"/>
      <c r="X204" s="375"/>
      <c r="Y204" s="1120" t="e">
        <f>VLOOKUP(H204,tab!$A$73:$V$114,I204+2,FALSE)</f>
        <v>#VALUE!</v>
      </c>
      <c r="Z204" s="1211">
        <f>tab!$E$64</f>
        <v>0.62</v>
      </c>
      <c r="AA204" s="1163" t="e">
        <f t="shared" si="107"/>
        <v>#VALUE!</v>
      </c>
      <c r="AB204" s="1163" t="e">
        <f t="shared" si="108"/>
        <v>#VALUE!</v>
      </c>
      <c r="AC204" s="1163" t="e">
        <f t="shared" si="109"/>
        <v>#VALUE!</v>
      </c>
      <c r="AD204" s="1162" t="e">
        <f t="shared" si="110"/>
        <v>#VALUE!</v>
      </c>
      <c r="AE204" s="1162">
        <f t="shared" si="111"/>
        <v>0</v>
      </c>
      <c r="AF204" s="1129">
        <f>IF(H204&gt;8,tab!$D$65,tab!$D$67)</f>
        <v>0.5</v>
      </c>
      <c r="AG204" s="1143">
        <f t="shared" si="122"/>
        <v>0</v>
      </c>
      <c r="AH204" s="1159">
        <f t="shared" si="123"/>
        <v>0</v>
      </c>
      <c r="AI204" s="1142" t="e">
        <f>DATE(YEAR(tab!$G$3),MONTH(G204),DAY(G204))&gt;tab!$G$3</f>
        <v>#VALUE!</v>
      </c>
      <c r="AJ204" s="1143" t="e">
        <f t="shared" si="124"/>
        <v>#VALUE!</v>
      </c>
      <c r="AK204" s="1096">
        <f t="shared" si="125"/>
        <v>30</v>
      </c>
      <c r="AL204" s="1096">
        <f t="shared" si="126"/>
        <v>30</v>
      </c>
      <c r="AM204" s="1143">
        <f t="shared" si="127"/>
        <v>0</v>
      </c>
    </row>
    <row r="205" spans="3:39" ht="12.75" customHeight="1" x14ac:dyDescent="0.2">
      <c r="C205" s="90"/>
      <c r="D205" s="97" t="str">
        <f>IF(op!D137="","",op!D137)</f>
        <v/>
      </c>
      <c r="E205" s="97" t="str">
        <f>IF(op!E137=0,"",op!E137)</f>
        <v/>
      </c>
      <c r="F205" s="114" t="str">
        <f>IF(op!F137="","",op!F137+1)</f>
        <v/>
      </c>
      <c r="G205" s="377" t="str">
        <f>IF(op!G137="","",op!G137)</f>
        <v/>
      </c>
      <c r="H205" s="114" t="str">
        <f>IF(op!H137=0,"",op!H137)</f>
        <v/>
      </c>
      <c r="I205" s="129" t="str">
        <f>IF(J205="","",(IF(op!I137+1&gt;LOOKUP(H205,schaal2011,regels2011),op!I137,op!I137+1)))</f>
        <v/>
      </c>
      <c r="J205" s="378" t="str">
        <f>IF(op!J137="","",op!J137)</f>
        <v/>
      </c>
      <c r="K205" s="1194"/>
      <c r="L205" s="1065">
        <f t="shared" si="128"/>
        <v>0</v>
      </c>
      <c r="M205" s="1065">
        <f t="shared" si="128"/>
        <v>0</v>
      </c>
      <c r="N205" s="1077" t="str">
        <f t="shared" si="118"/>
        <v/>
      </c>
      <c r="O205" s="1077" t="str">
        <f t="shared" si="119"/>
        <v/>
      </c>
      <c r="P205" s="1172" t="str">
        <f t="shared" si="104"/>
        <v/>
      </c>
      <c r="Q205" s="91"/>
      <c r="R205" s="936" t="str">
        <f t="shared" si="120"/>
        <v/>
      </c>
      <c r="S205" s="936" t="str">
        <f t="shared" si="105"/>
        <v/>
      </c>
      <c r="T205" s="937" t="str">
        <f t="shared" si="106"/>
        <v/>
      </c>
      <c r="U205" s="361"/>
      <c r="V205" s="375"/>
      <c r="W205" s="375"/>
      <c r="X205" s="375"/>
      <c r="Y205" s="1120" t="e">
        <f>VLOOKUP(H205,tab!$A$73:$V$114,I205+2,FALSE)</f>
        <v>#VALUE!</v>
      </c>
      <c r="Z205" s="1211">
        <f>tab!$E$64</f>
        <v>0.62</v>
      </c>
      <c r="AA205" s="1163" t="e">
        <f t="shared" si="107"/>
        <v>#VALUE!</v>
      </c>
      <c r="AB205" s="1163" t="e">
        <f t="shared" si="108"/>
        <v>#VALUE!</v>
      </c>
      <c r="AC205" s="1163" t="e">
        <f t="shared" si="109"/>
        <v>#VALUE!</v>
      </c>
      <c r="AD205" s="1162" t="e">
        <f t="shared" si="110"/>
        <v>#VALUE!</v>
      </c>
      <c r="AE205" s="1162">
        <f t="shared" si="111"/>
        <v>0</v>
      </c>
      <c r="AF205" s="1129">
        <f>IF(H205&gt;8,tab!$D$65,tab!$D$67)</f>
        <v>0.5</v>
      </c>
      <c r="AG205" s="1143">
        <f t="shared" si="122"/>
        <v>0</v>
      </c>
      <c r="AH205" s="1159">
        <f t="shared" si="123"/>
        <v>0</v>
      </c>
      <c r="AI205" s="1142" t="e">
        <f>DATE(YEAR(tab!$G$3),MONTH(G205),DAY(G205))&gt;tab!$G$3</f>
        <v>#VALUE!</v>
      </c>
      <c r="AJ205" s="1143" t="e">
        <f t="shared" si="124"/>
        <v>#VALUE!</v>
      </c>
      <c r="AK205" s="1096">
        <f t="shared" si="125"/>
        <v>30</v>
      </c>
      <c r="AL205" s="1096">
        <f t="shared" si="126"/>
        <v>30</v>
      </c>
      <c r="AM205" s="1143">
        <f t="shared" si="127"/>
        <v>0</v>
      </c>
    </row>
    <row r="206" spans="3:39" ht="12.75" customHeight="1" x14ac:dyDescent="0.2">
      <c r="C206" s="90"/>
      <c r="D206" s="97" t="str">
        <f>IF(op!D138="","",op!D138)</f>
        <v/>
      </c>
      <c r="E206" s="97" t="str">
        <f>IF(op!E138=0,"",op!E138)</f>
        <v/>
      </c>
      <c r="F206" s="114" t="str">
        <f>IF(op!F138="","",op!F138+1)</f>
        <v/>
      </c>
      <c r="G206" s="377" t="str">
        <f>IF(op!G138="","",op!G138)</f>
        <v/>
      </c>
      <c r="H206" s="114" t="str">
        <f>IF(op!H138=0,"",op!H138)</f>
        <v/>
      </c>
      <c r="I206" s="129" t="str">
        <f>IF(J206="","",(IF(op!I138+1&gt;LOOKUP(H206,schaal2011,regels2011),op!I138,op!I138+1)))</f>
        <v/>
      </c>
      <c r="J206" s="378" t="str">
        <f>IF(op!J138="","",op!J138)</f>
        <v/>
      </c>
      <c r="K206" s="1194"/>
      <c r="L206" s="1065">
        <f t="shared" si="128"/>
        <v>0</v>
      </c>
      <c r="M206" s="1065">
        <f t="shared" si="128"/>
        <v>0</v>
      </c>
      <c r="N206" s="1077" t="str">
        <f t="shared" si="118"/>
        <v/>
      </c>
      <c r="O206" s="1077" t="str">
        <f t="shared" si="119"/>
        <v/>
      </c>
      <c r="P206" s="1172" t="str">
        <f t="shared" si="104"/>
        <v/>
      </c>
      <c r="Q206" s="91"/>
      <c r="R206" s="936" t="str">
        <f t="shared" si="120"/>
        <v/>
      </c>
      <c r="S206" s="936" t="str">
        <f t="shared" si="105"/>
        <v/>
      </c>
      <c r="T206" s="937" t="str">
        <f t="shared" si="106"/>
        <v/>
      </c>
      <c r="U206" s="361"/>
      <c r="V206" s="375"/>
      <c r="W206" s="375"/>
      <c r="X206" s="375"/>
      <c r="Y206" s="1120" t="e">
        <f>VLOOKUP(H206,tab!$A$73:$V$114,I206+2,FALSE)</f>
        <v>#VALUE!</v>
      </c>
      <c r="Z206" s="1211">
        <f>tab!$E$64</f>
        <v>0.62</v>
      </c>
      <c r="AA206" s="1163" t="e">
        <f t="shared" si="107"/>
        <v>#VALUE!</v>
      </c>
      <c r="AB206" s="1163" t="e">
        <f t="shared" si="108"/>
        <v>#VALUE!</v>
      </c>
      <c r="AC206" s="1163" t="e">
        <f t="shared" si="109"/>
        <v>#VALUE!</v>
      </c>
      <c r="AD206" s="1162" t="e">
        <f t="shared" si="110"/>
        <v>#VALUE!</v>
      </c>
      <c r="AE206" s="1162">
        <f t="shared" si="111"/>
        <v>0</v>
      </c>
      <c r="AF206" s="1129">
        <f>IF(H206&gt;8,tab!$D$65,tab!$D$67)</f>
        <v>0.5</v>
      </c>
      <c r="AG206" s="1143">
        <f t="shared" si="122"/>
        <v>0</v>
      </c>
      <c r="AH206" s="1159">
        <f t="shared" si="123"/>
        <v>0</v>
      </c>
      <c r="AI206" s="1142" t="e">
        <f>DATE(YEAR(tab!$G$3),MONTH(G206),DAY(G206))&gt;tab!$G$3</f>
        <v>#VALUE!</v>
      </c>
      <c r="AJ206" s="1143" t="e">
        <f t="shared" si="124"/>
        <v>#VALUE!</v>
      </c>
      <c r="AK206" s="1096">
        <f t="shared" si="125"/>
        <v>30</v>
      </c>
      <c r="AL206" s="1096">
        <f t="shared" si="126"/>
        <v>30</v>
      </c>
      <c r="AM206" s="1143">
        <f t="shared" si="127"/>
        <v>0</v>
      </c>
    </row>
    <row r="207" spans="3:39" x14ac:dyDescent="0.2">
      <c r="C207" s="98"/>
      <c r="D207" s="227"/>
      <c r="E207" s="436"/>
      <c r="F207" s="436"/>
      <c r="G207" s="437"/>
      <c r="H207" s="436"/>
      <c r="I207" s="438"/>
      <c r="J207" s="953">
        <f>SUM(J152:J206)</f>
        <v>1</v>
      </c>
      <c r="K207" s="1195"/>
      <c r="L207" s="1161">
        <f>SUM(L152:L206)</f>
        <v>0</v>
      </c>
      <c r="M207" s="1161">
        <f>SUM(M152:M206)</f>
        <v>0</v>
      </c>
      <c r="N207" s="1161">
        <f>SUM(N152:N206)</f>
        <v>40</v>
      </c>
      <c r="O207" s="1161">
        <f t="shared" ref="O207:P207" si="129">SUM(O152:O206)</f>
        <v>0</v>
      </c>
      <c r="P207" s="1161">
        <f t="shared" si="129"/>
        <v>40</v>
      </c>
      <c r="Q207" s="227"/>
      <c r="R207" s="954">
        <f t="shared" ref="R207" si="130">SUM(R152:R206)</f>
        <v>92940.319855334543</v>
      </c>
      <c r="S207" s="954">
        <f t="shared" ref="S207:T207" si="131">SUM(S152:S206)</f>
        <v>2296.2401446654612</v>
      </c>
      <c r="T207" s="954">
        <f t="shared" si="131"/>
        <v>95236.56</v>
      </c>
      <c r="U207" s="106"/>
      <c r="Y207" s="1121" t="e">
        <f>SUM(Y152:Y206)</f>
        <v>#VALUE!</v>
      </c>
      <c r="Z207" s="1145"/>
      <c r="AA207" s="1121"/>
      <c r="AB207" s="1121" t="e">
        <f t="shared" ref="AB207" si="132">SUM(AB152:AB206)</f>
        <v>#VALUE!</v>
      </c>
      <c r="AC207" s="1121"/>
      <c r="AF207" s="1145"/>
      <c r="AG207" s="1146">
        <f>SUM(AG152:AG206)</f>
        <v>0</v>
      </c>
      <c r="AH207" s="1155">
        <f>SUM(AH152:AH206)</f>
        <v>0</v>
      </c>
      <c r="AI207" s="1144"/>
      <c r="AJ207" s="1144"/>
    </row>
    <row r="208" spans="3:39" x14ac:dyDescent="0.2">
      <c r="H208" s="174"/>
      <c r="K208" s="1196"/>
      <c r="Q208" s="281"/>
      <c r="R208" s="439"/>
      <c r="S208" s="416"/>
      <c r="Y208" s="1093"/>
      <c r="AA208" s="1121"/>
      <c r="AB208" s="1121"/>
      <c r="AC208" s="1121"/>
      <c r="AF208" s="1145"/>
      <c r="AG208" s="1146"/>
      <c r="AH208" s="1155"/>
    </row>
    <row r="211" spans="2:40" x14ac:dyDescent="0.2">
      <c r="C211" s="68" t="s">
        <v>195</v>
      </c>
      <c r="E211" s="415" t="str">
        <f>dir!E77</f>
        <v>2018/19</v>
      </c>
    </row>
    <row r="212" spans="2:40" x14ac:dyDescent="0.2">
      <c r="C212" s="68" t="s">
        <v>217</v>
      </c>
      <c r="E212" s="415">
        <f>dir!E78</f>
        <v>43374</v>
      </c>
    </row>
    <row r="214" spans="2:40" ht="12.75" customHeight="1" x14ac:dyDescent="0.2">
      <c r="C214" s="432"/>
      <c r="D214" s="921"/>
      <c r="E214" s="920"/>
      <c r="F214" s="900"/>
      <c r="G214" s="922"/>
      <c r="H214" s="923"/>
      <c r="I214" s="923"/>
      <c r="J214" s="924"/>
      <c r="K214" s="1190"/>
      <c r="L214" s="1016"/>
      <c r="M214" s="1016"/>
      <c r="N214" s="1016"/>
      <c r="O214" s="1016"/>
      <c r="P214" s="1169"/>
      <c r="Q214" s="925"/>
      <c r="R214" s="925"/>
      <c r="S214" s="925"/>
      <c r="T214" s="926"/>
      <c r="U214" s="906"/>
    </row>
    <row r="215" spans="2:40" s="106" customFormat="1" ht="12.75" customHeight="1" x14ac:dyDescent="0.2">
      <c r="B215" s="68"/>
      <c r="C215" s="183"/>
      <c r="D215" s="1074" t="s">
        <v>335</v>
      </c>
      <c r="E215" s="1075"/>
      <c r="F215" s="1075"/>
      <c r="G215" s="1075"/>
      <c r="H215" s="1076"/>
      <c r="I215" s="1076"/>
      <c r="J215" s="1076"/>
      <c r="K215" s="1191"/>
      <c r="L215" s="1074" t="s">
        <v>561</v>
      </c>
      <c r="M215" s="1064"/>
      <c r="N215" s="1074"/>
      <c r="O215" s="1074"/>
      <c r="P215" s="1170"/>
      <c r="Q215" s="927"/>
      <c r="R215" s="1074" t="s">
        <v>563</v>
      </c>
      <c r="S215" s="1076"/>
      <c r="T215" s="1153"/>
      <c r="U215" s="944"/>
      <c r="V215" s="68"/>
      <c r="W215" s="365"/>
      <c r="X215" s="365"/>
      <c r="Y215" s="1094"/>
      <c r="Z215" s="1126"/>
      <c r="AA215" s="1094"/>
      <c r="AB215" s="1094"/>
      <c r="AC215" s="1094"/>
      <c r="AD215" s="1125"/>
      <c r="AE215" s="1125"/>
      <c r="AF215" s="1126"/>
      <c r="AG215" s="1151"/>
      <c r="AH215" s="1160"/>
      <c r="AI215" s="1141"/>
      <c r="AJ215" s="1141"/>
      <c r="AK215" s="1141"/>
      <c r="AL215" s="1141"/>
      <c r="AM215" s="1141"/>
      <c r="AN215" s="365"/>
    </row>
    <row r="216" spans="2:40" s="106" customFormat="1" ht="12.75" customHeight="1" x14ac:dyDescent="0.2">
      <c r="B216" s="68"/>
      <c r="C216" s="183"/>
      <c r="D216" s="886" t="s">
        <v>549</v>
      </c>
      <c r="E216" s="886" t="s">
        <v>201</v>
      </c>
      <c r="F216" s="929" t="s">
        <v>147</v>
      </c>
      <c r="G216" s="930" t="s">
        <v>325</v>
      </c>
      <c r="H216" s="929" t="s">
        <v>231</v>
      </c>
      <c r="I216" s="929" t="s">
        <v>262</v>
      </c>
      <c r="J216" s="931" t="s">
        <v>150</v>
      </c>
      <c r="K216" s="1192"/>
      <c r="L216" s="932" t="s">
        <v>544</v>
      </c>
      <c r="M216" s="932" t="s">
        <v>537</v>
      </c>
      <c r="N216" s="932" t="s">
        <v>551</v>
      </c>
      <c r="O216" s="932" t="s">
        <v>544</v>
      </c>
      <c r="P216" s="1171" t="s">
        <v>556</v>
      </c>
      <c r="Q216" s="898"/>
      <c r="R216" s="1073" t="s">
        <v>216</v>
      </c>
      <c r="S216" s="934" t="s">
        <v>562</v>
      </c>
      <c r="T216" s="935" t="s">
        <v>216</v>
      </c>
      <c r="U216" s="945"/>
      <c r="V216" s="68"/>
      <c r="W216" s="369"/>
      <c r="X216" s="369"/>
      <c r="Y216" s="1127" t="s">
        <v>361</v>
      </c>
      <c r="Z216" s="1182" t="s">
        <v>548</v>
      </c>
      <c r="AA216" s="1115" t="s">
        <v>557</v>
      </c>
      <c r="AB216" s="1115" t="s">
        <v>557</v>
      </c>
      <c r="AC216" s="1115" t="s">
        <v>560</v>
      </c>
      <c r="AD216" s="1128" t="s">
        <v>542</v>
      </c>
      <c r="AE216" s="1128" t="s">
        <v>543</v>
      </c>
      <c r="AF216" s="1114" t="s">
        <v>539</v>
      </c>
      <c r="AG216" s="1152" t="s">
        <v>343</v>
      </c>
      <c r="AH216" s="1160" t="s">
        <v>468</v>
      </c>
      <c r="AI216" s="1114" t="s">
        <v>328</v>
      </c>
      <c r="AJ216" s="1114" t="s">
        <v>329</v>
      </c>
      <c r="AK216" s="1114" t="s">
        <v>149</v>
      </c>
      <c r="AL216" s="1114" t="s">
        <v>228</v>
      </c>
      <c r="AM216" s="1128" t="s">
        <v>203</v>
      </c>
      <c r="AN216" s="369"/>
    </row>
    <row r="217" spans="2:40" s="106" customFormat="1" ht="12.75" customHeight="1" x14ac:dyDescent="0.2">
      <c r="B217" s="68"/>
      <c r="C217" s="183"/>
      <c r="D217" s="1075"/>
      <c r="E217" s="886"/>
      <c r="F217" s="929" t="s">
        <v>148</v>
      </c>
      <c r="G217" s="930" t="s">
        <v>326</v>
      </c>
      <c r="H217" s="929"/>
      <c r="I217" s="929"/>
      <c r="J217" s="931"/>
      <c r="K217" s="1192"/>
      <c r="L217" s="932" t="s">
        <v>545</v>
      </c>
      <c r="M217" s="932" t="s">
        <v>547</v>
      </c>
      <c r="N217" s="932" t="s">
        <v>552</v>
      </c>
      <c r="O217" s="932" t="s">
        <v>546</v>
      </c>
      <c r="P217" s="1171" t="s">
        <v>320</v>
      </c>
      <c r="Q217" s="898"/>
      <c r="R217" s="902" t="s">
        <v>554</v>
      </c>
      <c r="S217" s="934" t="s">
        <v>538</v>
      </c>
      <c r="T217" s="935" t="s">
        <v>320</v>
      </c>
      <c r="U217" s="906"/>
      <c r="V217" s="68"/>
      <c r="Y217" s="1127" t="s">
        <v>223</v>
      </c>
      <c r="Z217" s="1183">
        <f>tab!$E$64</f>
        <v>0.62</v>
      </c>
      <c r="AA217" s="1115" t="s">
        <v>558</v>
      </c>
      <c r="AB217" s="1115" t="s">
        <v>559</v>
      </c>
      <c r="AC217" s="1115" t="s">
        <v>555</v>
      </c>
      <c r="AD217" s="1128" t="s">
        <v>541</v>
      </c>
      <c r="AE217" s="1128" t="s">
        <v>541</v>
      </c>
      <c r="AF217" s="1114" t="s">
        <v>540</v>
      </c>
      <c r="AG217" s="1152"/>
      <c r="AH217" s="1159" t="s">
        <v>261</v>
      </c>
      <c r="AI217" s="1128" t="s">
        <v>327</v>
      </c>
      <c r="AJ217" s="1128" t="s">
        <v>327</v>
      </c>
      <c r="AK217" s="1114"/>
      <c r="AL217" s="1114" t="s">
        <v>203</v>
      </c>
      <c r="AM217" s="1128"/>
      <c r="AN217" s="434"/>
    </row>
    <row r="218" spans="2:40" ht="12.75" customHeight="1" x14ac:dyDescent="0.2">
      <c r="C218" s="90"/>
      <c r="D218" s="942"/>
      <c r="E218" s="942"/>
      <c r="F218" s="899"/>
      <c r="G218" s="946"/>
      <c r="H218" s="929"/>
      <c r="I218" s="929"/>
      <c r="J218" s="931"/>
      <c r="K218" s="1193"/>
      <c r="L218" s="932"/>
      <c r="M218" s="932"/>
      <c r="N218" s="932"/>
      <c r="O218" s="932"/>
      <c r="P218" s="1171"/>
      <c r="Q218" s="1072"/>
      <c r="R218" s="947"/>
      <c r="S218" s="947"/>
      <c r="T218" s="948"/>
      <c r="U218" s="906"/>
      <c r="Y218" s="1127"/>
      <c r="Z218" s="1113"/>
      <c r="AA218" s="1113"/>
      <c r="AB218" s="1113"/>
      <c r="AC218" s="1113"/>
      <c r="AD218" s="1128"/>
      <c r="AE218" s="1128"/>
      <c r="AF218" s="1113"/>
      <c r="AG218" s="1152"/>
      <c r="AH218" s="1159"/>
      <c r="AM218" s="1128"/>
      <c r="AN218" s="375"/>
    </row>
    <row r="219" spans="2:40" ht="12.75" customHeight="1" x14ac:dyDescent="0.2">
      <c r="C219" s="90"/>
      <c r="D219" s="97" t="str">
        <f>IF(op!D152=0,"",op!D152)</f>
        <v/>
      </c>
      <c r="E219" s="97" t="str">
        <f>IF(op!E152=0,"",op!E152)</f>
        <v>nn</v>
      </c>
      <c r="F219" s="114">
        <f>IF(op!F152="","",op!F152+1)</f>
        <v>28</v>
      </c>
      <c r="G219" s="377">
        <f>IF(op!G152="","",op!G152)</f>
        <v>26665</v>
      </c>
      <c r="H219" s="114" t="str">
        <f>IF(op!H152=0,"",op!H152)</f>
        <v>LE</v>
      </c>
      <c r="I219" s="129">
        <f>IF(J219="","",(IF(op!I152+1&gt;LOOKUP(H219,schaal2011,regels2011),op!I152,op!I152+1)))</f>
        <v>13</v>
      </c>
      <c r="J219" s="378">
        <f>IF(op!J152="","",op!J152)</f>
        <v>1</v>
      </c>
      <c r="K219" s="1194"/>
      <c r="L219" s="1065">
        <f t="shared" ref="L219:M238" si="133">IF(L152="","",L152)</f>
        <v>0</v>
      </c>
      <c r="M219" s="1065">
        <f t="shared" si="133"/>
        <v>0</v>
      </c>
      <c r="N219" s="1077">
        <f>IF(J219="","",IF((J219*40)&gt;40,40,((J219*40))))</f>
        <v>40</v>
      </c>
      <c r="O219" s="1077">
        <f>IF(J219="","",IF(I219&lt;4,(40*J219),0))</f>
        <v>0</v>
      </c>
      <c r="P219" s="1172">
        <f t="shared" ref="P219:P273" si="134">IF(J219="","",(SUM(L219:O219)))</f>
        <v>40</v>
      </c>
      <c r="Q219" s="91"/>
      <c r="R219" s="936">
        <f>IF(J219="","",(((1659*J219)-P219)*AB219))</f>
        <v>95842.926292947566</v>
      </c>
      <c r="S219" s="936">
        <f t="shared" ref="S219:S273" si="135">IF(J219="","",(P219*AC219)+(AA219*AD219)+((AE219*AA219*(1-AF219))))</f>
        <v>2367.9537070524411</v>
      </c>
      <c r="T219" s="937">
        <f t="shared" ref="T219:T273" si="136">IF(J219="","",(R219+S219))</f>
        <v>98210.880000000005</v>
      </c>
      <c r="U219" s="361"/>
      <c r="V219" s="375"/>
      <c r="W219" s="375"/>
      <c r="X219" s="375"/>
      <c r="Y219" s="1120">
        <f>VLOOKUP(H219,tab!$A$73:$V$114,I219+2,FALSE)</f>
        <v>5052</v>
      </c>
      <c r="Z219" s="1211">
        <f>tab!$E$64</f>
        <v>0.62</v>
      </c>
      <c r="AA219" s="1163">
        <f t="shared" ref="AA219:AA273" si="137">(Y219*12/1659)</f>
        <v>36.542495479204341</v>
      </c>
      <c r="AB219" s="1163">
        <f t="shared" ref="AB219:AB273" si="138">(Y219*12*(1+Z219))/1659</f>
        <v>59.198842676311031</v>
      </c>
      <c r="AC219" s="1163">
        <f t="shared" ref="AC219:AC273" si="139">AB219-AA219</f>
        <v>22.65634719710669</v>
      </c>
      <c r="AD219" s="1162">
        <f t="shared" ref="AD219:AD273" si="140">(N219+O219)</f>
        <v>40</v>
      </c>
      <c r="AE219" s="1162">
        <f t="shared" ref="AE219:AE273" si="141">(L219+M219)</f>
        <v>0</v>
      </c>
      <c r="AF219" s="1129">
        <f>IF(H219&gt;8,tab!$D$65,tab!$D$67)</f>
        <v>0.5</v>
      </c>
      <c r="AG219" s="1143">
        <f t="shared" ref="AG219:AG250" si="142">IF(F219&lt;25,0,IF(F219=25,25,IF(F219&lt;40,0,IF(F219=40,40,IF(F219&gt;=40,0)))))</f>
        <v>0</v>
      </c>
      <c r="AH219" s="1159">
        <f t="shared" ref="AH219:AH250" si="143">IF(AG219=25,(Y219*1.08*(J219)/2),IF(AG219=40,(Y219*1.08*(J219)),IF(AG219=0,0)))</f>
        <v>0</v>
      </c>
      <c r="AI219" s="1142" t="b">
        <f>DATE(YEAR(tab!$H$3),MONTH(G219),DAY(G219))&gt;tab!$H$3</f>
        <v>0</v>
      </c>
      <c r="AJ219" s="1143">
        <f t="shared" ref="AJ219:AJ250" si="144">YEAR($E$212)-YEAR(G219)-AI219</f>
        <v>45</v>
      </c>
      <c r="AK219" s="1096">
        <f t="shared" ref="AK219:AK250" si="145">IF((G219=""),30,AJ219)</f>
        <v>45</v>
      </c>
      <c r="AL219" s="1096">
        <f t="shared" ref="AL219:AL250" si="146">IF((AK219)&gt;50,50,(AK219))</f>
        <v>45</v>
      </c>
      <c r="AM219" s="1143">
        <f t="shared" ref="AM219:AM250" si="147">ROUND((AL219*(SUM(J219:J219))),2)</f>
        <v>45</v>
      </c>
    </row>
    <row r="220" spans="2:40" ht="12.75" customHeight="1" x14ac:dyDescent="0.2">
      <c r="C220" s="90"/>
      <c r="D220" s="97" t="str">
        <f>IF(op!D153=0,"",op!D153)</f>
        <v/>
      </c>
      <c r="E220" s="97" t="str">
        <f>IF(op!E153=0,"",op!E153)</f>
        <v/>
      </c>
      <c r="F220" s="114" t="str">
        <f>IF(op!F153="","",op!F153+1)</f>
        <v/>
      </c>
      <c r="G220" s="377" t="str">
        <f>IF(op!G153="","",op!G153)</f>
        <v/>
      </c>
      <c r="H220" s="114" t="str">
        <f>IF(op!H153=0,"",op!H153)</f>
        <v/>
      </c>
      <c r="I220" s="129" t="str">
        <f>IF(J220="","",(IF(op!I153+1&gt;LOOKUP(H220,schaal2011,regels2011),op!I153,op!I153+1)))</f>
        <v/>
      </c>
      <c r="J220" s="378" t="str">
        <f>IF(op!J153="","",op!J153)</f>
        <v/>
      </c>
      <c r="K220" s="1194"/>
      <c r="L220" s="1065">
        <f t="shared" si="133"/>
        <v>0</v>
      </c>
      <c r="M220" s="1065">
        <f t="shared" si="133"/>
        <v>0</v>
      </c>
      <c r="N220" s="1077" t="str">
        <f t="shared" ref="N220:N273" si="148">IF(J220="","",IF((J220*40)&gt;40,40,((J220*40))))</f>
        <v/>
      </c>
      <c r="O220" s="1077" t="str">
        <f t="shared" ref="O220:O273" si="149">IF(J220="","",IF(I220&lt;4,(40*J220),0))</f>
        <v/>
      </c>
      <c r="P220" s="1172" t="str">
        <f t="shared" si="134"/>
        <v/>
      </c>
      <c r="Q220" s="91"/>
      <c r="R220" s="936" t="str">
        <f t="shared" ref="R220:R273" si="150">IF(J220="","",(((1659*J220)-P220)*AB220))</f>
        <v/>
      </c>
      <c r="S220" s="936" t="str">
        <f t="shared" si="135"/>
        <v/>
      </c>
      <c r="T220" s="937" t="str">
        <f t="shared" si="136"/>
        <v/>
      </c>
      <c r="U220" s="361"/>
      <c r="V220" s="375"/>
      <c r="W220" s="375"/>
      <c r="X220" s="375"/>
      <c r="Y220" s="1120" t="e">
        <f>VLOOKUP(H220,tab!$A$73:$V$114,I220+2,FALSE)</f>
        <v>#VALUE!</v>
      </c>
      <c r="Z220" s="1211">
        <f>tab!$E$64</f>
        <v>0.62</v>
      </c>
      <c r="AA220" s="1163" t="e">
        <f t="shared" si="137"/>
        <v>#VALUE!</v>
      </c>
      <c r="AB220" s="1163" t="e">
        <f t="shared" si="138"/>
        <v>#VALUE!</v>
      </c>
      <c r="AC220" s="1163" t="e">
        <f t="shared" si="139"/>
        <v>#VALUE!</v>
      </c>
      <c r="AD220" s="1162" t="e">
        <f t="shared" si="140"/>
        <v>#VALUE!</v>
      </c>
      <c r="AE220" s="1162">
        <f t="shared" si="141"/>
        <v>0</v>
      </c>
      <c r="AF220" s="1129">
        <f>IF(H220&gt;8,tab!$D$65,tab!$D$67)</f>
        <v>0.5</v>
      </c>
      <c r="AG220" s="1143">
        <f t="shared" si="142"/>
        <v>0</v>
      </c>
      <c r="AH220" s="1159">
        <f t="shared" si="143"/>
        <v>0</v>
      </c>
      <c r="AI220" s="1142" t="e">
        <f>DATE(YEAR(tab!$H$3),MONTH(G220),DAY(G220))&gt;tab!$H$3</f>
        <v>#VALUE!</v>
      </c>
      <c r="AJ220" s="1143" t="e">
        <f t="shared" si="144"/>
        <v>#VALUE!</v>
      </c>
      <c r="AK220" s="1096">
        <f t="shared" si="145"/>
        <v>30</v>
      </c>
      <c r="AL220" s="1096">
        <f t="shared" si="146"/>
        <v>30</v>
      </c>
      <c r="AM220" s="1143">
        <f t="shared" si="147"/>
        <v>0</v>
      </c>
    </row>
    <row r="221" spans="2:40" ht="12.75" customHeight="1" x14ac:dyDescent="0.2">
      <c r="C221" s="90"/>
      <c r="D221" s="97" t="str">
        <f>IF(op!D154=0,"",op!D154)</f>
        <v/>
      </c>
      <c r="E221" s="97" t="str">
        <f>IF(op!E154=0,"",op!E154)</f>
        <v/>
      </c>
      <c r="F221" s="114" t="str">
        <f>IF(op!F154="","",op!F154+1)</f>
        <v/>
      </c>
      <c r="G221" s="377" t="str">
        <f>IF(op!G154="","",op!G154)</f>
        <v/>
      </c>
      <c r="H221" s="114" t="str">
        <f>IF(op!H154=0,"",op!H154)</f>
        <v/>
      </c>
      <c r="I221" s="129" t="str">
        <f>IF(J221="","",(IF(op!I154+1&gt;LOOKUP(H221,schaal2011,regels2011),op!I154,op!I154+1)))</f>
        <v/>
      </c>
      <c r="J221" s="378" t="str">
        <f>IF(op!J154="","",op!J154)</f>
        <v/>
      </c>
      <c r="K221" s="1194"/>
      <c r="L221" s="1065">
        <f t="shared" si="133"/>
        <v>0</v>
      </c>
      <c r="M221" s="1065">
        <f t="shared" si="133"/>
        <v>0</v>
      </c>
      <c r="N221" s="1077" t="str">
        <f t="shared" si="148"/>
        <v/>
      </c>
      <c r="O221" s="1077" t="str">
        <f t="shared" si="149"/>
        <v/>
      </c>
      <c r="P221" s="1172" t="str">
        <f t="shared" si="134"/>
        <v/>
      </c>
      <c r="Q221" s="91"/>
      <c r="R221" s="936" t="str">
        <f t="shared" si="150"/>
        <v/>
      </c>
      <c r="S221" s="936" t="str">
        <f t="shared" si="135"/>
        <v/>
      </c>
      <c r="T221" s="937" t="str">
        <f t="shared" si="136"/>
        <v/>
      </c>
      <c r="U221" s="361"/>
      <c r="V221" s="375"/>
      <c r="W221" s="375"/>
      <c r="X221" s="375"/>
      <c r="Y221" s="1120" t="e">
        <f>VLOOKUP(H221,tab!$A$73:$V$114,I221+2,FALSE)</f>
        <v>#VALUE!</v>
      </c>
      <c r="Z221" s="1211">
        <f>tab!$E$64</f>
        <v>0.62</v>
      </c>
      <c r="AA221" s="1163" t="e">
        <f t="shared" si="137"/>
        <v>#VALUE!</v>
      </c>
      <c r="AB221" s="1163" t="e">
        <f t="shared" si="138"/>
        <v>#VALUE!</v>
      </c>
      <c r="AC221" s="1163" t="e">
        <f t="shared" si="139"/>
        <v>#VALUE!</v>
      </c>
      <c r="AD221" s="1162" t="e">
        <f t="shared" si="140"/>
        <v>#VALUE!</v>
      </c>
      <c r="AE221" s="1162">
        <f t="shared" si="141"/>
        <v>0</v>
      </c>
      <c r="AF221" s="1129">
        <f>IF(H221&gt;8,tab!$D$65,tab!$D$67)</f>
        <v>0.5</v>
      </c>
      <c r="AG221" s="1143">
        <f t="shared" si="142"/>
        <v>0</v>
      </c>
      <c r="AH221" s="1159">
        <f t="shared" si="143"/>
        <v>0</v>
      </c>
      <c r="AI221" s="1142" t="e">
        <f>DATE(YEAR(tab!$H$3),MONTH(G221),DAY(G221))&gt;tab!$H$3</f>
        <v>#VALUE!</v>
      </c>
      <c r="AJ221" s="1143" t="e">
        <f t="shared" si="144"/>
        <v>#VALUE!</v>
      </c>
      <c r="AK221" s="1096">
        <f t="shared" si="145"/>
        <v>30</v>
      </c>
      <c r="AL221" s="1096">
        <f t="shared" si="146"/>
        <v>30</v>
      </c>
      <c r="AM221" s="1143">
        <f t="shared" si="147"/>
        <v>0</v>
      </c>
    </row>
    <row r="222" spans="2:40" ht="12.75" customHeight="1" x14ac:dyDescent="0.2">
      <c r="C222" s="90"/>
      <c r="D222" s="97" t="str">
        <f>IF(op!D155=0,"",op!D155)</f>
        <v/>
      </c>
      <c r="E222" s="97" t="str">
        <f>IF(op!E155=0,"",op!E155)</f>
        <v/>
      </c>
      <c r="F222" s="114" t="str">
        <f>IF(op!F155="","",op!F155+1)</f>
        <v/>
      </c>
      <c r="G222" s="377" t="str">
        <f>IF(op!G155="","",op!G155)</f>
        <v/>
      </c>
      <c r="H222" s="114" t="str">
        <f>IF(op!H155=0,"",op!H155)</f>
        <v/>
      </c>
      <c r="I222" s="129" t="str">
        <f>IF(J222="","",(IF(op!I155+1&gt;LOOKUP(H222,schaal2011,regels2011),op!I155,op!I155+1)))</f>
        <v/>
      </c>
      <c r="J222" s="378" t="str">
        <f>IF(op!J155="","",op!J155)</f>
        <v/>
      </c>
      <c r="K222" s="1194"/>
      <c r="L222" s="1065">
        <f t="shared" si="133"/>
        <v>0</v>
      </c>
      <c r="M222" s="1065">
        <f t="shared" si="133"/>
        <v>0</v>
      </c>
      <c r="N222" s="1077" t="str">
        <f t="shared" si="148"/>
        <v/>
      </c>
      <c r="O222" s="1077" t="str">
        <f t="shared" si="149"/>
        <v/>
      </c>
      <c r="P222" s="1172" t="str">
        <f t="shared" si="134"/>
        <v/>
      </c>
      <c r="Q222" s="91"/>
      <c r="R222" s="936" t="str">
        <f t="shared" si="150"/>
        <v/>
      </c>
      <c r="S222" s="936" t="str">
        <f t="shared" si="135"/>
        <v/>
      </c>
      <c r="T222" s="937" t="str">
        <f t="shared" si="136"/>
        <v/>
      </c>
      <c r="U222" s="361"/>
      <c r="V222" s="375"/>
      <c r="W222" s="375"/>
      <c r="X222" s="375"/>
      <c r="Y222" s="1120" t="e">
        <f>VLOOKUP(H222,tab!$A$73:$V$114,I222+2,FALSE)</f>
        <v>#VALUE!</v>
      </c>
      <c r="Z222" s="1211">
        <f>tab!$E$64</f>
        <v>0.62</v>
      </c>
      <c r="AA222" s="1163" t="e">
        <f t="shared" si="137"/>
        <v>#VALUE!</v>
      </c>
      <c r="AB222" s="1163" t="e">
        <f t="shared" si="138"/>
        <v>#VALUE!</v>
      </c>
      <c r="AC222" s="1163" t="e">
        <f t="shared" si="139"/>
        <v>#VALUE!</v>
      </c>
      <c r="AD222" s="1162" t="e">
        <f t="shared" si="140"/>
        <v>#VALUE!</v>
      </c>
      <c r="AE222" s="1162">
        <f t="shared" si="141"/>
        <v>0</v>
      </c>
      <c r="AF222" s="1129">
        <f>IF(H222&gt;8,tab!$D$65,tab!$D$67)</f>
        <v>0.5</v>
      </c>
      <c r="AG222" s="1143">
        <f t="shared" si="142"/>
        <v>0</v>
      </c>
      <c r="AH222" s="1159">
        <f t="shared" si="143"/>
        <v>0</v>
      </c>
      <c r="AI222" s="1142" t="e">
        <f>DATE(YEAR(tab!$H$3),MONTH(G222),DAY(G222))&gt;tab!$H$3</f>
        <v>#VALUE!</v>
      </c>
      <c r="AJ222" s="1143" t="e">
        <f t="shared" si="144"/>
        <v>#VALUE!</v>
      </c>
      <c r="AK222" s="1096">
        <f t="shared" si="145"/>
        <v>30</v>
      </c>
      <c r="AL222" s="1096">
        <f t="shared" si="146"/>
        <v>30</v>
      </c>
      <c r="AM222" s="1143">
        <f t="shared" si="147"/>
        <v>0</v>
      </c>
    </row>
    <row r="223" spans="2:40" ht="12.75" customHeight="1" x14ac:dyDescent="0.2">
      <c r="C223" s="90"/>
      <c r="D223" s="97" t="str">
        <f>IF(op!D156=0,"",op!D156)</f>
        <v/>
      </c>
      <c r="E223" s="97" t="str">
        <f>IF(op!E156=0,"",op!E156)</f>
        <v/>
      </c>
      <c r="F223" s="114" t="str">
        <f>IF(op!F156="","",op!F156+1)</f>
        <v/>
      </c>
      <c r="G223" s="377" t="str">
        <f>IF(op!G156="","",op!G156)</f>
        <v/>
      </c>
      <c r="H223" s="114" t="str">
        <f>IF(op!H156=0,"",op!H156)</f>
        <v/>
      </c>
      <c r="I223" s="129" t="str">
        <f>IF(J223="","",(IF(op!I156+1&gt;LOOKUP(H223,schaal2011,regels2011),op!I156,op!I156+1)))</f>
        <v/>
      </c>
      <c r="J223" s="378" t="str">
        <f>IF(op!J156="","",op!J156)</f>
        <v/>
      </c>
      <c r="K223" s="1194"/>
      <c r="L223" s="1065">
        <f t="shared" si="133"/>
        <v>0</v>
      </c>
      <c r="M223" s="1065">
        <f t="shared" si="133"/>
        <v>0</v>
      </c>
      <c r="N223" s="1077" t="str">
        <f t="shared" si="148"/>
        <v/>
      </c>
      <c r="O223" s="1077" t="str">
        <f t="shared" si="149"/>
        <v/>
      </c>
      <c r="P223" s="1172" t="str">
        <f t="shared" si="134"/>
        <v/>
      </c>
      <c r="Q223" s="91"/>
      <c r="R223" s="936" t="str">
        <f t="shared" si="150"/>
        <v/>
      </c>
      <c r="S223" s="936" t="str">
        <f t="shared" si="135"/>
        <v/>
      </c>
      <c r="T223" s="937" t="str">
        <f t="shared" si="136"/>
        <v/>
      </c>
      <c r="U223" s="361"/>
      <c r="V223" s="375"/>
      <c r="W223" s="375"/>
      <c r="X223" s="375"/>
      <c r="Y223" s="1120" t="e">
        <f>VLOOKUP(H223,tab!$A$73:$V$114,I223+2,FALSE)</f>
        <v>#VALUE!</v>
      </c>
      <c r="Z223" s="1211">
        <f>tab!$E$64</f>
        <v>0.62</v>
      </c>
      <c r="AA223" s="1163" t="e">
        <f t="shared" si="137"/>
        <v>#VALUE!</v>
      </c>
      <c r="AB223" s="1163" t="e">
        <f t="shared" si="138"/>
        <v>#VALUE!</v>
      </c>
      <c r="AC223" s="1163" t="e">
        <f t="shared" si="139"/>
        <v>#VALUE!</v>
      </c>
      <c r="AD223" s="1162" t="e">
        <f t="shared" si="140"/>
        <v>#VALUE!</v>
      </c>
      <c r="AE223" s="1162">
        <f t="shared" si="141"/>
        <v>0</v>
      </c>
      <c r="AF223" s="1129">
        <f>IF(H223&gt;8,tab!$D$65,tab!$D$67)</f>
        <v>0.5</v>
      </c>
      <c r="AG223" s="1143">
        <f t="shared" si="142"/>
        <v>0</v>
      </c>
      <c r="AH223" s="1159">
        <f t="shared" si="143"/>
        <v>0</v>
      </c>
      <c r="AI223" s="1142" t="e">
        <f>DATE(YEAR(tab!$H$3),MONTH(G223),DAY(G223))&gt;tab!$H$3</f>
        <v>#VALUE!</v>
      </c>
      <c r="AJ223" s="1143" t="e">
        <f t="shared" si="144"/>
        <v>#VALUE!</v>
      </c>
      <c r="AK223" s="1096">
        <f t="shared" si="145"/>
        <v>30</v>
      </c>
      <c r="AL223" s="1096">
        <f t="shared" si="146"/>
        <v>30</v>
      </c>
      <c r="AM223" s="1143">
        <f t="shared" si="147"/>
        <v>0</v>
      </c>
    </row>
    <row r="224" spans="2:40" ht="12.75" customHeight="1" x14ac:dyDescent="0.2">
      <c r="C224" s="90"/>
      <c r="D224" s="97" t="str">
        <f>IF(op!D157=0,"",op!D157)</f>
        <v/>
      </c>
      <c r="E224" s="97" t="str">
        <f>IF(op!E157=0,"",op!E157)</f>
        <v/>
      </c>
      <c r="F224" s="114" t="str">
        <f>IF(op!F157="","",op!F157+1)</f>
        <v/>
      </c>
      <c r="G224" s="377" t="str">
        <f>IF(op!G157="","",op!G157)</f>
        <v/>
      </c>
      <c r="H224" s="114" t="str">
        <f>IF(op!H157=0,"",op!H157)</f>
        <v/>
      </c>
      <c r="I224" s="129" t="str">
        <f>IF(J224="","",(IF(op!I157+1&gt;LOOKUP(H224,schaal2011,regels2011),op!I157,op!I157+1)))</f>
        <v/>
      </c>
      <c r="J224" s="378" t="str">
        <f>IF(op!J157="","",op!J157)</f>
        <v/>
      </c>
      <c r="K224" s="1194"/>
      <c r="L224" s="1065">
        <f t="shared" si="133"/>
        <v>0</v>
      </c>
      <c r="M224" s="1065">
        <f t="shared" si="133"/>
        <v>0</v>
      </c>
      <c r="N224" s="1077" t="str">
        <f t="shared" si="148"/>
        <v/>
      </c>
      <c r="O224" s="1077" t="str">
        <f t="shared" si="149"/>
        <v/>
      </c>
      <c r="P224" s="1172" t="str">
        <f t="shared" si="134"/>
        <v/>
      </c>
      <c r="Q224" s="91"/>
      <c r="R224" s="936" t="str">
        <f t="shared" si="150"/>
        <v/>
      </c>
      <c r="S224" s="936" t="str">
        <f t="shared" si="135"/>
        <v/>
      </c>
      <c r="T224" s="937" t="str">
        <f t="shared" si="136"/>
        <v/>
      </c>
      <c r="U224" s="361"/>
      <c r="V224" s="375"/>
      <c r="W224" s="375"/>
      <c r="X224" s="375"/>
      <c r="Y224" s="1120" t="e">
        <f>VLOOKUP(H224,tab!$A$73:$V$114,I224+2,FALSE)</f>
        <v>#VALUE!</v>
      </c>
      <c r="Z224" s="1211">
        <f>tab!$E$64</f>
        <v>0.62</v>
      </c>
      <c r="AA224" s="1163" t="e">
        <f t="shared" si="137"/>
        <v>#VALUE!</v>
      </c>
      <c r="AB224" s="1163" t="e">
        <f t="shared" si="138"/>
        <v>#VALUE!</v>
      </c>
      <c r="AC224" s="1163" t="e">
        <f t="shared" si="139"/>
        <v>#VALUE!</v>
      </c>
      <c r="AD224" s="1162" t="e">
        <f t="shared" si="140"/>
        <v>#VALUE!</v>
      </c>
      <c r="AE224" s="1162">
        <f t="shared" si="141"/>
        <v>0</v>
      </c>
      <c r="AF224" s="1129">
        <f>IF(H224&gt;8,tab!$D$65,tab!$D$67)</f>
        <v>0.5</v>
      </c>
      <c r="AG224" s="1143">
        <f t="shared" si="142"/>
        <v>0</v>
      </c>
      <c r="AH224" s="1159">
        <f t="shared" si="143"/>
        <v>0</v>
      </c>
      <c r="AI224" s="1142" t="e">
        <f>DATE(YEAR(tab!$H$3),MONTH(G224),DAY(G224))&gt;tab!$H$3</f>
        <v>#VALUE!</v>
      </c>
      <c r="AJ224" s="1143" t="e">
        <f t="shared" si="144"/>
        <v>#VALUE!</v>
      </c>
      <c r="AK224" s="1096">
        <f t="shared" si="145"/>
        <v>30</v>
      </c>
      <c r="AL224" s="1096">
        <f t="shared" si="146"/>
        <v>30</v>
      </c>
      <c r="AM224" s="1143">
        <f t="shared" si="147"/>
        <v>0</v>
      </c>
    </row>
    <row r="225" spans="3:39" ht="12.75" customHeight="1" x14ac:dyDescent="0.2">
      <c r="C225" s="90"/>
      <c r="D225" s="97" t="str">
        <f>IF(op!D158=0,"",op!D158)</f>
        <v/>
      </c>
      <c r="E225" s="97" t="str">
        <f>IF(op!E158=0,"",op!E158)</f>
        <v/>
      </c>
      <c r="F225" s="114" t="str">
        <f>IF(op!F158="","",op!F158+1)</f>
        <v/>
      </c>
      <c r="G225" s="377" t="str">
        <f>IF(op!G158="","",op!G158)</f>
        <v/>
      </c>
      <c r="H225" s="114" t="str">
        <f>IF(op!H158=0,"",op!H158)</f>
        <v/>
      </c>
      <c r="I225" s="129" t="str">
        <f>IF(J225="","",(IF(op!I158+1&gt;LOOKUP(H225,schaal2011,regels2011),op!I158,op!I158+1)))</f>
        <v/>
      </c>
      <c r="J225" s="378" t="str">
        <f>IF(op!J158="","",op!J158)</f>
        <v/>
      </c>
      <c r="K225" s="1194"/>
      <c r="L225" s="1065">
        <f t="shared" si="133"/>
        <v>0</v>
      </c>
      <c r="M225" s="1065">
        <f t="shared" si="133"/>
        <v>0</v>
      </c>
      <c r="N225" s="1077" t="str">
        <f t="shared" si="148"/>
        <v/>
      </c>
      <c r="O225" s="1077" t="str">
        <f t="shared" si="149"/>
        <v/>
      </c>
      <c r="P225" s="1172" t="str">
        <f t="shared" si="134"/>
        <v/>
      </c>
      <c r="Q225" s="91"/>
      <c r="R225" s="936" t="str">
        <f t="shared" si="150"/>
        <v/>
      </c>
      <c r="S225" s="936" t="str">
        <f t="shared" si="135"/>
        <v/>
      </c>
      <c r="T225" s="937" t="str">
        <f t="shared" si="136"/>
        <v/>
      </c>
      <c r="U225" s="361"/>
      <c r="V225" s="375"/>
      <c r="W225" s="375"/>
      <c r="X225" s="375"/>
      <c r="Y225" s="1120" t="e">
        <f>VLOOKUP(H225,tab!$A$73:$V$114,I225+2,FALSE)</f>
        <v>#VALUE!</v>
      </c>
      <c r="Z225" s="1211">
        <f>tab!$E$64</f>
        <v>0.62</v>
      </c>
      <c r="AA225" s="1163" t="e">
        <f t="shared" si="137"/>
        <v>#VALUE!</v>
      </c>
      <c r="AB225" s="1163" t="e">
        <f t="shared" si="138"/>
        <v>#VALUE!</v>
      </c>
      <c r="AC225" s="1163" t="e">
        <f t="shared" si="139"/>
        <v>#VALUE!</v>
      </c>
      <c r="AD225" s="1162" t="e">
        <f t="shared" si="140"/>
        <v>#VALUE!</v>
      </c>
      <c r="AE225" s="1162">
        <f t="shared" si="141"/>
        <v>0</v>
      </c>
      <c r="AF225" s="1129">
        <f>IF(H225&gt;8,tab!$D$65,tab!$D$67)</f>
        <v>0.5</v>
      </c>
      <c r="AG225" s="1143">
        <f t="shared" si="142"/>
        <v>0</v>
      </c>
      <c r="AH225" s="1159">
        <f t="shared" si="143"/>
        <v>0</v>
      </c>
      <c r="AI225" s="1142" t="e">
        <f>DATE(YEAR(tab!$H$3),MONTH(G225),DAY(G225))&gt;tab!$H$3</f>
        <v>#VALUE!</v>
      </c>
      <c r="AJ225" s="1143" t="e">
        <f t="shared" si="144"/>
        <v>#VALUE!</v>
      </c>
      <c r="AK225" s="1096">
        <f t="shared" si="145"/>
        <v>30</v>
      </c>
      <c r="AL225" s="1096">
        <f t="shared" si="146"/>
        <v>30</v>
      </c>
      <c r="AM225" s="1143">
        <f t="shared" si="147"/>
        <v>0</v>
      </c>
    </row>
    <row r="226" spans="3:39" ht="12.75" customHeight="1" x14ac:dyDescent="0.2">
      <c r="C226" s="90"/>
      <c r="D226" s="97" t="str">
        <f>IF(op!D159=0,"",op!D159)</f>
        <v/>
      </c>
      <c r="E226" s="97" t="str">
        <f>IF(op!E159=0,"",op!E159)</f>
        <v/>
      </c>
      <c r="F226" s="114" t="str">
        <f>IF(op!F159="","",op!F159+1)</f>
        <v/>
      </c>
      <c r="G226" s="377" t="str">
        <f>IF(op!G159="","",op!G159)</f>
        <v/>
      </c>
      <c r="H226" s="114" t="str">
        <f>IF(op!H159=0,"",op!H159)</f>
        <v/>
      </c>
      <c r="I226" s="129" t="str">
        <f>IF(J226="","",(IF(op!I159+1&gt;LOOKUP(H226,schaal2011,regels2011),op!I159,op!I159+1)))</f>
        <v/>
      </c>
      <c r="J226" s="378" t="str">
        <f>IF(op!J159="","",op!J159)</f>
        <v/>
      </c>
      <c r="K226" s="1194"/>
      <c r="L226" s="1065">
        <f t="shared" si="133"/>
        <v>0</v>
      </c>
      <c r="M226" s="1065">
        <f t="shared" si="133"/>
        <v>0</v>
      </c>
      <c r="N226" s="1077" t="str">
        <f t="shared" si="148"/>
        <v/>
      </c>
      <c r="O226" s="1077" t="str">
        <f t="shared" si="149"/>
        <v/>
      </c>
      <c r="P226" s="1172" t="str">
        <f t="shared" si="134"/>
        <v/>
      </c>
      <c r="Q226" s="91"/>
      <c r="R226" s="936" t="str">
        <f t="shared" si="150"/>
        <v/>
      </c>
      <c r="S226" s="936" t="str">
        <f t="shared" si="135"/>
        <v/>
      </c>
      <c r="T226" s="937" t="str">
        <f t="shared" si="136"/>
        <v/>
      </c>
      <c r="U226" s="361"/>
      <c r="V226" s="375"/>
      <c r="W226" s="375"/>
      <c r="X226" s="375"/>
      <c r="Y226" s="1120" t="e">
        <f>VLOOKUP(H226,tab!$A$73:$V$114,I226+2,FALSE)</f>
        <v>#VALUE!</v>
      </c>
      <c r="Z226" s="1211">
        <f>tab!$E$64</f>
        <v>0.62</v>
      </c>
      <c r="AA226" s="1163" t="e">
        <f t="shared" si="137"/>
        <v>#VALUE!</v>
      </c>
      <c r="AB226" s="1163" t="e">
        <f t="shared" si="138"/>
        <v>#VALUE!</v>
      </c>
      <c r="AC226" s="1163" t="e">
        <f t="shared" si="139"/>
        <v>#VALUE!</v>
      </c>
      <c r="AD226" s="1162" t="e">
        <f t="shared" si="140"/>
        <v>#VALUE!</v>
      </c>
      <c r="AE226" s="1162">
        <f t="shared" si="141"/>
        <v>0</v>
      </c>
      <c r="AF226" s="1129">
        <f>IF(H226&gt;8,tab!$D$65,tab!$D$67)</f>
        <v>0.5</v>
      </c>
      <c r="AG226" s="1143">
        <f t="shared" si="142"/>
        <v>0</v>
      </c>
      <c r="AH226" s="1159">
        <f t="shared" si="143"/>
        <v>0</v>
      </c>
      <c r="AI226" s="1142" t="e">
        <f>DATE(YEAR(tab!$H$3),MONTH(G226),DAY(G226))&gt;tab!$H$3</f>
        <v>#VALUE!</v>
      </c>
      <c r="AJ226" s="1143" t="e">
        <f t="shared" si="144"/>
        <v>#VALUE!</v>
      </c>
      <c r="AK226" s="1096">
        <f t="shared" si="145"/>
        <v>30</v>
      </c>
      <c r="AL226" s="1096">
        <f t="shared" si="146"/>
        <v>30</v>
      </c>
      <c r="AM226" s="1143">
        <f t="shared" si="147"/>
        <v>0</v>
      </c>
    </row>
    <row r="227" spans="3:39" ht="12.75" customHeight="1" x14ac:dyDescent="0.2">
      <c r="C227" s="90"/>
      <c r="D227" s="97" t="str">
        <f>IF(op!D160=0,"",op!D160)</f>
        <v/>
      </c>
      <c r="E227" s="97" t="str">
        <f>IF(op!E160=0,"",op!E160)</f>
        <v/>
      </c>
      <c r="F227" s="114" t="str">
        <f>IF(op!F160="","",op!F160+1)</f>
        <v/>
      </c>
      <c r="G227" s="377" t="str">
        <f>IF(op!G160="","",op!G160)</f>
        <v/>
      </c>
      <c r="H227" s="114" t="str">
        <f>IF(op!H160=0,"",op!H160)</f>
        <v/>
      </c>
      <c r="I227" s="129" t="str">
        <f>IF(J227="","",(IF(op!I160+1&gt;LOOKUP(H227,schaal2011,regels2011),op!I160,op!I160+1)))</f>
        <v/>
      </c>
      <c r="J227" s="378" t="str">
        <f>IF(op!J160="","",op!J160)</f>
        <v/>
      </c>
      <c r="K227" s="1194"/>
      <c r="L227" s="1065">
        <f t="shared" si="133"/>
        <v>0</v>
      </c>
      <c r="M227" s="1065">
        <f t="shared" si="133"/>
        <v>0</v>
      </c>
      <c r="N227" s="1077" t="str">
        <f t="shared" si="148"/>
        <v/>
      </c>
      <c r="O227" s="1077" t="str">
        <f t="shared" si="149"/>
        <v/>
      </c>
      <c r="P227" s="1172" t="str">
        <f t="shared" si="134"/>
        <v/>
      </c>
      <c r="Q227" s="91"/>
      <c r="R227" s="936" t="str">
        <f t="shared" si="150"/>
        <v/>
      </c>
      <c r="S227" s="936" t="str">
        <f t="shared" si="135"/>
        <v/>
      </c>
      <c r="T227" s="937" t="str">
        <f t="shared" si="136"/>
        <v/>
      </c>
      <c r="U227" s="361"/>
      <c r="V227" s="375"/>
      <c r="W227" s="375"/>
      <c r="X227" s="375"/>
      <c r="Y227" s="1120" t="e">
        <f>VLOOKUP(H227,tab!$A$73:$V$114,I227+2,FALSE)</f>
        <v>#VALUE!</v>
      </c>
      <c r="Z227" s="1211">
        <f>tab!$E$64</f>
        <v>0.62</v>
      </c>
      <c r="AA227" s="1163" t="e">
        <f t="shared" si="137"/>
        <v>#VALUE!</v>
      </c>
      <c r="AB227" s="1163" t="e">
        <f t="shared" si="138"/>
        <v>#VALUE!</v>
      </c>
      <c r="AC227" s="1163" t="e">
        <f t="shared" si="139"/>
        <v>#VALUE!</v>
      </c>
      <c r="AD227" s="1162" t="e">
        <f t="shared" si="140"/>
        <v>#VALUE!</v>
      </c>
      <c r="AE227" s="1162">
        <f t="shared" si="141"/>
        <v>0</v>
      </c>
      <c r="AF227" s="1129">
        <f>IF(H227&gt;8,tab!$D$65,tab!$D$67)</f>
        <v>0.5</v>
      </c>
      <c r="AG227" s="1143">
        <f t="shared" si="142"/>
        <v>0</v>
      </c>
      <c r="AH227" s="1159">
        <f t="shared" si="143"/>
        <v>0</v>
      </c>
      <c r="AI227" s="1142" t="e">
        <f>DATE(YEAR(tab!$H$3),MONTH(G227),DAY(G227))&gt;tab!$H$3</f>
        <v>#VALUE!</v>
      </c>
      <c r="AJ227" s="1143" t="e">
        <f t="shared" si="144"/>
        <v>#VALUE!</v>
      </c>
      <c r="AK227" s="1096">
        <f t="shared" si="145"/>
        <v>30</v>
      </c>
      <c r="AL227" s="1096">
        <f t="shared" si="146"/>
        <v>30</v>
      </c>
      <c r="AM227" s="1143">
        <f t="shared" si="147"/>
        <v>0</v>
      </c>
    </row>
    <row r="228" spans="3:39" ht="12.75" customHeight="1" x14ac:dyDescent="0.2">
      <c r="C228" s="90"/>
      <c r="D228" s="97" t="str">
        <f>IF(op!D161=0,"",op!D161)</f>
        <v/>
      </c>
      <c r="E228" s="97" t="str">
        <f>IF(op!E161=0,"",op!E161)</f>
        <v/>
      </c>
      <c r="F228" s="114" t="str">
        <f>IF(op!F161="","",op!F161+1)</f>
        <v/>
      </c>
      <c r="G228" s="377" t="str">
        <f>IF(op!G161="","",op!G161)</f>
        <v/>
      </c>
      <c r="H228" s="114" t="str">
        <f>IF(op!H161=0,"",op!H161)</f>
        <v/>
      </c>
      <c r="I228" s="129" t="str">
        <f>IF(J228="","",(IF(op!I161+1&gt;LOOKUP(H228,schaal2011,regels2011),op!I161,op!I161+1)))</f>
        <v/>
      </c>
      <c r="J228" s="378" t="str">
        <f>IF(op!J161="","",op!J161)</f>
        <v/>
      </c>
      <c r="K228" s="1194"/>
      <c r="L228" s="1065">
        <f t="shared" si="133"/>
        <v>0</v>
      </c>
      <c r="M228" s="1065">
        <f t="shared" si="133"/>
        <v>0</v>
      </c>
      <c r="N228" s="1077" t="str">
        <f t="shared" si="148"/>
        <v/>
      </c>
      <c r="O228" s="1077" t="str">
        <f t="shared" si="149"/>
        <v/>
      </c>
      <c r="P228" s="1172" t="str">
        <f t="shared" si="134"/>
        <v/>
      </c>
      <c r="Q228" s="91"/>
      <c r="R228" s="936" t="str">
        <f t="shared" si="150"/>
        <v/>
      </c>
      <c r="S228" s="936" t="str">
        <f t="shared" si="135"/>
        <v/>
      </c>
      <c r="T228" s="937" t="str">
        <f t="shared" si="136"/>
        <v/>
      </c>
      <c r="U228" s="361"/>
      <c r="V228" s="375"/>
      <c r="W228" s="375"/>
      <c r="X228" s="375"/>
      <c r="Y228" s="1120" t="e">
        <f>VLOOKUP(H228,tab!$A$73:$V$114,I228+2,FALSE)</f>
        <v>#VALUE!</v>
      </c>
      <c r="Z228" s="1211">
        <f>tab!$E$64</f>
        <v>0.62</v>
      </c>
      <c r="AA228" s="1163" t="e">
        <f t="shared" si="137"/>
        <v>#VALUE!</v>
      </c>
      <c r="AB228" s="1163" t="e">
        <f t="shared" si="138"/>
        <v>#VALUE!</v>
      </c>
      <c r="AC228" s="1163" t="e">
        <f t="shared" si="139"/>
        <v>#VALUE!</v>
      </c>
      <c r="AD228" s="1162" t="e">
        <f t="shared" si="140"/>
        <v>#VALUE!</v>
      </c>
      <c r="AE228" s="1162">
        <f t="shared" si="141"/>
        <v>0</v>
      </c>
      <c r="AF228" s="1129">
        <f>IF(H228&gt;8,tab!$D$65,tab!$D$67)</f>
        <v>0.5</v>
      </c>
      <c r="AG228" s="1143">
        <f t="shared" si="142"/>
        <v>0</v>
      </c>
      <c r="AH228" s="1159">
        <f t="shared" si="143"/>
        <v>0</v>
      </c>
      <c r="AI228" s="1142" t="e">
        <f>DATE(YEAR(tab!$H$3),MONTH(G228),DAY(G228))&gt;tab!$H$3</f>
        <v>#VALUE!</v>
      </c>
      <c r="AJ228" s="1143" t="e">
        <f t="shared" si="144"/>
        <v>#VALUE!</v>
      </c>
      <c r="AK228" s="1096">
        <f t="shared" si="145"/>
        <v>30</v>
      </c>
      <c r="AL228" s="1096">
        <f t="shared" si="146"/>
        <v>30</v>
      </c>
      <c r="AM228" s="1143">
        <f t="shared" si="147"/>
        <v>0</v>
      </c>
    </row>
    <row r="229" spans="3:39" ht="12.75" customHeight="1" x14ac:dyDescent="0.2">
      <c r="C229" s="90"/>
      <c r="D229" s="97" t="str">
        <f>IF(op!D162=0,"",op!D162)</f>
        <v/>
      </c>
      <c r="E229" s="97" t="str">
        <f>IF(op!E162=0,"",op!E162)</f>
        <v/>
      </c>
      <c r="F229" s="114" t="str">
        <f>IF(op!F162="","",op!F162+1)</f>
        <v/>
      </c>
      <c r="G229" s="377" t="str">
        <f>IF(op!G162="","",op!G162)</f>
        <v/>
      </c>
      <c r="H229" s="114" t="str">
        <f>IF(op!H162=0,"",op!H162)</f>
        <v/>
      </c>
      <c r="I229" s="129" t="str">
        <f>IF(J229="","",(IF(op!I162+1&gt;LOOKUP(H229,schaal2011,regels2011),op!I162,op!I162+1)))</f>
        <v/>
      </c>
      <c r="J229" s="378" t="str">
        <f>IF(op!J162="","",op!J162)</f>
        <v/>
      </c>
      <c r="K229" s="1194"/>
      <c r="L229" s="1065">
        <f t="shared" si="133"/>
        <v>0</v>
      </c>
      <c r="M229" s="1065">
        <f t="shared" si="133"/>
        <v>0</v>
      </c>
      <c r="N229" s="1077" t="str">
        <f t="shared" si="148"/>
        <v/>
      </c>
      <c r="O229" s="1077" t="str">
        <f t="shared" si="149"/>
        <v/>
      </c>
      <c r="P229" s="1172" t="str">
        <f t="shared" si="134"/>
        <v/>
      </c>
      <c r="Q229" s="91"/>
      <c r="R229" s="936" t="str">
        <f t="shared" si="150"/>
        <v/>
      </c>
      <c r="S229" s="936" t="str">
        <f t="shared" si="135"/>
        <v/>
      </c>
      <c r="T229" s="937" t="str">
        <f t="shared" si="136"/>
        <v/>
      </c>
      <c r="U229" s="361"/>
      <c r="V229" s="375"/>
      <c r="W229" s="375"/>
      <c r="X229" s="375"/>
      <c r="Y229" s="1120" t="e">
        <f>VLOOKUP(H229,tab!$A$73:$V$114,I229+2,FALSE)</f>
        <v>#VALUE!</v>
      </c>
      <c r="Z229" s="1211">
        <f>tab!$E$64</f>
        <v>0.62</v>
      </c>
      <c r="AA229" s="1163" t="e">
        <f t="shared" si="137"/>
        <v>#VALUE!</v>
      </c>
      <c r="AB229" s="1163" t="e">
        <f t="shared" si="138"/>
        <v>#VALUE!</v>
      </c>
      <c r="AC229" s="1163" t="e">
        <f t="shared" si="139"/>
        <v>#VALUE!</v>
      </c>
      <c r="AD229" s="1162" t="e">
        <f t="shared" si="140"/>
        <v>#VALUE!</v>
      </c>
      <c r="AE229" s="1162">
        <f t="shared" si="141"/>
        <v>0</v>
      </c>
      <c r="AF229" s="1129">
        <f>IF(H229&gt;8,tab!$D$65,tab!$D$67)</f>
        <v>0.5</v>
      </c>
      <c r="AG229" s="1143">
        <f t="shared" si="142"/>
        <v>0</v>
      </c>
      <c r="AH229" s="1159">
        <f t="shared" si="143"/>
        <v>0</v>
      </c>
      <c r="AI229" s="1142" t="e">
        <f>DATE(YEAR(tab!$H$3),MONTH(G229),DAY(G229))&gt;tab!$H$3</f>
        <v>#VALUE!</v>
      </c>
      <c r="AJ229" s="1143" t="e">
        <f t="shared" si="144"/>
        <v>#VALUE!</v>
      </c>
      <c r="AK229" s="1096">
        <f t="shared" si="145"/>
        <v>30</v>
      </c>
      <c r="AL229" s="1096">
        <f t="shared" si="146"/>
        <v>30</v>
      </c>
      <c r="AM229" s="1143">
        <f t="shared" si="147"/>
        <v>0</v>
      </c>
    </row>
    <row r="230" spans="3:39" ht="12.75" customHeight="1" x14ac:dyDescent="0.2">
      <c r="C230" s="90"/>
      <c r="D230" s="97" t="str">
        <f>IF(op!D163=0,"",op!D163)</f>
        <v/>
      </c>
      <c r="E230" s="97" t="str">
        <f>IF(op!E163=0,"",op!E163)</f>
        <v/>
      </c>
      <c r="F230" s="114" t="str">
        <f>IF(op!F163="","",op!F163+1)</f>
        <v/>
      </c>
      <c r="G230" s="377" t="str">
        <f>IF(op!G163="","",op!G163)</f>
        <v/>
      </c>
      <c r="H230" s="114" t="str">
        <f>IF(op!H163=0,"",op!H163)</f>
        <v/>
      </c>
      <c r="I230" s="129" t="str">
        <f>IF(J230="","",(IF(op!I163+1&gt;LOOKUP(H230,schaal2011,regels2011),op!I163,op!I163+1)))</f>
        <v/>
      </c>
      <c r="J230" s="378" t="str">
        <f>IF(op!J163="","",op!J163)</f>
        <v/>
      </c>
      <c r="K230" s="1194"/>
      <c r="L230" s="1065">
        <f t="shared" si="133"/>
        <v>0</v>
      </c>
      <c r="M230" s="1065">
        <f t="shared" si="133"/>
        <v>0</v>
      </c>
      <c r="N230" s="1077" t="str">
        <f t="shared" si="148"/>
        <v/>
      </c>
      <c r="O230" s="1077" t="str">
        <f t="shared" si="149"/>
        <v/>
      </c>
      <c r="P230" s="1172" t="str">
        <f t="shared" si="134"/>
        <v/>
      </c>
      <c r="Q230" s="91"/>
      <c r="R230" s="936" t="str">
        <f t="shared" si="150"/>
        <v/>
      </c>
      <c r="S230" s="936" t="str">
        <f t="shared" si="135"/>
        <v/>
      </c>
      <c r="T230" s="937" t="str">
        <f t="shared" si="136"/>
        <v/>
      </c>
      <c r="U230" s="361"/>
      <c r="V230" s="375"/>
      <c r="W230" s="375"/>
      <c r="X230" s="375"/>
      <c r="Y230" s="1120" t="e">
        <f>VLOOKUP(H230,tab!$A$73:$V$114,I230+2,FALSE)</f>
        <v>#VALUE!</v>
      </c>
      <c r="Z230" s="1211">
        <f>tab!$E$64</f>
        <v>0.62</v>
      </c>
      <c r="AA230" s="1163" t="e">
        <f t="shared" si="137"/>
        <v>#VALUE!</v>
      </c>
      <c r="AB230" s="1163" t="e">
        <f t="shared" si="138"/>
        <v>#VALUE!</v>
      </c>
      <c r="AC230" s="1163" t="e">
        <f t="shared" si="139"/>
        <v>#VALUE!</v>
      </c>
      <c r="AD230" s="1162" t="e">
        <f t="shared" si="140"/>
        <v>#VALUE!</v>
      </c>
      <c r="AE230" s="1162">
        <f t="shared" si="141"/>
        <v>0</v>
      </c>
      <c r="AF230" s="1129">
        <f>IF(H230&gt;8,tab!$D$65,tab!$D$67)</f>
        <v>0.5</v>
      </c>
      <c r="AG230" s="1143">
        <f t="shared" si="142"/>
        <v>0</v>
      </c>
      <c r="AH230" s="1159">
        <f t="shared" si="143"/>
        <v>0</v>
      </c>
      <c r="AI230" s="1142" t="e">
        <f>DATE(YEAR(tab!$H$3),MONTH(G230),DAY(G230))&gt;tab!$H$3</f>
        <v>#VALUE!</v>
      </c>
      <c r="AJ230" s="1143" t="e">
        <f t="shared" si="144"/>
        <v>#VALUE!</v>
      </c>
      <c r="AK230" s="1096">
        <f t="shared" si="145"/>
        <v>30</v>
      </c>
      <c r="AL230" s="1096">
        <f t="shared" si="146"/>
        <v>30</v>
      </c>
      <c r="AM230" s="1143">
        <f t="shared" si="147"/>
        <v>0</v>
      </c>
    </row>
    <row r="231" spans="3:39" ht="12.75" customHeight="1" x14ac:dyDescent="0.2">
      <c r="C231" s="90"/>
      <c r="D231" s="97" t="str">
        <f>IF(op!D164=0,"",op!D164)</f>
        <v/>
      </c>
      <c r="E231" s="97" t="str">
        <f>IF(op!E164=0,"",op!E164)</f>
        <v/>
      </c>
      <c r="F231" s="114" t="str">
        <f>IF(op!F164="","",op!F164+1)</f>
        <v/>
      </c>
      <c r="G231" s="377" t="str">
        <f>IF(op!G164="","",op!G164)</f>
        <v/>
      </c>
      <c r="H231" s="114" t="str">
        <f>IF(op!H164=0,"",op!H164)</f>
        <v/>
      </c>
      <c r="I231" s="129" t="str">
        <f>IF(J231="","",(IF(op!I164+1&gt;LOOKUP(H231,schaal2011,regels2011),op!I164,op!I164+1)))</f>
        <v/>
      </c>
      <c r="J231" s="378" t="str">
        <f>IF(op!J164="","",op!J164)</f>
        <v/>
      </c>
      <c r="K231" s="1194"/>
      <c r="L231" s="1065">
        <f t="shared" si="133"/>
        <v>0</v>
      </c>
      <c r="M231" s="1065">
        <f t="shared" si="133"/>
        <v>0</v>
      </c>
      <c r="N231" s="1077" t="str">
        <f t="shared" si="148"/>
        <v/>
      </c>
      <c r="O231" s="1077" t="str">
        <f t="shared" si="149"/>
        <v/>
      </c>
      <c r="P231" s="1172" t="str">
        <f t="shared" si="134"/>
        <v/>
      </c>
      <c r="Q231" s="91"/>
      <c r="R231" s="936" t="str">
        <f t="shared" si="150"/>
        <v/>
      </c>
      <c r="S231" s="936" t="str">
        <f t="shared" si="135"/>
        <v/>
      </c>
      <c r="T231" s="937" t="str">
        <f t="shared" si="136"/>
        <v/>
      </c>
      <c r="U231" s="361"/>
      <c r="V231" s="375"/>
      <c r="W231" s="375"/>
      <c r="X231" s="375"/>
      <c r="Y231" s="1120" t="e">
        <f>VLOOKUP(H231,tab!$A$73:$V$114,I231+2,FALSE)</f>
        <v>#VALUE!</v>
      </c>
      <c r="Z231" s="1211">
        <f>tab!$E$64</f>
        <v>0.62</v>
      </c>
      <c r="AA231" s="1163" t="e">
        <f t="shared" si="137"/>
        <v>#VALUE!</v>
      </c>
      <c r="AB231" s="1163" t="e">
        <f t="shared" si="138"/>
        <v>#VALUE!</v>
      </c>
      <c r="AC231" s="1163" t="e">
        <f t="shared" si="139"/>
        <v>#VALUE!</v>
      </c>
      <c r="AD231" s="1162" t="e">
        <f t="shared" si="140"/>
        <v>#VALUE!</v>
      </c>
      <c r="AE231" s="1162">
        <f t="shared" si="141"/>
        <v>0</v>
      </c>
      <c r="AF231" s="1129">
        <f>IF(H231&gt;8,tab!$D$65,tab!$D$67)</f>
        <v>0.5</v>
      </c>
      <c r="AG231" s="1143">
        <f t="shared" si="142"/>
        <v>0</v>
      </c>
      <c r="AH231" s="1159">
        <f t="shared" si="143"/>
        <v>0</v>
      </c>
      <c r="AI231" s="1142" t="e">
        <f>DATE(YEAR(tab!$H$3),MONTH(G231),DAY(G231))&gt;tab!$H$3</f>
        <v>#VALUE!</v>
      </c>
      <c r="AJ231" s="1143" t="e">
        <f t="shared" si="144"/>
        <v>#VALUE!</v>
      </c>
      <c r="AK231" s="1096">
        <f t="shared" si="145"/>
        <v>30</v>
      </c>
      <c r="AL231" s="1096">
        <f t="shared" si="146"/>
        <v>30</v>
      </c>
      <c r="AM231" s="1143">
        <f t="shared" si="147"/>
        <v>0</v>
      </c>
    </row>
    <row r="232" spans="3:39" ht="12.75" customHeight="1" x14ac:dyDescent="0.2">
      <c r="C232" s="90"/>
      <c r="D232" s="97" t="str">
        <f>IF(op!D165=0,"",op!D165)</f>
        <v/>
      </c>
      <c r="E232" s="97" t="str">
        <f>IF(op!E165=0,"",op!E165)</f>
        <v/>
      </c>
      <c r="F232" s="114" t="str">
        <f>IF(op!F165="","",op!F165+1)</f>
        <v/>
      </c>
      <c r="G232" s="377" t="str">
        <f>IF(op!G165="","",op!G165)</f>
        <v/>
      </c>
      <c r="H232" s="114" t="str">
        <f>IF(op!H165=0,"",op!H165)</f>
        <v/>
      </c>
      <c r="I232" s="129" t="str">
        <f>IF(J232="","",(IF(op!I165+1&gt;LOOKUP(H232,schaal2011,regels2011),op!I165,op!I165+1)))</f>
        <v/>
      </c>
      <c r="J232" s="378" t="str">
        <f>IF(op!J165="","",op!J165)</f>
        <v/>
      </c>
      <c r="K232" s="1194"/>
      <c r="L232" s="1065">
        <f t="shared" si="133"/>
        <v>0</v>
      </c>
      <c r="M232" s="1065">
        <f t="shared" si="133"/>
        <v>0</v>
      </c>
      <c r="N232" s="1077" t="str">
        <f t="shared" si="148"/>
        <v/>
      </c>
      <c r="O232" s="1077" t="str">
        <f t="shared" si="149"/>
        <v/>
      </c>
      <c r="P232" s="1172" t="str">
        <f t="shared" si="134"/>
        <v/>
      </c>
      <c r="Q232" s="91"/>
      <c r="R232" s="936" t="str">
        <f t="shared" si="150"/>
        <v/>
      </c>
      <c r="S232" s="936" t="str">
        <f t="shared" si="135"/>
        <v/>
      </c>
      <c r="T232" s="937" t="str">
        <f t="shared" si="136"/>
        <v/>
      </c>
      <c r="U232" s="361"/>
      <c r="V232" s="375"/>
      <c r="W232" s="375"/>
      <c r="X232" s="375"/>
      <c r="Y232" s="1120" t="e">
        <f>VLOOKUP(H232,tab!$A$73:$V$114,I232+2,FALSE)</f>
        <v>#VALUE!</v>
      </c>
      <c r="Z232" s="1211">
        <f>tab!$E$64</f>
        <v>0.62</v>
      </c>
      <c r="AA232" s="1163" t="e">
        <f t="shared" si="137"/>
        <v>#VALUE!</v>
      </c>
      <c r="AB232" s="1163" t="e">
        <f t="shared" si="138"/>
        <v>#VALUE!</v>
      </c>
      <c r="AC232" s="1163" t="e">
        <f t="shared" si="139"/>
        <v>#VALUE!</v>
      </c>
      <c r="AD232" s="1162" t="e">
        <f t="shared" si="140"/>
        <v>#VALUE!</v>
      </c>
      <c r="AE232" s="1162">
        <f t="shared" si="141"/>
        <v>0</v>
      </c>
      <c r="AF232" s="1129">
        <f>IF(H232&gt;8,tab!$D$65,tab!$D$67)</f>
        <v>0.5</v>
      </c>
      <c r="AG232" s="1143">
        <f t="shared" si="142"/>
        <v>0</v>
      </c>
      <c r="AH232" s="1159">
        <f t="shared" si="143"/>
        <v>0</v>
      </c>
      <c r="AI232" s="1142" t="e">
        <f>DATE(YEAR(tab!$H$3),MONTH(G232),DAY(G232))&gt;tab!$H$3</f>
        <v>#VALUE!</v>
      </c>
      <c r="AJ232" s="1143" t="e">
        <f t="shared" si="144"/>
        <v>#VALUE!</v>
      </c>
      <c r="AK232" s="1096">
        <f t="shared" si="145"/>
        <v>30</v>
      </c>
      <c r="AL232" s="1096">
        <f t="shared" si="146"/>
        <v>30</v>
      </c>
      <c r="AM232" s="1143">
        <f t="shared" si="147"/>
        <v>0</v>
      </c>
    </row>
    <row r="233" spans="3:39" ht="12.75" customHeight="1" x14ac:dyDescent="0.2">
      <c r="C233" s="90"/>
      <c r="D233" s="97" t="str">
        <f>IF(op!D166=0,"",op!D166)</f>
        <v/>
      </c>
      <c r="E233" s="97" t="str">
        <f>IF(op!E166=0,"",op!E166)</f>
        <v/>
      </c>
      <c r="F233" s="114" t="str">
        <f>IF(op!F166="","",op!F166+1)</f>
        <v/>
      </c>
      <c r="G233" s="377" t="str">
        <f>IF(op!G166="","",op!G166)</f>
        <v/>
      </c>
      <c r="H233" s="114" t="str">
        <f>IF(op!H166=0,"",op!H166)</f>
        <v/>
      </c>
      <c r="I233" s="129" t="str">
        <f>IF(J233="","",(IF(op!I166+1&gt;LOOKUP(H233,schaal2011,regels2011),op!I166,op!I166+1)))</f>
        <v/>
      </c>
      <c r="J233" s="378" t="str">
        <f>IF(op!J166="","",op!J166)</f>
        <v/>
      </c>
      <c r="K233" s="1194"/>
      <c r="L233" s="1065">
        <f t="shared" si="133"/>
        <v>0</v>
      </c>
      <c r="M233" s="1065">
        <f t="shared" si="133"/>
        <v>0</v>
      </c>
      <c r="N233" s="1077" t="str">
        <f t="shared" si="148"/>
        <v/>
      </c>
      <c r="O233" s="1077" t="str">
        <f t="shared" si="149"/>
        <v/>
      </c>
      <c r="P233" s="1172" t="str">
        <f t="shared" si="134"/>
        <v/>
      </c>
      <c r="Q233" s="91"/>
      <c r="R233" s="936" t="str">
        <f t="shared" si="150"/>
        <v/>
      </c>
      <c r="S233" s="936" t="str">
        <f t="shared" si="135"/>
        <v/>
      </c>
      <c r="T233" s="937" t="str">
        <f t="shared" si="136"/>
        <v/>
      </c>
      <c r="U233" s="361"/>
      <c r="V233" s="375"/>
      <c r="W233" s="375"/>
      <c r="X233" s="375"/>
      <c r="Y233" s="1120" t="e">
        <f>VLOOKUP(H233,tab!$A$73:$V$114,I233+2,FALSE)</f>
        <v>#VALUE!</v>
      </c>
      <c r="Z233" s="1211">
        <f>tab!$E$64</f>
        <v>0.62</v>
      </c>
      <c r="AA233" s="1163" t="e">
        <f t="shared" si="137"/>
        <v>#VALUE!</v>
      </c>
      <c r="AB233" s="1163" t="e">
        <f t="shared" si="138"/>
        <v>#VALUE!</v>
      </c>
      <c r="AC233" s="1163" t="e">
        <f t="shared" si="139"/>
        <v>#VALUE!</v>
      </c>
      <c r="AD233" s="1162" t="e">
        <f t="shared" si="140"/>
        <v>#VALUE!</v>
      </c>
      <c r="AE233" s="1162">
        <f t="shared" si="141"/>
        <v>0</v>
      </c>
      <c r="AF233" s="1129">
        <f>IF(H233&gt;8,tab!$D$65,tab!$D$67)</f>
        <v>0.5</v>
      </c>
      <c r="AG233" s="1143">
        <f t="shared" si="142"/>
        <v>0</v>
      </c>
      <c r="AH233" s="1159">
        <f t="shared" si="143"/>
        <v>0</v>
      </c>
      <c r="AI233" s="1142" t="e">
        <f>DATE(YEAR(tab!$H$3),MONTH(G233),DAY(G233))&gt;tab!$H$3</f>
        <v>#VALUE!</v>
      </c>
      <c r="AJ233" s="1143" t="e">
        <f t="shared" si="144"/>
        <v>#VALUE!</v>
      </c>
      <c r="AK233" s="1096">
        <f t="shared" si="145"/>
        <v>30</v>
      </c>
      <c r="AL233" s="1096">
        <f t="shared" si="146"/>
        <v>30</v>
      </c>
      <c r="AM233" s="1143">
        <f t="shared" si="147"/>
        <v>0</v>
      </c>
    </row>
    <row r="234" spans="3:39" ht="12.75" customHeight="1" x14ac:dyDescent="0.2">
      <c r="C234" s="90"/>
      <c r="D234" s="97" t="str">
        <f>IF(op!D167=0,"",op!D167)</f>
        <v/>
      </c>
      <c r="E234" s="97" t="str">
        <f>IF(op!E167=0,"",op!E167)</f>
        <v/>
      </c>
      <c r="F234" s="114" t="str">
        <f>IF(op!F167="","",op!F167+1)</f>
        <v/>
      </c>
      <c r="G234" s="377" t="str">
        <f>IF(op!G167="","",op!G167)</f>
        <v/>
      </c>
      <c r="H234" s="114" t="str">
        <f>IF(op!H167=0,"",op!H167)</f>
        <v/>
      </c>
      <c r="I234" s="129" t="str">
        <f>IF(J234="","",(IF(op!I167+1&gt;LOOKUP(H234,schaal2011,regels2011),op!I167,op!I167+1)))</f>
        <v/>
      </c>
      <c r="J234" s="378" t="str">
        <f>IF(op!J167="","",op!J167)</f>
        <v/>
      </c>
      <c r="K234" s="1194"/>
      <c r="L234" s="1065">
        <f t="shared" si="133"/>
        <v>0</v>
      </c>
      <c r="M234" s="1065">
        <f t="shared" si="133"/>
        <v>0</v>
      </c>
      <c r="N234" s="1077" t="str">
        <f t="shared" si="148"/>
        <v/>
      </c>
      <c r="O234" s="1077" t="str">
        <f t="shared" si="149"/>
        <v/>
      </c>
      <c r="P234" s="1172" t="str">
        <f t="shared" si="134"/>
        <v/>
      </c>
      <c r="Q234" s="91"/>
      <c r="R234" s="936" t="str">
        <f t="shared" si="150"/>
        <v/>
      </c>
      <c r="S234" s="936" t="str">
        <f t="shared" si="135"/>
        <v/>
      </c>
      <c r="T234" s="937" t="str">
        <f t="shared" si="136"/>
        <v/>
      </c>
      <c r="U234" s="361"/>
      <c r="V234" s="375"/>
      <c r="W234" s="375"/>
      <c r="X234" s="375"/>
      <c r="Y234" s="1120" t="e">
        <f>VLOOKUP(H234,tab!$A$73:$V$114,I234+2,FALSE)</f>
        <v>#VALUE!</v>
      </c>
      <c r="Z234" s="1211">
        <f>tab!$E$64</f>
        <v>0.62</v>
      </c>
      <c r="AA234" s="1163" t="e">
        <f t="shared" si="137"/>
        <v>#VALUE!</v>
      </c>
      <c r="AB234" s="1163" t="e">
        <f t="shared" si="138"/>
        <v>#VALUE!</v>
      </c>
      <c r="AC234" s="1163" t="e">
        <f t="shared" si="139"/>
        <v>#VALUE!</v>
      </c>
      <c r="AD234" s="1162" t="e">
        <f t="shared" si="140"/>
        <v>#VALUE!</v>
      </c>
      <c r="AE234" s="1162">
        <f t="shared" si="141"/>
        <v>0</v>
      </c>
      <c r="AF234" s="1129">
        <f>IF(H234&gt;8,tab!$D$65,tab!$D$67)</f>
        <v>0.5</v>
      </c>
      <c r="AG234" s="1143">
        <f t="shared" si="142"/>
        <v>0</v>
      </c>
      <c r="AH234" s="1159">
        <f t="shared" si="143"/>
        <v>0</v>
      </c>
      <c r="AI234" s="1142" t="e">
        <f>DATE(YEAR(tab!$H$3),MONTH(G234),DAY(G234))&gt;tab!$H$3</f>
        <v>#VALUE!</v>
      </c>
      <c r="AJ234" s="1143" t="e">
        <f t="shared" si="144"/>
        <v>#VALUE!</v>
      </c>
      <c r="AK234" s="1096">
        <f t="shared" si="145"/>
        <v>30</v>
      </c>
      <c r="AL234" s="1096">
        <f t="shared" si="146"/>
        <v>30</v>
      </c>
      <c r="AM234" s="1143">
        <f t="shared" si="147"/>
        <v>0</v>
      </c>
    </row>
    <row r="235" spans="3:39" ht="12.75" customHeight="1" x14ac:dyDescent="0.2">
      <c r="C235" s="90"/>
      <c r="D235" s="97" t="str">
        <f>IF(op!D168=0,"",op!D168)</f>
        <v/>
      </c>
      <c r="E235" s="97" t="str">
        <f>IF(op!E168=0,"",op!E168)</f>
        <v/>
      </c>
      <c r="F235" s="114" t="str">
        <f>IF(op!F168="","",op!F168+1)</f>
        <v/>
      </c>
      <c r="G235" s="377" t="str">
        <f>IF(op!G168="","",op!G168)</f>
        <v/>
      </c>
      <c r="H235" s="114" t="str">
        <f>IF(op!H168=0,"",op!H168)</f>
        <v/>
      </c>
      <c r="I235" s="129" t="str">
        <f>IF(J235="","",(IF(op!I168+1&gt;LOOKUP(H235,schaal2011,regels2011),op!I168,op!I168+1)))</f>
        <v/>
      </c>
      <c r="J235" s="378" t="str">
        <f>IF(op!J168="","",op!J168)</f>
        <v/>
      </c>
      <c r="K235" s="1194"/>
      <c r="L235" s="1065">
        <f t="shared" si="133"/>
        <v>0</v>
      </c>
      <c r="M235" s="1065">
        <f t="shared" si="133"/>
        <v>0</v>
      </c>
      <c r="N235" s="1077" t="str">
        <f t="shared" si="148"/>
        <v/>
      </c>
      <c r="O235" s="1077" t="str">
        <f t="shared" si="149"/>
        <v/>
      </c>
      <c r="P235" s="1172" t="str">
        <f t="shared" si="134"/>
        <v/>
      </c>
      <c r="Q235" s="91"/>
      <c r="R235" s="936" t="str">
        <f t="shared" si="150"/>
        <v/>
      </c>
      <c r="S235" s="936" t="str">
        <f t="shared" si="135"/>
        <v/>
      </c>
      <c r="T235" s="937" t="str">
        <f t="shared" si="136"/>
        <v/>
      </c>
      <c r="U235" s="361"/>
      <c r="V235" s="375"/>
      <c r="W235" s="375"/>
      <c r="X235" s="375"/>
      <c r="Y235" s="1120" t="e">
        <f>VLOOKUP(H235,tab!$A$73:$V$114,I235+2,FALSE)</f>
        <v>#VALUE!</v>
      </c>
      <c r="Z235" s="1211">
        <f>tab!$E$64</f>
        <v>0.62</v>
      </c>
      <c r="AA235" s="1163" t="e">
        <f t="shared" si="137"/>
        <v>#VALUE!</v>
      </c>
      <c r="AB235" s="1163" t="e">
        <f t="shared" si="138"/>
        <v>#VALUE!</v>
      </c>
      <c r="AC235" s="1163" t="e">
        <f t="shared" si="139"/>
        <v>#VALUE!</v>
      </c>
      <c r="AD235" s="1162" t="e">
        <f t="shared" si="140"/>
        <v>#VALUE!</v>
      </c>
      <c r="AE235" s="1162">
        <f t="shared" si="141"/>
        <v>0</v>
      </c>
      <c r="AF235" s="1129">
        <f>IF(H235&gt;8,tab!$D$65,tab!$D$67)</f>
        <v>0.5</v>
      </c>
      <c r="AG235" s="1143">
        <f t="shared" si="142"/>
        <v>0</v>
      </c>
      <c r="AH235" s="1159">
        <f t="shared" si="143"/>
        <v>0</v>
      </c>
      <c r="AI235" s="1142" t="e">
        <f>DATE(YEAR(tab!$H$3),MONTH(G235),DAY(G235))&gt;tab!$H$3</f>
        <v>#VALUE!</v>
      </c>
      <c r="AJ235" s="1143" t="e">
        <f t="shared" si="144"/>
        <v>#VALUE!</v>
      </c>
      <c r="AK235" s="1096">
        <f t="shared" si="145"/>
        <v>30</v>
      </c>
      <c r="AL235" s="1096">
        <f t="shared" si="146"/>
        <v>30</v>
      </c>
      <c r="AM235" s="1143">
        <f t="shared" si="147"/>
        <v>0</v>
      </c>
    </row>
    <row r="236" spans="3:39" ht="12.75" customHeight="1" x14ac:dyDescent="0.2">
      <c r="C236" s="90"/>
      <c r="D236" s="97" t="str">
        <f>IF(op!D169=0,"",op!D169)</f>
        <v/>
      </c>
      <c r="E236" s="97" t="str">
        <f>IF(op!E169=0,"",op!E169)</f>
        <v/>
      </c>
      <c r="F236" s="114" t="str">
        <f>IF(op!F169="","",op!F169+1)</f>
        <v/>
      </c>
      <c r="G236" s="377" t="str">
        <f>IF(op!G169="","",op!G169)</f>
        <v/>
      </c>
      <c r="H236" s="114" t="str">
        <f>IF(op!H169=0,"",op!H169)</f>
        <v/>
      </c>
      <c r="I236" s="129" t="str">
        <f>IF(J236="","",(IF(op!I169+1&gt;LOOKUP(H236,schaal2011,regels2011),op!I169,op!I169+1)))</f>
        <v/>
      </c>
      <c r="J236" s="378" t="str">
        <f>IF(op!J169="","",op!J169)</f>
        <v/>
      </c>
      <c r="K236" s="1194"/>
      <c r="L236" s="1065">
        <f t="shared" si="133"/>
        <v>0</v>
      </c>
      <c r="M236" s="1065">
        <f t="shared" si="133"/>
        <v>0</v>
      </c>
      <c r="N236" s="1077" t="str">
        <f t="shared" si="148"/>
        <v/>
      </c>
      <c r="O236" s="1077" t="str">
        <f t="shared" si="149"/>
        <v/>
      </c>
      <c r="P236" s="1172" t="str">
        <f t="shared" si="134"/>
        <v/>
      </c>
      <c r="Q236" s="91"/>
      <c r="R236" s="936" t="str">
        <f t="shared" si="150"/>
        <v/>
      </c>
      <c r="S236" s="936" t="str">
        <f t="shared" si="135"/>
        <v/>
      </c>
      <c r="T236" s="937" t="str">
        <f t="shared" si="136"/>
        <v/>
      </c>
      <c r="U236" s="361"/>
      <c r="V236" s="375"/>
      <c r="W236" s="375"/>
      <c r="X236" s="375"/>
      <c r="Y236" s="1120" t="e">
        <f>VLOOKUP(H236,tab!$A$73:$V$114,I236+2,FALSE)</f>
        <v>#VALUE!</v>
      </c>
      <c r="Z236" s="1211">
        <f>tab!$E$64</f>
        <v>0.62</v>
      </c>
      <c r="AA236" s="1163" t="e">
        <f t="shared" si="137"/>
        <v>#VALUE!</v>
      </c>
      <c r="AB236" s="1163" t="e">
        <f t="shared" si="138"/>
        <v>#VALUE!</v>
      </c>
      <c r="AC236" s="1163" t="e">
        <f t="shared" si="139"/>
        <v>#VALUE!</v>
      </c>
      <c r="AD236" s="1162" t="e">
        <f t="shared" si="140"/>
        <v>#VALUE!</v>
      </c>
      <c r="AE236" s="1162">
        <f t="shared" si="141"/>
        <v>0</v>
      </c>
      <c r="AF236" s="1129">
        <f>IF(H236&gt;8,tab!$D$65,tab!$D$67)</f>
        <v>0.5</v>
      </c>
      <c r="AG236" s="1143">
        <f t="shared" si="142"/>
        <v>0</v>
      </c>
      <c r="AH236" s="1159">
        <f t="shared" si="143"/>
        <v>0</v>
      </c>
      <c r="AI236" s="1142" t="e">
        <f>DATE(YEAR(tab!$H$3),MONTH(G236),DAY(G236))&gt;tab!$H$3</f>
        <v>#VALUE!</v>
      </c>
      <c r="AJ236" s="1143" t="e">
        <f t="shared" si="144"/>
        <v>#VALUE!</v>
      </c>
      <c r="AK236" s="1096">
        <f t="shared" si="145"/>
        <v>30</v>
      </c>
      <c r="AL236" s="1096">
        <f t="shared" si="146"/>
        <v>30</v>
      </c>
      <c r="AM236" s="1143">
        <f t="shared" si="147"/>
        <v>0</v>
      </c>
    </row>
    <row r="237" spans="3:39" ht="12.75" customHeight="1" x14ac:dyDescent="0.2">
      <c r="C237" s="90"/>
      <c r="D237" s="97" t="str">
        <f>IF(op!D170=0,"",op!D170)</f>
        <v/>
      </c>
      <c r="E237" s="97" t="str">
        <f>IF(op!E170=0,"",op!E170)</f>
        <v/>
      </c>
      <c r="F237" s="114" t="str">
        <f>IF(op!F170="","",op!F170+1)</f>
        <v/>
      </c>
      <c r="G237" s="377" t="str">
        <f>IF(op!G170="","",op!G170)</f>
        <v/>
      </c>
      <c r="H237" s="114" t="str">
        <f>IF(op!H170=0,"",op!H170)</f>
        <v/>
      </c>
      <c r="I237" s="129" t="str">
        <f>IF(J237="","",(IF(op!I170+1&gt;LOOKUP(H237,schaal2011,regels2011),op!I170,op!I170+1)))</f>
        <v/>
      </c>
      <c r="J237" s="378" t="str">
        <f>IF(op!J170="","",op!J170)</f>
        <v/>
      </c>
      <c r="K237" s="1194"/>
      <c r="L237" s="1065">
        <f t="shared" si="133"/>
        <v>0</v>
      </c>
      <c r="M237" s="1065">
        <f t="shared" si="133"/>
        <v>0</v>
      </c>
      <c r="N237" s="1077" t="str">
        <f t="shared" si="148"/>
        <v/>
      </c>
      <c r="O237" s="1077" t="str">
        <f t="shared" si="149"/>
        <v/>
      </c>
      <c r="P237" s="1172" t="str">
        <f t="shared" si="134"/>
        <v/>
      </c>
      <c r="Q237" s="91"/>
      <c r="R237" s="936" t="str">
        <f t="shared" si="150"/>
        <v/>
      </c>
      <c r="S237" s="936" t="str">
        <f t="shared" si="135"/>
        <v/>
      </c>
      <c r="T237" s="937" t="str">
        <f t="shared" si="136"/>
        <v/>
      </c>
      <c r="U237" s="361"/>
      <c r="V237" s="375"/>
      <c r="W237" s="375"/>
      <c r="X237" s="375"/>
      <c r="Y237" s="1120" t="e">
        <f>VLOOKUP(H237,tab!$A$73:$V$114,I237+2,FALSE)</f>
        <v>#VALUE!</v>
      </c>
      <c r="Z237" s="1211">
        <f>tab!$E$64</f>
        <v>0.62</v>
      </c>
      <c r="AA237" s="1163" t="e">
        <f t="shared" si="137"/>
        <v>#VALUE!</v>
      </c>
      <c r="AB237" s="1163" t="e">
        <f t="shared" si="138"/>
        <v>#VALUE!</v>
      </c>
      <c r="AC237" s="1163" t="e">
        <f t="shared" si="139"/>
        <v>#VALUE!</v>
      </c>
      <c r="AD237" s="1162" t="e">
        <f t="shared" si="140"/>
        <v>#VALUE!</v>
      </c>
      <c r="AE237" s="1162">
        <f t="shared" si="141"/>
        <v>0</v>
      </c>
      <c r="AF237" s="1129">
        <f>IF(H237&gt;8,tab!$D$65,tab!$D$67)</f>
        <v>0.5</v>
      </c>
      <c r="AG237" s="1143">
        <f t="shared" si="142"/>
        <v>0</v>
      </c>
      <c r="AH237" s="1159">
        <f t="shared" si="143"/>
        <v>0</v>
      </c>
      <c r="AI237" s="1142" t="e">
        <f>DATE(YEAR(tab!$H$3),MONTH(G237),DAY(G237))&gt;tab!$H$3</f>
        <v>#VALUE!</v>
      </c>
      <c r="AJ237" s="1143" t="e">
        <f t="shared" si="144"/>
        <v>#VALUE!</v>
      </c>
      <c r="AK237" s="1096">
        <f t="shared" si="145"/>
        <v>30</v>
      </c>
      <c r="AL237" s="1096">
        <f t="shared" si="146"/>
        <v>30</v>
      </c>
      <c r="AM237" s="1143">
        <f t="shared" si="147"/>
        <v>0</v>
      </c>
    </row>
    <row r="238" spans="3:39" ht="12.75" customHeight="1" x14ac:dyDescent="0.2">
      <c r="C238" s="90"/>
      <c r="D238" s="97" t="str">
        <f>IF(op!D171=0,"",op!D171)</f>
        <v/>
      </c>
      <c r="E238" s="97" t="str">
        <f>IF(op!E171=0,"",op!E171)</f>
        <v/>
      </c>
      <c r="F238" s="114" t="str">
        <f>IF(op!F171="","",op!F171+1)</f>
        <v/>
      </c>
      <c r="G238" s="377" t="str">
        <f>IF(op!G171="","",op!G171)</f>
        <v/>
      </c>
      <c r="H238" s="114" t="str">
        <f>IF(op!H171=0,"",op!H171)</f>
        <v/>
      </c>
      <c r="I238" s="129" t="str">
        <f>IF(J238="","",(IF(op!I171+1&gt;LOOKUP(H238,schaal2011,regels2011),op!I171,op!I171+1)))</f>
        <v/>
      </c>
      <c r="J238" s="378" t="str">
        <f>IF(op!J171="","",op!J171)</f>
        <v/>
      </c>
      <c r="K238" s="1194"/>
      <c r="L238" s="1065">
        <f t="shared" si="133"/>
        <v>0</v>
      </c>
      <c r="M238" s="1065">
        <f t="shared" si="133"/>
        <v>0</v>
      </c>
      <c r="N238" s="1077" t="str">
        <f t="shared" si="148"/>
        <v/>
      </c>
      <c r="O238" s="1077" t="str">
        <f t="shared" si="149"/>
        <v/>
      </c>
      <c r="P238" s="1172" t="str">
        <f t="shared" si="134"/>
        <v/>
      </c>
      <c r="Q238" s="91"/>
      <c r="R238" s="936" t="str">
        <f t="shared" si="150"/>
        <v/>
      </c>
      <c r="S238" s="936" t="str">
        <f t="shared" si="135"/>
        <v/>
      </c>
      <c r="T238" s="937" t="str">
        <f t="shared" si="136"/>
        <v/>
      </c>
      <c r="U238" s="361"/>
      <c r="V238" s="375"/>
      <c r="W238" s="375"/>
      <c r="X238" s="375"/>
      <c r="Y238" s="1120" t="e">
        <f>VLOOKUP(H238,tab!$A$73:$V$114,I238+2,FALSE)</f>
        <v>#VALUE!</v>
      </c>
      <c r="Z238" s="1211">
        <f>tab!$E$64</f>
        <v>0.62</v>
      </c>
      <c r="AA238" s="1163" t="e">
        <f t="shared" si="137"/>
        <v>#VALUE!</v>
      </c>
      <c r="AB238" s="1163" t="e">
        <f t="shared" si="138"/>
        <v>#VALUE!</v>
      </c>
      <c r="AC238" s="1163" t="e">
        <f t="shared" si="139"/>
        <v>#VALUE!</v>
      </c>
      <c r="AD238" s="1162" t="e">
        <f t="shared" si="140"/>
        <v>#VALUE!</v>
      </c>
      <c r="AE238" s="1162">
        <f t="shared" si="141"/>
        <v>0</v>
      </c>
      <c r="AF238" s="1129">
        <f>IF(H238&gt;8,tab!$D$65,tab!$D$67)</f>
        <v>0.5</v>
      </c>
      <c r="AG238" s="1143">
        <f t="shared" si="142"/>
        <v>0</v>
      </c>
      <c r="AH238" s="1159">
        <f t="shared" si="143"/>
        <v>0</v>
      </c>
      <c r="AI238" s="1142" t="e">
        <f>DATE(YEAR(tab!$H$3),MONTH(G238),DAY(G238))&gt;tab!$H$3</f>
        <v>#VALUE!</v>
      </c>
      <c r="AJ238" s="1143" t="e">
        <f t="shared" si="144"/>
        <v>#VALUE!</v>
      </c>
      <c r="AK238" s="1096">
        <f t="shared" si="145"/>
        <v>30</v>
      </c>
      <c r="AL238" s="1096">
        <f t="shared" si="146"/>
        <v>30</v>
      </c>
      <c r="AM238" s="1143">
        <f t="shared" si="147"/>
        <v>0</v>
      </c>
    </row>
    <row r="239" spans="3:39" ht="12.75" customHeight="1" x14ac:dyDescent="0.2">
      <c r="C239" s="90"/>
      <c r="D239" s="97" t="str">
        <f>IF(op!D172=0,"",op!D172)</f>
        <v/>
      </c>
      <c r="E239" s="97" t="str">
        <f>IF(op!E172=0,"",op!E172)</f>
        <v/>
      </c>
      <c r="F239" s="114" t="str">
        <f>IF(op!F172="","",op!F172+1)</f>
        <v/>
      </c>
      <c r="G239" s="377" t="str">
        <f>IF(op!G172="","",op!G172)</f>
        <v/>
      </c>
      <c r="H239" s="114" t="str">
        <f>IF(op!H172=0,"",op!H172)</f>
        <v/>
      </c>
      <c r="I239" s="129" t="str">
        <f>IF(J239="","",(IF(op!I172+1&gt;LOOKUP(H239,schaal2011,regels2011),op!I172,op!I172+1)))</f>
        <v/>
      </c>
      <c r="J239" s="378" t="str">
        <f>IF(op!J172="","",op!J172)</f>
        <v/>
      </c>
      <c r="K239" s="1194"/>
      <c r="L239" s="1065">
        <f t="shared" ref="L239:M258" si="151">IF(L172="","",L172)</f>
        <v>0</v>
      </c>
      <c r="M239" s="1065">
        <f t="shared" si="151"/>
        <v>0</v>
      </c>
      <c r="N239" s="1077" t="str">
        <f t="shared" si="148"/>
        <v/>
      </c>
      <c r="O239" s="1077" t="str">
        <f t="shared" si="149"/>
        <v/>
      </c>
      <c r="P239" s="1172" t="str">
        <f t="shared" si="134"/>
        <v/>
      </c>
      <c r="Q239" s="91"/>
      <c r="R239" s="936" t="str">
        <f t="shared" si="150"/>
        <v/>
      </c>
      <c r="S239" s="936" t="str">
        <f t="shared" si="135"/>
        <v/>
      </c>
      <c r="T239" s="937" t="str">
        <f t="shared" si="136"/>
        <v/>
      </c>
      <c r="U239" s="361"/>
      <c r="V239" s="375"/>
      <c r="W239" s="375"/>
      <c r="X239" s="375"/>
      <c r="Y239" s="1120" t="e">
        <f>VLOOKUP(H239,tab!$A$73:$V$114,I239+2,FALSE)</f>
        <v>#VALUE!</v>
      </c>
      <c r="Z239" s="1211">
        <f>tab!$E$64</f>
        <v>0.62</v>
      </c>
      <c r="AA239" s="1163" t="e">
        <f t="shared" si="137"/>
        <v>#VALUE!</v>
      </c>
      <c r="AB239" s="1163" t="e">
        <f t="shared" si="138"/>
        <v>#VALUE!</v>
      </c>
      <c r="AC239" s="1163" t="e">
        <f t="shared" si="139"/>
        <v>#VALUE!</v>
      </c>
      <c r="AD239" s="1162" t="e">
        <f t="shared" si="140"/>
        <v>#VALUE!</v>
      </c>
      <c r="AE239" s="1162">
        <f t="shared" si="141"/>
        <v>0</v>
      </c>
      <c r="AF239" s="1129">
        <f>IF(H239&gt;8,tab!$D$65,tab!$D$67)</f>
        <v>0.5</v>
      </c>
      <c r="AG239" s="1143">
        <f t="shared" si="142"/>
        <v>0</v>
      </c>
      <c r="AH239" s="1159">
        <f t="shared" si="143"/>
        <v>0</v>
      </c>
      <c r="AI239" s="1142" t="e">
        <f>DATE(YEAR(tab!$H$3),MONTH(G239),DAY(G239))&gt;tab!$H$3</f>
        <v>#VALUE!</v>
      </c>
      <c r="AJ239" s="1143" t="e">
        <f t="shared" si="144"/>
        <v>#VALUE!</v>
      </c>
      <c r="AK239" s="1096">
        <f t="shared" si="145"/>
        <v>30</v>
      </c>
      <c r="AL239" s="1096">
        <f t="shared" si="146"/>
        <v>30</v>
      </c>
      <c r="AM239" s="1143">
        <f t="shared" si="147"/>
        <v>0</v>
      </c>
    </row>
    <row r="240" spans="3:39" ht="12.75" customHeight="1" x14ac:dyDescent="0.2">
      <c r="C240" s="90"/>
      <c r="D240" s="97" t="str">
        <f>IF(op!D173=0,"",op!D173)</f>
        <v/>
      </c>
      <c r="E240" s="97" t="str">
        <f>IF(op!E173=0,"",op!E173)</f>
        <v/>
      </c>
      <c r="F240" s="114" t="str">
        <f>IF(op!F173="","",op!F173+1)</f>
        <v/>
      </c>
      <c r="G240" s="377" t="str">
        <f>IF(op!G173="","",op!G173)</f>
        <v/>
      </c>
      <c r="H240" s="114" t="str">
        <f>IF(op!H173=0,"",op!H173)</f>
        <v/>
      </c>
      <c r="I240" s="129" t="str">
        <f>IF(J240="","",(IF(op!I173+1&gt;LOOKUP(H240,schaal2011,regels2011),op!I173,op!I173+1)))</f>
        <v/>
      </c>
      <c r="J240" s="378" t="str">
        <f>IF(op!J173="","",op!J173)</f>
        <v/>
      </c>
      <c r="K240" s="1194"/>
      <c r="L240" s="1065">
        <f t="shared" si="151"/>
        <v>0</v>
      </c>
      <c r="M240" s="1065">
        <f t="shared" si="151"/>
        <v>0</v>
      </c>
      <c r="N240" s="1077" t="str">
        <f t="shared" si="148"/>
        <v/>
      </c>
      <c r="O240" s="1077" t="str">
        <f t="shared" si="149"/>
        <v/>
      </c>
      <c r="P240" s="1172" t="str">
        <f t="shared" si="134"/>
        <v/>
      </c>
      <c r="Q240" s="91"/>
      <c r="R240" s="936" t="str">
        <f t="shared" si="150"/>
        <v/>
      </c>
      <c r="S240" s="936" t="str">
        <f t="shared" si="135"/>
        <v/>
      </c>
      <c r="T240" s="937" t="str">
        <f t="shared" si="136"/>
        <v/>
      </c>
      <c r="U240" s="361"/>
      <c r="V240" s="375"/>
      <c r="W240" s="375"/>
      <c r="X240" s="375"/>
      <c r="Y240" s="1120" t="e">
        <f>VLOOKUP(H240,tab!$A$73:$V$114,I240+2,FALSE)</f>
        <v>#VALUE!</v>
      </c>
      <c r="Z240" s="1211">
        <f>tab!$E$64</f>
        <v>0.62</v>
      </c>
      <c r="AA240" s="1163" t="e">
        <f t="shared" si="137"/>
        <v>#VALUE!</v>
      </c>
      <c r="AB240" s="1163" t="e">
        <f t="shared" si="138"/>
        <v>#VALUE!</v>
      </c>
      <c r="AC240" s="1163" t="e">
        <f t="shared" si="139"/>
        <v>#VALUE!</v>
      </c>
      <c r="AD240" s="1162" t="e">
        <f t="shared" si="140"/>
        <v>#VALUE!</v>
      </c>
      <c r="AE240" s="1162">
        <f t="shared" si="141"/>
        <v>0</v>
      </c>
      <c r="AF240" s="1129">
        <f>IF(H240&gt;8,tab!$D$65,tab!$D$67)</f>
        <v>0.5</v>
      </c>
      <c r="AG240" s="1143">
        <f t="shared" si="142"/>
        <v>0</v>
      </c>
      <c r="AH240" s="1159">
        <f t="shared" si="143"/>
        <v>0</v>
      </c>
      <c r="AI240" s="1142" t="e">
        <f>DATE(YEAR(tab!$H$3),MONTH(G240),DAY(G240))&gt;tab!$H$3</f>
        <v>#VALUE!</v>
      </c>
      <c r="AJ240" s="1143" t="e">
        <f t="shared" si="144"/>
        <v>#VALUE!</v>
      </c>
      <c r="AK240" s="1096">
        <f t="shared" si="145"/>
        <v>30</v>
      </c>
      <c r="AL240" s="1096">
        <f t="shared" si="146"/>
        <v>30</v>
      </c>
      <c r="AM240" s="1143">
        <f t="shared" si="147"/>
        <v>0</v>
      </c>
    </row>
    <row r="241" spans="3:39" ht="12.75" customHeight="1" x14ac:dyDescent="0.2">
      <c r="C241" s="90"/>
      <c r="D241" s="97" t="str">
        <f>IF(op!D174=0,"",op!D174)</f>
        <v/>
      </c>
      <c r="E241" s="97" t="str">
        <f>IF(op!E174=0,"",op!E174)</f>
        <v/>
      </c>
      <c r="F241" s="114" t="str">
        <f>IF(op!F174="","",op!F174+1)</f>
        <v/>
      </c>
      <c r="G241" s="377" t="str">
        <f>IF(op!G174="","",op!G174)</f>
        <v/>
      </c>
      <c r="H241" s="114" t="str">
        <f>IF(op!H174=0,"",op!H174)</f>
        <v/>
      </c>
      <c r="I241" s="129" t="str">
        <f>IF(J241="","",(IF(op!I174+1&gt;LOOKUP(H241,schaal2011,regels2011),op!I174,op!I174+1)))</f>
        <v/>
      </c>
      <c r="J241" s="378" t="str">
        <f>IF(op!J174="","",op!J174)</f>
        <v/>
      </c>
      <c r="K241" s="1194"/>
      <c r="L241" s="1065">
        <f t="shared" si="151"/>
        <v>0</v>
      </c>
      <c r="M241" s="1065">
        <f t="shared" si="151"/>
        <v>0</v>
      </c>
      <c r="N241" s="1077" t="str">
        <f t="shared" si="148"/>
        <v/>
      </c>
      <c r="O241" s="1077" t="str">
        <f t="shared" si="149"/>
        <v/>
      </c>
      <c r="P241" s="1172" t="str">
        <f t="shared" si="134"/>
        <v/>
      </c>
      <c r="Q241" s="91"/>
      <c r="R241" s="936" t="str">
        <f t="shared" si="150"/>
        <v/>
      </c>
      <c r="S241" s="936" t="str">
        <f t="shared" si="135"/>
        <v/>
      </c>
      <c r="T241" s="937" t="str">
        <f t="shared" si="136"/>
        <v/>
      </c>
      <c r="U241" s="361"/>
      <c r="V241" s="375"/>
      <c r="W241" s="375"/>
      <c r="X241" s="375"/>
      <c r="Y241" s="1120" t="e">
        <f>VLOOKUP(H241,tab!$A$73:$V$114,I241+2,FALSE)</f>
        <v>#VALUE!</v>
      </c>
      <c r="Z241" s="1211">
        <f>tab!$E$64</f>
        <v>0.62</v>
      </c>
      <c r="AA241" s="1163" t="e">
        <f t="shared" si="137"/>
        <v>#VALUE!</v>
      </c>
      <c r="AB241" s="1163" t="e">
        <f t="shared" si="138"/>
        <v>#VALUE!</v>
      </c>
      <c r="AC241" s="1163" t="e">
        <f t="shared" si="139"/>
        <v>#VALUE!</v>
      </c>
      <c r="AD241" s="1162" t="e">
        <f t="shared" si="140"/>
        <v>#VALUE!</v>
      </c>
      <c r="AE241" s="1162">
        <f t="shared" si="141"/>
        <v>0</v>
      </c>
      <c r="AF241" s="1129">
        <f>IF(H241&gt;8,tab!$D$65,tab!$D$67)</f>
        <v>0.5</v>
      </c>
      <c r="AG241" s="1143">
        <f t="shared" si="142"/>
        <v>0</v>
      </c>
      <c r="AH241" s="1159">
        <f t="shared" si="143"/>
        <v>0</v>
      </c>
      <c r="AI241" s="1142" t="e">
        <f>DATE(YEAR(tab!$H$3),MONTH(G241),DAY(G241))&gt;tab!$H$3</f>
        <v>#VALUE!</v>
      </c>
      <c r="AJ241" s="1143" t="e">
        <f t="shared" si="144"/>
        <v>#VALUE!</v>
      </c>
      <c r="AK241" s="1096">
        <f t="shared" si="145"/>
        <v>30</v>
      </c>
      <c r="AL241" s="1096">
        <f t="shared" si="146"/>
        <v>30</v>
      </c>
      <c r="AM241" s="1143">
        <f t="shared" si="147"/>
        <v>0</v>
      </c>
    </row>
    <row r="242" spans="3:39" ht="12.75" customHeight="1" x14ac:dyDescent="0.2">
      <c r="C242" s="90"/>
      <c r="D242" s="97" t="str">
        <f>IF(op!D175=0,"",op!D175)</f>
        <v/>
      </c>
      <c r="E242" s="97" t="str">
        <f>IF(op!E175=0,"",op!E175)</f>
        <v/>
      </c>
      <c r="F242" s="114" t="str">
        <f>IF(op!F175="","",op!F175+1)</f>
        <v/>
      </c>
      <c r="G242" s="377" t="str">
        <f>IF(op!G175="","",op!G175)</f>
        <v/>
      </c>
      <c r="H242" s="114" t="str">
        <f>IF(op!H175=0,"",op!H175)</f>
        <v/>
      </c>
      <c r="I242" s="129" t="str">
        <f>IF(J242="","",(IF(op!I175+1&gt;LOOKUP(H242,schaal2011,regels2011),op!I175,op!I175+1)))</f>
        <v/>
      </c>
      <c r="J242" s="378" t="str">
        <f>IF(op!J175="","",op!J175)</f>
        <v/>
      </c>
      <c r="K242" s="1194"/>
      <c r="L242" s="1065">
        <f t="shared" si="151"/>
        <v>0</v>
      </c>
      <c r="M242" s="1065">
        <f t="shared" si="151"/>
        <v>0</v>
      </c>
      <c r="N242" s="1077" t="str">
        <f t="shared" si="148"/>
        <v/>
      </c>
      <c r="O242" s="1077" t="str">
        <f t="shared" si="149"/>
        <v/>
      </c>
      <c r="P242" s="1172" t="str">
        <f t="shared" si="134"/>
        <v/>
      </c>
      <c r="Q242" s="91"/>
      <c r="R242" s="936" t="str">
        <f t="shared" si="150"/>
        <v/>
      </c>
      <c r="S242" s="936" t="str">
        <f t="shared" si="135"/>
        <v/>
      </c>
      <c r="T242" s="937" t="str">
        <f t="shared" si="136"/>
        <v/>
      </c>
      <c r="U242" s="361"/>
      <c r="V242" s="375"/>
      <c r="W242" s="375"/>
      <c r="X242" s="375"/>
      <c r="Y242" s="1120" t="e">
        <f>VLOOKUP(H242,tab!$A$73:$V$114,I242+2,FALSE)</f>
        <v>#VALUE!</v>
      </c>
      <c r="Z242" s="1211">
        <f>tab!$E$64</f>
        <v>0.62</v>
      </c>
      <c r="AA242" s="1163" t="e">
        <f t="shared" si="137"/>
        <v>#VALUE!</v>
      </c>
      <c r="AB242" s="1163" t="e">
        <f t="shared" si="138"/>
        <v>#VALUE!</v>
      </c>
      <c r="AC242" s="1163" t="e">
        <f t="shared" si="139"/>
        <v>#VALUE!</v>
      </c>
      <c r="AD242" s="1162" t="e">
        <f t="shared" si="140"/>
        <v>#VALUE!</v>
      </c>
      <c r="AE242" s="1162">
        <f t="shared" si="141"/>
        <v>0</v>
      </c>
      <c r="AF242" s="1129">
        <f>IF(H242&gt;8,tab!$D$65,tab!$D$67)</f>
        <v>0.5</v>
      </c>
      <c r="AG242" s="1143">
        <f t="shared" si="142"/>
        <v>0</v>
      </c>
      <c r="AH242" s="1159">
        <f t="shared" si="143"/>
        <v>0</v>
      </c>
      <c r="AI242" s="1142" t="e">
        <f>DATE(YEAR(tab!$H$3),MONTH(G242),DAY(G242))&gt;tab!$H$3</f>
        <v>#VALUE!</v>
      </c>
      <c r="AJ242" s="1143" t="e">
        <f t="shared" si="144"/>
        <v>#VALUE!</v>
      </c>
      <c r="AK242" s="1096">
        <f t="shared" si="145"/>
        <v>30</v>
      </c>
      <c r="AL242" s="1096">
        <f t="shared" si="146"/>
        <v>30</v>
      </c>
      <c r="AM242" s="1143">
        <f t="shared" si="147"/>
        <v>0</v>
      </c>
    </row>
    <row r="243" spans="3:39" ht="12.75" customHeight="1" x14ac:dyDescent="0.2">
      <c r="C243" s="90"/>
      <c r="D243" s="97" t="str">
        <f>IF(op!D176=0,"",op!D176)</f>
        <v/>
      </c>
      <c r="E243" s="97" t="str">
        <f>IF(op!E176=0,"",op!E176)</f>
        <v/>
      </c>
      <c r="F243" s="114" t="str">
        <f>IF(op!F176="","",op!F176+1)</f>
        <v/>
      </c>
      <c r="G243" s="377" t="str">
        <f>IF(op!G176="","",op!G176)</f>
        <v/>
      </c>
      <c r="H243" s="114" t="str">
        <f>IF(op!H176=0,"",op!H176)</f>
        <v/>
      </c>
      <c r="I243" s="129" t="str">
        <f>IF(J243="","",(IF(op!I176+1&gt;LOOKUP(H243,schaal2011,regels2011),op!I176,op!I176+1)))</f>
        <v/>
      </c>
      <c r="J243" s="378" t="str">
        <f>IF(op!J176="","",op!J176)</f>
        <v/>
      </c>
      <c r="K243" s="1194"/>
      <c r="L243" s="1065">
        <f t="shared" si="151"/>
        <v>0</v>
      </c>
      <c r="M243" s="1065">
        <f t="shared" si="151"/>
        <v>0</v>
      </c>
      <c r="N243" s="1077" t="str">
        <f t="shared" si="148"/>
        <v/>
      </c>
      <c r="O243" s="1077" t="str">
        <f t="shared" si="149"/>
        <v/>
      </c>
      <c r="P243" s="1172" t="str">
        <f t="shared" si="134"/>
        <v/>
      </c>
      <c r="Q243" s="91"/>
      <c r="R243" s="936" t="str">
        <f t="shared" si="150"/>
        <v/>
      </c>
      <c r="S243" s="936" t="str">
        <f t="shared" si="135"/>
        <v/>
      </c>
      <c r="T243" s="937" t="str">
        <f t="shared" si="136"/>
        <v/>
      </c>
      <c r="U243" s="361"/>
      <c r="V243" s="375"/>
      <c r="W243" s="375"/>
      <c r="X243" s="375"/>
      <c r="Y243" s="1120" t="e">
        <f>VLOOKUP(H243,tab!$A$73:$V$114,I243+2,FALSE)</f>
        <v>#VALUE!</v>
      </c>
      <c r="Z243" s="1211">
        <f>tab!$E$64</f>
        <v>0.62</v>
      </c>
      <c r="AA243" s="1163" t="e">
        <f t="shared" si="137"/>
        <v>#VALUE!</v>
      </c>
      <c r="AB243" s="1163" t="e">
        <f t="shared" si="138"/>
        <v>#VALUE!</v>
      </c>
      <c r="AC243" s="1163" t="e">
        <f t="shared" si="139"/>
        <v>#VALUE!</v>
      </c>
      <c r="AD243" s="1162" t="e">
        <f t="shared" si="140"/>
        <v>#VALUE!</v>
      </c>
      <c r="AE243" s="1162">
        <f t="shared" si="141"/>
        <v>0</v>
      </c>
      <c r="AF243" s="1129">
        <f>IF(H243&gt;8,tab!$D$65,tab!$D$67)</f>
        <v>0.5</v>
      </c>
      <c r="AG243" s="1143">
        <f t="shared" si="142"/>
        <v>0</v>
      </c>
      <c r="AH243" s="1159">
        <f t="shared" si="143"/>
        <v>0</v>
      </c>
      <c r="AI243" s="1142" t="e">
        <f>DATE(YEAR(tab!$H$3),MONTH(G243),DAY(G243))&gt;tab!$H$3</f>
        <v>#VALUE!</v>
      </c>
      <c r="AJ243" s="1143" t="e">
        <f t="shared" si="144"/>
        <v>#VALUE!</v>
      </c>
      <c r="AK243" s="1096">
        <f t="shared" si="145"/>
        <v>30</v>
      </c>
      <c r="AL243" s="1096">
        <f t="shared" si="146"/>
        <v>30</v>
      </c>
      <c r="AM243" s="1143">
        <f t="shared" si="147"/>
        <v>0</v>
      </c>
    </row>
    <row r="244" spans="3:39" ht="12.75" customHeight="1" x14ac:dyDescent="0.2">
      <c r="C244" s="90"/>
      <c r="D244" s="97" t="str">
        <f>IF(op!D177=0,"",op!D177)</f>
        <v/>
      </c>
      <c r="E244" s="97" t="str">
        <f>IF(op!E177=0,"",op!E177)</f>
        <v/>
      </c>
      <c r="F244" s="114" t="str">
        <f>IF(op!F177="","",op!F177+1)</f>
        <v/>
      </c>
      <c r="G244" s="377" t="str">
        <f>IF(op!G177="","",op!G177)</f>
        <v/>
      </c>
      <c r="H244" s="114" t="str">
        <f>IF(op!H177=0,"",op!H177)</f>
        <v/>
      </c>
      <c r="I244" s="129" t="str">
        <f>IF(J244="","",(IF(op!I177+1&gt;LOOKUP(H244,schaal2011,regels2011),op!I177,op!I177+1)))</f>
        <v/>
      </c>
      <c r="J244" s="378" t="str">
        <f>IF(op!J177="","",op!J177)</f>
        <v/>
      </c>
      <c r="K244" s="1194"/>
      <c r="L244" s="1065">
        <f t="shared" si="151"/>
        <v>0</v>
      </c>
      <c r="M244" s="1065">
        <f t="shared" si="151"/>
        <v>0</v>
      </c>
      <c r="N244" s="1077" t="str">
        <f t="shared" si="148"/>
        <v/>
      </c>
      <c r="O244" s="1077" t="str">
        <f t="shared" si="149"/>
        <v/>
      </c>
      <c r="P244" s="1172" t="str">
        <f t="shared" si="134"/>
        <v/>
      </c>
      <c r="Q244" s="91"/>
      <c r="R244" s="936" t="str">
        <f t="shared" si="150"/>
        <v/>
      </c>
      <c r="S244" s="936" t="str">
        <f t="shared" si="135"/>
        <v/>
      </c>
      <c r="T244" s="937" t="str">
        <f t="shared" si="136"/>
        <v/>
      </c>
      <c r="U244" s="361"/>
      <c r="V244" s="375"/>
      <c r="W244" s="375"/>
      <c r="X244" s="375"/>
      <c r="Y244" s="1120" t="e">
        <f>VLOOKUP(H244,tab!$A$73:$V$114,I244+2,FALSE)</f>
        <v>#VALUE!</v>
      </c>
      <c r="Z244" s="1211">
        <f>tab!$E$64</f>
        <v>0.62</v>
      </c>
      <c r="AA244" s="1163" t="e">
        <f t="shared" si="137"/>
        <v>#VALUE!</v>
      </c>
      <c r="AB244" s="1163" t="e">
        <f t="shared" si="138"/>
        <v>#VALUE!</v>
      </c>
      <c r="AC244" s="1163" t="e">
        <f t="shared" si="139"/>
        <v>#VALUE!</v>
      </c>
      <c r="AD244" s="1162" t="e">
        <f t="shared" si="140"/>
        <v>#VALUE!</v>
      </c>
      <c r="AE244" s="1162">
        <f t="shared" si="141"/>
        <v>0</v>
      </c>
      <c r="AF244" s="1129">
        <f>IF(H244&gt;8,tab!$D$65,tab!$D$67)</f>
        <v>0.5</v>
      </c>
      <c r="AG244" s="1143">
        <f t="shared" si="142"/>
        <v>0</v>
      </c>
      <c r="AH244" s="1159">
        <f t="shared" si="143"/>
        <v>0</v>
      </c>
      <c r="AI244" s="1142" t="e">
        <f>DATE(YEAR(tab!$H$3),MONTH(G244),DAY(G244))&gt;tab!$H$3</f>
        <v>#VALUE!</v>
      </c>
      <c r="AJ244" s="1143" t="e">
        <f t="shared" si="144"/>
        <v>#VALUE!</v>
      </c>
      <c r="AK244" s="1096">
        <f t="shared" si="145"/>
        <v>30</v>
      </c>
      <c r="AL244" s="1096">
        <f t="shared" si="146"/>
        <v>30</v>
      </c>
      <c r="AM244" s="1143">
        <f t="shared" si="147"/>
        <v>0</v>
      </c>
    </row>
    <row r="245" spans="3:39" ht="12.75" customHeight="1" x14ac:dyDescent="0.2">
      <c r="C245" s="90"/>
      <c r="D245" s="97" t="str">
        <f>IF(op!D178=0,"",op!D178)</f>
        <v/>
      </c>
      <c r="E245" s="97" t="str">
        <f>IF(op!E178=0,"",op!E178)</f>
        <v/>
      </c>
      <c r="F245" s="114" t="str">
        <f>IF(op!F178="","",op!F178+1)</f>
        <v/>
      </c>
      <c r="G245" s="377" t="str">
        <f>IF(op!G178="","",op!G178)</f>
        <v/>
      </c>
      <c r="H245" s="114" t="str">
        <f>IF(op!H178=0,"",op!H178)</f>
        <v/>
      </c>
      <c r="I245" s="129" t="str">
        <f>IF(J245="","",(IF(op!I178+1&gt;LOOKUP(H245,schaal2011,regels2011),op!I178,op!I178+1)))</f>
        <v/>
      </c>
      <c r="J245" s="378" t="str">
        <f>IF(op!J178="","",op!J178)</f>
        <v/>
      </c>
      <c r="K245" s="1194"/>
      <c r="L245" s="1065">
        <f t="shared" si="151"/>
        <v>0</v>
      </c>
      <c r="M245" s="1065">
        <f t="shared" si="151"/>
        <v>0</v>
      </c>
      <c r="N245" s="1077" t="str">
        <f t="shared" si="148"/>
        <v/>
      </c>
      <c r="O245" s="1077" t="str">
        <f t="shared" si="149"/>
        <v/>
      </c>
      <c r="P245" s="1172" t="str">
        <f t="shared" si="134"/>
        <v/>
      </c>
      <c r="Q245" s="91"/>
      <c r="R245" s="936" t="str">
        <f t="shared" si="150"/>
        <v/>
      </c>
      <c r="S245" s="936" t="str">
        <f t="shared" si="135"/>
        <v/>
      </c>
      <c r="T245" s="937" t="str">
        <f t="shared" si="136"/>
        <v/>
      </c>
      <c r="U245" s="361"/>
      <c r="V245" s="375"/>
      <c r="W245" s="375"/>
      <c r="X245" s="375"/>
      <c r="Y245" s="1120" t="e">
        <f>VLOOKUP(H245,tab!$A$73:$V$114,I245+2,FALSE)</f>
        <v>#VALUE!</v>
      </c>
      <c r="Z245" s="1211">
        <f>tab!$E$64</f>
        <v>0.62</v>
      </c>
      <c r="AA245" s="1163" t="e">
        <f t="shared" si="137"/>
        <v>#VALUE!</v>
      </c>
      <c r="AB245" s="1163" t="e">
        <f t="shared" si="138"/>
        <v>#VALUE!</v>
      </c>
      <c r="AC245" s="1163" t="e">
        <f t="shared" si="139"/>
        <v>#VALUE!</v>
      </c>
      <c r="AD245" s="1162" t="e">
        <f t="shared" si="140"/>
        <v>#VALUE!</v>
      </c>
      <c r="AE245" s="1162">
        <f t="shared" si="141"/>
        <v>0</v>
      </c>
      <c r="AF245" s="1129">
        <f>IF(H245&gt;8,tab!$D$65,tab!$D$67)</f>
        <v>0.5</v>
      </c>
      <c r="AG245" s="1143">
        <f t="shared" si="142"/>
        <v>0</v>
      </c>
      <c r="AH245" s="1159">
        <f t="shared" si="143"/>
        <v>0</v>
      </c>
      <c r="AI245" s="1142" t="e">
        <f>DATE(YEAR(tab!$H$3),MONTH(G245),DAY(G245))&gt;tab!$H$3</f>
        <v>#VALUE!</v>
      </c>
      <c r="AJ245" s="1143" t="e">
        <f t="shared" si="144"/>
        <v>#VALUE!</v>
      </c>
      <c r="AK245" s="1096">
        <f t="shared" si="145"/>
        <v>30</v>
      </c>
      <c r="AL245" s="1096">
        <f t="shared" si="146"/>
        <v>30</v>
      </c>
      <c r="AM245" s="1143">
        <f t="shared" si="147"/>
        <v>0</v>
      </c>
    </row>
    <row r="246" spans="3:39" ht="12.75" customHeight="1" x14ac:dyDescent="0.2">
      <c r="C246" s="90"/>
      <c r="D246" s="97" t="str">
        <f>IF(op!D179=0,"",op!D179)</f>
        <v/>
      </c>
      <c r="E246" s="97" t="str">
        <f>IF(op!E179=0,"",op!E179)</f>
        <v/>
      </c>
      <c r="F246" s="114" t="str">
        <f>IF(op!F179="","",op!F179+1)</f>
        <v/>
      </c>
      <c r="G246" s="377" t="str">
        <f>IF(op!G179="","",op!G179)</f>
        <v/>
      </c>
      <c r="H246" s="114" t="str">
        <f>IF(op!H179=0,"",op!H179)</f>
        <v/>
      </c>
      <c r="I246" s="129" t="str">
        <f>IF(J246="","",(IF(op!I179+1&gt;LOOKUP(H246,schaal2011,regels2011),op!I179,op!I179+1)))</f>
        <v/>
      </c>
      <c r="J246" s="378" t="str">
        <f>IF(op!J179="","",op!J179)</f>
        <v/>
      </c>
      <c r="K246" s="1194"/>
      <c r="L246" s="1065">
        <f t="shared" si="151"/>
        <v>0</v>
      </c>
      <c r="M246" s="1065">
        <f t="shared" si="151"/>
        <v>0</v>
      </c>
      <c r="N246" s="1077" t="str">
        <f t="shared" si="148"/>
        <v/>
      </c>
      <c r="O246" s="1077" t="str">
        <f t="shared" si="149"/>
        <v/>
      </c>
      <c r="P246" s="1172" t="str">
        <f t="shared" si="134"/>
        <v/>
      </c>
      <c r="Q246" s="91"/>
      <c r="R246" s="936" t="str">
        <f t="shared" si="150"/>
        <v/>
      </c>
      <c r="S246" s="936" t="str">
        <f t="shared" si="135"/>
        <v/>
      </c>
      <c r="T246" s="937" t="str">
        <f t="shared" si="136"/>
        <v/>
      </c>
      <c r="U246" s="361"/>
      <c r="V246" s="375"/>
      <c r="W246" s="375"/>
      <c r="X246" s="375"/>
      <c r="Y246" s="1120" t="e">
        <f>VLOOKUP(H246,tab!$A$73:$V$114,I246+2,FALSE)</f>
        <v>#VALUE!</v>
      </c>
      <c r="Z246" s="1211">
        <f>tab!$E$64</f>
        <v>0.62</v>
      </c>
      <c r="AA246" s="1163" t="e">
        <f t="shared" si="137"/>
        <v>#VALUE!</v>
      </c>
      <c r="AB246" s="1163" t="e">
        <f t="shared" si="138"/>
        <v>#VALUE!</v>
      </c>
      <c r="AC246" s="1163" t="e">
        <f t="shared" si="139"/>
        <v>#VALUE!</v>
      </c>
      <c r="AD246" s="1162" t="e">
        <f t="shared" si="140"/>
        <v>#VALUE!</v>
      </c>
      <c r="AE246" s="1162">
        <f t="shared" si="141"/>
        <v>0</v>
      </c>
      <c r="AF246" s="1129">
        <f>IF(H246&gt;8,tab!$D$65,tab!$D$67)</f>
        <v>0.5</v>
      </c>
      <c r="AG246" s="1143">
        <f t="shared" si="142"/>
        <v>0</v>
      </c>
      <c r="AH246" s="1159">
        <f t="shared" si="143"/>
        <v>0</v>
      </c>
      <c r="AI246" s="1142" t="e">
        <f>DATE(YEAR(tab!$H$3),MONTH(G246),DAY(G246))&gt;tab!$H$3</f>
        <v>#VALUE!</v>
      </c>
      <c r="AJ246" s="1143" t="e">
        <f t="shared" si="144"/>
        <v>#VALUE!</v>
      </c>
      <c r="AK246" s="1096">
        <f t="shared" si="145"/>
        <v>30</v>
      </c>
      <c r="AL246" s="1096">
        <f t="shared" si="146"/>
        <v>30</v>
      </c>
      <c r="AM246" s="1143">
        <f t="shared" si="147"/>
        <v>0</v>
      </c>
    </row>
    <row r="247" spans="3:39" ht="12.75" customHeight="1" x14ac:dyDescent="0.2">
      <c r="C247" s="90"/>
      <c r="D247" s="97" t="str">
        <f>IF(op!D180=0,"",op!D180)</f>
        <v/>
      </c>
      <c r="E247" s="97" t="str">
        <f>IF(op!E180=0,"",op!E180)</f>
        <v/>
      </c>
      <c r="F247" s="114" t="str">
        <f>IF(op!F180="","",op!F180+1)</f>
        <v/>
      </c>
      <c r="G247" s="377" t="str">
        <f>IF(op!G180="","",op!G180)</f>
        <v/>
      </c>
      <c r="H247" s="114" t="str">
        <f>IF(op!H180=0,"",op!H180)</f>
        <v/>
      </c>
      <c r="I247" s="129" t="str">
        <f>IF(J247="","",(IF(op!I180+1&gt;LOOKUP(H247,schaal2011,regels2011),op!I180,op!I180+1)))</f>
        <v/>
      </c>
      <c r="J247" s="378" t="str">
        <f>IF(op!J180="","",op!J180)</f>
        <v/>
      </c>
      <c r="K247" s="1194"/>
      <c r="L247" s="1065">
        <f t="shared" si="151"/>
        <v>0</v>
      </c>
      <c r="M247" s="1065">
        <f t="shared" si="151"/>
        <v>0</v>
      </c>
      <c r="N247" s="1077" t="str">
        <f t="shared" si="148"/>
        <v/>
      </c>
      <c r="O247" s="1077" t="str">
        <f t="shared" si="149"/>
        <v/>
      </c>
      <c r="P247" s="1172" t="str">
        <f t="shared" si="134"/>
        <v/>
      </c>
      <c r="Q247" s="91"/>
      <c r="R247" s="936" t="str">
        <f t="shared" si="150"/>
        <v/>
      </c>
      <c r="S247" s="936" t="str">
        <f t="shared" si="135"/>
        <v/>
      </c>
      <c r="T247" s="937" t="str">
        <f t="shared" si="136"/>
        <v/>
      </c>
      <c r="U247" s="361"/>
      <c r="V247" s="375"/>
      <c r="W247" s="375"/>
      <c r="X247" s="375"/>
      <c r="Y247" s="1120" t="e">
        <f>VLOOKUP(H247,tab!$A$73:$V$114,I247+2,FALSE)</f>
        <v>#VALUE!</v>
      </c>
      <c r="Z247" s="1211">
        <f>tab!$E$64</f>
        <v>0.62</v>
      </c>
      <c r="AA247" s="1163" t="e">
        <f t="shared" si="137"/>
        <v>#VALUE!</v>
      </c>
      <c r="AB247" s="1163" t="e">
        <f t="shared" si="138"/>
        <v>#VALUE!</v>
      </c>
      <c r="AC247" s="1163" t="e">
        <f t="shared" si="139"/>
        <v>#VALUE!</v>
      </c>
      <c r="AD247" s="1162" t="e">
        <f t="shared" si="140"/>
        <v>#VALUE!</v>
      </c>
      <c r="AE247" s="1162">
        <f t="shared" si="141"/>
        <v>0</v>
      </c>
      <c r="AF247" s="1129">
        <f>IF(H247&gt;8,tab!$D$65,tab!$D$67)</f>
        <v>0.5</v>
      </c>
      <c r="AG247" s="1143">
        <f t="shared" si="142"/>
        <v>0</v>
      </c>
      <c r="AH247" s="1159">
        <f t="shared" si="143"/>
        <v>0</v>
      </c>
      <c r="AI247" s="1142" t="e">
        <f>DATE(YEAR(tab!$H$3),MONTH(G247),DAY(G247))&gt;tab!$H$3</f>
        <v>#VALUE!</v>
      </c>
      <c r="AJ247" s="1143" t="e">
        <f t="shared" si="144"/>
        <v>#VALUE!</v>
      </c>
      <c r="AK247" s="1096">
        <f t="shared" si="145"/>
        <v>30</v>
      </c>
      <c r="AL247" s="1096">
        <f t="shared" si="146"/>
        <v>30</v>
      </c>
      <c r="AM247" s="1143">
        <f t="shared" si="147"/>
        <v>0</v>
      </c>
    </row>
    <row r="248" spans="3:39" ht="12.75" customHeight="1" x14ac:dyDescent="0.2">
      <c r="C248" s="90"/>
      <c r="D248" s="97" t="str">
        <f>IF(op!D181=0,"",op!D181)</f>
        <v/>
      </c>
      <c r="E248" s="97" t="str">
        <f>IF(op!E181=0,"",op!E181)</f>
        <v/>
      </c>
      <c r="F248" s="114" t="str">
        <f>IF(op!F181="","",op!F181+1)</f>
        <v/>
      </c>
      <c r="G248" s="377" t="str">
        <f>IF(op!G181="","",op!G181)</f>
        <v/>
      </c>
      <c r="H248" s="114" t="str">
        <f>IF(op!H181=0,"",op!H181)</f>
        <v/>
      </c>
      <c r="I248" s="129" t="str">
        <f>IF(J248="","",(IF(op!I181+1&gt;LOOKUP(H248,schaal2011,regels2011),op!I181,op!I181+1)))</f>
        <v/>
      </c>
      <c r="J248" s="378" t="str">
        <f>IF(op!J181="","",op!J181)</f>
        <v/>
      </c>
      <c r="K248" s="1194"/>
      <c r="L248" s="1065">
        <f t="shared" si="151"/>
        <v>0</v>
      </c>
      <c r="M248" s="1065">
        <f t="shared" si="151"/>
        <v>0</v>
      </c>
      <c r="N248" s="1077" t="str">
        <f t="shared" si="148"/>
        <v/>
      </c>
      <c r="O248" s="1077" t="str">
        <f t="shared" si="149"/>
        <v/>
      </c>
      <c r="P248" s="1172" t="str">
        <f t="shared" si="134"/>
        <v/>
      </c>
      <c r="Q248" s="91"/>
      <c r="R248" s="936" t="str">
        <f t="shared" si="150"/>
        <v/>
      </c>
      <c r="S248" s="936" t="str">
        <f t="shared" si="135"/>
        <v/>
      </c>
      <c r="T248" s="937" t="str">
        <f t="shared" si="136"/>
        <v/>
      </c>
      <c r="U248" s="361"/>
      <c r="V248" s="375"/>
      <c r="W248" s="375"/>
      <c r="X248" s="375"/>
      <c r="Y248" s="1120" t="e">
        <f>VLOOKUP(H248,tab!$A$73:$V$114,I248+2,FALSE)</f>
        <v>#VALUE!</v>
      </c>
      <c r="Z248" s="1211">
        <f>tab!$E$64</f>
        <v>0.62</v>
      </c>
      <c r="AA248" s="1163" t="e">
        <f t="shared" si="137"/>
        <v>#VALUE!</v>
      </c>
      <c r="AB248" s="1163" t="e">
        <f t="shared" si="138"/>
        <v>#VALUE!</v>
      </c>
      <c r="AC248" s="1163" t="e">
        <f t="shared" si="139"/>
        <v>#VALUE!</v>
      </c>
      <c r="AD248" s="1162" t="e">
        <f t="shared" si="140"/>
        <v>#VALUE!</v>
      </c>
      <c r="AE248" s="1162">
        <f t="shared" si="141"/>
        <v>0</v>
      </c>
      <c r="AF248" s="1129">
        <f>IF(H248&gt;8,tab!$D$65,tab!$D$67)</f>
        <v>0.5</v>
      </c>
      <c r="AG248" s="1143">
        <f t="shared" si="142"/>
        <v>0</v>
      </c>
      <c r="AH248" s="1159">
        <f t="shared" si="143"/>
        <v>0</v>
      </c>
      <c r="AI248" s="1142" t="e">
        <f>DATE(YEAR(tab!$H$3),MONTH(G248),DAY(G248))&gt;tab!$H$3</f>
        <v>#VALUE!</v>
      </c>
      <c r="AJ248" s="1143" t="e">
        <f t="shared" si="144"/>
        <v>#VALUE!</v>
      </c>
      <c r="AK248" s="1096">
        <f t="shared" si="145"/>
        <v>30</v>
      </c>
      <c r="AL248" s="1096">
        <f t="shared" si="146"/>
        <v>30</v>
      </c>
      <c r="AM248" s="1143">
        <f t="shared" si="147"/>
        <v>0</v>
      </c>
    </row>
    <row r="249" spans="3:39" ht="12.75" customHeight="1" x14ac:dyDescent="0.2">
      <c r="C249" s="90"/>
      <c r="D249" s="97" t="str">
        <f>IF(op!D182=0,"",op!D182)</f>
        <v/>
      </c>
      <c r="E249" s="97" t="str">
        <f>IF(op!E182=0,"",op!E182)</f>
        <v/>
      </c>
      <c r="F249" s="114" t="str">
        <f>IF(op!F182="","",op!F182+1)</f>
        <v/>
      </c>
      <c r="G249" s="377" t="str">
        <f>IF(op!G182="","",op!G182)</f>
        <v/>
      </c>
      <c r="H249" s="114" t="str">
        <f>IF(op!H182=0,"",op!H182)</f>
        <v/>
      </c>
      <c r="I249" s="129" t="str">
        <f>IF(J249="","",(IF(op!I182+1&gt;LOOKUP(H249,schaal2011,regels2011),op!I182,op!I182+1)))</f>
        <v/>
      </c>
      <c r="J249" s="378" t="str">
        <f>IF(op!J182="","",op!J182)</f>
        <v/>
      </c>
      <c r="K249" s="1194"/>
      <c r="L249" s="1065">
        <f t="shared" si="151"/>
        <v>0</v>
      </c>
      <c r="M249" s="1065">
        <f t="shared" si="151"/>
        <v>0</v>
      </c>
      <c r="N249" s="1077" t="str">
        <f t="shared" si="148"/>
        <v/>
      </c>
      <c r="O249" s="1077" t="str">
        <f t="shared" si="149"/>
        <v/>
      </c>
      <c r="P249" s="1172" t="str">
        <f t="shared" si="134"/>
        <v/>
      </c>
      <c r="Q249" s="91"/>
      <c r="R249" s="936" t="str">
        <f t="shared" si="150"/>
        <v/>
      </c>
      <c r="S249" s="936" t="str">
        <f t="shared" si="135"/>
        <v/>
      </c>
      <c r="T249" s="937" t="str">
        <f t="shared" si="136"/>
        <v/>
      </c>
      <c r="U249" s="361"/>
      <c r="V249" s="375"/>
      <c r="W249" s="375"/>
      <c r="X249" s="375"/>
      <c r="Y249" s="1120" t="e">
        <f>VLOOKUP(H249,tab!$A$73:$V$114,I249+2,FALSE)</f>
        <v>#VALUE!</v>
      </c>
      <c r="Z249" s="1211">
        <f>tab!$E$64</f>
        <v>0.62</v>
      </c>
      <c r="AA249" s="1163" t="e">
        <f t="shared" si="137"/>
        <v>#VALUE!</v>
      </c>
      <c r="AB249" s="1163" t="e">
        <f t="shared" si="138"/>
        <v>#VALUE!</v>
      </c>
      <c r="AC249" s="1163" t="e">
        <f t="shared" si="139"/>
        <v>#VALUE!</v>
      </c>
      <c r="AD249" s="1162" t="e">
        <f t="shared" si="140"/>
        <v>#VALUE!</v>
      </c>
      <c r="AE249" s="1162">
        <f t="shared" si="141"/>
        <v>0</v>
      </c>
      <c r="AF249" s="1129">
        <f>IF(H249&gt;8,tab!$D$65,tab!$D$67)</f>
        <v>0.5</v>
      </c>
      <c r="AG249" s="1143">
        <f t="shared" si="142"/>
        <v>0</v>
      </c>
      <c r="AH249" s="1159">
        <f t="shared" si="143"/>
        <v>0</v>
      </c>
      <c r="AI249" s="1142" t="e">
        <f>DATE(YEAR(tab!$H$3),MONTH(G249),DAY(G249))&gt;tab!$H$3</f>
        <v>#VALUE!</v>
      </c>
      <c r="AJ249" s="1143" t="e">
        <f t="shared" si="144"/>
        <v>#VALUE!</v>
      </c>
      <c r="AK249" s="1096">
        <f t="shared" si="145"/>
        <v>30</v>
      </c>
      <c r="AL249" s="1096">
        <f t="shared" si="146"/>
        <v>30</v>
      </c>
      <c r="AM249" s="1143">
        <f t="shared" si="147"/>
        <v>0</v>
      </c>
    </row>
    <row r="250" spans="3:39" ht="12.75" customHeight="1" x14ac:dyDescent="0.2">
      <c r="C250" s="90"/>
      <c r="D250" s="97" t="str">
        <f>IF(op!D183=0,"",op!D183)</f>
        <v/>
      </c>
      <c r="E250" s="97" t="str">
        <f>IF(op!E183=0,"",op!E183)</f>
        <v/>
      </c>
      <c r="F250" s="114" t="str">
        <f>IF(op!F183="","",op!F183+1)</f>
        <v/>
      </c>
      <c r="G250" s="377" t="str">
        <f>IF(op!G183="","",op!G183)</f>
        <v/>
      </c>
      <c r="H250" s="114" t="str">
        <f>IF(op!H183=0,"",op!H183)</f>
        <v/>
      </c>
      <c r="I250" s="129" t="str">
        <f>IF(J250="","",(IF(op!I183+1&gt;LOOKUP(H250,schaal2011,regels2011),op!I183,op!I183+1)))</f>
        <v/>
      </c>
      <c r="J250" s="378" t="str">
        <f>IF(op!J183="","",op!J183)</f>
        <v/>
      </c>
      <c r="K250" s="1194"/>
      <c r="L250" s="1065">
        <f t="shared" si="151"/>
        <v>0</v>
      </c>
      <c r="M250" s="1065">
        <f t="shared" si="151"/>
        <v>0</v>
      </c>
      <c r="N250" s="1077" t="str">
        <f t="shared" si="148"/>
        <v/>
      </c>
      <c r="O250" s="1077" t="str">
        <f t="shared" si="149"/>
        <v/>
      </c>
      <c r="P250" s="1172" t="str">
        <f t="shared" si="134"/>
        <v/>
      </c>
      <c r="Q250" s="91"/>
      <c r="R250" s="936" t="str">
        <f t="shared" si="150"/>
        <v/>
      </c>
      <c r="S250" s="936" t="str">
        <f t="shared" si="135"/>
        <v/>
      </c>
      <c r="T250" s="937" t="str">
        <f t="shared" si="136"/>
        <v/>
      </c>
      <c r="U250" s="361"/>
      <c r="V250" s="375"/>
      <c r="W250" s="375"/>
      <c r="X250" s="375"/>
      <c r="Y250" s="1120" t="e">
        <f>VLOOKUP(H250,tab!$A$73:$V$114,I250+2,FALSE)</f>
        <v>#VALUE!</v>
      </c>
      <c r="Z250" s="1211">
        <f>tab!$E$64</f>
        <v>0.62</v>
      </c>
      <c r="AA250" s="1163" t="e">
        <f t="shared" si="137"/>
        <v>#VALUE!</v>
      </c>
      <c r="AB250" s="1163" t="e">
        <f t="shared" si="138"/>
        <v>#VALUE!</v>
      </c>
      <c r="AC250" s="1163" t="e">
        <f t="shared" si="139"/>
        <v>#VALUE!</v>
      </c>
      <c r="AD250" s="1162" t="e">
        <f t="shared" si="140"/>
        <v>#VALUE!</v>
      </c>
      <c r="AE250" s="1162">
        <f t="shared" si="141"/>
        <v>0</v>
      </c>
      <c r="AF250" s="1129">
        <f>IF(H250&gt;8,tab!$D$65,tab!$D$67)</f>
        <v>0.5</v>
      </c>
      <c r="AG250" s="1143">
        <f t="shared" si="142"/>
        <v>0</v>
      </c>
      <c r="AH250" s="1159">
        <f t="shared" si="143"/>
        <v>0</v>
      </c>
      <c r="AI250" s="1142" t="e">
        <f>DATE(YEAR(tab!$H$3),MONTH(G250),DAY(G250))&gt;tab!$H$3</f>
        <v>#VALUE!</v>
      </c>
      <c r="AJ250" s="1143" t="e">
        <f t="shared" si="144"/>
        <v>#VALUE!</v>
      </c>
      <c r="AK250" s="1096">
        <f t="shared" si="145"/>
        <v>30</v>
      </c>
      <c r="AL250" s="1096">
        <f t="shared" si="146"/>
        <v>30</v>
      </c>
      <c r="AM250" s="1143">
        <f t="shared" si="147"/>
        <v>0</v>
      </c>
    </row>
    <row r="251" spans="3:39" ht="12.75" customHeight="1" x14ac:dyDescent="0.2">
      <c r="C251" s="90"/>
      <c r="D251" s="97" t="str">
        <f>IF(op!D184=0,"",op!D184)</f>
        <v/>
      </c>
      <c r="E251" s="97" t="str">
        <f>IF(op!E184=0,"",op!E184)</f>
        <v/>
      </c>
      <c r="F251" s="114" t="str">
        <f>IF(op!F184="","",op!F184+1)</f>
        <v/>
      </c>
      <c r="G251" s="377" t="str">
        <f>IF(op!G184="","",op!G184)</f>
        <v/>
      </c>
      <c r="H251" s="114" t="str">
        <f>IF(op!H184=0,"",op!H184)</f>
        <v/>
      </c>
      <c r="I251" s="129" t="str">
        <f>IF(J251="","",(IF(op!I184+1&gt;LOOKUP(H251,schaal2011,regels2011),op!I184,op!I184+1)))</f>
        <v/>
      </c>
      <c r="J251" s="378" t="str">
        <f>IF(op!J184="","",op!J184)</f>
        <v/>
      </c>
      <c r="K251" s="1194"/>
      <c r="L251" s="1065">
        <f t="shared" si="151"/>
        <v>0</v>
      </c>
      <c r="M251" s="1065">
        <f t="shared" si="151"/>
        <v>0</v>
      </c>
      <c r="N251" s="1077" t="str">
        <f t="shared" si="148"/>
        <v/>
      </c>
      <c r="O251" s="1077" t="str">
        <f t="shared" si="149"/>
        <v/>
      </c>
      <c r="P251" s="1172" t="str">
        <f t="shared" si="134"/>
        <v/>
      </c>
      <c r="Q251" s="91"/>
      <c r="R251" s="936" t="str">
        <f t="shared" si="150"/>
        <v/>
      </c>
      <c r="S251" s="936" t="str">
        <f t="shared" si="135"/>
        <v/>
      </c>
      <c r="T251" s="937" t="str">
        <f t="shared" si="136"/>
        <v/>
      </c>
      <c r="U251" s="361"/>
      <c r="V251" s="375"/>
      <c r="W251" s="375"/>
      <c r="X251" s="375"/>
      <c r="Y251" s="1120" t="e">
        <f>VLOOKUP(H251,tab!$A$73:$V$114,I251+2,FALSE)</f>
        <v>#VALUE!</v>
      </c>
      <c r="Z251" s="1211">
        <f>tab!$E$64</f>
        <v>0.62</v>
      </c>
      <c r="AA251" s="1163" t="e">
        <f t="shared" si="137"/>
        <v>#VALUE!</v>
      </c>
      <c r="AB251" s="1163" t="e">
        <f t="shared" si="138"/>
        <v>#VALUE!</v>
      </c>
      <c r="AC251" s="1163" t="e">
        <f t="shared" si="139"/>
        <v>#VALUE!</v>
      </c>
      <c r="AD251" s="1162" t="e">
        <f t="shared" si="140"/>
        <v>#VALUE!</v>
      </c>
      <c r="AE251" s="1162">
        <f t="shared" si="141"/>
        <v>0</v>
      </c>
      <c r="AF251" s="1129">
        <f>IF(H251&gt;8,tab!$D$65,tab!$D$67)</f>
        <v>0.5</v>
      </c>
      <c r="AG251" s="1143">
        <f t="shared" ref="AG251:AG273" si="152">IF(F251&lt;25,0,IF(F251=25,25,IF(F251&lt;40,0,IF(F251=40,40,IF(F251&gt;=40,0)))))</f>
        <v>0</v>
      </c>
      <c r="AH251" s="1159">
        <f t="shared" ref="AH251:AH273" si="153">IF(AG251=25,(Y251*1.08*(J251)/2),IF(AG251=40,(Y251*1.08*(J251)),IF(AG251=0,0)))</f>
        <v>0</v>
      </c>
      <c r="AI251" s="1142" t="e">
        <f>DATE(YEAR(tab!$H$3),MONTH(G251),DAY(G251))&gt;tab!$H$3</f>
        <v>#VALUE!</v>
      </c>
      <c r="AJ251" s="1143" t="e">
        <f t="shared" ref="AJ251:AJ273" si="154">YEAR($E$212)-YEAR(G251)-AI251</f>
        <v>#VALUE!</v>
      </c>
      <c r="AK251" s="1096">
        <f t="shared" ref="AK251:AK273" si="155">IF((G251=""),30,AJ251)</f>
        <v>30</v>
      </c>
      <c r="AL251" s="1096">
        <f t="shared" ref="AL251:AL273" si="156">IF((AK251)&gt;50,50,(AK251))</f>
        <v>30</v>
      </c>
      <c r="AM251" s="1143">
        <f t="shared" ref="AM251:AM273" si="157">ROUND((AL251*(SUM(J251:J251))),2)</f>
        <v>0</v>
      </c>
    </row>
    <row r="252" spans="3:39" ht="12.75" customHeight="1" x14ac:dyDescent="0.2">
      <c r="C252" s="90"/>
      <c r="D252" s="97" t="str">
        <f>IF(op!D185=0,"",op!D185)</f>
        <v/>
      </c>
      <c r="E252" s="97" t="str">
        <f>IF(op!E185=0,"",op!E185)</f>
        <v/>
      </c>
      <c r="F252" s="114" t="str">
        <f>IF(op!F185="","",op!F185+1)</f>
        <v/>
      </c>
      <c r="G252" s="377" t="str">
        <f>IF(op!G185="","",op!G185)</f>
        <v/>
      </c>
      <c r="H252" s="114" t="str">
        <f>IF(op!H185=0,"",op!H185)</f>
        <v/>
      </c>
      <c r="I252" s="129" t="str">
        <f>IF(J252="","",(IF(op!I185+1&gt;LOOKUP(H252,schaal2011,regels2011),op!I185,op!I185+1)))</f>
        <v/>
      </c>
      <c r="J252" s="378" t="str">
        <f>IF(op!J185="","",op!J185)</f>
        <v/>
      </c>
      <c r="K252" s="1194"/>
      <c r="L252" s="1065">
        <f t="shared" si="151"/>
        <v>0</v>
      </c>
      <c r="M252" s="1065">
        <f t="shared" si="151"/>
        <v>0</v>
      </c>
      <c r="N252" s="1077" t="str">
        <f t="shared" si="148"/>
        <v/>
      </c>
      <c r="O252" s="1077" t="str">
        <f t="shared" si="149"/>
        <v/>
      </c>
      <c r="P252" s="1172" t="str">
        <f t="shared" si="134"/>
        <v/>
      </c>
      <c r="Q252" s="91"/>
      <c r="R252" s="936" t="str">
        <f t="shared" si="150"/>
        <v/>
      </c>
      <c r="S252" s="936" t="str">
        <f t="shared" si="135"/>
        <v/>
      </c>
      <c r="T252" s="937" t="str">
        <f t="shared" si="136"/>
        <v/>
      </c>
      <c r="U252" s="361"/>
      <c r="V252" s="375"/>
      <c r="W252" s="375"/>
      <c r="X252" s="375"/>
      <c r="Y252" s="1120" t="e">
        <f>VLOOKUP(H252,tab!$A$73:$V$114,I252+2,FALSE)</f>
        <v>#VALUE!</v>
      </c>
      <c r="Z252" s="1211">
        <f>tab!$E$64</f>
        <v>0.62</v>
      </c>
      <c r="AA252" s="1163" t="e">
        <f t="shared" si="137"/>
        <v>#VALUE!</v>
      </c>
      <c r="AB252" s="1163" t="e">
        <f t="shared" si="138"/>
        <v>#VALUE!</v>
      </c>
      <c r="AC252" s="1163" t="e">
        <f t="shared" si="139"/>
        <v>#VALUE!</v>
      </c>
      <c r="AD252" s="1162" t="e">
        <f t="shared" si="140"/>
        <v>#VALUE!</v>
      </c>
      <c r="AE252" s="1162">
        <f t="shared" si="141"/>
        <v>0</v>
      </c>
      <c r="AF252" s="1129">
        <f>IF(H252&gt;8,tab!$D$65,tab!$D$67)</f>
        <v>0.5</v>
      </c>
      <c r="AG252" s="1143">
        <f t="shared" si="152"/>
        <v>0</v>
      </c>
      <c r="AH252" s="1159">
        <f t="shared" si="153"/>
        <v>0</v>
      </c>
      <c r="AI252" s="1142" t="e">
        <f>DATE(YEAR(tab!$H$3),MONTH(G252),DAY(G252))&gt;tab!$H$3</f>
        <v>#VALUE!</v>
      </c>
      <c r="AJ252" s="1143" t="e">
        <f t="shared" si="154"/>
        <v>#VALUE!</v>
      </c>
      <c r="AK252" s="1096">
        <f t="shared" si="155"/>
        <v>30</v>
      </c>
      <c r="AL252" s="1096">
        <f t="shared" si="156"/>
        <v>30</v>
      </c>
      <c r="AM252" s="1143">
        <f t="shared" si="157"/>
        <v>0</v>
      </c>
    </row>
    <row r="253" spans="3:39" ht="12.75" customHeight="1" x14ac:dyDescent="0.2">
      <c r="C253" s="90"/>
      <c r="D253" s="97" t="str">
        <f>IF(op!D186=0,"",op!D186)</f>
        <v/>
      </c>
      <c r="E253" s="97" t="str">
        <f>IF(op!E186=0,"",op!E186)</f>
        <v/>
      </c>
      <c r="F253" s="114" t="str">
        <f>IF(op!F186="","",op!F186+1)</f>
        <v/>
      </c>
      <c r="G253" s="377" t="str">
        <f>IF(op!G186="","",op!G186)</f>
        <v/>
      </c>
      <c r="H253" s="114" t="str">
        <f>IF(op!H186=0,"",op!H186)</f>
        <v/>
      </c>
      <c r="I253" s="129" t="str">
        <f>IF(J253="","",(IF(op!I186+1&gt;LOOKUP(H253,schaal2011,regels2011),op!I186,op!I186+1)))</f>
        <v/>
      </c>
      <c r="J253" s="378" t="str">
        <f>IF(op!J186="","",op!J186)</f>
        <v/>
      </c>
      <c r="K253" s="1194"/>
      <c r="L253" s="1065">
        <f t="shared" si="151"/>
        <v>0</v>
      </c>
      <c r="M253" s="1065">
        <f t="shared" si="151"/>
        <v>0</v>
      </c>
      <c r="N253" s="1077" t="str">
        <f t="shared" si="148"/>
        <v/>
      </c>
      <c r="O253" s="1077" t="str">
        <f t="shared" si="149"/>
        <v/>
      </c>
      <c r="P253" s="1172" t="str">
        <f t="shared" si="134"/>
        <v/>
      </c>
      <c r="Q253" s="91"/>
      <c r="R253" s="936" t="str">
        <f t="shared" si="150"/>
        <v/>
      </c>
      <c r="S253" s="936" t="str">
        <f t="shared" si="135"/>
        <v/>
      </c>
      <c r="T253" s="937" t="str">
        <f t="shared" si="136"/>
        <v/>
      </c>
      <c r="U253" s="361"/>
      <c r="V253" s="375"/>
      <c r="W253" s="375"/>
      <c r="X253" s="375"/>
      <c r="Y253" s="1120" t="e">
        <f>VLOOKUP(H253,tab!$A$73:$V$114,I253+2,FALSE)</f>
        <v>#VALUE!</v>
      </c>
      <c r="Z253" s="1211">
        <f>tab!$E$64</f>
        <v>0.62</v>
      </c>
      <c r="AA253" s="1163" t="e">
        <f t="shared" si="137"/>
        <v>#VALUE!</v>
      </c>
      <c r="AB253" s="1163" t="e">
        <f t="shared" si="138"/>
        <v>#VALUE!</v>
      </c>
      <c r="AC253" s="1163" t="e">
        <f t="shared" si="139"/>
        <v>#VALUE!</v>
      </c>
      <c r="AD253" s="1162" t="e">
        <f t="shared" si="140"/>
        <v>#VALUE!</v>
      </c>
      <c r="AE253" s="1162">
        <f t="shared" si="141"/>
        <v>0</v>
      </c>
      <c r="AF253" s="1129">
        <f>IF(H253&gt;8,tab!$D$65,tab!$D$67)</f>
        <v>0.5</v>
      </c>
      <c r="AG253" s="1143">
        <f t="shared" si="152"/>
        <v>0</v>
      </c>
      <c r="AH253" s="1159">
        <f t="shared" si="153"/>
        <v>0</v>
      </c>
      <c r="AI253" s="1142" t="e">
        <f>DATE(YEAR(tab!$H$3),MONTH(G253),DAY(G253))&gt;tab!$H$3</f>
        <v>#VALUE!</v>
      </c>
      <c r="AJ253" s="1143" t="e">
        <f t="shared" si="154"/>
        <v>#VALUE!</v>
      </c>
      <c r="AK253" s="1096">
        <f t="shared" si="155"/>
        <v>30</v>
      </c>
      <c r="AL253" s="1096">
        <f t="shared" si="156"/>
        <v>30</v>
      </c>
      <c r="AM253" s="1143">
        <f t="shared" si="157"/>
        <v>0</v>
      </c>
    </row>
    <row r="254" spans="3:39" ht="12.75" customHeight="1" x14ac:dyDescent="0.2">
      <c r="C254" s="90"/>
      <c r="D254" s="97" t="str">
        <f>IF(op!D187=0,"",op!D187)</f>
        <v/>
      </c>
      <c r="E254" s="97" t="str">
        <f>IF(op!E187=0,"",op!E187)</f>
        <v/>
      </c>
      <c r="F254" s="114" t="str">
        <f>IF(op!F187="","",op!F187+1)</f>
        <v/>
      </c>
      <c r="G254" s="377" t="str">
        <f>IF(op!G187="","",op!G187)</f>
        <v/>
      </c>
      <c r="H254" s="114" t="str">
        <f>IF(op!H187=0,"",op!H187)</f>
        <v/>
      </c>
      <c r="I254" s="129" t="str">
        <f>IF(J254="","",(IF(op!I187+1&gt;LOOKUP(H254,schaal2011,regels2011),op!I187,op!I187+1)))</f>
        <v/>
      </c>
      <c r="J254" s="378" t="str">
        <f>IF(op!J187="","",op!J187)</f>
        <v/>
      </c>
      <c r="K254" s="1194"/>
      <c r="L254" s="1065">
        <f t="shared" si="151"/>
        <v>0</v>
      </c>
      <c r="M254" s="1065">
        <f t="shared" si="151"/>
        <v>0</v>
      </c>
      <c r="N254" s="1077" t="str">
        <f t="shared" si="148"/>
        <v/>
      </c>
      <c r="O254" s="1077" t="str">
        <f t="shared" si="149"/>
        <v/>
      </c>
      <c r="P254" s="1172" t="str">
        <f t="shared" si="134"/>
        <v/>
      </c>
      <c r="Q254" s="91"/>
      <c r="R254" s="936" t="str">
        <f t="shared" si="150"/>
        <v/>
      </c>
      <c r="S254" s="936" t="str">
        <f t="shared" si="135"/>
        <v/>
      </c>
      <c r="T254" s="937" t="str">
        <f t="shared" si="136"/>
        <v/>
      </c>
      <c r="U254" s="361"/>
      <c r="V254" s="375"/>
      <c r="W254" s="375"/>
      <c r="X254" s="375"/>
      <c r="Y254" s="1120" t="e">
        <f>VLOOKUP(H254,tab!$A$73:$V$114,I254+2,FALSE)</f>
        <v>#VALUE!</v>
      </c>
      <c r="Z254" s="1211">
        <f>tab!$E$64</f>
        <v>0.62</v>
      </c>
      <c r="AA254" s="1163" t="e">
        <f t="shared" si="137"/>
        <v>#VALUE!</v>
      </c>
      <c r="AB254" s="1163" t="e">
        <f t="shared" si="138"/>
        <v>#VALUE!</v>
      </c>
      <c r="AC254" s="1163" t="e">
        <f t="shared" si="139"/>
        <v>#VALUE!</v>
      </c>
      <c r="AD254" s="1162" t="e">
        <f t="shared" si="140"/>
        <v>#VALUE!</v>
      </c>
      <c r="AE254" s="1162">
        <f t="shared" si="141"/>
        <v>0</v>
      </c>
      <c r="AF254" s="1129">
        <f>IF(H254&gt;8,tab!$D$65,tab!$D$67)</f>
        <v>0.5</v>
      </c>
      <c r="AG254" s="1143">
        <f t="shared" si="152"/>
        <v>0</v>
      </c>
      <c r="AH254" s="1159">
        <f t="shared" si="153"/>
        <v>0</v>
      </c>
      <c r="AI254" s="1142" t="e">
        <f>DATE(YEAR(tab!$H$3),MONTH(G254),DAY(G254))&gt;tab!$H$3</f>
        <v>#VALUE!</v>
      </c>
      <c r="AJ254" s="1143" t="e">
        <f t="shared" si="154"/>
        <v>#VALUE!</v>
      </c>
      <c r="AK254" s="1096">
        <f t="shared" si="155"/>
        <v>30</v>
      </c>
      <c r="AL254" s="1096">
        <f t="shared" si="156"/>
        <v>30</v>
      </c>
      <c r="AM254" s="1143">
        <f t="shared" si="157"/>
        <v>0</v>
      </c>
    </row>
    <row r="255" spans="3:39" ht="12.75" customHeight="1" x14ac:dyDescent="0.2">
      <c r="C255" s="90"/>
      <c r="D255" s="97" t="str">
        <f>IF(op!D188=0,"",op!D188)</f>
        <v/>
      </c>
      <c r="E255" s="97" t="str">
        <f>IF(op!E188=0,"",op!E188)</f>
        <v/>
      </c>
      <c r="F255" s="114" t="str">
        <f>IF(op!F188="","",op!F188+1)</f>
        <v/>
      </c>
      <c r="G255" s="377" t="str">
        <f>IF(op!G188="","",op!G188)</f>
        <v/>
      </c>
      <c r="H255" s="114" t="str">
        <f>IF(op!H188=0,"",op!H188)</f>
        <v/>
      </c>
      <c r="I255" s="129" t="str">
        <f>IF(J255="","",(IF(op!I188+1&gt;LOOKUP(H255,schaal2011,regels2011),op!I188,op!I188+1)))</f>
        <v/>
      </c>
      <c r="J255" s="378" t="str">
        <f>IF(op!J188="","",op!J188)</f>
        <v/>
      </c>
      <c r="K255" s="1194"/>
      <c r="L255" s="1065">
        <f t="shared" si="151"/>
        <v>0</v>
      </c>
      <c r="M255" s="1065">
        <f t="shared" si="151"/>
        <v>0</v>
      </c>
      <c r="N255" s="1077" t="str">
        <f t="shared" si="148"/>
        <v/>
      </c>
      <c r="O255" s="1077" t="str">
        <f t="shared" si="149"/>
        <v/>
      </c>
      <c r="P255" s="1172" t="str">
        <f t="shared" si="134"/>
        <v/>
      </c>
      <c r="Q255" s="91"/>
      <c r="R255" s="936" t="str">
        <f t="shared" si="150"/>
        <v/>
      </c>
      <c r="S255" s="936" t="str">
        <f t="shared" si="135"/>
        <v/>
      </c>
      <c r="T255" s="937" t="str">
        <f t="shared" si="136"/>
        <v/>
      </c>
      <c r="U255" s="361"/>
      <c r="V255" s="375"/>
      <c r="W255" s="375"/>
      <c r="X255" s="375"/>
      <c r="Y255" s="1120" t="e">
        <f>VLOOKUP(H255,tab!$A$73:$V$114,I255+2,FALSE)</f>
        <v>#VALUE!</v>
      </c>
      <c r="Z255" s="1211">
        <f>tab!$E$64</f>
        <v>0.62</v>
      </c>
      <c r="AA255" s="1163" t="e">
        <f t="shared" si="137"/>
        <v>#VALUE!</v>
      </c>
      <c r="AB255" s="1163" t="e">
        <f t="shared" si="138"/>
        <v>#VALUE!</v>
      </c>
      <c r="AC255" s="1163" t="e">
        <f t="shared" si="139"/>
        <v>#VALUE!</v>
      </c>
      <c r="AD255" s="1162" t="e">
        <f t="shared" si="140"/>
        <v>#VALUE!</v>
      </c>
      <c r="AE255" s="1162">
        <f t="shared" si="141"/>
        <v>0</v>
      </c>
      <c r="AF255" s="1129">
        <f>IF(H255&gt;8,tab!$D$65,tab!$D$67)</f>
        <v>0.5</v>
      </c>
      <c r="AG255" s="1143">
        <f t="shared" si="152"/>
        <v>0</v>
      </c>
      <c r="AH255" s="1159">
        <f t="shared" si="153"/>
        <v>0</v>
      </c>
      <c r="AI255" s="1142" t="e">
        <f>DATE(YEAR(tab!$H$3),MONTH(G255),DAY(G255))&gt;tab!$H$3</f>
        <v>#VALUE!</v>
      </c>
      <c r="AJ255" s="1143" t="e">
        <f t="shared" si="154"/>
        <v>#VALUE!</v>
      </c>
      <c r="AK255" s="1096">
        <f t="shared" si="155"/>
        <v>30</v>
      </c>
      <c r="AL255" s="1096">
        <f t="shared" si="156"/>
        <v>30</v>
      </c>
      <c r="AM255" s="1143">
        <f t="shared" si="157"/>
        <v>0</v>
      </c>
    </row>
    <row r="256" spans="3:39" ht="12.75" customHeight="1" x14ac:dyDescent="0.2">
      <c r="C256" s="90"/>
      <c r="D256" s="97" t="str">
        <f>IF(op!D189=0,"",op!D189)</f>
        <v/>
      </c>
      <c r="E256" s="97" t="str">
        <f>IF(op!E189=0,"",op!E189)</f>
        <v/>
      </c>
      <c r="F256" s="114" t="str">
        <f>IF(op!F189="","",op!F189+1)</f>
        <v/>
      </c>
      <c r="G256" s="377" t="str">
        <f>IF(op!G189="","",op!G189)</f>
        <v/>
      </c>
      <c r="H256" s="114" t="str">
        <f>IF(op!H189=0,"",op!H189)</f>
        <v/>
      </c>
      <c r="I256" s="129" t="str">
        <f>IF(J256="","",(IF(op!I189+1&gt;LOOKUP(H256,schaal2011,regels2011),op!I189,op!I189+1)))</f>
        <v/>
      </c>
      <c r="J256" s="378" t="str">
        <f>IF(op!J189="","",op!J189)</f>
        <v/>
      </c>
      <c r="K256" s="1194"/>
      <c r="L256" s="1065">
        <f t="shared" si="151"/>
        <v>0</v>
      </c>
      <c r="M256" s="1065">
        <f t="shared" si="151"/>
        <v>0</v>
      </c>
      <c r="N256" s="1077" t="str">
        <f t="shared" si="148"/>
        <v/>
      </c>
      <c r="O256" s="1077" t="str">
        <f t="shared" si="149"/>
        <v/>
      </c>
      <c r="P256" s="1172" t="str">
        <f t="shared" si="134"/>
        <v/>
      </c>
      <c r="Q256" s="91"/>
      <c r="R256" s="936" t="str">
        <f t="shared" si="150"/>
        <v/>
      </c>
      <c r="S256" s="936" t="str">
        <f t="shared" si="135"/>
        <v/>
      </c>
      <c r="T256" s="937" t="str">
        <f t="shared" si="136"/>
        <v/>
      </c>
      <c r="U256" s="361"/>
      <c r="V256" s="375"/>
      <c r="W256" s="375"/>
      <c r="X256" s="375"/>
      <c r="Y256" s="1120" t="e">
        <f>VLOOKUP(H256,tab!$A$73:$V$114,I256+2,FALSE)</f>
        <v>#VALUE!</v>
      </c>
      <c r="Z256" s="1211">
        <f>tab!$E$64</f>
        <v>0.62</v>
      </c>
      <c r="AA256" s="1163" t="e">
        <f t="shared" si="137"/>
        <v>#VALUE!</v>
      </c>
      <c r="AB256" s="1163" t="e">
        <f t="shared" si="138"/>
        <v>#VALUE!</v>
      </c>
      <c r="AC256" s="1163" t="e">
        <f t="shared" si="139"/>
        <v>#VALUE!</v>
      </c>
      <c r="AD256" s="1162" t="e">
        <f t="shared" si="140"/>
        <v>#VALUE!</v>
      </c>
      <c r="AE256" s="1162">
        <f t="shared" si="141"/>
        <v>0</v>
      </c>
      <c r="AF256" s="1129">
        <f>IF(H256&gt;8,tab!$D$65,tab!$D$67)</f>
        <v>0.5</v>
      </c>
      <c r="AG256" s="1143">
        <f t="shared" si="152"/>
        <v>0</v>
      </c>
      <c r="AH256" s="1159">
        <f t="shared" si="153"/>
        <v>0</v>
      </c>
      <c r="AI256" s="1142" t="e">
        <f>DATE(YEAR(tab!$H$3),MONTH(G256),DAY(G256))&gt;tab!$H$3</f>
        <v>#VALUE!</v>
      </c>
      <c r="AJ256" s="1143" t="e">
        <f t="shared" si="154"/>
        <v>#VALUE!</v>
      </c>
      <c r="AK256" s="1096">
        <f t="shared" si="155"/>
        <v>30</v>
      </c>
      <c r="AL256" s="1096">
        <f t="shared" si="156"/>
        <v>30</v>
      </c>
      <c r="AM256" s="1143">
        <f t="shared" si="157"/>
        <v>0</v>
      </c>
    </row>
    <row r="257" spans="3:39" ht="12.75" customHeight="1" x14ac:dyDescent="0.2">
      <c r="C257" s="90"/>
      <c r="D257" s="97" t="str">
        <f>IF(op!D190=0,"",op!D190)</f>
        <v/>
      </c>
      <c r="E257" s="97" t="str">
        <f>IF(op!E190=0,"",op!E190)</f>
        <v/>
      </c>
      <c r="F257" s="114" t="str">
        <f>IF(op!F190="","",op!F190+1)</f>
        <v/>
      </c>
      <c r="G257" s="377" t="str">
        <f>IF(op!G190="","",op!G190)</f>
        <v/>
      </c>
      <c r="H257" s="114" t="str">
        <f>IF(op!H190=0,"",op!H190)</f>
        <v/>
      </c>
      <c r="I257" s="129" t="str">
        <f>IF(J257="","",(IF(op!I190+1&gt;LOOKUP(H257,schaal2011,regels2011),op!I190,op!I190+1)))</f>
        <v/>
      </c>
      <c r="J257" s="378" t="str">
        <f>IF(op!J190="","",op!J190)</f>
        <v/>
      </c>
      <c r="K257" s="1194"/>
      <c r="L257" s="1065">
        <f t="shared" si="151"/>
        <v>0</v>
      </c>
      <c r="M257" s="1065">
        <f t="shared" si="151"/>
        <v>0</v>
      </c>
      <c r="N257" s="1077" t="str">
        <f t="shared" si="148"/>
        <v/>
      </c>
      <c r="O257" s="1077" t="str">
        <f t="shared" si="149"/>
        <v/>
      </c>
      <c r="P257" s="1172" t="str">
        <f t="shared" si="134"/>
        <v/>
      </c>
      <c r="Q257" s="91"/>
      <c r="R257" s="936" t="str">
        <f t="shared" si="150"/>
        <v/>
      </c>
      <c r="S257" s="936" t="str">
        <f t="shared" si="135"/>
        <v/>
      </c>
      <c r="T257" s="937" t="str">
        <f t="shared" si="136"/>
        <v/>
      </c>
      <c r="U257" s="361"/>
      <c r="V257" s="375"/>
      <c r="W257" s="375"/>
      <c r="X257" s="375"/>
      <c r="Y257" s="1120" t="e">
        <f>VLOOKUP(H257,tab!$A$73:$V$114,I257+2,FALSE)</f>
        <v>#VALUE!</v>
      </c>
      <c r="Z257" s="1211">
        <f>tab!$E$64</f>
        <v>0.62</v>
      </c>
      <c r="AA257" s="1163" t="e">
        <f t="shared" si="137"/>
        <v>#VALUE!</v>
      </c>
      <c r="AB257" s="1163" t="e">
        <f t="shared" si="138"/>
        <v>#VALUE!</v>
      </c>
      <c r="AC257" s="1163" t="e">
        <f t="shared" si="139"/>
        <v>#VALUE!</v>
      </c>
      <c r="AD257" s="1162" t="e">
        <f t="shared" si="140"/>
        <v>#VALUE!</v>
      </c>
      <c r="AE257" s="1162">
        <f t="shared" si="141"/>
        <v>0</v>
      </c>
      <c r="AF257" s="1129">
        <f>IF(H257&gt;8,tab!$D$65,tab!$D$67)</f>
        <v>0.5</v>
      </c>
      <c r="AG257" s="1143">
        <f t="shared" si="152"/>
        <v>0</v>
      </c>
      <c r="AH257" s="1159">
        <f t="shared" si="153"/>
        <v>0</v>
      </c>
      <c r="AI257" s="1142" t="e">
        <f>DATE(YEAR(tab!$H$3),MONTH(G257),DAY(G257))&gt;tab!$H$3</f>
        <v>#VALUE!</v>
      </c>
      <c r="AJ257" s="1143" t="e">
        <f t="shared" si="154"/>
        <v>#VALUE!</v>
      </c>
      <c r="AK257" s="1096">
        <f t="shared" si="155"/>
        <v>30</v>
      </c>
      <c r="AL257" s="1096">
        <f t="shared" si="156"/>
        <v>30</v>
      </c>
      <c r="AM257" s="1143">
        <f t="shared" si="157"/>
        <v>0</v>
      </c>
    </row>
    <row r="258" spans="3:39" ht="12.75" customHeight="1" x14ac:dyDescent="0.2">
      <c r="C258" s="90"/>
      <c r="D258" s="97" t="str">
        <f>IF(op!D191=0,"",op!D191)</f>
        <v/>
      </c>
      <c r="E258" s="97" t="str">
        <f>IF(op!E191=0,"",op!E191)</f>
        <v/>
      </c>
      <c r="F258" s="114" t="str">
        <f>IF(op!F191="","",op!F191+1)</f>
        <v/>
      </c>
      <c r="G258" s="377" t="str">
        <f>IF(op!G191="","",op!G191)</f>
        <v/>
      </c>
      <c r="H258" s="114" t="str">
        <f>IF(op!H191=0,"",op!H191)</f>
        <v/>
      </c>
      <c r="I258" s="129" t="str">
        <f>IF(J258="","",(IF(op!I191+1&gt;LOOKUP(H258,schaal2011,regels2011),op!I191,op!I191+1)))</f>
        <v/>
      </c>
      <c r="J258" s="378" t="str">
        <f>IF(op!J191="","",op!J191)</f>
        <v/>
      </c>
      <c r="K258" s="1194"/>
      <c r="L258" s="1065">
        <f t="shared" si="151"/>
        <v>0</v>
      </c>
      <c r="M258" s="1065">
        <f t="shared" si="151"/>
        <v>0</v>
      </c>
      <c r="N258" s="1077" t="str">
        <f t="shared" si="148"/>
        <v/>
      </c>
      <c r="O258" s="1077" t="str">
        <f t="shared" si="149"/>
        <v/>
      </c>
      <c r="P258" s="1172" t="str">
        <f t="shared" si="134"/>
        <v/>
      </c>
      <c r="Q258" s="91"/>
      <c r="R258" s="936" t="str">
        <f t="shared" si="150"/>
        <v/>
      </c>
      <c r="S258" s="936" t="str">
        <f t="shared" si="135"/>
        <v/>
      </c>
      <c r="T258" s="937" t="str">
        <f t="shared" si="136"/>
        <v/>
      </c>
      <c r="U258" s="361"/>
      <c r="V258" s="375"/>
      <c r="W258" s="375"/>
      <c r="X258" s="375"/>
      <c r="Y258" s="1120" t="e">
        <f>VLOOKUP(H258,tab!$A$73:$V$114,I258+2,FALSE)</f>
        <v>#VALUE!</v>
      </c>
      <c r="Z258" s="1211">
        <f>tab!$E$64</f>
        <v>0.62</v>
      </c>
      <c r="AA258" s="1163" t="e">
        <f t="shared" si="137"/>
        <v>#VALUE!</v>
      </c>
      <c r="AB258" s="1163" t="e">
        <f t="shared" si="138"/>
        <v>#VALUE!</v>
      </c>
      <c r="AC258" s="1163" t="e">
        <f t="shared" si="139"/>
        <v>#VALUE!</v>
      </c>
      <c r="AD258" s="1162" t="e">
        <f t="shared" si="140"/>
        <v>#VALUE!</v>
      </c>
      <c r="AE258" s="1162">
        <f t="shared" si="141"/>
        <v>0</v>
      </c>
      <c r="AF258" s="1129">
        <f>IF(H258&gt;8,tab!$D$65,tab!$D$67)</f>
        <v>0.5</v>
      </c>
      <c r="AG258" s="1143">
        <f t="shared" si="152"/>
        <v>0</v>
      </c>
      <c r="AH258" s="1159">
        <f t="shared" si="153"/>
        <v>0</v>
      </c>
      <c r="AI258" s="1142" t="e">
        <f>DATE(YEAR(tab!$H$3),MONTH(G258),DAY(G258))&gt;tab!$H$3</f>
        <v>#VALUE!</v>
      </c>
      <c r="AJ258" s="1143" t="e">
        <f t="shared" si="154"/>
        <v>#VALUE!</v>
      </c>
      <c r="AK258" s="1096">
        <f t="shared" si="155"/>
        <v>30</v>
      </c>
      <c r="AL258" s="1096">
        <f t="shared" si="156"/>
        <v>30</v>
      </c>
      <c r="AM258" s="1143">
        <f t="shared" si="157"/>
        <v>0</v>
      </c>
    </row>
    <row r="259" spans="3:39" ht="12.75" customHeight="1" x14ac:dyDescent="0.2">
      <c r="C259" s="90"/>
      <c r="D259" s="97" t="str">
        <f>IF(op!D192=0,"",op!D192)</f>
        <v/>
      </c>
      <c r="E259" s="97" t="str">
        <f>IF(op!E192=0,"",op!E192)</f>
        <v/>
      </c>
      <c r="F259" s="114" t="str">
        <f>IF(op!F192="","",op!F192+1)</f>
        <v/>
      </c>
      <c r="G259" s="377" t="str">
        <f>IF(op!G192="","",op!G192)</f>
        <v/>
      </c>
      <c r="H259" s="114" t="str">
        <f>IF(op!H192=0,"",op!H192)</f>
        <v/>
      </c>
      <c r="I259" s="129" t="str">
        <f>IF(J259="","",(IF(op!I192+1&gt;LOOKUP(H259,schaal2011,regels2011),op!I192,op!I192+1)))</f>
        <v/>
      </c>
      <c r="J259" s="378" t="str">
        <f>IF(op!J192="","",op!J192)</f>
        <v/>
      </c>
      <c r="K259" s="1194"/>
      <c r="L259" s="1065">
        <f t="shared" ref="L259:M273" si="158">IF(L192="","",L192)</f>
        <v>0</v>
      </c>
      <c r="M259" s="1065">
        <f t="shared" si="158"/>
        <v>0</v>
      </c>
      <c r="N259" s="1077" t="str">
        <f t="shared" si="148"/>
        <v/>
      </c>
      <c r="O259" s="1077" t="str">
        <f t="shared" si="149"/>
        <v/>
      </c>
      <c r="P259" s="1172" t="str">
        <f t="shared" si="134"/>
        <v/>
      </c>
      <c r="Q259" s="91"/>
      <c r="R259" s="936" t="str">
        <f t="shared" si="150"/>
        <v/>
      </c>
      <c r="S259" s="936" t="str">
        <f t="shared" si="135"/>
        <v/>
      </c>
      <c r="T259" s="937" t="str">
        <f t="shared" si="136"/>
        <v/>
      </c>
      <c r="U259" s="361"/>
      <c r="V259" s="375"/>
      <c r="W259" s="375"/>
      <c r="X259" s="375"/>
      <c r="Y259" s="1120" t="e">
        <f>VLOOKUP(H259,tab!$A$73:$V$114,I259+2,FALSE)</f>
        <v>#VALUE!</v>
      </c>
      <c r="Z259" s="1211">
        <f>tab!$E$64</f>
        <v>0.62</v>
      </c>
      <c r="AA259" s="1163" t="e">
        <f t="shared" si="137"/>
        <v>#VALUE!</v>
      </c>
      <c r="AB259" s="1163" t="e">
        <f t="shared" si="138"/>
        <v>#VALUE!</v>
      </c>
      <c r="AC259" s="1163" t="e">
        <f t="shared" si="139"/>
        <v>#VALUE!</v>
      </c>
      <c r="AD259" s="1162" t="e">
        <f t="shared" si="140"/>
        <v>#VALUE!</v>
      </c>
      <c r="AE259" s="1162">
        <f t="shared" si="141"/>
        <v>0</v>
      </c>
      <c r="AF259" s="1129">
        <f>IF(H259&gt;8,tab!$D$65,tab!$D$67)</f>
        <v>0.5</v>
      </c>
      <c r="AG259" s="1143">
        <f t="shared" si="152"/>
        <v>0</v>
      </c>
      <c r="AH259" s="1159">
        <f t="shared" si="153"/>
        <v>0</v>
      </c>
      <c r="AI259" s="1142" t="e">
        <f>DATE(YEAR(tab!$H$3),MONTH(G259),DAY(G259))&gt;tab!$H$3</f>
        <v>#VALUE!</v>
      </c>
      <c r="AJ259" s="1143" t="e">
        <f t="shared" si="154"/>
        <v>#VALUE!</v>
      </c>
      <c r="AK259" s="1096">
        <f t="shared" si="155"/>
        <v>30</v>
      </c>
      <c r="AL259" s="1096">
        <f t="shared" si="156"/>
        <v>30</v>
      </c>
      <c r="AM259" s="1143">
        <f t="shared" si="157"/>
        <v>0</v>
      </c>
    </row>
    <row r="260" spans="3:39" ht="12.75" customHeight="1" x14ac:dyDescent="0.2">
      <c r="C260" s="90"/>
      <c r="D260" s="97" t="str">
        <f>IF(op!D193=0,"",op!D193)</f>
        <v/>
      </c>
      <c r="E260" s="97" t="str">
        <f>IF(op!E193=0,"",op!E193)</f>
        <v/>
      </c>
      <c r="F260" s="114" t="str">
        <f>IF(op!F193="","",op!F193+1)</f>
        <v/>
      </c>
      <c r="G260" s="377" t="str">
        <f>IF(op!G193="","",op!G193)</f>
        <v/>
      </c>
      <c r="H260" s="114" t="str">
        <f>IF(op!H193=0,"",op!H193)</f>
        <v/>
      </c>
      <c r="I260" s="129" t="str">
        <f>IF(J260="","",(IF(op!I193+1&gt;LOOKUP(H260,schaal2011,regels2011),op!I193,op!I193+1)))</f>
        <v/>
      </c>
      <c r="J260" s="378" t="str">
        <f>IF(op!J193="","",op!J193)</f>
        <v/>
      </c>
      <c r="K260" s="1194"/>
      <c r="L260" s="1065">
        <f t="shared" si="158"/>
        <v>0</v>
      </c>
      <c r="M260" s="1065">
        <f t="shared" si="158"/>
        <v>0</v>
      </c>
      <c r="N260" s="1077" t="str">
        <f t="shared" si="148"/>
        <v/>
      </c>
      <c r="O260" s="1077" t="str">
        <f t="shared" si="149"/>
        <v/>
      </c>
      <c r="P260" s="1172" t="str">
        <f t="shared" si="134"/>
        <v/>
      </c>
      <c r="Q260" s="91"/>
      <c r="R260" s="936" t="str">
        <f t="shared" si="150"/>
        <v/>
      </c>
      <c r="S260" s="936" t="str">
        <f t="shared" si="135"/>
        <v/>
      </c>
      <c r="T260" s="937" t="str">
        <f t="shared" si="136"/>
        <v/>
      </c>
      <c r="U260" s="361"/>
      <c r="V260" s="375"/>
      <c r="W260" s="375"/>
      <c r="X260" s="375"/>
      <c r="Y260" s="1120" t="e">
        <f>VLOOKUP(H260,tab!$A$73:$V$114,I260+2,FALSE)</f>
        <v>#VALUE!</v>
      </c>
      <c r="Z260" s="1211">
        <f>tab!$E$64</f>
        <v>0.62</v>
      </c>
      <c r="AA260" s="1163" t="e">
        <f t="shared" si="137"/>
        <v>#VALUE!</v>
      </c>
      <c r="AB260" s="1163" t="e">
        <f t="shared" si="138"/>
        <v>#VALUE!</v>
      </c>
      <c r="AC260" s="1163" t="e">
        <f t="shared" si="139"/>
        <v>#VALUE!</v>
      </c>
      <c r="AD260" s="1162" t="e">
        <f t="shared" si="140"/>
        <v>#VALUE!</v>
      </c>
      <c r="AE260" s="1162">
        <f t="shared" si="141"/>
        <v>0</v>
      </c>
      <c r="AF260" s="1129">
        <f>IF(H260&gt;8,tab!$D$65,tab!$D$67)</f>
        <v>0.5</v>
      </c>
      <c r="AG260" s="1143">
        <f t="shared" si="152"/>
        <v>0</v>
      </c>
      <c r="AH260" s="1159">
        <f t="shared" si="153"/>
        <v>0</v>
      </c>
      <c r="AI260" s="1142" t="e">
        <f>DATE(YEAR(tab!$H$3),MONTH(G260),DAY(G260))&gt;tab!$H$3</f>
        <v>#VALUE!</v>
      </c>
      <c r="AJ260" s="1143" t="e">
        <f t="shared" si="154"/>
        <v>#VALUE!</v>
      </c>
      <c r="AK260" s="1096">
        <f t="shared" si="155"/>
        <v>30</v>
      </c>
      <c r="AL260" s="1096">
        <f t="shared" si="156"/>
        <v>30</v>
      </c>
      <c r="AM260" s="1143">
        <f t="shared" si="157"/>
        <v>0</v>
      </c>
    </row>
    <row r="261" spans="3:39" ht="12.75" customHeight="1" x14ac:dyDescent="0.2">
      <c r="C261" s="90"/>
      <c r="D261" s="97" t="str">
        <f>IF(op!D194=0,"",op!D194)</f>
        <v/>
      </c>
      <c r="E261" s="97" t="str">
        <f>IF(op!E194=0,"",op!E194)</f>
        <v/>
      </c>
      <c r="F261" s="114" t="str">
        <f>IF(op!F194="","",op!F194+1)</f>
        <v/>
      </c>
      <c r="G261" s="377" t="str">
        <f>IF(op!G194="","",op!G194)</f>
        <v/>
      </c>
      <c r="H261" s="114" t="str">
        <f>IF(op!H194=0,"",op!H194)</f>
        <v/>
      </c>
      <c r="I261" s="129" t="str">
        <f>IF(J261="","",(IF(op!I194+1&gt;LOOKUP(H261,schaal2011,regels2011),op!I194,op!I194+1)))</f>
        <v/>
      </c>
      <c r="J261" s="378" t="str">
        <f>IF(op!J194="","",op!J194)</f>
        <v/>
      </c>
      <c r="K261" s="1194"/>
      <c r="L261" s="1065">
        <f t="shared" si="158"/>
        <v>0</v>
      </c>
      <c r="M261" s="1065">
        <f t="shared" si="158"/>
        <v>0</v>
      </c>
      <c r="N261" s="1077" t="str">
        <f t="shared" si="148"/>
        <v/>
      </c>
      <c r="O261" s="1077" t="str">
        <f t="shared" si="149"/>
        <v/>
      </c>
      <c r="P261" s="1172" t="str">
        <f t="shared" si="134"/>
        <v/>
      </c>
      <c r="Q261" s="91"/>
      <c r="R261" s="936" t="str">
        <f t="shared" si="150"/>
        <v/>
      </c>
      <c r="S261" s="936" t="str">
        <f t="shared" si="135"/>
        <v/>
      </c>
      <c r="T261" s="937" t="str">
        <f t="shared" si="136"/>
        <v/>
      </c>
      <c r="U261" s="361"/>
      <c r="V261" s="375"/>
      <c r="W261" s="375"/>
      <c r="X261" s="375"/>
      <c r="Y261" s="1120" t="e">
        <f>VLOOKUP(H261,tab!$A$73:$V$114,I261+2,FALSE)</f>
        <v>#VALUE!</v>
      </c>
      <c r="Z261" s="1211">
        <f>tab!$E$64</f>
        <v>0.62</v>
      </c>
      <c r="AA261" s="1163" t="e">
        <f t="shared" si="137"/>
        <v>#VALUE!</v>
      </c>
      <c r="AB261" s="1163" t="e">
        <f t="shared" si="138"/>
        <v>#VALUE!</v>
      </c>
      <c r="AC261" s="1163" t="e">
        <f t="shared" si="139"/>
        <v>#VALUE!</v>
      </c>
      <c r="AD261" s="1162" t="e">
        <f t="shared" si="140"/>
        <v>#VALUE!</v>
      </c>
      <c r="AE261" s="1162">
        <f t="shared" si="141"/>
        <v>0</v>
      </c>
      <c r="AF261" s="1129">
        <f>IF(H261&gt;8,tab!$D$65,tab!$D$67)</f>
        <v>0.5</v>
      </c>
      <c r="AG261" s="1143">
        <f t="shared" si="152"/>
        <v>0</v>
      </c>
      <c r="AH261" s="1159">
        <f t="shared" si="153"/>
        <v>0</v>
      </c>
      <c r="AI261" s="1142" t="e">
        <f>DATE(YEAR(tab!$H$3),MONTH(G261),DAY(G261))&gt;tab!$H$3</f>
        <v>#VALUE!</v>
      </c>
      <c r="AJ261" s="1143" t="e">
        <f t="shared" si="154"/>
        <v>#VALUE!</v>
      </c>
      <c r="AK261" s="1096">
        <f t="shared" si="155"/>
        <v>30</v>
      </c>
      <c r="AL261" s="1096">
        <f t="shared" si="156"/>
        <v>30</v>
      </c>
      <c r="AM261" s="1143">
        <f t="shared" si="157"/>
        <v>0</v>
      </c>
    </row>
    <row r="262" spans="3:39" ht="12.75" customHeight="1" x14ac:dyDescent="0.2">
      <c r="C262" s="90"/>
      <c r="D262" s="97" t="str">
        <f>IF(op!D195=0,"",op!D195)</f>
        <v/>
      </c>
      <c r="E262" s="97" t="str">
        <f>IF(op!E195=0,"",op!E195)</f>
        <v/>
      </c>
      <c r="F262" s="114" t="str">
        <f>IF(op!F195="","",op!F195+1)</f>
        <v/>
      </c>
      <c r="G262" s="377" t="str">
        <f>IF(op!G195="","",op!G195)</f>
        <v/>
      </c>
      <c r="H262" s="114" t="str">
        <f>IF(op!H195=0,"",op!H195)</f>
        <v/>
      </c>
      <c r="I262" s="129" t="str">
        <f>IF(J262="","",(IF(op!I195+1&gt;LOOKUP(H262,schaal2011,regels2011),op!I195,op!I195+1)))</f>
        <v/>
      </c>
      <c r="J262" s="378" t="str">
        <f>IF(op!J195="","",op!J195)</f>
        <v/>
      </c>
      <c r="K262" s="1194"/>
      <c r="L262" s="1065">
        <f t="shared" si="158"/>
        <v>0</v>
      </c>
      <c r="M262" s="1065">
        <f t="shared" si="158"/>
        <v>0</v>
      </c>
      <c r="N262" s="1077" t="str">
        <f t="shared" si="148"/>
        <v/>
      </c>
      <c r="O262" s="1077" t="str">
        <f t="shared" si="149"/>
        <v/>
      </c>
      <c r="P262" s="1172" t="str">
        <f t="shared" si="134"/>
        <v/>
      </c>
      <c r="Q262" s="91"/>
      <c r="R262" s="936" t="str">
        <f t="shared" si="150"/>
        <v/>
      </c>
      <c r="S262" s="936" t="str">
        <f t="shared" si="135"/>
        <v/>
      </c>
      <c r="T262" s="937" t="str">
        <f t="shared" si="136"/>
        <v/>
      </c>
      <c r="U262" s="361"/>
      <c r="V262" s="375"/>
      <c r="W262" s="375"/>
      <c r="X262" s="375"/>
      <c r="Y262" s="1120" t="e">
        <f>VLOOKUP(H262,tab!$A$73:$V$114,I262+2,FALSE)</f>
        <v>#VALUE!</v>
      </c>
      <c r="Z262" s="1211">
        <f>tab!$E$64</f>
        <v>0.62</v>
      </c>
      <c r="AA262" s="1163" t="e">
        <f t="shared" si="137"/>
        <v>#VALUE!</v>
      </c>
      <c r="AB262" s="1163" t="e">
        <f t="shared" si="138"/>
        <v>#VALUE!</v>
      </c>
      <c r="AC262" s="1163" t="e">
        <f t="shared" si="139"/>
        <v>#VALUE!</v>
      </c>
      <c r="AD262" s="1162" t="e">
        <f t="shared" si="140"/>
        <v>#VALUE!</v>
      </c>
      <c r="AE262" s="1162">
        <f t="shared" si="141"/>
        <v>0</v>
      </c>
      <c r="AF262" s="1129">
        <f>IF(H262&gt;8,tab!$D$65,tab!$D$67)</f>
        <v>0.5</v>
      </c>
      <c r="AG262" s="1143">
        <f t="shared" si="152"/>
        <v>0</v>
      </c>
      <c r="AH262" s="1159">
        <f t="shared" si="153"/>
        <v>0</v>
      </c>
      <c r="AI262" s="1142" t="e">
        <f>DATE(YEAR(tab!$H$3),MONTH(G262),DAY(G262))&gt;tab!$H$3</f>
        <v>#VALUE!</v>
      </c>
      <c r="AJ262" s="1143" t="e">
        <f t="shared" si="154"/>
        <v>#VALUE!</v>
      </c>
      <c r="AK262" s="1096">
        <f t="shared" si="155"/>
        <v>30</v>
      </c>
      <c r="AL262" s="1096">
        <f t="shared" si="156"/>
        <v>30</v>
      </c>
      <c r="AM262" s="1143">
        <f t="shared" si="157"/>
        <v>0</v>
      </c>
    </row>
    <row r="263" spans="3:39" ht="12.75" customHeight="1" x14ac:dyDescent="0.2">
      <c r="C263" s="90"/>
      <c r="D263" s="97" t="str">
        <f>IF(op!D196=0,"",op!D196)</f>
        <v/>
      </c>
      <c r="E263" s="97" t="str">
        <f>IF(op!E196=0,"",op!E196)</f>
        <v/>
      </c>
      <c r="F263" s="114" t="str">
        <f>IF(op!F196="","",op!F196+1)</f>
        <v/>
      </c>
      <c r="G263" s="377" t="str">
        <f>IF(op!G196="","",op!G196)</f>
        <v/>
      </c>
      <c r="H263" s="114" t="str">
        <f>IF(op!H196=0,"",op!H196)</f>
        <v/>
      </c>
      <c r="I263" s="129" t="str">
        <f>IF(J263="","",(IF(op!I196+1&gt;LOOKUP(H263,schaal2011,regels2011),op!I196,op!I196+1)))</f>
        <v/>
      </c>
      <c r="J263" s="378" t="str">
        <f>IF(op!J196="","",op!J196)</f>
        <v/>
      </c>
      <c r="K263" s="1194"/>
      <c r="L263" s="1065">
        <f t="shared" si="158"/>
        <v>0</v>
      </c>
      <c r="M263" s="1065">
        <f t="shared" si="158"/>
        <v>0</v>
      </c>
      <c r="N263" s="1077" t="str">
        <f t="shared" si="148"/>
        <v/>
      </c>
      <c r="O263" s="1077" t="str">
        <f t="shared" si="149"/>
        <v/>
      </c>
      <c r="P263" s="1172" t="str">
        <f t="shared" si="134"/>
        <v/>
      </c>
      <c r="Q263" s="91"/>
      <c r="R263" s="936" t="str">
        <f t="shared" si="150"/>
        <v/>
      </c>
      <c r="S263" s="936" t="str">
        <f t="shared" si="135"/>
        <v/>
      </c>
      <c r="T263" s="937" t="str">
        <f t="shared" si="136"/>
        <v/>
      </c>
      <c r="U263" s="361"/>
      <c r="V263" s="375"/>
      <c r="W263" s="375"/>
      <c r="X263" s="375"/>
      <c r="Y263" s="1120" t="e">
        <f>VLOOKUP(H263,tab!$A$73:$V$114,I263+2,FALSE)</f>
        <v>#VALUE!</v>
      </c>
      <c r="Z263" s="1211">
        <f>tab!$E$64</f>
        <v>0.62</v>
      </c>
      <c r="AA263" s="1163" t="e">
        <f t="shared" si="137"/>
        <v>#VALUE!</v>
      </c>
      <c r="AB263" s="1163" t="e">
        <f t="shared" si="138"/>
        <v>#VALUE!</v>
      </c>
      <c r="AC263" s="1163" t="e">
        <f t="shared" si="139"/>
        <v>#VALUE!</v>
      </c>
      <c r="AD263" s="1162" t="e">
        <f t="shared" si="140"/>
        <v>#VALUE!</v>
      </c>
      <c r="AE263" s="1162">
        <f t="shared" si="141"/>
        <v>0</v>
      </c>
      <c r="AF263" s="1129">
        <f>IF(H263&gt;8,tab!$D$65,tab!$D$67)</f>
        <v>0.5</v>
      </c>
      <c r="AG263" s="1143">
        <f t="shared" si="152"/>
        <v>0</v>
      </c>
      <c r="AH263" s="1159">
        <f t="shared" si="153"/>
        <v>0</v>
      </c>
      <c r="AI263" s="1142" t="e">
        <f>DATE(YEAR(tab!$H$3),MONTH(G263),DAY(G263))&gt;tab!$H$3</f>
        <v>#VALUE!</v>
      </c>
      <c r="AJ263" s="1143" t="e">
        <f t="shared" si="154"/>
        <v>#VALUE!</v>
      </c>
      <c r="AK263" s="1096">
        <f t="shared" si="155"/>
        <v>30</v>
      </c>
      <c r="AL263" s="1096">
        <f t="shared" si="156"/>
        <v>30</v>
      </c>
      <c r="AM263" s="1143">
        <f t="shared" si="157"/>
        <v>0</v>
      </c>
    </row>
    <row r="264" spans="3:39" ht="12.75" customHeight="1" x14ac:dyDescent="0.2">
      <c r="C264" s="90"/>
      <c r="D264" s="97" t="str">
        <f>IF(op!D197=0,"",op!D197)</f>
        <v/>
      </c>
      <c r="E264" s="97" t="str">
        <f>IF(op!E197=0,"",op!E197)</f>
        <v/>
      </c>
      <c r="F264" s="114" t="str">
        <f>IF(op!F197="","",op!F197+1)</f>
        <v/>
      </c>
      <c r="G264" s="377" t="str">
        <f>IF(op!G197="","",op!G197)</f>
        <v/>
      </c>
      <c r="H264" s="114" t="str">
        <f>IF(op!H197=0,"",op!H197)</f>
        <v/>
      </c>
      <c r="I264" s="129" t="str">
        <f>IF(J264="","",(IF(op!I197+1&gt;LOOKUP(H264,schaal2011,regels2011),op!I197,op!I197+1)))</f>
        <v/>
      </c>
      <c r="J264" s="378" t="str">
        <f>IF(op!J197="","",op!J197)</f>
        <v/>
      </c>
      <c r="K264" s="1194"/>
      <c r="L264" s="1065">
        <f t="shared" si="158"/>
        <v>0</v>
      </c>
      <c r="M264" s="1065">
        <f t="shared" si="158"/>
        <v>0</v>
      </c>
      <c r="N264" s="1077" t="str">
        <f t="shared" si="148"/>
        <v/>
      </c>
      <c r="O264" s="1077" t="str">
        <f t="shared" si="149"/>
        <v/>
      </c>
      <c r="P264" s="1172" t="str">
        <f t="shared" si="134"/>
        <v/>
      </c>
      <c r="Q264" s="91"/>
      <c r="R264" s="936" t="str">
        <f t="shared" si="150"/>
        <v/>
      </c>
      <c r="S264" s="936" t="str">
        <f t="shared" si="135"/>
        <v/>
      </c>
      <c r="T264" s="937" t="str">
        <f t="shared" si="136"/>
        <v/>
      </c>
      <c r="U264" s="361"/>
      <c r="V264" s="375"/>
      <c r="W264" s="375"/>
      <c r="X264" s="375"/>
      <c r="Y264" s="1120" t="e">
        <f>VLOOKUP(H264,tab!$A$73:$V$114,I264+2,FALSE)</f>
        <v>#VALUE!</v>
      </c>
      <c r="Z264" s="1211">
        <f>tab!$E$64</f>
        <v>0.62</v>
      </c>
      <c r="AA264" s="1163" t="e">
        <f t="shared" si="137"/>
        <v>#VALUE!</v>
      </c>
      <c r="AB264" s="1163" t="e">
        <f t="shared" si="138"/>
        <v>#VALUE!</v>
      </c>
      <c r="AC264" s="1163" t="e">
        <f t="shared" si="139"/>
        <v>#VALUE!</v>
      </c>
      <c r="AD264" s="1162" t="e">
        <f t="shared" si="140"/>
        <v>#VALUE!</v>
      </c>
      <c r="AE264" s="1162">
        <f t="shared" si="141"/>
        <v>0</v>
      </c>
      <c r="AF264" s="1129">
        <f>IF(H264&gt;8,tab!$D$65,tab!$D$67)</f>
        <v>0.5</v>
      </c>
      <c r="AG264" s="1143">
        <f t="shared" si="152"/>
        <v>0</v>
      </c>
      <c r="AH264" s="1159">
        <f t="shared" si="153"/>
        <v>0</v>
      </c>
      <c r="AI264" s="1142" t="e">
        <f>DATE(YEAR(tab!$H$3),MONTH(G264),DAY(G264))&gt;tab!$H$3</f>
        <v>#VALUE!</v>
      </c>
      <c r="AJ264" s="1143" t="e">
        <f t="shared" si="154"/>
        <v>#VALUE!</v>
      </c>
      <c r="AK264" s="1096">
        <f t="shared" si="155"/>
        <v>30</v>
      </c>
      <c r="AL264" s="1096">
        <f t="shared" si="156"/>
        <v>30</v>
      </c>
      <c r="AM264" s="1143">
        <f t="shared" si="157"/>
        <v>0</v>
      </c>
    </row>
    <row r="265" spans="3:39" ht="12.75" customHeight="1" x14ac:dyDescent="0.2">
      <c r="C265" s="90"/>
      <c r="D265" s="97" t="str">
        <f>IF(op!D198=0,"",op!D198)</f>
        <v/>
      </c>
      <c r="E265" s="97" t="str">
        <f>IF(op!E198=0,"",op!E198)</f>
        <v/>
      </c>
      <c r="F265" s="114" t="str">
        <f>IF(op!F198="","",op!F198+1)</f>
        <v/>
      </c>
      <c r="G265" s="377" t="str">
        <f>IF(op!G198="","",op!G198)</f>
        <v/>
      </c>
      <c r="H265" s="114" t="str">
        <f>IF(op!H198=0,"",op!H198)</f>
        <v/>
      </c>
      <c r="I265" s="129" t="str">
        <f>IF(J265="","",(IF(op!I198+1&gt;LOOKUP(H265,schaal2011,regels2011),op!I198,op!I198+1)))</f>
        <v/>
      </c>
      <c r="J265" s="378" t="str">
        <f>IF(op!J198="","",op!J198)</f>
        <v/>
      </c>
      <c r="K265" s="1194"/>
      <c r="L265" s="1065">
        <f t="shared" si="158"/>
        <v>0</v>
      </c>
      <c r="M265" s="1065">
        <f t="shared" si="158"/>
        <v>0</v>
      </c>
      <c r="N265" s="1077" t="str">
        <f t="shared" si="148"/>
        <v/>
      </c>
      <c r="O265" s="1077" t="str">
        <f t="shared" si="149"/>
        <v/>
      </c>
      <c r="P265" s="1172" t="str">
        <f t="shared" si="134"/>
        <v/>
      </c>
      <c r="Q265" s="91"/>
      <c r="R265" s="936" t="str">
        <f t="shared" si="150"/>
        <v/>
      </c>
      <c r="S265" s="936" t="str">
        <f t="shared" si="135"/>
        <v/>
      </c>
      <c r="T265" s="937" t="str">
        <f t="shared" si="136"/>
        <v/>
      </c>
      <c r="U265" s="361"/>
      <c r="V265" s="375"/>
      <c r="W265" s="375"/>
      <c r="X265" s="375"/>
      <c r="Y265" s="1120" t="e">
        <f>VLOOKUP(H265,tab!$A$73:$V$114,I265+2,FALSE)</f>
        <v>#VALUE!</v>
      </c>
      <c r="Z265" s="1211">
        <f>tab!$E$64</f>
        <v>0.62</v>
      </c>
      <c r="AA265" s="1163" t="e">
        <f t="shared" si="137"/>
        <v>#VALUE!</v>
      </c>
      <c r="AB265" s="1163" t="e">
        <f t="shared" si="138"/>
        <v>#VALUE!</v>
      </c>
      <c r="AC265" s="1163" t="e">
        <f t="shared" si="139"/>
        <v>#VALUE!</v>
      </c>
      <c r="AD265" s="1162" t="e">
        <f t="shared" si="140"/>
        <v>#VALUE!</v>
      </c>
      <c r="AE265" s="1162">
        <f t="shared" si="141"/>
        <v>0</v>
      </c>
      <c r="AF265" s="1129">
        <f>IF(H265&gt;8,tab!$D$65,tab!$D$67)</f>
        <v>0.5</v>
      </c>
      <c r="AG265" s="1143">
        <f t="shared" si="152"/>
        <v>0</v>
      </c>
      <c r="AH265" s="1159">
        <f t="shared" si="153"/>
        <v>0</v>
      </c>
      <c r="AI265" s="1142" t="e">
        <f>DATE(YEAR(tab!$H$3),MONTH(G265),DAY(G265))&gt;tab!$H$3</f>
        <v>#VALUE!</v>
      </c>
      <c r="AJ265" s="1143" t="e">
        <f t="shared" si="154"/>
        <v>#VALUE!</v>
      </c>
      <c r="AK265" s="1096">
        <f t="shared" si="155"/>
        <v>30</v>
      </c>
      <c r="AL265" s="1096">
        <f t="shared" si="156"/>
        <v>30</v>
      </c>
      <c r="AM265" s="1143">
        <f t="shared" si="157"/>
        <v>0</v>
      </c>
    </row>
    <row r="266" spans="3:39" ht="12.75" customHeight="1" x14ac:dyDescent="0.2">
      <c r="C266" s="90"/>
      <c r="D266" s="97" t="str">
        <f>IF(op!D199=0,"",op!D199)</f>
        <v/>
      </c>
      <c r="E266" s="97" t="str">
        <f>IF(op!E199=0,"",op!E199)</f>
        <v/>
      </c>
      <c r="F266" s="114" t="str">
        <f>IF(op!F199="","",op!F199+1)</f>
        <v/>
      </c>
      <c r="G266" s="377" t="str">
        <f>IF(op!G199="","",op!G199)</f>
        <v/>
      </c>
      <c r="H266" s="114" t="str">
        <f>IF(op!H199=0,"",op!H199)</f>
        <v/>
      </c>
      <c r="I266" s="129" t="str">
        <f>IF(J266="","",(IF(op!I199+1&gt;LOOKUP(H266,schaal2011,regels2011),op!I199,op!I199+1)))</f>
        <v/>
      </c>
      <c r="J266" s="378" t="str">
        <f>IF(op!J199="","",op!J199)</f>
        <v/>
      </c>
      <c r="K266" s="1194"/>
      <c r="L266" s="1065">
        <f t="shared" si="158"/>
        <v>0</v>
      </c>
      <c r="M266" s="1065">
        <f t="shared" si="158"/>
        <v>0</v>
      </c>
      <c r="N266" s="1077" t="str">
        <f t="shared" si="148"/>
        <v/>
      </c>
      <c r="O266" s="1077" t="str">
        <f t="shared" si="149"/>
        <v/>
      </c>
      <c r="P266" s="1172" t="str">
        <f t="shared" si="134"/>
        <v/>
      </c>
      <c r="Q266" s="91"/>
      <c r="R266" s="936" t="str">
        <f t="shared" si="150"/>
        <v/>
      </c>
      <c r="S266" s="936" t="str">
        <f t="shared" si="135"/>
        <v/>
      </c>
      <c r="T266" s="937" t="str">
        <f t="shared" si="136"/>
        <v/>
      </c>
      <c r="U266" s="361"/>
      <c r="V266" s="375"/>
      <c r="W266" s="375"/>
      <c r="X266" s="375"/>
      <c r="Y266" s="1120" t="e">
        <f>VLOOKUP(H266,tab!$A$73:$V$114,I266+2,FALSE)</f>
        <v>#VALUE!</v>
      </c>
      <c r="Z266" s="1211">
        <f>tab!$E$64</f>
        <v>0.62</v>
      </c>
      <c r="AA266" s="1163" t="e">
        <f t="shared" si="137"/>
        <v>#VALUE!</v>
      </c>
      <c r="AB266" s="1163" t="e">
        <f t="shared" si="138"/>
        <v>#VALUE!</v>
      </c>
      <c r="AC266" s="1163" t="e">
        <f t="shared" si="139"/>
        <v>#VALUE!</v>
      </c>
      <c r="AD266" s="1162" t="e">
        <f t="shared" si="140"/>
        <v>#VALUE!</v>
      </c>
      <c r="AE266" s="1162">
        <f t="shared" si="141"/>
        <v>0</v>
      </c>
      <c r="AF266" s="1129">
        <f>IF(H266&gt;8,tab!$D$65,tab!$D$67)</f>
        <v>0.5</v>
      </c>
      <c r="AG266" s="1143">
        <f t="shared" si="152"/>
        <v>0</v>
      </c>
      <c r="AH266" s="1159">
        <f t="shared" si="153"/>
        <v>0</v>
      </c>
      <c r="AI266" s="1142" t="e">
        <f>DATE(YEAR(tab!$H$3),MONTH(G266),DAY(G266))&gt;tab!$H$3</f>
        <v>#VALUE!</v>
      </c>
      <c r="AJ266" s="1143" t="e">
        <f t="shared" si="154"/>
        <v>#VALUE!</v>
      </c>
      <c r="AK266" s="1096">
        <f t="shared" si="155"/>
        <v>30</v>
      </c>
      <c r="AL266" s="1096">
        <f t="shared" si="156"/>
        <v>30</v>
      </c>
      <c r="AM266" s="1143">
        <f t="shared" si="157"/>
        <v>0</v>
      </c>
    </row>
    <row r="267" spans="3:39" ht="12.75" customHeight="1" x14ac:dyDescent="0.2">
      <c r="C267" s="90"/>
      <c r="D267" s="97" t="str">
        <f>IF(op!D200=0,"",op!D200)</f>
        <v/>
      </c>
      <c r="E267" s="97" t="str">
        <f>IF(op!E200=0,"",op!E200)</f>
        <v/>
      </c>
      <c r="F267" s="114" t="str">
        <f>IF(op!F200="","",op!F200+1)</f>
        <v/>
      </c>
      <c r="G267" s="377" t="str">
        <f>IF(op!G200="","",op!G200)</f>
        <v/>
      </c>
      <c r="H267" s="114" t="str">
        <f>IF(op!H200=0,"",op!H200)</f>
        <v/>
      </c>
      <c r="I267" s="129" t="str">
        <f>IF(J267="","",(IF(op!I200+1&gt;LOOKUP(H267,schaal2011,regels2011),op!I200,op!I200+1)))</f>
        <v/>
      </c>
      <c r="J267" s="378" t="str">
        <f>IF(op!J200="","",op!J200)</f>
        <v/>
      </c>
      <c r="K267" s="1194"/>
      <c r="L267" s="1065">
        <f t="shared" si="158"/>
        <v>0</v>
      </c>
      <c r="M267" s="1065">
        <f t="shared" si="158"/>
        <v>0</v>
      </c>
      <c r="N267" s="1077" t="str">
        <f t="shared" si="148"/>
        <v/>
      </c>
      <c r="O267" s="1077" t="str">
        <f t="shared" si="149"/>
        <v/>
      </c>
      <c r="P267" s="1172" t="str">
        <f t="shared" si="134"/>
        <v/>
      </c>
      <c r="Q267" s="91"/>
      <c r="R267" s="936" t="str">
        <f t="shared" si="150"/>
        <v/>
      </c>
      <c r="S267" s="936" t="str">
        <f t="shared" si="135"/>
        <v/>
      </c>
      <c r="T267" s="937" t="str">
        <f t="shared" si="136"/>
        <v/>
      </c>
      <c r="U267" s="361"/>
      <c r="V267" s="375"/>
      <c r="W267" s="375"/>
      <c r="X267" s="375"/>
      <c r="Y267" s="1120" t="e">
        <f>VLOOKUP(H267,tab!$A$73:$V$114,I267+2,FALSE)</f>
        <v>#VALUE!</v>
      </c>
      <c r="Z267" s="1211">
        <f>tab!$E$64</f>
        <v>0.62</v>
      </c>
      <c r="AA267" s="1163" t="e">
        <f t="shared" si="137"/>
        <v>#VALUE!</v>
      </c>
      <c r="AB267" s="1163" t="e">
        <f t="shared" si="138"/>
        <v>#VALUE!</v>
      </c>
      <c r="AC267" s="1163" t="e">
        <f t="shared" si="139"/>
        <v>#VALUE!</v>
      </c>
      <c r="AD267" s="1162" t="e">
        <f t="shared" si="140"/>
        <v>#VALUE!</v>
      </c>
      <c r="AE267" s="1162">
        <f t="shared" si="141"/>
        <v>0</v>
      </c>
      <c r="AF267" s="1129">
        <f>IF(H267&gt;8,tab!$D$65,tab!$D$67)</f>
        <v>0.5</v>
      </c>
      <c r="AG267" s="1143">
        <f t="shared" si="152"/>
        <v>0</v>
      </c>
      <c r="AH267" s="1159">
        <f t="shared" si="153"/>
        <v>0</v>
      </c>
      <c r="AI267" s="1142" t="e">
        <f>DATE(YEAR(tab!$H$3),MONTH(G267),DAY(G267))&gt;tab!$H$3</f>
        <v>#VALUE!</v>
      </c>
      <c r="AJ267" s="1143" t="e">
        <f t="shared" si="154"/>
        <v>#VALUE!</v>
      </c>
      <c r="AK267" s="1096">
        <f t="shared" si="155"/>
        <v>30</v>
      </c>
      <c r="AL267" s="1096">
        <f t="shared" si="156"/>
        <v>30</v>
      </c>
      <c r="AM267" s="1143">
        <f t="shared" si="157"/>
        <v>0</v>
      </c>
    </row>
    <row r="268" spans="3:39" ht="12.75" customHeight="1" x14ac:dyDescent="0.2">
      <c r="C268" s="90"/>
      <c r="D268" s="97" t="str">
        <f>IF(op!D201=0,"",op!D201)</f>
        <v/>
      </c>
      <c r="E268" s="97" t="str">
        <f>IF(op!E201=0,"",op!E201)</f>
        <v/>
      </c>
      <c r="F268" s="114" t="str">
        <f>IF(op!F201="","",op!F201+1)</f>
        <v/>
      </c>
      <c r="G268" s="377" t="str">
        <f>IF(op!G201="","",op!G201)</f>
        <v/>
      </c>
      <c r="H268" s="114" t="str">
        <f>IF(op!H201=0,"",op!H201)</f>
        <v/>
      </c>
      <c r="I268" s="129" t="str">
        <f>IF(J268="","",(IF(op!I201+1&gt;LOOKUP(H268,schaal2011,regels2011),op!I201,op!I201+1)))</f>
        <v/>
      </c>
      <c r="J268" s="378" t="str">
        <f>IF(op!J201="","",op!J201)</f>
        <v/>
      </c>
      <c r="K268" s="1194"/>
      <c r="L268" s="1065">
        <f t="shared" si="158"/>
        <v>0</v>
      </c>
      <c r="M268" s="1065">
        <f t="shared" si="158"/>
        <v>0</v>
      </c>
      <c r="N268" s="1077" t="str">
        <f t="shared" si="148"/>
        <v/>
      </c>
      <c r="O268" s="1077" t="str">
        <f t="shared" si="149"/>
        <v/>
      </c>
      <c r="P268" s="1172" t="str">
        <f t="shared" si="134"/>
        <v/>
      </c>
      <c r="Q268" s="91"/>
      <c r="R268" s="936" t="str">
        <f t="shared" si="150"/>
        <v/>
      </c>
      <c r="S268" s="936" t="str">
        <f t="shared" si="135"/>
        <v/>
      </c>
      <c r="T268" s="937" t="str">
        <f t="shared" si="136"/>
        <v/>
      </c>
      <c r="U268" s="361"/>
      <c r="V268" s="375"/>
      <c r="W268" s="375"/>
      <c r="X268" s="375"/>
      <c r="Y268" s="1120" t="e">
        <f>VLOOKUP(H268,tab!$A$73:$V$114,I268+2,FALSE)</f>
        <v>#VALUE!</v>
      </c>
      <c r="Z268" s="1211">
        <f>tab!$E$64</f>
        <v>0.62</v>
      </c>
      <c r="AA268" s="1163" t="e">
        <f t="shared" si="137"/>
        <v>#VALUE!</v>
      </c>
      <c r="AB268" s="1163" t="e">
        <f t="shared" si="138"/>
        <v>#VALUE!</v>
      </c>
      <c r="AC268" s="1163" t="e">
        <f t="shared" si="139"/>
        <v>#VALUE!</v>
      </c>
      <c r="AD268" s="1162" t="e">
        <f t="shared" si="140"/>
        <v>#VALUE!</v>
      </c>
      <c r="AE268" s="1162">
        <f t="shared" si="141"/>
        <v>0</v>
      </c>
      <c r="AF268" s="1129">
        <f>IF(H268&gt;8,tab!$D$65,tab!$D$67)</f>
        <v>0.5</v>
      </c>
      <c r="AG268" s="1143">
        <f t="shared" si="152"/>
        <v>0</v>
      </c>
      <c r="AH268" s="1159">
        <f t="shared" si="153"/>
        <v>0</v>
      </c>
      <c r="AI268" s="1142" t="e">
        <f>DATE(YEAR(tab!$H$3),MONTH(G268),DAY(G268))&gt;tab!$H$3</f>
        <v>#VALUE!</v>
      </c>
      <c r="AJ268" s="1143" t="e">
        <f t="shared" si="154"/>
        <v>#VALUE!</v>
      </c>
      <c r="AK268" s="1096">
        <f t="shared" si="155"/>
        <v>30</v>
      </c>
      <c r="AL268" s="1096">
        <f t="shared" si="156"/>
        <v>30</v>
      </c>
      <c r="AM268" s="1143">
        <f t="shared" si="157"/>
        <v>0</v>
      </c>
    </row>
    <row r="269" spans="3:39" ht="12.75" customHeight="1" x14ac:dyDescent="0.2">
      <c r="C269" s="90"/>
      <c r="D269" s="97" t="str">
        <f>IF(op!D202=0,"",op!D202)</f>
        <v/>
      </c>
      <c r="E269" s="97" t="str">
        <f>IF(op!E202=0,"",op!E202)</f>
        <v/>
      </c>
      <c r="F269" s="114" t="str">
        <f>IF(op!F202="","",op!F202+1)</f>
        <v/>
      </c>
      <c r="G269" s="377" t="str">
        <f>IF(op!G202="","",op!G202)</f>
        <v/>
      </c>
      <c r="H269" s="114" t="str">
        <f>IF(op!H202=0,"",op!H202)</f>
        <v/>
      </c>
      <c r="I269" s="129" t="str">
        <f>IF(J269="","",(IF(op!I202+1&gt;LOOKUP(H269,schaal2011,regels2011),op!I202,op!I202+1)))</f>
        <v/>
      </c>
      <c r="J269" s="378" t="str">
        <f>IF(op!J202="","",op!J202)</f>
        <v/>
      </c>
      <c r="K269" s="1194"/>
      <c r="L269" s="1065">
        <f t="shared" si="158"/>
        <v>0</v>
      </c>
      <c r="M269" s="1065">
        <f t="shared" si="158"/>
        <v>0</v>
      </c>
      <c r="N269" s="1077" t="str">
        <f t="shared" si="148"/>
        <v/>
      </c>
      <c r="O269" s="1077" t="str">
        <f t="shared" si="149"/>
        <v/>
      </c>
      <c r="P269" s="1172" t="str">
        <f t="shared" si="134"/>
        <v/>
      </c>
      <c r="Q269" s="91"/>
      <c r="R269" s="936" t="str">
        <f t="shared" si="150"/>
        <v/>
      </c>
      <c r="S269" s="936" t="str">
        <f t="shared" si="135"/>
        <v/>
      </c>
      <c r="T269" s="937" t="str">
        <f t="shared" si="136"/>
        <v/>
      </c>
      <c r="U269" s="361"/>
      <c r="V269" s="375"/>
      <c r="W269" s="375"/>
      <c r="X269" s="375"/>
      <c r="Y269" s="1120" t="e">
        <f>VLOOKUP(H269,tab!$A$73:$V$114,I269+2,FALSE)</f>
        <v>#VALUE!</v>
      </c>
      <c r="Z269" s="1211">
        <f>tab!$E$64</f>
        <v>0.62</v>
      </c>
      <c r="AA269" s="1163" t="e">
        <f t="shared" si="137"/>
        <v>#VALUE!</v>
      </c>
      <c r="AB269" s="1163" t="e">
        <f t="shared" si="138"/>
        <v>#VALUE!</v>
      </c>
      <c r="AC269" s="1163" t="e">
        <f t="shared" si="139"/>
        <v>#VALUE!</v>
      </c>
      <c r="AD269" s="1162" t="e">
        <f t="shared" si="140"/>
        <v>#VALUE!</v>
      </c>
      <c r="AE269" s="1162">
        <f t="shared" si="141"/>
        <v>0</v>
      </c>
      <c r="AF269" s="1129">
        <f>IF(H269&gt;8,tab!$D$65,tab!$D$67)</f>
        <v>0.5</v>
      </c>
      <c r="AG269" s="1143">
        <f t="shared" si="152"/>
        <v>0</v>
      </c>
      <c r="AH269" s="1159">
        <f t="shared" si="153"/>
        <v>0</v>
      </c>
      <c r="AI269" s="1142" t="e">
        <f>DATE(YEAR(tab!$H$3),MONTH(G269),DAY(G269))&gt;tab!$H$3</f>
        <v>#VALUE!</v>
      </c>
      <c r="AJ269" s="1143" t="e">
        <f t="shared" si="154"/>
        <v>#VALUE!</v>
      </c>
      <c r="AK269" s="1096">
        <f t="shared" si="155"/>
        <v>30</v>
      </c>
      <c r="AL269" s="1096">
        <f t="shared" si="156"/>
        <v>30</v>
      </c>
      <c r="AM269" s="1143">
        <f t="shared" si="157"/>
        <v>0</v>
      </c>
    </row>
    <row r="270" spans="3:39" ht="12.75" customHeight="1" x14ac:dyDescent="0.2">
      <c r="C270" s="90"/>
      <c r="D270" s="97" t="str">
        <f>IF(op!D203=0,"",op!D203)</f>
        <v/>
      </c>
      <c r="E270" s="97" t="str">
        <f>IF(op!E203=0,"",op!E203)</f>
        <v/>
      </c>
      <c r="F270" s="114" t="str">
        <f>IF(op!F203="","",op!F203+1)</f>
        <v/>
      </c>
      <c r="G270" s="377" t="str">
        <f>IF(op!G203="","",op!G203)</f>
        <v/>
      </c>
      <c r="H270" s="114" t="str">
        <f>IF(op!H203=0,"",op!H203)</f>
        <v/>
      </c>
      <c r="I270" s="129" t="str">
        <f>IF(J270="","",(IF(op!I203+1&gt;LOOKUP(H270,schaal2011,regels2011),op!I203,op!I203+1)))</f>
        <v/>
      </c>
      <c r="J270" s="378" t="str">
        <f>IF(op!J203="","",op!J203)</f>
        <v/>
      </c>
      <c r="K270" s="1194"/>
      <c r="L270" s="1065">
        <f t="shared" si="158"/>
        <v>0</v>
      </c>
      <c r="M270" s="1065">
        <f t="shared" si="158"/>
        <v>0</v>
      </c>
      <c r="N270" s="1077" t="str">
        <f t="shared" si="148"/>
        <v/>
      </c>
      <c r="O270" s="1077" t="str">
        <f t="shared" si="149"/>
        <v/>
      </c>
      <c r="P270" s="1172" t="str">
        <f t="shared" si="134"/>
        <v/>
      </c>
      <c r="Q270" s="91"/>
      <c r="R270" s="936" t="str">
        <f t="shared" si="150"/>
        <v/>
      </c>
      <c r="S270" s="936" t="str">
        <f t="shared" si="135"/>
        <v/>
      </c>
      <c r="T270" s="937" t="str">
        <f t="shared" si="136"/>
        <v/>
      </c>
      <c r="U270" s="361"/>
      <c r="V270" s="375"/>
      <c r="W270" s="375"/>
      <c r="X270" s="375"/>
      <c r="Y270" s="1120" t="e">
        <f>VLOOKUP(H270,tab!$A$73:$V$114,I270+2,FALSE)</f>
        <v>#VALUE!</v>
      </c>
      <c r="Z270" s="1211">
        <f>tab!$E$64</f>
        <v>0.62</v>
      </c>
      <c r="AA270" s="1163" t="e">
        <f t="shared" si="137"/>
        <v>#VALUE!</v>
      </c>
      <c r="AB270" s="1163" t="e">
        <f t="shared" si="138"/>
        <v>#VALUE!</v>
      </c>
      <c r="AC270" s="1163" t="e">
        <f t="shared" si="139"/>
        <v>#VALUE!</v>
      </c>
      <c r="AD270" s="1162" t="e">
        <f t="shared" si="140"/>
        <v>#VALUE!</v>
      </c>
      <c r="AE270" s="1162">
        <f t="shared" si="141"/>
        <v>0</v>
      </c>
      <c r="AF270" s="1129">
        <f>IF(H270&gt;8,tab!$D$65,tab!$D$67)</f>
        <v>0.5</v>
      </c>
      <c r="AG270" s="1143">
        <f t="shared" si="152"/>
        <v>0</v>
      </c>
      <c r="AH270" s="1159">
        <f t="shared" si="153"/>
        <v>0</v>
      </c>
      <c r="AI270" s="1142" t="e">
        <f>DATE(YEAR(tab!$H$3),MONTH(G270),DAY(G270))&gt;tab!$H$3</f>
        <v>#VALUE!</v>
      </c>
      <c r="AJ270" s="1143" t="e">
        <f t="shared" si="154"/>
        <v>#VALUE!</v>
      </c>
      <c r="AK270" s="1096">
        <f t="shared" si="155"/>
        <v>30</v>
      </c>
      <c r="AL270" s="1096">
        <f t="shared" si="156"/>
        <v>30</v>
      </c>
      <c r="AM270" s="1143">
        <f t="shared" si="157"/>
        <v>0</v>
      </c>
    </row>
    <row r="271" spans="3:39" ht="12.75" customHeight="1" x14ac:dyDescent="0.2">
      <c r="C271" s="90"/>
      <c r="D271" s="97" t="str">
        <f>IF(op!D204=0,"",op!D204)</f>
        <v/>
      </c>
      <c r="E271" s="97" t="str">
        <f>IF(op!E204=0,"",op!E204)</f>
        <v/>
      </c>
      <c r="F271" s="114" t="str">
        <f>IF(op!F204="","",op!F204+1)</f>
        <v/>
      </c>
      <c r="G271" s="377" t="str">
        <f>IF(op!G204="","",op!G204)</f>
        <v/>
      </c>
      <c r="H271" s="114" t="str">
        <f>IF(op!H204=0,"",op!H204)</f>
        <v/>
      </c>
      <c r="I271" s="129" t="str">
        <f>IF(J271="","",(IF(op!I204+1&gt;LOOKUP(H271,schaal2011,regels2011),op!I204,op!I204+1)))</f>
        <v/>
      </c>
      <c r="J271" s="378" t="str">
        <f>IF(op!J204="","",op!J204)</f>
        <v/>
      </c>
      <c r="K271" s="1194"/>
      <c r="L271" s="1065">
        <f t="shared" si="158"/>
        <v>0</v>
      </c>
      <c r="M271" s="1065">
        <f t="shared" si="158"/>
        <v>0</v>
      </c>
      <c r="N271" s="1077" t="str">
        <f t="shared" si="148"/>
        <v/>
      </c>
      <c r="O271" s="1077" t="str">
        <f t="shared" si="149"/>
        <v/>
      </c>
      <c r="P271" s="1172" t="str">
        <f t="shared" si="134"/>
        <v/>
      </c>
      <c r="Q271" s="91"/>
      <c r="R271" s="936" t="str">
        <f t="shared" si="150"/>
        <v/>
      </c>
      <c r="S271" s="936" t="str">
        <f t="shared" si="135"/>
        <v/>
      </c>
      <c r="T271" s="937" t="str">
        <f t="shared" si="136"/>
        <v/>
      </c>
      <c r="U271" s="361"/>
      <c r="V271" s="375"/>
      <c r="W271" s="375"/>
      <c r="X271" s="375"/>
      <c r="Y271" s="1120" t="e">
        <f>VLOOKUP(H271,tab!$A$73:$V$114,I271+2,FALSE)</f>
        <v>#VALUE!</v>
      </c>
      <c r="Z271" s="1211">
        <f>tab!$E$64</f>
        <v>0.62</v>
      </c>
      <c r="AA271" s="1163" t="e">
        <f t="shared" si="137"/>
        <v>#VALUE!</v>
      </c>
      <c r="AB271" s="1163" t="e">
        <f t="shared" si="138"/>
        <v>#VALUE!</v>
      </c>
      <c r="AC271" s="1163" t="e">
        <f t="shared" si="139"/>
        <v>#VALUE!</v>
      </c>
      <c r="AD271" s="1162" t="e">
        <f t="shared" si="140"/>
        <v>#VALUE!</v>
      </c>
      <c r="AE271" s="1162">
        <f t="shared" si="141"/>
        <v>0</v>
      </c>
      <c r="AF271" s="1129">
        <f>IF(H271&gt;8,tab!$D$65,tab!$D$67)</f>
        <v>0.5</v>
      </c>
      <c r="AG271" s="1143">
        <f t="shared" si="152"/>
        <v>0</v>
      </c>
      <c r="AH271" s="1159">
        <f t="shared" si="153"/>
        <v>0</v>
      </c>
      <c r="AI271" s="1142" t="e">
        <f>DATE(YEAR(tab!$H$3),MONTH(G271),DAY(G271))&gt;tab!$H$3</f>
        <v>#VALUE!</v>
      </c>
      <c r="AJ271" s="1143" t="e">
        <f t="shared" si="154"/>
        <v>#VALUE!</v>
      </c>
      <c r="AK271" s="1096">
        <f t="shared" si="155"/>
        <v>30</v>
      </c>
      <c r="AL271" s="1096">
        <f t="shared" si="156"/>
        <v>30</v>
      </c>
      <c r="AM271" s="1143">
        <f t="shared" si="157"/>
        <v>0</v>
      </c>
    </row>
    <row r="272" spans="3:39" ht="12.75" customHeight="1" x14ac:dyDescent="0.2">
      <c r="C272" s="90"/>
      <c r="D272" s="97" t="str">
        <f>IF(op!D205=0,"",op!D205)</f>
        <v/>
      </c>
      <c r="E272" s="97" t="str">
        <f>IF(op!E205=0,"",op!E205)</f>
        <v/>
      </c>
      <c r="F272" s="114" t="str">
        <f>IF(op!F205="","",op!F205+1)</f>
        <v/>
      </c>
      <c r="G272" s="377" t="str">
        <f>IF(op!G205="","",op!G205)</f>
        <v/>
      </c>
      <c r="H272" s="114" t="str">
        <f>IF(op!H205=0,"",op!H205)</f>
        <v/>
      </c>
      <c r="I272" s="129" t="str">
        <f>IF(J272="","",(IF(op!I205+1&gt;LOOKUP(H272,schaal2011,regels2011),op!I205,op!I205+1)))</f>
        <v/>
      </c>
      <c r="J272" s="378" t="str">
        <f>IF(op!J205="","",op!J205)</f>
        <v/>
      </c>
      <c r="K272" s="1194"/>
      <c r="L272" s="1065">
        <f t="shared" si="158"/>
        <v>0</v>
      </c>
      <c r="M272" s="1065">
        <f t="shared" si="158"/>
        <v>0</v>
      </c>
      <c r="N272" s="1077" t="str">
        <f t="shared" si="148"/>
        <v/>
      </c>
      <c r="O272" s="1077" t="str">
        <f t="shared" si="149"/>
        <v/>
      </c>
      <c r="P272" s="1172" t="str">
        <f t="shared" si="134"/>
        <v/>
      </c>
      <c r="Q272" s="91"/>
      <c r="R272" s="936" t="str">
        <f t="shared" si="150"/>
        <v/>
      </c>
      <c r="S272" s="936" t="str">
        <f t="shared" si="135"/>
        <v/>
      </c>
      <c r="T272" s="937" t="str">
        <f t="shared" si="136"/>
        <v/>
      </c>
      <c r="U272" s="361"/>
      <c r="V272" s="375"/>
      <c r="W272" s="375"/>
      <c r="X272" s="375"/>
      <c r="Y272" s="1120" t="e">
        <f>VLOOKUP(H272,tab!$A$73:$V$114,I272+2,FALSE)</f>
        <v>#VALUE!</v>
      </c>
      <c r="Z272" s="1211">
        <f>tab!$E$64</f>
        <v>0.62</v>
      </c>
      <c r="AA272" s="1163" t="e">
        <f t="shared" si="137"/>
        <v>#VALUE!</v>
      </c>
      <c r="AB272" s="1163" t="e">
        <f t="shared" si="138"/>
        <v>#VALUE!</v>
      </c>
      <c r="AC272" s="1163" t="e">
        <f t="shared" si="139"/>
        <v>#VALUE!</v>
      </c>
      <c r="AD272" s="1162" t="e">
        <f t="shared" si="140"/>
        <v>#VALUE!</v>
      </c>
      <c r="AE272" s="1162">
        <f t="shared" si="141"/>
        <v>0</v>
      </c>
      <c r="AF272" s="1129">
        <f>IF(H272&gt;8,tab!$D$65,tab!$D$67)</f>
        <v>0.5</v>
      </c>
      <c r="AG272" s="1143">
        <f t="shared" si="152"/>
        <v>0</v>
      </c>
      <c r="AH272" s="1159">
        <f t="shared" si="153"/>
        <v>0</v>
      </c>
      <c r="AI272" s="1142" t="e">
        <f>DATE(YEAR(tab!$H$3),MONTH(G272),DAY(G272))&gt;tab!$H$3</f>
        <v>#VALUE!</v>
      </c>
      <c r="AJ272" s="1143" t="e">
        <f t="shared" si="154"/>
        <v>#VALUE!</v>
      </c>
      <c r="AK272" s="1096">
        <f t="shared" si="155"/>
        <v>30</v>
      </c>
      <c r="AL272" s="1096">
        <f t="shared" si="156"/>
        <v>30</v>
      </c>
      <c r="AM272" s="1143">
        <f t="shared" si="157"/>
        <v>0</v>
      </c>
    </row>
    <row r="273" spans="2:40" ht="12.75" customHeight="1" x14ac:dyDescent="0.2">
      <c r="C273" s="90"/>
      <c r="D273" s="97" t="str">
        <f>IF(op!D206=0,"",op!D206)</f>
        <v/>
      </c>
      <c r="E273" s="97" t="str">
        <f>IF(op!E206=0,"",op!E206)</f>
        <v/>
      </c>
      <c r="F273" s="114" t="str">
        <f>IF(op!F206="","",op!F206+1)</f>
        <v/>
      </c>
      <c r="G273" s="377" t="str">
        <f>IF(op!G206="","",op!G206)</f>
        <v/>
      </c>
      <c r="H273" s="114" t="str">
        <f>IF(op!H206=0,"",op!H206)</f>
        <v/>
      </c>
      <c r="I273" s="129" t="str">
        <f>IF(J273="","",(IF(op!I206+1&gt;LOOKUP(H273,schaal2011,regels2011),op!I206,op!I206+1)))</f>
        <v/>
      </c>
      <c r="J273" s="378" t="str">
        <f>IF(op!J206="","",op!J206)</f>
        <v/>
      </c>
      <c r="K273" s="1194"/>
      <c r="L273" s="1065">
        <f t="shared" si="158"/>
        <v>0</v>
      </c>
      <c r="M273" s="1065">
        <f t="shared" si="158"/>
        <v>0</v>
      </c>
      <c r="N273" s="1077" t="str">
        <f t="shared" si="148"/>
        <v/>
      </c>
      <c r="O273" s="1077" t="str">
        <f t="shared" si="149"/>
        <v/>
      </c>
      <c r="P273" s="1172" t="str">
        <f t="shared" si="134"/>
        <v/>
      </c>
      <c r="Q273" s="91"/>
      <c r="R273" s="936" t="str">
        <f t="shared" si="150"/>
        <v/>
      </c>
      <c r="S273" s="936" t="str">
        <f t="shared" si="135"/>
        <v/>
      </c>
      <c r="T273" s="937" t="str">
        <f t="shared" si="136"/>
        <v/>
      </c>
      <c r="U273" s="361"/>
      <c r="V273" s="375"/>
      <c r="W273" s="375"/>
      <c r="X273" s="375"/>
      <c r="Y273" s="1120" t="e">
        <f>VLOOKUP(H273,tab!$A$73:$V$114,I273+2,FALSE)</f>
        <v>#VALUE!</v>
      </c>
      <c r="Z273" s="1211">
        <f>tab!$E$64</f>
        <v>0.62</v>
      </c>
      <c r="AA273" s="1163" t="e">
        <f t="shared" si="137"/>
        <v>#VALUE!</v>
      </c>
      <c r="AB273" s="1163" t="e">
        <f t="shared" si="138"/>
        <v>#VALUE!</v>
      </c>
      <c r="AC273" s="1163" t="e">
        <f t="shared" si="139"/>
        <v>#VALUE!</v>
      </c>
      <c r="AD273" s="1162" t="e">
        <f t="shared" si="140"/>
        <v>#VALUE!</v>
      </c>
      <c r="AE273" s="1162">
        <f t="shared" si="141"/>
        <v>0</v>
      </c>
      <c r="AF273" s="1129">
        <f>IF(H273&gt;8,tab!$D$65,tab!$D$67)</f>
        <v>0.5</v>
      </c>
      <c r="AG273" s="1143">
        <f t="shared" si="152"/>
        <v>0</v>
      </c>
      <c r="AH273" s="1159">
        <f t="shared" si="153"/>
        <v>0</v>
      </c>
      <c r="AI273" s="1142" t="e">
        <f>DATE(YEAR(tab!$H$3),MONTH(G273),DAY(G273))&gt;tab!$H$3</f>
        <v>#VALUE!</v>
      </c>
      <c r="AJ273" s="1143" t="e">
        <f t="shared" si="154"/>
        <v>#VALUE!</v>
      </c>
      <c r="AK273" s="1096">
        <f t="shared" si="155"/>
        <v>30</v>
      </c>
      <c r="AL273" s="1096">
        <f t="shared" si="156"/>
        <v>30</v>
      </c>
      <c r="AM273" s="1143">
        <f t="shared" si="157"/>
        <v>0</v>
      </c>
    </row>
    <row r="274" spans="2:40" x14ac:dyDescent="0.2">
      <c r="C274" s="98"/>
      <c r="D274" s="227"/>
      <c r="E274" s="436"/>
      <c r="F274" s="436"/>
      <c r="G274" s="437"/>
      <c r="H274" s="436"/>
      <c r="I274" s="438"/>
      <c r="J274" s="953">
        <f>SUM(J219:J273)</f>
        <v>1</v>
      </c>
      <c r="K274" s="1195"/>
      <c r="L274" s="1161">
        <f>SUM(L219:L273)</f>
        <v>0</v>
      </c>
      <c r="M274" s="1161">
        <f>SUM(M219:M273)</f>
        <v>0</v>
      </c>
      <c r="N274" s="1161">
        <f>SUM(N219:N273)</f>
        <v>40</v>
      </c>
      <c r="O274" s="1161">
        <f t="shared" ref="O274:P274" si="159">SUM(O219:O273)</f>
        <v>0</v>
      </c>
      <c r="P274" s="1161">
        <f t="shared" si="159"/>
        <v>40</v>
      </c>
      <c r="Q274" s="227"/>
      <c r="R274" s="954">
        <f t="shared" ref="R274" si="160">SUM(R219:R273)</f>
        <v>95842.926292947566</v>
      </c>
      <c r="S274" s="954">
        <f t="shared" ref="S274:T274" si="161">SUM(S219:S273)</f>
        <v>2367.9537070524411</v>
      </c>
      <c r="T274" s="954">
        <f t="shared" si="161"/>
        <v>98210.880000000005</v>
      </c>
      <c r="U274" s="106"/>
      <c r="Y274" s="1121" t="e">
        <f>SUM(Y219:Y273)</f>
        <v>#VALUE!</v>
      </c>
      <c r="AA274" s="1121"/>
      <c r="AB274" s="1121" t="e">
        <f t="shared" ref="AB274" si="162">SUM(AB219:AB273)</f>
        <v>#VALUE!</v>
      </c>
      <c r="AC274" s="1121"/>
      <c r="AF274" s="1145"/>
      <c r="AG274" s="1146">
        <f>SUM(AG219:AG273)</f>
        <v>0</v>
      </c>
      <c r="AH274" s="1155">
        <f>SUM(AH219:AH273)</f>
        <v>0</v>
      </c>
      <c r="AI274" s="1144"/>
      <c r="AJ274" s="1144"/>
    </row>
    <row r="275" spans="2:40" x14ac:dyDescent="0.2">
      <c r="H275" s="174"/>
      <c r="K275" s="1196"/>
      <c r="Q275" s="281"/>
      <c r="R275" s="439"/>
      <c r="S275" s="416"/>
      <c r="Y275" s="1093"/>
      <c r="AA275" s="1121"/>
      <c r="AB275" s="1121"/>
      <c r="AC275" s="1121"/>
      <c r="AF275" s="1145"/>
      <c r="AG275" s="1146"/>
      <c r="AH275" s="1155"/>
    </row>
    <row r="278" spans="2:40" x14ac:dyDescent="0.2">
      <c r="C278" s="68" t="s">
        <v>195</v>
      </c>
      <c r="E278" s="415" t="str">
        <f>dir!E99</f>
        <v>2019/20</v>
      </c>
    </row>
    <row r="279" spans="2:40" x14ac:dyDescent="0.2">
      <c r="C279" s="68" t="s">
        <v>217</v>
      </c>
      <c r="E279" s="415">
        <f>dir!E100</f>
        <v>43739</v>
      </c>
    </row>
    <row r="281" spans="2:40" ht="12.75" customHeight="1" x14ac:dyDescent="0.2">
      <c r="C281" s="432"/>
      <c r="D281" s="921"/>
      <c r="E281" s="920"/>
      <c r="F281" s="900"/>
      <c r="G281" s="922"/>
      <c r="H281" s="923"/>
      <c r="I281" s="923"/>
      <c r="J281" s="924"/>
      <c r="K281" s="1190"/>
      <c r="L281" s="1016"/>
      <c r="M281" s="1016"/>
      <c r="N281" s="1016"/>
      <c r="O281" s="1016"/>
      <c r="P281" s="1169"/>
      <c r="Q281" s="925"/>
      <c r="R281" s="925"/>
      <c r="S281" s="925"/>
      <c r="T281" s="926"/>
      <c r="U281" s="906"/>
    </row>
    <row r="282" spans="2:40" s="106" customFormat="1" ht="12.75" customHeight="1" x14ac:dyDescent="0.2">
      <c r="B282" s="68"/>
      <c r="C282" s="183"/>
      <c r="D282" s="1074" t="s">
        <v>335</v>
      </c>
      <c r="E282" s="1075"/>
      <c r="F282" s="1075"/>
      <c r="G282" s="1075"/>
      <c r="H282" s="1076"/>
      <c r="I282" s="1076"/>
      <c r="J282" s="1076"/>
      <c r="K282" s="1191"/>
      <c r="L282" s="1074" t="s">
        <v>561</v>
      </c>
      <c r="M282" s="1064"/>
      <c r="N282" s="1074"/>
      <c r="O282" s="1074"/>
      <c r="P282" s="1170"/>
      <c r="Q282" s="927"/>
      <c r="R282" s="1074" t="s">
        <v>563</v>
      </c>
      <c r="S282" s="1076"/>
      <c r="T282" s="1153"/>
      <c r="U282" s="944"/>
      <c r="V282" s="68"/>
      <c r="W282" s="68"/>
      <c r="X282" s="68"/>
      <c r="Y282" s="1094"/>
      <c r="Z282" s="1126"/>
      <c r="AA282" s="1094"/>
      <c r="AB282" s="1094"/>
      <c r="AC282" s="1094"/>
      <c r="AD282" s="1125"/>
      <c r="AE282" s="1125"/>
      <c r="AF282" s="1126"/>
      <c r="AG282" s="1151"/>
      <c r="AH282" s="1160"/>
      <c r="AI282" s="1141"/>
      <c r="AJ282" s="1141"/>
      <c r="AK282" s="1141"/>
      <c r="AL282" s="1141"/>
      <c r="AM282" s="1141"/>
      <c r="AN282" s="365"/>
    </row>
    <row r="283" spans="2:40" s="106" customFormat="1" ht="12.75" customHeight="1" x14ac:dyDescent="0.2">
      <c r="B283" s="68"/>
      <c r="C283" s="183"/>
      <c r="D283" s="886" t="s">
        <v>549</v>
      </c>
      <c r="E283" s="886" t="s">
        <v>201</v>
      </c>
      <c r="F283" s="929" t="s">
        <v>147</v>
      </c>
      <c r="G283" s="930" t="s">
        <v>325</v>
      </c>
      <c r="H283" s="929" t="s">
        <v>231</v>
      </c>
      <c r="I283" s="929" t="s">
        <v>262</v>
      </c>
      <c r="J283" s="931" t="s">
        <v>150</v>
      </c>
      <c r="K283" s="1192"/>
      <c r="L283" s="932" t="s">
        <v>544</v>
      </c>
      <c r="M283" s="932" t="s">
        <v>537</v>
      </c>
      <c r="N283" s="932" t="s">
        <v>551</v>
      </c>
      <c r="O283" s="932" t="s">
        <v>544</v>
      </c>
      <c r="P283" s="1171" t="s">
        <v>556</v>
      </c>
      <c r="Q283" s="898"/>
      <c r="R283" s="1073" t="s">
        <v>216</v>
      </c>
      <c r="S283" s="934" t="s">
        <v>562</v>
      </c>
      <c r="T283" s="935" t="s">
        <v>216</v>
      </c>
      <c r="U283" s="945"/>
      <c r="V283" s="68"/>
      <c r="W283" s="68"/>
      <c r="X283" s="68"/>
      <c r="Y283" s="1127" t="s">
        <v>361</v>
      </c>
      <c r="Z283" s="1182" t="s">
        <v>548</v>
      </c>
      <c r="AA283" s="1115" t="s">
        <v>557</v>
      </c>
      <c r="AB283" s="1115" t="s">
        <v>557</v>
      </c>
      <c r="AC283" s="1115" t="s">
        <v>560</v>
      </c>
      <c r="AD283" s="1128" t="s">
        <v>542</v>
      </c>
      <c r="AE283" s="1128" t="s">
        <v>543</v>
      </c>
      <c r="AF283" s="1114" t="s">
        <v>539</v>
      </c>
      <c r="AG283" s="1152" t="s">
        <v>343</v>
      </c>
      <c r="AH283" s="1160" t="s">
        <v>468</v>
      </c>
      <c r="AI283" s="1114" t="s">
        <v>328</v>
      </c>
      <c r="AJ283" s="1114" t="s">
        <v>329</v>
      </c>
      <c r="AK283" s="1114" t="s">
        <v>149</v>
      </c>
      <c r="AL283" s="1114" t="s">
        <v>228</v>
      </c>
      <c r="AM283" s="1128" t="s">
        <v>203</v>
      </c>
      <c r="AN283" s="369"/>
    </row>
    <row r="284" spans="2:40" s="106" customFormat="1" ht="12.75" customHeight="1" x14ac:dyDescent="0.2">
      <c r="B284" s="68"/>
      <c r="C284" s="183"/>
      <c r="D284" s="1075"/>
      <c r="E284" s="886"/>
      <c r="F284" s="929" t="s">
        <v>148</v>
      </c>
      <c r="G284" s="930" t="s">
        <v>326</v>
      </c>
      <c r="H284" s="929"/>
      <c r="I284" s="929"/>
      <c r="J284" s="931"/>
      <c r="K284" s="1192"/>
      <c r="L284" s="932" t="s">
        <v>545</v>
      </c>
      <c r="M284" s="932" t="s">
        <v>547</v>
      </c>
      <c r="N284" s="932" t="s">
        <v>552</v>
      </c>
      <c r="O284" s="932" t="s">
        <v>546</v>
      </c>
      <c r="P284" s="1171" t="s">
        <v>320</v>
      </c>
      <c r="Q284" s="898"/>
      <c r="R284" s="902" t="s">
        <v>554</v>
      </c>
      <c r="S284" s="934" t="s">
        <v>538</v>
      </c>
      <c r="T284" s="935" t="s">
        <v>320</v>
      </c>
      <c r="U284" s="906"/>
      <c r="V284" s="68"/>
      <c r="W284" s="68"/>
      <c r="X284" s="68"/>
      <c r="Y284" s="1127" t="s">
        <v>223</v>
      </c>
      <c r="Z284" s="1183">
        <f>tab!$E$64</f>
        <v>0.62</v>
      </c>
      <c r="AA284" s="1115" t="s">
        <v>558</v>
      </c>
      <c r="AB284" s="1115" t="s">
        <v>559</v>
      </c>
      <c r="AC284" s="1115" t="s">
        <v>555</v>
      </c>
      <c r="AD284" s="1128" t="s">
        <v>541</v>
      </c>
      <c r="AE284" s="1128" t="s">
        <v>541</v>
      </c>
      <c r="AF284" s="1114" t="s">
        <v>540</v>
      </c>
      <c r="AG284" s="1152"/>
      <c r="AH284" s="1159" t="s">
        <v>261</v>
      </c>
      <c r="AI284" s="1128" t="s">
        <v>327</v>
      </c>
      <c r="AJ284" s="1128" t="s">
        <v>327</v>
      </c>
      <c r="AK284" s="1114"/>
      <c r="AL284" s="1114" t="s">
        <v>203</v>
      </c>
      <c r="AM284" s="1128"/>
      <c r="AN284" s="434"/>
    </row>
    <row r="285" spans="2:40" ht="12.75" customHeight="1" x14ac:dyDescent="0.2">
      <c r="C285" s="90"/>
      <c r="D285" s="942"/>
      <c r="E285" s="942"/>
      <c r="F285" s="899"/>
      <c r="G285" s="946"/>
      <c r="H285" s="929"/>
      <c r="I285" s="929"/>
      <c r="J285" s="931"/>
      <c r="K285" s="1193"/>
      <c r="L285" s="932"/>
      <c r="M285" s="932"/>
      <c r="N285" s="932"/>
      <c r="O285" s="932"/>
      <c r="P285" s="1171"/>
      <c r="Q285" s="1072"/>
      <c r="R285" s="947"/>
      <c r="S285" s="947"/>
      <c r="T285" s="948"/>
      <c r="U285" s="906"/>
      <c r="Y285" s="1127"/>
      <c r="Z285" s="1113"/>
      <c r="AA285" s="1113"/>
      <c r="AB285" s="1113"/>
      <c r="AC285" s="1113"/>
      <c r="AD285" s="1128"/>
      <c r="AE285" s="1128"/>
      <c r="AF285" s="1113"/>
      <c r="AG285" s="1152"/>
      <c r="AH285" s="1159"/>
      <c r="AM285" s="1128"/>
      <c r="AN285" s="375"/>
    </row>
    <row r="286" spans="2:40" ht="12.75" customHeight="1" x14ac:dyDescent="0.2">
      <c r="C286" s="90"/>
      <c r="D286" s="97" t="str">
        <f>IF(op!D219=0,"",op!D219)</f>
        <v/>
      </c>
      <c r="E286" s="97" t="str">
        <f>IF(op!E219=0,"-",op!E219)</f>
        <v>nn</v>
      </c>
      <c r="F286" s="114">
        <f>IF(op!F219="","",op!F219+1)</f>
        <v>29</v>
      </c>
      <c r="G286" s="377">
        <f>IF(op!G219="","",op!G219)</f>
        <v>26665</v>
      </c>
      <c r="H286" s="114" t="str">
        <f>IF(op!H219=0,"",op!H219)</f>
        <v>LE</v>
      </c>
      <c r="I286" s="129">
        <f>IF(J286="","",(IF(op!I219+1&gt;LOOKUP(H286,schaal2011,regels2011),op!I219,op!I219+1)))</f>
        <v>14</v>
      </c>
      <c r="J286" s="378">
        <f>IF(op!J219="","",op!J219)</f>
        <v>1</v>
      </c>
      <c r="K286" s="1194"/>
      <c r="L286" s="1065">
        <f t="shared" ref="L286:M305" si="163">IF(L219="","",L219)</f>
        <v>0</v>
      </c>
      <c r="M286" s="1065">
        <f t="shared" si="163"/>
        <v>0</v>
      </c>
      <c r="N286" s="1077">
        <f>IF(J286="","",IF((J286*40)&gt;40,40,((J286*40))))</f>
        <v>40</v>
      </c>
      <c r="O286" s="1077">
        <f>IF(J286="","",IF(I286&lt;4,(40*J286),0))</f>
        <v>0</v>
      </c>
      <c r="P286" s="1172">
        <f t="shared" ref="P286:P340" si="164">IF(J286="","",(SUM(L286:O286)))</f>
        <v>40</v>
      </c>
      <c r="Q286" s="91"/>
      <c r="R286" s="936">
        <f>IF(J286="","",(((1659*J286)-P286)*AB286))</f>
        <v>98688.618878842681</v>
      </c>
      <c r="S286" s="936">
        <f t="shared" ref="S286:S340" si="165">IF(J286="","",(P286*AC286)+(AA286*AD286)+((AE286*AA286*(1-AF286))))</f>
        <v>2438.2611211573239</v>
      </c>
      <c r="T286" s="937">
        <f t="shared" ref="T286:T340" si="166">IF(J286="","",(R286+S286))</f>
        <v>101126.88</v>
      </c>
      <c r="U286" s="361"/>
      <c r="V286" s="375"/>
      <c r="W286" s="375"/>
      <c r="X286" s="375"/>
      <c r="Y286" s="1120">
        <f>VLOOKUP(H286,tab!$A$73:$V$114,I286+2,FALSE)</f>
        <v>5202</v>
      </c>
      <c r="Z286" s="1211">
        <f>tab!$E$64</f>
        <v>0.62</v>
      </c>
      <c r="AA286" s="1163">
        <f t="shared" ref="AA286:AA340" si="167">(Y286*12/1659)</f>
        <v>37.627486437613022</v>
      </c>
      <c r="AB286" s="1163">
        <f t="shared" ref="AB286:AB340" si="168">(Y286*12*(1+Z286))/1659</f>
        <v>60.956528028933093</v>
      </c>
      <c r="AC286" s="1163">
        <f t="shared" ref="AC286:AC340" si="169">AB286-AA286</f>
        <v>23.32904159132007</v>
      </c>
      <c r="AD286" s="1162">
        <f t="shared" ref="AD286:AD340" si="170">(N286+O286)</f>
        <v>40</v>
      </c>
      <c r="AE286" s="1162">
        <f t="shared" ref="AE286:AE340" si="171">(L286+M286)</f>
        <v>0</v>
      </c>
      <c r="AF286" s="1129">
        <f>IF(H286&gt;8,tab!$D$65,tab!$D$67)</f>
        <v>0.5</v>
      </c>
      <c r="AG286" s="1143">
        <f t="shared" ref="AG286:AG317" si="172">IF(F286&lt;25,0,IF(F286=25,25,IF(F286&lt;40,0,IF(F286=40,40,IF(F286&gt;=40,0)))))</f>
        <v>0</v>
      </c>
      <c r="AH286" s="1159">
        <f t="shared" ref="AH286:AH317" si="173">IF(AG286=25,(Y286*1.08*(J286)/2),IF(AG286=40,(Y286*1.08*(J286)),IF(AG286=0,0)))</f>
        <v>0</v>
      </c>
      <c r="AI286" s="1142" t="b">
        <f>DATE(YEAR(tab!$I$3),MONTH(G286),DAY(G286))&gt;tab!$I$3</f>
        <v>0</v>
      </c>
      <c r="AJ286" s="1143">
        <f t="shared" ref="AJ286:AJ317" si="174">YEAR($E$279)-YEAR(G286)-AI286</f>
        <v>46</v>
      </c>
      <c r="AK286" s="1096">
        <f t="shared" ref="AK286:AK317" si="175">IF((G286=""),30,AJ286)</f>
        <v>46</v>
      </c>
      <c r="AL286" s="1096">
        <f>IF((AK286)&gt;50,50,(AK286))</f>
        <v>46</v>
      </c>
      <c r="AM286" s="1143">
        <f t="shared" ref="AM286:AM317" si="176">ROUND((AL286*(SUM(J286:J286))),2)</f>
        <v>46</v>
      </c>
    </row>
    <row r="287" spans="2:40" ht="12.75" customHeight="1" x14ac:dyDescent="0.2">
      <c r="C287" s="90"/>
      <c r="D287" s="97" t="str">
        <f>IF(op!D220=0,"",op!D220)</f>
        <v/>
      </c>
      <c r="E287" s="97" t="str">
        <f>IF(op!E220=0,"-",op!E220)</f>
        <v/>
      </c>
      <c r="F287" s="114" t="str">
        <f>IF(op!F220="","",op!F220+1)</f>
        <v/>
      </c>
      <c r="G287" s="377" t="str">
        <f>IF(op!G220="","",op!G220)</f>
        <v/>
      </c>
      <c r="H287" s="114" t="str">
        <f>IF(op!H220=0,"",op!H220)</f>
        <v/>
      </c>
      <c r="I287" s="129" t="str">
        <f>IF(J287="","",(IF(op!I220+1&gt;LOOKUP(H287,schaal2011,regels2011),op!I220,op!I220+1)))</f>
        <v/>
      </c>
      <c r="J287" s="378" t="str">
        <f>IF(op!J220="","",op!J220)</f>
        <v/>
      </c>
      <c r="K287" s="1194"/>
      <c r="L287" s="1065">
        <f t="shared" si="163"/>
        <v>0</v>
      </c>
      <c r="M287" s="1065">
        <f t="shared" si="163"/>
        <v>0</v>
      </c>
      <c r="N287" s="1077" t="str">
        <f t="shared" ref="N287:N340" si="177">IF(J287="","",IF((J287*40)&gt;40,40,((J287*40))))</f>
        <v/>
      </c>
      <c r="O287" s="1077" t="str">
        <f t="shared" ref="O287:O340" si="178">IF(J287="","",IF(I287&lt;4,(40*J287),0))</f>
        <v/>
      </c>
      <c r="P287" s="1172" t="str">
        <f t="shared" si="164"/>
        <v/>
      </c>
      <c r="Q287" s="91"/>
      <c r="R287" s="936" t="str">
        <f t="shared" ref="R287:R340" si="179">IF(J287="","",(((1659*J287)-P287)*AB287))</f>
        <v/>
      </c>
      <c r="S287" s="936" t="str">
        <f t="shared" si="165"/>
        <v/>
      </c>
      <c r="T287" s="937" t="str">
        <f t="shared" si="166"/>
        <v/>
      </c>
      <c r="U287" s="361"/>
      <c r="V287" s="375"/>
      <c r="W287" s="375"/>
      <c r="X287" s="375"/>
      <c r="Y287" s="1120" t="e">
        <f>VLOOKUP(H287,tab!$A$73:$V$114,I287+2,FALSE)</f>
        <v>#VALUE!</v>
      </c>
      <c r="Z287" s="1211">
        <f>tab!$E$64</f>
        <v>0.62</v>
      </c>
      <c r="AA287" s="1163" t="e">
        <f t="shared" si="167"/>
        <v>#VALUE!</v>
      </c>
      <c r="AB287" s="1163" t="e">
        <f t="shared" si="168"/>
        <v>#VALUE!</v>
      </c>
      <c r="AC287" s="1163" t="e">
        <f t="shared" si="169"/>
        <v>#VALUE!</v>
      </c>
      <c r="AD287" s="1162" t="e">
        <f t="shared" si="170"/>
        <v>#VALUE!</v>
      </c>
      <c r="AE287" s="1162">
        <f t="shared" si="171"/>
        <v>0</v>
      </c>
      <c r="AF287" s="1129">
        <f>IF(H287&gt;8,tab!$D$65,tab!$D$67)</f>
        <v>0.5</v>
      </c>
      <c r="AG287" s="1143">
        <f t="shared" si="172"/>
        <v>0</v>
      </c>
      <c r="AH287" s="1159">
        <f t="shared" si="173"/>
        <v>0</v>
      </c>
      <c r="AI287" s="1142" t="e">
        <f>DATE(YEAR(tab!$I$3),MONTH(G287),DAY(G287))&gt;tab!$I$3</f>
        <v>#VALUE!</v>
      </c>
      <c r="AJ287" s="1142" t="e">
        <f t="shared" si="174"/>
        <v>#VALUE!</v>
      </c>
      <c r="AK287" s="1096">
        <f t="shared" si="175"/>
        <v>30</v>
      </c>
      <c r="AL287" s="1096">
        <f t="shared" ref="AL287:AL317" si="180">IF((AK287)&gt;50,50,(AK287))</f>
        <v>30</v>
      </c>
      <c r="AM287" s="1143">
        <f t="shared" si="176"/>
        <v>0</v>
      </c>
    </row>
    <row r="288" spans="2:40" ht="12.75" customHeight="1" x14ac:dyDescent="0.2">
      <c r="C288" s="90"/>
      <c r="D288" s="97" t="str">
        <f>IF(op!D221=0,"",op!D221)</f>
        <v/>
      </c>
      <c r="E288" s="97" t="str">
        <f>IF(op!E221=0,"-",op!E221)</f>
        <v/>
      </c>
      <c r="F288" s="114" t="str">
        <f>IF(op!F221="","",op!F221+1)</f>
        <v/>
      </c>
      <c r="G288" s="377" t="str">
        <f>IF(op!G221="","",op!G221)</f>
        <v/>
      </c>
      <c r="H288" s="114" t="str">
        <f>IF(op!H221=0,"",op!H221)</f>
        <v/>
      </c>
      <c r="I288" s="129" t="str">
        <f>IF(J288="","",(IF(op!I221+1&gt;LOOKUP(H288,schaal2011,regels2011),op!I221,op!I221+1)))</f>
        <v/>
      </c>
      <c r="J288" s="378" t="str">
        <f>IF(op!J221="","",op!J221)</f>
        <v/>
      </c>
      <c r="K288" s="1194"/>
      <c r="L288" s="1065">
        <f t="shared" si="163"/>
        <v>0</v>
      </c>
      <c r="M288" s="1065">
        <f t="shared" si="163"/>
        <v>0</v>
      </c>
      <c r="N288" s="1077" t="str">
        <f t="shared" si="177"/>
        <v/>
      </c>
      <c r="O288" s="1077" t="str">
        <f t="shared" si="178"/>
        <v/>
      </c>
      <c r="P288" s="1172" t="str">
        <f t="shared" si="164"/>
        <v/>
      </c>
      <c r="Q288" s="91"/>
      <c r="R288" s="936" t="str">
        <f t="shared" si="179"/>
        <v/>
      </c>
      <c r="S288" s="936" t="str">
        <f t="shared" si="165"/>
        <v/>
      </c>
      <c r="T288" s="937" t="str">
        <f t="shared" si="166"/>
        <v/>
      </c>
      <c r="U288" s="361"/>
      <c r="V288" s="375"/>
      <c r="W288" s="375"/>
      <c r="X288" s="375"/>
      <c r="Y288" s="1120" t="e">
        <f>VLOOKUP(H288,tab!$A$73:$V$114,I288+2,FALSE)</f>
        <v>#VALUE!</v>
      </c>
      <c r="Z288" s="1211">
        <f>tab!$E$64</f>
        <v>0.62</v>
      </c>
      <c r="AA288" s="1163" t="e">
        <f t="shared" si="167"/>
        <v>#VALUE!</v>
      </c>
      <c r="AB288" s="1163" t="e">
        <f t="shared" si="168"/>
        <v>#VALUE!</v>
      </c>
      <c r="AC288" s="1163" t="e">
        <f t="shared" si="169"/>
        <v>#VALUE!</v>
      </c>
      <c r="AD288" s="1162" t="e">
        <f t="shared" si="170"/>
        <v>#VALUE!</v>
      </c>
      <c r="AE288" s="1162">
        <f t="shared" si="171"/>
        <v>0</v>
      </c>
      <c r="AF288" s="1129">
        <f>IF(H288&gt;8,tab!$D$65,tab!$D$67)</f>
        <v>0.5</v>
      </c>
      <c r="AG288" s="1143">
        <f t="shared" si="172"/>
        <v>0</v>
      </c>
      <c r="AH288" s="1159">
        <f t="shared" si="173"/>
        <v>0</v>
      </c>
      <c r="AI288" s="1142" t="e">
        <f>DATE(YEAR(tab!$I$3),MONTH(G288),DAY(G288))&gt;tab!$I$3</f>
        <v>#VALUE!</v>
      </c>
      <c r="AJ288" s="1142" t="e">
        <f t="shared" si="174"/>
        <v>#VALUE!</v>
      </c>
      <c r="AK288" s="1096">
        <f t="shared" si="175"/>
        <v>30</v>
      </c>
      <c r="AL288" s="1096">
        <f t="shared" si="180"/>
        <v>30</v>
      </c>
      <c r="AM288" s="1143">
        <f t="shared" si="176"/>
        <v>0</v>
      </c>
    </row>
    <row r="289" spans="3:39" ht="12.75" customHeight="1" x14ac:dyDescent="0.2">
      <c r="C289" s="90"/>
      <c r="D289" s="97" t="str">
        <f>IF(op!D222=0,"",op!D222)</f>
        <v/>
      </c>
      <c r="E289" s="97" t="str">
        <f>IF(op!E222=0,"-",op!E222)</f>
        <v/>
      </c>
      <c r="F289" s="114" t="str">
        <f>IF(op!F222="","",op!F222+1)</f>
        <v/>
      </c>
      <c r="G289" s="377" t="str">
        <f>IF(op!G222="","",op!G222)</f>
        <v/>
      </c>
      <c r="H289" s="114" t="str">
        <f>IF(op!H222=0,"",op!H222)</f>
        <v/>
      </c>
      <c r="I289" s="129" t="str">
        <f>IF(J289="","",(IF(op!I222+1&gt;LOOKUP(H289,schaal2011,regels2011),op!I222,op!I222+1)))</f>
        <v/>
      </c>
      <c r="J289" s="378" t="str">
        <f>IF(op!J222="","",op!J222)</f>
        <v/>
      </c>
      <c r="K289" s="1194"/>
      <c r="L289" s="1065">
        <f t="shared" si="163"/>
        <v>0</v>
      </c>
      <c r="M289" s="1065">
        <f t="shared" si="163"/>
        <v>0</v>
      </c>
      <c r="N289" s="1077" t="str">
        <f t="shared" si="177"/>
        <v/>
      </c>
      <c r="O289" s="1077" t="str">
        <f t="shared" si="178"/>
        <v/>
      </c>
      <c r="P289" s="1172" t="str">
        <f t="shared" si="164"/>
        <v/>
      </c>
      <c r="Q289" s="91"/>
      <c r="R289" s="936" t="str">
        <f t="shared" si="179"/>
        <v/>
      </c>
      <c r="S289" s="936" t="str">
        <f t="shared" si="165"/>
        <v/>
      </c>
      <c r="T289" s="937" t="str">
        <f t="shared" si="166"/>
        <v/>
      </c>
      <c r="U289" s="361"/>
      <c r="V289" s="375"/>
      <c r="W289" s="375"/>
      <c r="X289" s="375"/>
      <c r="Y289" s="1120" t="e">
        <f>VLOOKUP(H289,tab!$A$73:$V$114,I289+2,FALSE)</f>
        <v>#VALUE!</v>
      </c>
      <c r="Z289" s="1211">
        <f>tab!$E$64</f>
        <v>0.62</v>
      </c>
      <c r="AA289" s="1163" t="e">
        <f t="shared" si="167"/>
        <v>#VALUE!</v>
      </c>
      <c r="AB289" s="1163" t="e">
        <f t="shared" si="168"/>
        <v>#VALUE!</v>
      </c>
      <c r="AC289" s="1163" t="e">
        <f t="shared" si="169"/>
        <v>#VALUE!</v>
      </c>
      <c r="AD289" s="1162" t="e">
        <f t="shared" si="170"/>
        <v>#VALUE!</v>
      </c>
      <c r="AE289" s="1162">
        <f t="shared" si="171"/>
        <v>0</v>
      </c>
      <c r="AF289" s="1129">
        <f>IF(H289&gt;8,tab!$D$65,tab!$D$67)</f>
        <v>0.5</v>
      </c>
      <c r="AG289" s="1143">
        <f t="shared" si="172"/>
        <v>0</v>
      </c>
      <c r="AH289" s="1159">
        <f t="shared" si="173"/>
        <v>0</v>
      </c>
      <c r="AI289" s="1142" t="e">
        <f>DATE(YEAR(tab!$I$3),MONTH(G289),DAY(G289))&gt;tab!$I$3</f>
        <v>#VALUE!</v>
      </c>
      <c r="AJ289" s="1142" t="e">
        <f t="shared" si="174"/>
        <v>#VALUE!</v>
      </c>
      <c r="AK289" s="1096">
        <f t="shared" si="175"/>
        <v>30</v>
      </c>
      <c r="AL289" s="1096">
        <f t="shared" si="180"/>
        <v>30</v>
      </c>
      <c r="AM289" s="1143">
        <f t="shared" si="176"/>
        <v>0</v>
      </c>
    </row>
    <row r="290" spans="3:39" ht="12.75" customHeight="1" x14ac:dyDescent="0.2">
      <c r="C290" s="90"/>
      <c r="D290" s="97" t="str">
        <f>IF(op!D223=0,"",op!D223)</f>
        <v/>
      </c>
      <c r="E290" s="97" t="str">
        <f>IF(op!E223=0,"-",op!E223)</f>
        <v/>
      </c>
      <c r="F290" s="114" t="str">
        <f>IF(op!F223="","",op!F223+1)</f>
        <v/>
      </c>
      <c r="G290" s="377" t="str">
        <f>IF(op!G223="","",op!G223)</f>
        <v/>
      </c>
      <c r="H290" s="114" t="str">
        <f>IF(op!H223=0,"",op!H223)</f>
        <v/>
      </c>
      <c r="I290" s="129" t="str">
        <f>IF(J290="","",(IF(op!I223+1&gt;LOOKUP(H290,schaal2011,regels2011),op!I223,op!I223+1)))</f>
        <v/>
      </c>
      <c r="J290" s="378" t="str">
        <f>IF(op!J223="","",op!J223)</f>
        <v/>
      </c>
      <c r="K290" s="1194"/>
      <c r="L290" s="1065">
        <f t="shared" si="163"/>
        <v>0</v>
      </c>
      <c r="M290" s="1065">
        <f t="shared" si="163"/>
        <v>0</v>
      </c>
      <c r="N290" s="1077" t="str">
        <f t="shared" si="177"/>
        <v/>
      </c>
      <c r="O290" s="1077" t="str">
        <f t="shared" si="178"/>
        <v/>
      </c>
      <c r="P290" s="1172" t="str">
        <f t="shared" si="164"/>
        <v/>
      </c>
      <c r="Q290" s="91"/>
      <c r="R290" s="936" t="str">
        <f t="shared" si="179"/>
        <v/>
      </c>
      <c r="S290" s="936" t="str">
        <f t="shared" si="165"/>
        <v/>
      </c>
      <c r="T290" s="937" t="str">
        <f t="shared" si="166"/>
        <v/>
      </c>
      <c r="U290" s="361"/>
      <c r="V290" s="375"/>
      <c r="W290" s="375"/>
      <c r="X290" s="375"/>
      <c r="Y290" s="1120" t="e">
        <f>VLOOKUP(H290,tab!$A$73:$V$114,I290+2,FALSE)</f>
        <v>#VALUE!</v>
      </c>
      <c r="Z290" s="1211">
        <f>tab!$E$64</f>
        <v>0.62</v>
      </c>
      <c r="AA290" s="1163" t="e">
        <f t="shared" si="167"/>
        <v>#VALUE!</v>
      </c>
      <c r="AB290" s="1163" t="e">
        <f t="shared" si="168"/>
        <v>#VALUE!</v>
      </c>
      <c r="AC290" s="1163" t="e">
        <f t="shared" si="169"/>
        <v>#VALUE!</v>
      </c>
      <c r="AD290" s="1162" t="e">
        <f t="shared" si="170"/>
        <v>#VALUE!</v>
      </c>
      <c r="AE290" s="1162">
        <f t="shared" si="171"/>
        <v>0</v>
      </c>
      <c r="AF290" s="1129">
        <f>IF(H290&gt;8,tab!$D$65,tab!$D$67)</f>
        <v>0.5</v>
      </c>
      <c r="AG290" s="1143">
        <f t="shared" si="172"/>
        <v>0</v>
      </c>
      <c r="AH290" s="1159">
        <f t="shared" si="173"/>
        <v>0</v>
      </c>
      <c r="AI290" s="1142" t="e">
        <f>DATE(YEAR(tab!$I$3),MONTH(G290),DAY(G290))&gt;tab!$I$3</f>
        <v>#VALUE!</v>
      </c>
      <c r="AJ290" s="1142" t="e">
        <f t="shared" si="174"/>
        <v>#VALUE!</v>
      </c>
      <c r="AK290" s="1096">
        <f t="shared" si="175"/>
        <v>30</v>
      </c>
      <c r="AL290" s="1096">
        <f t="shared" si="180"/>
        <v>30</v>
      </c>
      <c r="AM290" s="1143">
        <f t="shared" si="176"/>
        <v>0</v>
      </c>
    </row>
    <row r="291" spans="3:39" ht="12.75" customHeight="1" x14ac:dyDescent="0.2">
      <c r="C291" s="90"/>
      <c r="D291" s="97" t="str">
        <f>IF(op!D224=0,"",op!D224)</f>
        <v/>
      </c>
      <c r="E291" s="97" t="str">
        <f>IF(op!E224=0,"-",op!E224)</f>
        <v/>
      </c>
      <c r="F291" s="114" t="str">
        <f>IF(op!F224="","",op!F224+1)</f>
        <v/>
      </c>
      <c r="G291" s="377" t="str">
        <f>IF(op!G224="","",op!G224)</f>
        <v/>
      </c>
      <c r="H291" s="114" t="str">
        <f>IF(op!H224=0,"",op!H224)</f>
        <v/>
      </c>
      <c r="I291" s="129" t="str">
        <f>IF(J291="","",(IF(op!I224+1&gt;LOOKUP(H291,schaal2011,regels2011),op!I224,op!I224+1)))</f>
        <v/>
      </c>
      <c r="J291" s="378" t="str">
        <f>IF(op!J224="","",op!J224)</f>
        <v/>
      </c>
      <c r="K291" s="1194"/>
      <c r="L291" s="1065">
        <f t="shared" si="163"/>
        <v>0</v>
      </c>
      <c r="M291" s="1065">
        <f t="shared" si="163"/>
        <v>0</v>
      </c>
      <c r="N291" s="1077" t="str">
        <f t="shared" si="177"/>
        <v/>
      </c>
      <c r="O291" s="1077" t="str">
        <f t="shared" si="178"/>
        <v/>
      </c>
      <c r="P291" s="1172" t="str">
        <f t="shared" si="164"/>
        <v/>
      </c>
      <c r="Q291" s="91"/>
      <c r="R291" s="936" t="str">
        <f t="shared" si="179"/>
        <v/>
      </c>
      <c r="S291" s="936" t="str">
        <f t="shared" si="165"/>
        <v/>
      </c>
      <c r="T291" s="937" t="str">
        <f t="shared" si="166"/>
        <v/>
      </c>
      <c r="U291" s="361"/>
      <c r="V291" s="375"/>
      <c r="W291" s="375"/>
      <c r="X291" s="375"/>
      <c r="Y291" s="1120" t="e">
        <f>VLOOKUP(H291,tab!$A$73:$V$114,I291+2,FALSE)</f>
        <v>#VALUE!</v>
      </c>
      <c r="Z291" s="1211">
        <f>tab!$E$64</f>
        <v>0.62</v>
      </c>
      <c r="AA291" s="1163" t="e">
        <f t="shared" si="167"/>
        <v>#VALUE!</v>
      </c>
      <c r="AB291" s="1163" t="e">
        <f t="shared" si="168"/>
        <v>#VALUE!</v>
      </c>
      <c r="AC291" s="1163" t="e">
        <f t="shared" si="169"/>
        <v>#VALUE!</v>
      </c>
      <c r="AD291" s="1162" t="e">
        <f t="shared" si="170"/>
        <v>#VALUE!</v>
      </c>
      <c r="AE291" s="1162">
        <f t="shared" si="171"/>
        <v>0</v>
      </c>
      <c r="AF291" s="1129">
        <f>IF(H291&gt;8,tab!$D$65,tab!$D$67)</f>
        <v>0.5</v>
      </c>
      <c r="AG291" s="1143">
        <f t="shared" si="172"/>
        <v>0</v>
      </c>
      <c r="AH291" s="1159">
        <f t="shared" si="173"/>
        <v>0</v>
      </c>
      <c r="AI291" s="1142" t="e">
        <f>DATE(YEAR(tab!$I$3),MONTH(G291),DAY(G291))&gt;tab!$I$3</f>
        <v>#VALUE!</v>
      </c>
      <c r="AJ291" s="1142" t="e">
        <f t="shared" si="174"/>
        <v>#VALUE!</v>
      </c>
      <c r="AK291" s="1096">
        <f t="shared" si="175"/>
        <v>30</v>
      </c>
      <c r="AL291" s="1096">
        <f t="shared" si="180"/>
        <v>30</v>
      </c>
      <c r="AM291" s="1143">
        <f t="shared" si="176"/>
        <v>0</v>
      </c>
    </row>
    <row r="292" spans="3:39" ht="12.75" customHeight="1" x14ac:dyDescent="0.2">
      <c r="C292" s="90"/>
      <c r="D292" s="97" t="str">
        <f>IF(op!D225=0,"",op!D225)</f>
        <v/>
      </c>
      <c r="E292" s="97" t="str">
        <f>IF(op!E225=0,"-",op!E225)</f>
        <v/>
      </c>
      <c r="F292" s="114" t="str">
        <f>IF(op!F225="","",op!F225+1)</f>
        <v/>
      </c>
      <c r="G292" s="377" t="str">
        <f>IF(op!G225="","",op!G225)</f>
        <v/>
      </c>
      <c r="H292" s="114" t="str">
        <f>IF(op!H225=0,"",op!H225)</f>
        <v/>
      </c>
      <c r="I292" s="129" t="str">
        <f>IF(J292="","",(IF(op!I225+1&gt;LOOKUP(H292,schaal2011,regels2011),op!I225,op!I225+1)))</f>
        <v/>
      </c>
      <c r="J292" s="378" t="str">
        <f>IF(op!J225="","",op!J225)</f>
        <v/>
      </c>
      <c r="K292" s="1194"/>
      <c r="L292" s="1065">
        <f t="shared" si="163"/>
        <v>0</v>
      </c>
      <c r="M292" s="1065">
        <f t="shared" si="163"/>
        <v>0</v>
      </c>
      <c r="N292" s="1077" t="str">
        <f t="shared" si="177"/>
        <v/>
      </c>
      <c r="O292" s="1077" t="str">
        <f t="shared" si="178"/>
        <v/>
      </c>
      <c r="P292" s="1172" t="str">
        <f t="shared" si="164"/>
        <v/>
      </c>
      <c r="Q292" s="91"/>
      <c r="R292" s="936" t="str">
        <f t="shared" si="179"/>
        <v/>
      </c>
      <c r="S292" s="936" t="str">
        <f t="shared" si="165"/>
        <v/>
      </c>
      <c r="T292" s="937" t="str">
        <f t="shared" si="166"/>
        <v/>
      </c>
      <c r="U292" s="361"/>
      <c r="V292" s="375"/>
      <c r="W292" s="375"/>
      <c r="X292" s="375"/>
      <c r="Y292" s="1120" t="e">
        <f>VLOOKUP(H292,tab!$A$73:$V$114,I292+2,FALSE)</f>
        <v>#VALUE!</v>
      </c>
      <c r="Z292" s="1211">
        <f>tab!$E$64</f>
        <v>0.62</v>
      </c>
      <c r="AA292" s="1163" t="e">
        <f t="shared" si="167"/>
        <v>#VALUE!</v>
      </c>
      <c r="AB292" s="1163" t="e">
        <f t="shared" si="168"/>
        <v>#VALUE!</v>
      </c>
      <c r="AC292" s="1163" t="e">
        <f t="shared" si="169"/>
        <v>#VALUE!</v>
      </c>
      <c r="AD292" s="1162" t="e">
        <f t="shared" si="170"/>
        <v>#VALUE!</v>
      </c>
      <c r="AE292" s="1162">
        <f t="shared" si="171"/>
        <v>0</v>
      </c>
      <c r="AF292" s="1129">
        <f>IF(H292&gt;8,tab!$D$65,tab!$D$67)</f>
        <v>0.5</v>
      </c>
      <c r="AG292" s="1143">
        <f t="shared" si="172"/>
        <v>0</v>
      </c>
      <c r="AH292" s="1159">
        <f t="shared" si="173"/>
        <v>0</v>
      </c>
      <c r="AI292" s="1142" t="e">
        <f>DATE(YEAR(tab!$I$3),MONTH(G292),DAY(G292))&gt;tab!$I$3</f>
        <v>#VALUE!</v>
      </c>
      <c r="AJ292" s="1142" t="e">
        <f t="shared" si="174"/>
        <v>#VALUE!</v>
      </c>
      <c r="AK292" s="1096">
        <f t="shared" si="175"/>
        <v>30</v>
      </c>
      <c r="AL292" s="1096">
        <f t="shared" si="180"/>
        <v>30</v>
      </c>
      <c r="AM292" s="1143">
        <f t="shared" si="176"/>
        <v>0</v>
      </c>
    </row>
    <row r="293" spans="3:39" ht="12.75" customHeight="1" x14ac:dyDescent="0.2">
      <c r="C293" s="90"/>
      <c r="D293" s="97" t="str">
        <f>IF(op!D226=0,"",op!D226)</f>
        <v/>
      </c>
      <c r="E293" s="97" t="str">
        <f>IF(op!E226=0,"-",op!E226)</f>
        <v/>
      </c>
      <c r="F293" s="114" t="str">
        <f>IF(op!F226="","",op!F226+1)</f>
        <v/>
      </c>
      <c r="G293" s="377" t="str">
        <f>IF(op!G226="","",op!G226)</f>
        <v/>
      </c>
      <c r="H293" s="114" t="str">
        <f>IF(op!H226=0,"",op!H226)</f>
        <v/>
      </c>
      <c r="I293" s="129" t="str">
        <f>IF(J293="","",(IF(op!I226+1&gt;LOOKUP(H293,schaal2011,regels2011),op!I226,op!I226+1)))</f>
        <v/>
      </c>
      <c r="J293" s="378" t="str">
        <f>IF(op!J226="","",op!J226)</f>
        <v/>
      </c>
      <c r="K293" s="1194"/>
      <c r="L293" s="1065">
        <f t="shared" si="163"/>
        <v>0</v>
      </c>
      <c r="M293" s="1065">
        <f t="shared" si="163"/>
        <v>0</v>
      </c>
      <c r="N293" s="1077" t="str">
        <f t="shared" si="177"/>
        <v/>
      </c>
      <c r="O293" s="1077" t="str">
        <f t="shared" si="178"/>
        <v/>
      </c>
      <c r="P293" s="1172" t="str">
        <f t="shared" si="164"/>
        <v/>
      </c>
      <c r="Q293" s="91"/>
      <c r="R293" s="936" t="str">
        <f t="shared" si="179"/>
        <v/>
      </c>
      <c r="S293" s="936" t="str">
        <f t="shared" si="165"/>
        <v/>
      </c>
      <c r="T293" s="937" t="str">
        <f t="shared" si="166"/>
        <v/>
      </c>
      <c r="U293" s="361"/>
      <c r="V293" s="375"/>
      <c r="W293" s="375"/>
      <c r="X293" s="375"/>
      <c r="Y293" s="1120" t="e">
        <f>VLOOKUP(H293,tab!$A$73:$V$114,I293+2,FALSE)</f>
        <v>#VALUE!</v>
      </c>
      <c r="Z293" s="1211">
        <f>tab!$E$64</f>
        <v>0.62</v>
      </c>
      <c r="AA293" s="1163" t="e">
        <f t="shared" si="167"/>
        <v>#VALUE!</v>
      </c>
      <c r="AB293" s="1163" t="e">
        <f t="shared" si="168"/>
        <v>#VALUE!</v>
      </c>
      <c r="AC293" s="1163" t="e">
        <f t="shared" si="169"/>
        <v>#VALUE!</v>
      </c>
      <c r="AD293" s="1162" t="e">
        <f t="shared" si="170"/>
        <v>#VALUE!</v>
      </c>
      <c r="AE293" s="1162">
        <f t="shared" si="171"/>
        <v>0</v>
      </c>
      <c r="AF293" s="1129">
        <f>IF(H293&gt;8,tab!$D$65,tab!$D$67)</f>
        <v>0.5</v>
      </c>
      <c r="AG293" s="1143">
        <f t="shared" si="172"/>
        <v>0</v>
      </c>
      <c r="AH293" s="1159">
        <f t="shared" si="173"/>
        <v>0</v>
      </c>
      <c r="AI293" s="1142" t="e">
        <f>DATE(YEAR(tab!$I$3),MONTH(G293),DAY(G293))&gt;tab!$I$3</f>
        <v>#VALUE!</v>
      </c>
      <c r="AJ293" s="1142" t="e">
        <f t="shared" si="174"/>
        <v>#VALUE!</v>
      </c>
      <c r="AK293" s="1096">
        <f t="shared" si="175"/>
        <v>30</v>
      </c>
      <c r="AL293" s="1096">
        <f t="shared" si="180"/>
        <v>30</v>
      </c>
      <c r="AM293" s="1143">
        <f t="shared" si="176"/>
        <v>0</v>
      </c>
    </row>
    <row r="294" spans="3:39" ht="12.75" customHeight="1" x14ac:dyDescent="0.2">
      <c r="C294" s="90"/>
      <c r="D294" s="97" t="str">
        <f>IF(op!D227=0,"",op!D227)</f>
        <v/>
      </c>
      <c r="E294" s="97" t="str">
        <f>IF(op!E227=0,"-",op!E227)</f>
        <v/>
      </c>
      <c r="F294" s="114" t="str">
        <f>IF(op!F227="","",op!F227+1)</f>
        <v/>
      </c>
      <c r="G294" s="377" t="str">
        <f>IF(op!G227="","",op!G227)</f>
        <v/>
      </c>
      <c r="H294" s="114" t="str">
        <f>IF(op!H227=0,"",op!H227)</f>
        <v/>
      </c>
      <c r="I294" s="129" t="str">
        <f>IF(J294="","",(IF(op!I227+1&gt;LOOKUP(H294,schaal2011,regels2011),op!I227,op!I227+1)))</f>
        <v/>
      </c>
      <c r="J294" s="378" t="str">
        <f>IF(op!J227="","",op!J227)</f>
        <v/>
      </c>
      <c r="K294" s="1194"/>
      <c r="L294" s="1065">
        <f t="shared" si="163"/>
        <v>0</v>
      </c>
      <c r="M294" s="1065">
        <f t="shared" si="163"/>
        <v>0</v>
      </c>
      <c r="N294" s="1077" t="str">
        <f t="shared" si="177"/>
        <v/>
      </c>
      <c r="O294" s="1077" t="str">
        <f t="shared" si="178"/>
        <v/>
      </c>
      <c r="P294" s="1172" t="str">
        <f t="shared" si="164"/>
        <v/>
      </c>
      <c r="Q294" s="91"/>
      <c r="R294" s="936" t="str">
        <f t="shared" si="179"/>
        <v/>
      </c>
      <c r="S294" s="936" t="str">
        <f t="shared" si="165"/>
        <v/>
      </c>
      <c r="T294" s="937" t="str">
        <f t="shared" si="166"/>
        <v/>
      </c>
      <c r="U294" s="361"/>
      <c r="V294" s="375"/>
      <c r="W294" s="375"/>
      <c r="X294" s="375"/>
      <c r="Y294" s="1120" t="e">
        <f>VLOOKUP(H294,tab!$A$73:$V$114,I294+2,FALSE)</f>
        <v>#VALUE!</v>
      </c>
      <c r="Z294" s="1211">
        <f>tab!$E$64</f>
        <v>0.62</v>
      </c>
      <c r="AA294" s="1163" t="e">
        <f t="shared" si="167"/>
        <v>#VALUE!</v>
      </c>
      <c r="AB294" s="1163" t="e">
        <f t="shared" si="168"/>
        <v>#VALUE!</v>
      </c>
      <c r="AC294" s="1163" t="e">
        <f t="shared" si="169"/>
        <v>#VALUE!</v>
      </c>
      <c r="AD294" s="1162" t="e">
        <f t="shared" si="170"/>
        <v>#VALUE!</v>
      </c>
      <c r="AE294" s="1162">
        <f t="shared" si="171"/>
        <v>0</v>
      </c>
      <c r="AF294" s="1129">
        <f>IF(H294&gt;8,tab!$D$65,tab!$D$67)</f>
        <v>0.5</v>
      </c>
      <c r="AG294" s="1143">
        <f t="shared" si="172"/>
        <v>0</v>
      </c>
      <c r="AH294" s="1159">
        <f t="shared" si="173"/>
        <v>0</v>
      </c>
      <c r="AI294" s="1142" t="e">
        <f>DATE(YEAR(tab!$I$3),MONTH(G294),DAY(G294))&gt;tab!$I$3</f>
        <v>#VALUE!</v>
      </c>
      <c r="AJ294" s="1142" t="e">
        <f t="shared" si="174"/>
        <v>#VALUE!</v>
      </c>
      <c r="AK294" s="1096">
        <f t="shared" si="175"/>
        <v>30</v>
      </c>
      <c r="AL294" s="1096">
        <f t="shared" si="180"/>
        <v>30</v>
      </c>
      <c r="AM294" s="1143">
        <f t="shared" si="176"/>
        <v>0</v>
      </c>
    </row>
    <row r="295" spans="3:39" ht="12.75" customHeight="1" x14ac:dyDescent="0.2">
      <c r="C295" s="90"/>
      <c r="D295" s="97" t="str">
        <f>IF(op!D228=0,"",op!D228)</f>
        <v/>
      </c>
      <c r="E295" s="97" t="str">
        <f>IF(op!E228=0,"-",op!E228)</f>
        <v/>
      </c>
      <c r="F295" s="114" t="str">
        <f>IF(op!F228="","",op!F228+1)</f>
        <v/>
      </c>
      <c r="G295" s="377" t="str">
        <f>IF(op!G228="","",op!G228)</f>
        <v/>
      </c>
      <c r="H295" s="114" t="str">
        <f>IF(op!H228=0,"",op!H228)</f>
        <v/>
      </c>
      <c r="I295" s="129" t="str">
        <f>IF(J295="","",(IF(op!I228+1&gt;LOOKUP(H295,schaal2011,regels2011),op!I228,op!I228+1)))</f>
        <v/>
      </c>
      <c r="J295" s="378" t="str">
        <f>IF(op!J228="","",op!J228)</f>
        <v/>
      </c>
      <c r="K295" s="1194"/>
      <c r="L295" s="1065">
        <f t="shared" si="163"/>
        <v>0</v>
      </c>
      <c r="M295" s="1065">
        <f t="shared" si="163"/>
        <v>0</v>
      </c>
      <c r="N295" s="1077" t="str">
        <f t="shared" si="177"/>
        <v/>
      </c>
      <c r="O295" s="1077" t="str">
        <f t="shared" si="178"/>
        <v/>
      </c>
      <c r="P295" s="1172" t="str">
        <f t="shared" si="164"/>
        <v/>
      </c>
      <c r="Q295" s="91"/>
      <c r="R295" s="936" t="str">
        <f t="shared" si="179"/>
        <v/>
      </c>
      <c r="S295" s="936" t="str">
        <f t="shared" si="165"/>
        <v/>
      </c>
      <c r="T295" s="937" t="str">
        <f t="shared" si="166"/>
        <v/>
      </c>
      <c r="U295" s="361"/>
      <c r="V295" s="375"/>
      <c r="W295" s="375"/>
      <c r="X295" s="375"/>
      <c r="Y295" s="1120" t="e">
        <f>VLOOKUP(H295,tab!$A$73:$V$114,I295+2,FALSE)</f>
        <v>#VALUE!</v>
      </c>
      <c r="Z295" s="1211">
        <f>tab!$E$64</f>
        <v>0.62</v>
      </c>
      <c r="AA295" s="1163" t="e">
        <f t="shared" si="167"/>
        <v>#VALUE!</v>
      </c>
      <c r="AB295" s="1163" t="e">
        <f t="shared" si="168"/>
        <v>#VALUE!</v>
      </c>
      <c r="AC295" s="1163" t="e">
        <f t="shared" si="169"/>
        <v>#VALUE!</v>
      </c>
      <c r="AD295" s="1162" t="e">
        <f t="shared" si="170"/>
        <v>#VALUE!</v>
      </c>
      <c r="AE295" s="1162">
        <f t="shared" si="171"/>
        <v>0</v>
      </c>
      <c r="AF295" s="1129">
        <f>IF(H295&gt;8,tab!$D$65,tab!$D$67)</f>
        <v>0.5</v>
      </c>
      <c r="AG295" s="1143">
        <f t="shared" si="172"/>
        <v>0</v>
      </c>
      <c r="AH295" s="1159">
        <f t="shared" si="173"/>
        <v>0</v>
      </c>
      <c r="AI295" s="1142" t="e">
        <f>DATE(YEAR(tab!$I$3),MONTH(G295),DAY(G295))&gt;tab!$I$3</f>
        <v>#VALUE!</v>
      </c>
      <c r="AJ295" s="1142" t="e">
        <f t="shared" si="174"/>
        <v>#VALUE!</v>
      </c>
      <c r="AK295" s="1096">
        <f t="shared" si="175"/>
        <v>30</v>
      </c>
      <c r="AL295" s="1096">
        <f t="shared" si="180"/>
        <v>30</v>
      </c>
      <c r="AM295" s="1143">
        <f t="shared" si="176"/>
        <v>0</v>
      </c>
    </row>
    <row r="296" spans="3:39" ht="12.75" customHeight="1" x14ac:dyDescent="0.2">
      <c r="C296" s="90"/>
      <c r="D296" s="97" t="str">
        <f>IF(op!D229=0,"",op!D229)</f>
        <v/>
      </c>
      <c r="E296" s="97" t="str">
        <f>IF(op!E229=0,"-",op!E229)</f>
        <v/>
      </c>
      <c r="F296" s="114" t="str">
        <f>IF(op!F229="","",op!F229+1)</f>
        <v/>
      </c>
      <c r="G296" s="377" t="str">
        <f>IF(op!G229="","",op!G229)</f>
        <v/>
      </c>
      <c r="H296" s="114" t="str">
        <f>IF(op!H229=0,"",op!H229)</f>
        <v/>
      </c>
      <c r="I296" s="129" t="str">
        <f>IF(J296="","",(IF(op!I229+1&gt;LOOKUP(H296,schaal2011,regels2011),op!I229,op!I229+1)))</f>
        <v/>
      </c>
      <c r="J296" s="378" t="str">
        <f>IF(op!J229="","",op!J229)</f>
        <v/>
      </c>
      <c r="K296" s="1194"/>
      <c r="L296" s="1065">
        <f t="shared" si="163"/>
        <v>0</v>
      </c>
      <c r="M296" s="1065">
        <f t="shared" si="163"/>
        <v>0</v>
      </c>
      <c r="N296" s="1077" t="str">
        <f t="shared" si="177"/>
        <v/>
      </c>
      <c r="O296" s="1077" t="str">
        <f t="shared" si="178"/>
        <v/>
      </c>
      <c r="P296" s="1172" t="str">
        <f t="shared" si="164"/>
        <v/>
      </c>
      <c r="Q296" s="91"/>
      <c r="R296" s="936" t="str">
        <f t="shared" si="179"/>
        <v/>
      </c>
      <c r="S296" s="936" t="str">
        <f t="shared" si="165"/>
        <v/>
      </c>
      <c r="T296" s="937" t="str">
        <f t="shared" si="166"/>
        <v/>
      </c>
      <c r="U296" s="361"/>
      <c r="V296" s="375"/>
      <c r="W296" s="375"/>
      <c r="X296" s="375"/>
      <c r="Y296" s="1120" t="e">
        <f>VLOOKUP(H296,tab!$A$73:$V$114,I296+2,FALSE)</f>
        <v>#VALUE!</v>
      </c>
      <c r="Z296" s="1211">
        <f>tab!$E$64</f>
        <v>0.62</v>
      </c>
      <c r="AA296" s="1163" t="e">
        <f t="shared" si="167"/>
        <v>#VALUE!</v>
      </c>
      <c r="AB296" s="1163" t="e">
        <f t="shared" si="168"/>
        <v>#VALUE!</v>
      </c>
      <c r="AC296" s="1163" t="e">
        <f t="shared" si="169"/>
        <v>#VALUE!</v>
      </c>
      <c r="AD296" s="1162" t="e">
        <f t="shared" si="170"/>
        <v>#VALUE!</v>
      </c>
      <c r="AE296" s="1162">
        <f t="shared" si="171"/>
        <v>0</v>
      </c>
      <c r="AF296" s="1129">
        <f>IF(H296&gt;8,tab!$D$65,tab!$D$67)</f>
        <v>0.5</v>
      </c>
      <c r="AG296" s="1143">
        <f t="shared" si="172"/>
        <v>0</v>
      </c>
      <c r="AH296" s="1159">
        <f t="shared" si="173"/>
        <v>0</v>
      </c>
      <c r="AI296" s="1142" t="e">
        <f>DATE(YEAR(tab!$I$3),MONTH(G296),DAY(G296))&gt;tab!$I$3</f>
        <v>#VALUE!</v>
      </c>
      <c r="AJ296" s="1142" t="e">
        <f t="shared" si="174"/>
        <v>#VALUE!</v>
      </c>
      <c r="AK296" s="1096">
        <f t="shared" si="175"/>
        <v>30</v>
      </c>
      <c r="AL296" s="1096">
        <f t="shared" si="180"/>
        <v>30</v>
      </c>
      <c r="AM296" s="1143">
        <f t="shared" si="176"/>
        <v>0</v>
      </c>
    </row>
    <row r="297" spans="3:39" ht="12.75" customHeight="1" x14ac:dyDescent="0.2">
      <c r="C297" s="90"/>
      <c r="D297" s="97" t="str">
        <f>IF(op!D230=0,"",op!D230)</f>
        <v/>
      </c>
      <c r="E297" s="97" t="str">
        <f>IF(op!E230=0,"-",op!E230)</f>
        <v/>
      </c>
      <c r="F297" s="114" t="str">
        <f>IF(op!F230="","",op!F230+1)</f>
        <v/>
      </c>
      <c r="G297" s="377" t="str">
        <f>IF(op!G230="","",op!G230)</f>
        <v/>
      </c>
      <c r="H297" s="114" t="str">
        <f>IF(op!H230=0,"",op!H230)</f>
        <v/>
      </c>
      <c r="I297" s="129" t="str">
        <f>IF(J297="","",(IF(op!I230+1&gt;LOOKUP(H297,schaal2011,regels2011),op!I230,op!I230+1)))</f>
        <v/>
      </c>
      <c r="J297" s="378" t="str">
        <f>IF(op!J230="","",op!J230)</f>
        <v/>
      </c>
      <c r="K297" s="1194"/>
      <c r="L297" s="1065">
        <f t="shared" si="163"/>
        <v>0</v>
      </c>
      <c r="M297" s="1065">
        <f t="shared" si="163"/>
        <v>0</v>
      </c>
      <c r="N297" s="1077" t="str">
        <f t="shared" si="177"/>
        <v/>
      </c>
      <c r="O297" s="1077" t="str">
        <f t="shared" si="178"/>
        <v/>
      </c>
      <c r="P297" s="1172" t="str">
        <f t="shared" si="164"/>
        <v/>
      </c>
      <c r="Q297" s="91"/>
      <c r="R297" s="936" t="str">
        <f t="shared" si="179"/>
        <v/>
      </c>
      <c r="S297" s="936" t="str">
        <f t="shared" si="165"/>
        <v/>
      </c>
      <c r="T297" s="937" t="str">
        <f t="shared" si="166"/>
        <v/>
      </c>
      <c r="U297" s="361"/>
      <c r="V297" s="375"/>
      <c r="W297" s="375"/>
      <c r="X297" s="375"/>
      <c r="Y297" s="1120" t="e">
        <f>VLOOKUP(H297,tab!$A$73:$V$114,I297+2,FALSE)</f>
        <v>#VALUE!</v>
      </c>
      <c r="Z297" s="1211">
        <f>tab!$E$64</f>
        <v>0.62</v>
      </c>
      <c r="AA297" s="1163" t="e">
        <f t="shared" si="167"/>
        <v>#VALUE!</v>
      </c>
      <c r="AB297" s="1163" t="e">
        <f t="shared" si="168"/>
        <v>#VALUE!</v>
      </c>
      <c r="AC297" s="1163" t="e">
        <f t="shared" si="169"/>
        <v>#VALUE!</v>
      </c>
      <c r="AD297" s="1162" t="e">
        <f t="shared" si="170"/>
        <v>#VALUE!</v>
      </c>
      <c r="AE297" s="1162">
        <f t="shared" si="171"/>
        <v>0</v>
      </c>
      <c r="AF297" s="1129">
        <f>IF(H297&gt;8,tab!$D$65,tab!$D$67)</f>
        <v>0.5</v>
      </c>
      <c r="AG297" s="1143">
        <f t="shared" si="172"/>
        <v>0</v>
      </c>
      <c r="AH297" s="1159">
        <f t="shared" si="173"/>
        <v>0</v>
      </c>
      <c r="AI297" s="1142" t="e">
        <f>DATE(YEAR(tab!$I$3),MONTH(G297),DAY(G297))&gt;tab!$I$3</f>
        <v>#VALUE!</v>
      </c>
      <c r="AJ297" s="1142" t="e">
        <f t="shared" si="174"/>
        <v>#VALUE!</v>
      </c>
      <c r="AK297" s="1096">
        <f t="shared" si="175"/>
        <v>30</v>
      </c>
      <c r="AL297" s="1096">
        <f t="shared" si="180"/>
        <v>30</v>
      </c>
      <c r="AM297" s="1143">
        <f t="shared" si="176"/>
        <v>0</v>
      </c>
    </row>
    <row r="298" spans="3:39" ht="12.75" customHeight="1" x14ac:dyDescent="0.2">
      <c r="C298" s="90"/>
      <c r="D298" s="97" t="str">
        <f>IF(op!D231=0,"",op!D231)</f>
        <v/>
      </c>
      <c r="E298" s="97" t="str">
        <f>IF(op!E231=0,"-",op!E231)</f>
        <v/>
      </c>
      <c r="F298" s="114" t="str">
        <f>IF(op!F231="","",op!F231+1)</f>
        <v/>
      </c>
      <c r="G298" s="377" t="str">
        <f>IF(op!G231="","",op!G231)</f>
        <v/>
      </c>
      <c r="H298" s="114" t="str">
        <f>IF(op!H231=0,"",op!H231)</f>
        <v/>
      </c>
      <c r="I298" s="129" t="str">
        <f>IF(J298="","",(IF(op!I231+1&gt;LOOKUP(H298,schaal2011,regels2011),op!I231,op!I231+1)))</f>
        <v/>
      </c>
      <c r="J298" s="378" t="str">
        <f>IF(op!J231="","",op!J231)</f>
        <v/>
      </c>
      <c r="K298" s="1194"/>
      <c r="L298" s="1065">
        <f t="shared" si="163"/>
        <v>0</v>
      </c>
      <c r="M298" s="1065">
        <f t="shared" si="163"/>
        <v>0</v>
      </c>
      <c r="N298" s="1077" t="str">
        <f t="shared" si="177"/>
        <v/>
      </c>
      <c r="O298" s="1077" t="str">
        <f t="shared" si="178"/>
        <v/>
      </c>
      <c r="P298" s="1172" t="str">
        <f t="shared" si="164"/>
        <v/>
      </c>
      <c r="Q298" s="91"/>
      <c r="R298" s="936" t="str">
        <f t="shared" si="179"/>
        <v/>
      </c>
      <c r="S298" s="936" t="str">
        <f t="shared" si="165"/>
        <v/>
      </c>
      <c r="T298" s="937" t="str">
        <f t="shared" si="166"/>
        <v/>
      </c>
      <c r="U298" s="361"/>
      <c r="V298" s="375"/>
      <c r="W298" s="375"/>
      <c r="X298" s="375"/>
      <c r="Y298" s="1120" t="e">
        <f>VLOOKUP(H298,tab!$A$73:$V$114,I298+2,FALSE)</f>
        <v>#VALUE!</v>
      </c>
      <c r="Z298" s="1211">
        <f>tab!$E$64</f>
        <v>0.62</v>
      </c>
      <c r="AA298" s="1163" t="e">
        <f t="shared" si="167"/>
        <v>#VALUE!</v>
      </c>
      <c r="AB298" s="1163" t="e">
        <f t="shared" si="168"/>
        <v>#VALUE!</v>
      </c>
      <c r="AC298" s="1163" t="e">
        <f t="shared" si="169"/>
        <v>#VALUE!</v>
      </c>
      <c r="AD298" s="1162" t="e">
        <f t="shared" si="170"/>
        <v>#VALUE!</v>
      </c>
      <c r="AE298" s="1162">
        <f t="shared" si="171"/>
        <v>0</v>
      </c>
      <c r="AF298" s="1129">
        <f>IF(H298&gt;8,tab!$D$65,tab!$D$67)</f>
        <v>0.5</v>
      </c>
      <c r="AG298" s="1143">
        <f t="shared" si="172"/>
        <v>0</v>
      </c>
      <c r="AH298" s="1159">
        <f t="shared" si="173"/>
        <v>0</v>
      </c>
      <c r="AI298" s="1142" t="e">
        <f>DATE(YEAR(tab!$I$3),MONTH(G298),DAY(G298))&gt;tab!$I$3</f>
        <v>#VALUE!</v>
      </c>
      <c r="AJ298" s="1142" t="e">
        <f t="shared" si="174"/>
        <v>#VALUE!</v>
      </c>
      <c r="AK298" s="1096">
        <f t="shared" si="175"/>
        <v>30</v>
      </c>
      <c r="AL298" s="1096">
        <f t="shared" si="180"/>
        <v>30</v>
      </c>
      <c r="AM298" s="1143">
        <f t="shared" si="176"/>
        <v>0</v>
      </c>
    </row>
    <row r="299" spans="3:39" ht="12.75" customHeight="1" x14ac:dyDescent="0.2">
      <c r="C299" s="90"/>
      <c r="D299" s="97" t="str">
        <f>IF(op!D232=0,"",op!D232)</f>
        <v/>
      </c>
      <c r="E299" s="97" t="str">
        <f>IF(op!E232=0,"-",op!E232)</f>
        <v/>
      </c>
      <c r="F299" s="114" t="str">
        <f>IF(op!F232="","",op!F232+1)</f>
        <v/>
      </c>
      <c r="G299" s="377" t="str">
        <f>IF(op!G232="","",op!G232)</f>
        <v/>
      </c>
      <c r="H299" s="114" t="str">
        <f>IF(op!H232=0,"",op!H232)</f>
        <v/>
      </c>
      <c r="I299" s="129" t="str">
        <f>IF(J299="","",(IF(op!I232+1&gt;LOOKUP(H299,schaal2011,regels2011),op!I232,op!I232+1)))</f>
        <v/>
      </c>
      <c r="J299" s="378" t="str">
        <f>IF(op!J232="","",op!J232)</f>
        <v/>
      </c>
      <c r="K299" s="1194"/>
      <c r="L299" s="1065">
        <f t="shared" si="163"/>
        <v>0</v>
      </c>
      <c r="M299" s="1065">
        <f t="shared" si="163"/>
        <v>0</v>
      </c>
      <c r="N299" s="1077" t="str">
        <f t="shared" si="177"/>
        <v/>
      </c>
      <c r="O299" s="1077" t="str">
        <f t="shared" si="178"/>
        <v/>
      </c>
      <c r="P299" s="1172" t="str">
        <f t="shared" si="164"/>
        <v/>
      </c>
      <c r="Q299" s="91"/>
      <c r="R299" s="936" t="str">
        <f t="shared" si="179"/>
        <v/>
      </c>
      <c r="S299" s="936" t="str">
        <f t="shared" si="165"/>
        <v/>
      </c>
      <c r="T299" s="937" t="str">
        <f t="shared" si="166"/>
        <v/>
      </c>
      <c r="U299" s="361"/>
      <c r="V299" s="375"/>
      <c r="W299" s="375"/>
      <c r="X299" s="375"/>
      <c r="Y299" s="1120" t="e">
        <f>VLOOKUP(H299,tab!$A$73:$V$114,I299+2,FALSE)</f>
        <v>#VALUE!</v>
      </c>
      <c r="Z299" s="1211">
        <f>tab!$E$64</f>
        <v>0.62</v>
      </c>
      <c r="AA299" s="1163" t="e">
        <f t="shared" si="167"/>
        <v>#VALUE!</v>
      </c>
      <c r="AB299" s="1163" t="e">
        <f t="shared" si="168"/>
        <v>#VALUE!</v>
      </c>
      <c r="AC299" s="1163" t="e">
        <f t="shared" si="169"/>
        <v>#VALUE!</v>
      </c>
      <c r="AD299" s="1162" t="e">
        <f t="shared" si="170"/>
        <v>#VALUE!</v>
      </c>
      <c r="AE299" s="1162">
        <f t="shared" si="171"/>
        <v>0</v>
      </c>
      <c r="AF299" s="1129">
        <f>IF(H299&gt;8,tab!$D$65,tab!$D$67)</f>
        <v>0.5</v>
      </c>
      <c r="AG299" s="1143">
        <f t="shared" si="172"/>
        <v>0</v>
      </c>
      <c r="AH299" s="1159">
        <f t="shared" si="173"/>
        <v>0</v>
      </c>
      <c r="AI299" s="1142" t="e">
        <f>DATE(YEAR(tab!$I$3),MONTH(G299),DAY(G299))&gt;tab!$I$3</f>
        <v>#VALUE!</v>
      </c>
      <c r="AJ299" s="1142" t="e">
        <f t="shared" si="174"/>
        <v>#VALUE!</v>
      </c>
      <c r="AK299" s="1096">
        <f t="shared" si="175"/>
        <v>30</v>
      </c>
      <c r="AL299" s="1096">
        <f t="shared" si="180"/>
        <v>30</v>
      </c>
      <c r="AM299" s="1143">
        <f t="shared" si="176"/>
        <v>0</v>
      </c>
    </row>
    <row r="300" spans="3:39" ht="12.75" customHeight="1" x14ac:dyDescent="0.2">
      <c r="C300" s="90"/>
      <c r="D300" s="97" t="str">
        <f>IF(op!D233=0,"",op!D233)</f>
        <v/>
      </c>
      <c r="E300" s="97" t="str">
        <f>IF(op!E233=0,"-",op!E233)</f>
        <v/>
      </c>
      <c r="F300" s="114" t="str">
        <f>IF(op!F233="","",op!F233+1)</f>
        <v/>
      </c>
      <c r="G300" s="377" t="str">
        <f>IF(op!G233="","",op!G233)</f>
        <v/>
      </c>
      <c r="H300" s="114" t="str">
        <f>IF(op!H233=0,"",op!H233)</f>
        <v/>
      </c>
      <c r="I300" s="129" t="str">
        <f>IF(J300="","",(IF(op!I233+1&gt;LOOKUP(H300,schaal2011,regels2011),op!I233,op!I233+1)))</f>
        <v/>
      </c>
      <c r="J300" s="378" t="str">
        <f>IF(op!J233="","",op!J233)</f>
        <v/>
      </c>
      <c r="K300" s="1194"/>
      <c r="L300" s="1065">
        <f t="shared" si="163"/>
        <v>0</v>
      </c>
      <c r="M300" s="1065">
        <f t="shared" si="163"/>
        <v>0</v>
      </c>
      <c r="N300" s="1077" t="str">
        <f t="shared" si="177"/>
        <v/>
      </c>
      <c r="O300" s="1077" t="str">
        <f t="shared" si="178"/>
        <v/>
      </c>
      <c r="P300" s="1172" t="str">
        <f t="shared" si="164"/>
        <v/>
      </c>
      <c r="Q300" s="91"/>
      <c r="R300" s="936" t="str">
        <f t="shared" si="179"/>
        <v/>
      </c>
      <c r="S300" s="936" t="str">
        <f t="shared" si="165"/>
        <v/>
      </c>
      <c r="T300" s="937" t="str">
        <f t="shared" si="166"/>
        <v/>
      </c>
      <c r="U300" s="361"/>
      <c r="V300" s="375"/>
      <c r="W300" s="375"/>
      <c r="X300" s="375"/>
      <c r="Y300" s="1120" t="e">
        <f>VLOOKUP(H300,tab!$A$73:$V$114,I300+2,FALSE)</f>
        <v>#VALUE!</v>
      </c>
      <c r="Z300" s="1211">
        <f>tab!$E$64</f>
        <v>0.62</v>
      </c>
      <c r="AA300" s="1163" t="e">
        <f t="shared" si="167"/>
        <v>#VALUE!</v>
      </c>
      <c r="AB300" s="1163" t="e">
        <f t="shared" si="168"/>
        <v>#VALUE!</v>
      </c>
      <c r="AC300" s="1163" t="e">
        <f t="shared" si="169"/>
        <v>#VALUE!</v>
      </c>
      <c r="AD300" s="1162" t="e">
        <f t="shared" si="170"/>
        <v>#VALUE!</v>
      </c>
      <c r="AE300" s="1162">
        <f t="shared" si="171"/>
        <v>0</v>
      </c>
      <c r="AF300" s="1129">
        <f>IF(H300&gt;8,tab!$D$65,tab!$D$67)</f>
        <v>0.5</v>
      </c>
      <c r="AG300" s="1143">
        <f t="shared" si="172"/>
        <v>0</v>
      </c>
      <c r="AH300" s="1159">
        <f t="shared" si="173"/>
        <v>0</v>
      </c>
      <c r="AI300" s="1142" t="e">
        <f>DATE(YEAR(tab!$I$3),MONTH(G300),DAY(G300))&gt;tab!$I$3</f>
        <v>#VALUE!</v>
      </c>
      <c r="AJ300" s="1142" t="e">
        <f t="shared" si="174"/>
        <v>#VALUE!</v>
      </c>
      <c r="AK300" s="1096">
        <f t="shared" si="175"/>
        <v>30</v>
      </c>
      <c r="AL300" s="1096">
        <f t="shared" si="180"/>
        <v>30</v>
      </c>
      <c r="AM300" s="1143">
        <f t="shared" si="176"/>
        <v>0</v>
      </c>
    </row>
    <row r="301" spans="3:39" ht="12.75" customHeight="1" x14ac:dyDescent="0.2">
      <c r="C301" s="90"/>
      <c r="D301" s="97" t="str">
        <f>IF(op!D234=0,"",op!D234)</f>
        <v/>
      </c>
      <c r="E301" s="97" t="str">
        <f>IF(op!E234=0,"-",op!E234)</f>
        <v/>
      </c>
      <c r="F301" s="114" t="str">
        <f>IF(op!F234="","",op!F234+1)</f>
        <v/>
      </c>
      <c r="G301" s="377" t="str">
        <f>IF(op!G234="","",op!G234)</f>
        <v/>
      </c>
      <c r="H301" s="114" t="str">
        <f>IF(op!H234=0,"",op!H234)</f>
        <v/>
      </c>
      <c r="I301" s="129" t="str">
        <f>IF(J301="","",(IF(op!I234+1&gt;LOOKUP(H301,schaal2011,regels2011),op!I234,op!I234+1)))</f>
        <v/>
      </c>
      <c r="J301" s="378" t="str">
        <f>IF(op!J234="","",op!J234)</f>
        <v/>
      </c>
      <c r="K301" s="1194"/>
      <c r="L301" s="1065">
        <f t="shared" si="163"/>
        <v>0</v>
      </c>
      <c r="M301" s="1065">
        <f t="shared" si="163"/>
        <v>0</v>
      </c>
      <c r="N301" s="1077" t="str">
        <f t="shared" si="177"/>
        <v/>
      </c>
      <c r="O301" s="1077" t="str">
        <f t="shared" si="178"/>
        <v/>
      </c>
      <c r="P301" s="1172" t="str">
        <f t="shared" si="164"/>
        <v/>
      </c>
      <c r="Q301" s="91"/>
      <c r="R301" s="936" t="str">
        <f t="shared" si="179"/>
        <v/>
      </c>
      <c r="S301" s="936" t="str">
        <f t="shared" si="165"/>
        <v/>
      </c>
      <c r="T301" s="937" t="str">
        <f t="shared" si="166"/>
        <v/>
      </c>
      <c r="U301" s="361"/>
      <c r="V301" s="375"/>
      <c r="W301" s="375"/>
      <c r="X301" s="375"/>
      <c r="Y301" s="1120" t="e">
        <f>VLOOKUP(H301,tab!$A$73:$V$114,I301+2,FALSE)</f>
        <v>#VALUE!</v>
      </c>
      <c r="Z301" s="1211">
        <f>tab!$E$64</f>
        <v>0.62</v>
      </c>
      <c r="AA301" s="1163" t="e">
        <f t="shared" si="167"/>
        <v>#VALUE!</v>
      </c>
      <c r="AB301" s="1163" t="e">
        <f t="shared" si="168"/>
        <v>#VALUE!</v>
      </c>
      <c r="AC301" s="1163" t="e">
        <f t="shared" si="169"/>
        <v>#VALUE!</v>
      </c>
      <c r="AD301" s="1162" t="e">
        <f t="shared" si="170"/>
        <v>#VALUE!</v>
      </c>
      <c r="AE301" s="1162">
        <f t="shared" si="171"/>
        <v>0</v>
      </c>
      <c r="AF301" s="1129">
        <f>IF(H301&gt;8,tab!$D$65,tab!$D$67)</f>
        <v>0.5</v>
      </c>
      <c r="AG301" s="1143">
        <f t="shared" si="172"/>
        <v>0</v>
      </c>
      <c r="AH301" s="1159">
        <f t="shared" si="173"/>
        <v>0</v>
      </c>
      <c r="AI301" s="1142" t="e">
        <f>DATE(YEAR(tab!$I$3),MONTH(G301),DAY(G301))&gt;tab!$I$3</f>
        <v>#VALUE!</v>
      </c>
      <c r="AJ301" s="1142" t="e">
        <f t="shared" si="174"/>
        <v>#VALUE!</v>
      </c>
      <c r="AK301" s="1096">
        <f t="shared" si="175"/>
        <v>30</v>
      </c>
      <c r="AL301" s="1096">
        <f t="shared" si="180"/>
        <v>30</v>
      </c>
      <c r="AM301" s="1143">
        <f t="shared" si="176"/>
        <v>0</v>
      </c>
    </row>
    <row r="302" spans="3:39" ht="12.75" customHeight="1" x14ac:dyDescent="0.2">
      <c r="C302" s="90"/>
      <c r="D302" s="97" t="str">
        <f>IF(op!D235=0,"",op!D235)</f>
        <v/>
      </c>
      <c r="E302" s="97" t="str">
        <f>IF(op!E235=0,"-",op!E235)</f>
        <v/>
      </c>
      <c r="F302" s="114" t="str">
        <f>IF(op!F235="","",op!F235+1)</f>
        <v/>
      </c>
      <c r="G302" s="377" t="str">
        <f>IF(op!G235="","",op!G235)</f>
        <v/>
      </c>
      <c r="H302" s="114" t="str">
        <f>IF(op!H235=0,"",op!H235)</f>
        <v/>
      </c>
      <c r="I302" s="129" t="str">
        <f>IF(J302="","",(IF(op!I235+1&gt;LOOKUP(H302,schaal2011,regels2011),op!I235,op!I235+1)))</f>
        <v/>
      </c>
      <c r="J302" s="378" t="str">
        <f>IF(op!J235="","",op!J235)</f>
        <v/>
      </c>
      <c r="K302" s="1194"/>
      <c r="L302" s="1065">
        <f t="shared" si="163"/>
        <v>0</v>
      </c>
      <c r="M302" s="1065">
        <f t="shared" si="163"/>
        <v>0</v>
      </c>
      <c r="N302" s="1077" t="str">
        <f t="shared" si="177"/>
        <v/>
      </c>
      <c r="O302" s="1077" t="str">
        <f t="shared" si="178"/>
        <v/>
      </c>
      <c r="P302" s="1172" t="str">
        <f t="shared" si="164"/>
        <v/>
      </c>
      <c r="Q302" s="91"/>
      <c r="R302" s="936" t="str">
        <f t="shared" si="179"/>
        <v/>
      </c>
      <c r="S302" s="936" t="str">
        <f t="shared" si="165"/>
        <v/>
      </c>
      <c r="T302" s="937" t="str">
        <f t="shared" si="166"/>
        <v/>
      </c>
      <c r="U302" s="361"/>
      <c r="V302" s="375"/>
      <c r="W302" s="375"/>
      <c r="X302" s="375"/>
      <c r="Y302" s="1120" t="e">
        <f>VLOOKUP(H302,tab!$A$73:$V$114,I302+2,FALSE)</f>
        <v>#VALUE!</v>
      </c>
      <c r="Z302" s="1211">
        <f>tab!$E$64</f>
        <v>0.62</v>
      </c>
      <c r="AA302" s="1163" t="e">
        <f t="shared" si="167"/>
        <v>#VALUE!</v>
      </c>
      <c r="AB302" s="1163" t="e">
        <f t="shared" si="168"/>
        <v>#VALUE!</v>
      </c>
      <c r="AC302" s="1163" t="e">
        <f t="shared" si="169"/>
        <v>#VALUE!</v>
      </c>
      <c r="AD302" s="1162" t="e">
        <f t="shared" si="170"/>
        <v>#VALUE!</v>
      </c>
      <c r="AE302" s="1162">
        <f t="shared" si="171"/>
        <v>0</v>
      </c>
      <c r="AF302" s="1129">
        <f>IF(H302&gt;8,tab!$D$65,tab!$D$67)</f>
        <v>0.5</v>
      </c>
      <c r="AG302" s="1143">
        <f t="shared" si="172"/>
        <v>0</v>
      </c>
      <c r="AH302" s="1159">
        <f t="shared" si="173"/>
        <v>0</v>
      </c>
      <c r="AI302" s="1142" t="e">
        <f>DATE(YEAR(tab!$I$3),MONTH(G302),DAY(G302))&gt;tab!$I$3</f>
        <v>#VALUE!</v>
      </c>
      <c r="AJ302" s="1142" t="e">
        <f t="shared" si="174"/>
        <v>#VALUE!</v>
      </c>
      <c r="AK302" s="1096">
        <f t="shared" si="175"/>
        <v>30</v>
      </c>
      <c r="AL302" s="1096">
        <f t="shared" si="180"/>
        <v>30</v>
      </c>
      <c r="AM302" s="1143">
        <f t="shared" si="176"/>
        <v>0</v>
      </c>
    </row>
    <row r="303" spans="3:39" ht="12.75" customHeight="1" x14ac:dyDescent="0.2">
      <c r="C303" s="90"/>
      <c r="D303" s="97" t="str">
        <f>IF(op!D236=0,"",op!D236)</f>
        <v/>
      </c>
      <c r="E303" s="97" t="str">
        <f>IF(op!E236=0,"-",op!E236)</f>
        <v/>
      </c>
      <c r="F303" s="114" t="str">
        <f>IF(op!F236="","",op!F236+1)</f>
        <v/>
      </c>
      <c r="G303" s="377" t="str">
        <f>IF(op!G236="","",op!G236)</f>
        <v/>
      </c>
      <c r="H303" s="114" t="str">
        <f>IF(op!H236=0,"",op!H236)</f>
        <v/>
      </c>
      <c r="I303" s="129" t="str">
        <f>IF(J303="","",(IF(op!I236+1&gt;LOOKUP(H303,schaal2011,regels2011),op!I236,op!I236+1)))</f>
        <v/>
      </c>
      <c r="J303" s="378" t="str">
        <f>IF(op!J236="","",op!J236)</f>
        <v/>
      </c>
      <c r="K303" s="1194"/>
      <c r="L303" s="1065">
        <f t="shared" si="163"/>
        <v>0</v>
      </c>
      <c r="M303" s="1065">
        <f t="shared" si="163"/>
        <v>0</v>
      </c>
      <c r="N303" s="1077" t="str">
        <f t="shared" si="177"/>
        <v/>
      </c>
      <c r="O303" s="1077" t="str">
        <f t="shared" si="178"/>
        <v/>
      </c>
      <c r="P303" s="1172" t="str">
        <f t="shared" si="164"/>
        <v/>
      </c>
      <c r="Q303" s="91"/>
      <c r="R303" s="936" t="str">
        <f t="shared" si="179"/>
        <v/>
      </c>
      <c r="S303" s="936" t="str">
        <f t="shared" si="165"/>
        <v/>
      </c>
      <c r="T303" s="937" t="str">
        <f t="shared" si="166"/>
        <v/>
      </c>
      <c r="U303" s="361"/>
      <c r="V303" s="375"/>
      <c r="W303" s="375"/>
      <c r="X303" s="375"/>
      <c r="Y303" s="1120" t="e">
        <f>VLOOKUP(H303,tab!$A$73:$V$114,I303+2,FALSE)</f>
        <v>#VALUE!</v>
      </c>
      <c r="Z303" s="1211">
        <f>tab!$E$64</f>
        <v>0.62</v>
      </c>
      <c r="AA303" s="1163" t="e">
        <f t="shared" si="167"/>
        <v>#VALUE!</v>
      </c>
      <c r="AB303" s="1163" t="e">
        <f t="shared" si="168"/>
        <v>#VALUE!</v>
      </c>
      <c r="AC303" s="1163" t="e">
        <f t="shared" si="169"/>
        <v>#VALUE!</v>
      </c>
      <c r="AD303" s="1162" t="e">
        <f t="shared" si="170"/>
        <v>#VALUE!</v>
      </c>
      <c r="AE303" s="1162">
        <f t="shared" si="171"/>
        <v>0</v>
      </c>
      <c r="AF303" s="1129">
        <f>IF(H303&gt;8,tab!$D$65,tab!$D$67)</f>
        <v>0.5</v>
      </c>
      <c r="AG303" s="1143">
        <f t="shared" si="172"/>
        <v>0</v>
      </c>
      <c r="AH303" s="1159">
        <f t="shared" si="173"/>
        <v>0</v>
      </c>
      <c r="AI303" s="1142" t="e">
        <f>DATE(YEAR(tab!$I$3),MONTH(G303),DAY(G303))&gt;tab!$I$3</f>
        <v>#VALUE!</v>
      </c>
      <c r="AJ303" s="1142" t="e">
        <f t="shared" si="174"/>
        <v>#VALUE!</v>
      </c>
      <c r="AK303" s="1096">
        <f t="shared" si="175"/>
        <v>30</v>
      </c>
      <c r="AL303" s="1096">
        <f t="shared" si="180"/>
        <v>30</v>
      </c>
      <c r="AM303" s="1143">
        <f t="shared" si="176"/>
        <v>0</v>
      </c>
    </row>
    <row r="304" spans="3:39" ht="12.75" customHeight="1" x14ac:dyDescent="0.2">
      <c r="C304" s="90"/>
      <c r="D304" s="97" t="str">
        <f>IF(op!D237=0,"",op!D237)</f>
        <v/>
      </c>
      <c r="E304" s="97" t="str">
        <f>IF(op!E237=0,"-",op!E237)</f>
        <v/>
      </c>
      <c r="F304" s="114" t="str">
        <f>IF(op!F237="","",op!F237+1)</f>
        <v/>
      </c>
      <c r="G304" s="377" t="str">
        <f>IF(op!G237="","",op!G237)</f>
        <v/>
      </c>
      <c r="H304" s="114" t="str">
        <f>IF(op!H237=0,"",op!H237)</f>
        <v/>
      </c>
      <c r="I304" s="129" t="str">
        <f>IF(J304="","",(IF(op!I237+1&gt;LOOKUP(H304,schaal2011,regels2011),op!I237,op!I237+1)))</f>
        <v/>
      </c>
      <c r="J304" s="378" t="str">
        <f>IF(op!J237="","",op!J237)</f>
        <v/>
      </c>
      <c r="K304" s="1194"/>
      <c r="L304" s="1065">
        <f t="shared" si="163"/>
        <v>0</v>
      </c>
      <c r="M304" s="1065">
        <f t="shared" si="163"/>
        <v>0</v>
      </c>
      <c r="N304" s="1077" t="str">
        <f t="shared" si="177"/>
        <v/>
      </c>
      <c r="O304" s="1077" t="str">
        <f t="shared" si="178"/>
        <v/>
      </c>
      <c r="P304" s="1172" t="str">
        <f t="shared" si="164"/>
        <v/>
      </c>
      <c r="Q304" s="91"/>
      <c r="R304" s="936" t="str">
        <f t="shared" si="179"/>
        <v/>
      </c>
      <c r="S304" s="936" t="str">
        <f t="shared" si="165"/>
        <v/>
      </c>
      <c r="T304" s="937" t="str">
        <f t="shared" si="166"/>
        <v/>
      </c>
      <c r="U304" s="361"/>
      <c r="V304" s="375"/>
      <c r="W304" s="375"/>
      <c r="X304" s="375"/>
      <c r="Y304" s="1120" t="e">
        <f>VLOOKUP(H304,tab!$A$73:$V$114,I304+2,FALSE)</f>
        <v>#VALUE!</v>
      </c>
      <c r="Z304" s="1211">
        <f>tab!$E$64</f>
        <v>0.62</v>
      </c>
      <c r="AA304" s="1163" t="e">
        <f t="shared" si="167"/>
        <v>#VALUE!</v>
      </c>
      <c r="AB304" s="1163" t="e">
        <f t="shared" si="168"/>
        <v>#VALUE!</v>
      </c>
      <c r="AC304" s="1163" t="e">
        <f t="shared" si="169"/>
        <v>#VALUE!</v>
      </c>
      <c r="AD304" s="1162" t="e">
        <f t="shared" si="170"/>
        <v>#VALUE!</v>
      </c>
      <c r="AE304" s="1162">
        <f t="shared" si="171"/>
        <v>0</v>
      </c>
      <c r="AF304" s="1129">
        <f>IF(H304&gt;8,tab!$D$65,tab!$D$67)</f>
        <v>0.5</v>
      </c>
      <c r="AG304" s="1143">
        <f t="shared" si="172"/>
        <v>0</v>
      </c>
      <c r="AH304" s="1159">
        <f t="shared" si="173"/>
        <v>0</v>
      </c>
      <c r="AI304" s="1142" t="e">
        <f>DATE(YEAR(tab!$I$3),MONTH(G304),DAY(G304))&gt;tab!$I$3</f>
        <v>#VALUE!</v>
      </c>
      <c r="AJ304" s="1142" t="e">
        <f t="shared" si="174"/>
        <v>#VALUE!</v>
      </c>
      <c r="AK304" s="1096">
        <f t="shared" si="175"/>
        <v>30</v>
      </c>
      <c r="AL304" s="1096">
        <f t="shared" si="180"/>
        <v>30</v>
      </c>
      <c r="AM304" s="1143">
        <f t="shared" si="176"/>
        <v>0</v>
      </c>
    </row>
    <row r="305" spans="3:39" ht="12.75" customHeight="1" x14ac:dyDescent="0.2">
      <c r="C305" s="90"/>
      <c r="D305" s="97" t="str">
        <f>IF(op!D238=0,"",op!D238)</f>
        <v/>
      </c>
      <c r="E305" s="97" t="str">
        <f>IF(op!E238=0,"-",op!E238)</f>
        <v/>
      </c>
      <c r="F305" s="114" t="str">
        <f>IF(op!F238="","",op!F238+1)</f>
        <v/>
      </c>
      <c r="G305" s="377" t="str">
        <f>IF(op!G238="","",op!G238)</f>
        <v/>
      </c>
      <c r="H305" s="114" t="str">
        <f>IF(op!H238=0,"",op!H238)</f>
        <v/>
      </c>
      <c r="I305" s="129" t="str">
        <f>IF(J305="","",(IF(op!I238+1&gt;LOOKUP(H305,schaal2011,regels2011),op!I238,op!I238+1)))</f>
        <v/>
      </c>
      <c r="J305" s="378" t="str">
        <f>IF(op!J238="","",op!J238)</f>
        <v/>
      </c>
      <c r="K305" s="1194"/>
      <c r="L305" s="1065">
        <f t="shared" si="163"/>
        <v>0</v>
      </c>
      <c r="M305" s="1065">
        <f t="shared" si="163"/>
        <v>0</v>
      </c>
      <c r="N305" s="1077" t="str">
        <f t="shared" si="177"/>
        <v/>
      </c>
      <c r="O305" s="1077" t="str">
        <f t="shared" si="178"/>
        <v/>
      </c>
      <c r="P305" s="1172" t="str">
        <f t="shared" si="164"/>
        <v/>
      </c>
      <c r="Q305" s="91"/>
      <c r="R305" s="936" t="str">
        <f t="shared" si="179"/>
        <v/>
      </c>
      <c r="S305" s="936" t="str">
        <f t="shared" si="165"/>
        <v/>
      </c>
      <c r="T305" s="937" t="str">
        <f t="shared" si="166"/>
        <v/>
      </c>
      <c r="U305" s="361"/>
      <c r="V305" s="375"/>
      <c r="W305" s="375"/>
      <c r="X305" s="375"/>
      <c r="Y305" s="1120" t="e">
        <f>VLOOKUP(H305,tab!$A$73:$V$114,I305+2,FALSE)</f>
        <v>#VALUE!</v>
      </c>
      <c r="Z305" s="1211">
        <f>tab!$E$64</f>
        <v>0.62</v>
      </c>
      <c r="AA305" s="1163" t="e">
        <f t="shared" si="167"/>
        <v>#VALUE!</v>
      </c>
      <c r="AB305" s="1163" t="e">
        <f t="shared" si="168"/>
        <v>#VALUE!</v>
      </c>
      <c r="AC305" s="1163" t="e">
        <f t="shared" si="169"/>
        <v>#VALUE!</v>
      </c>
      <c r="AD305" s="1162" t="e">
        <f t="shared" si="170"/>
        <v>#VALUE!</v>
      </c>
      <c r="AE305" s="1162">
        <f t="shared" si="171"/>
        <v>0</v>
      </c>
      <c r="AF305" s="1129">
        <f>IF(H305&gt;8,tab!$D$65,tab!$D$67)</f>
        <v>0.5</v>
      </c>
      <c r="AG305" s="1143">
        <f t="shared" si="172"/>
        <v>0</v>
      </c>
      <c r="AH305" s="1159">
        <f t="shared" si="173"/>
        <v>0</v>
      </c>
      <c r="AI305" s="1142" t="e">
        <f>DATE(YEAR(tab!$I$3),MONTH(G305),DAY(G305))&gt;tab!$I$3</f>
        <v>#VALUE!</v>
      </c>
      <c r="AJ305" s="1142" t="e">
        <f t="shared" si="174"/>
        <v>#VALUE!</v>
      </c>
      <c r="AK305" s="1096">
        <f t="shared" si="175"/>
        <v>30</v>
      </c>
      <c r="AL305" s="1096">
        <f t="shared" si="180"/>
        <v>30</v>
      </c>
      <c r="AM305" s="1143">
        <f t="shared" si="176"/>
        <v>0</v>
      </c>
    </row>
    <row r="306" spans="3:39" ht="12.75" customHeight="1" x14ac:dyDescent="0.2">
      <c r="C306" s="90"/>
      <c r="D306" s="97" t="str">
        <f>IF(op!D239=0,"",op!D239)</f>
        <v/>
      </c>
      <c r="E306" s="97" t="str">
        <f>IF(op!E239=0,"-",op!E239)</f>
        <v/>
      </c>
      <c r="F306" s="114" t="str">
        <f>IF(op!F239="","",op!F239+1)</f>
        <v/>
      </c>
      <c r="G306" s="377" t="str">
        <f>IF(op!G239="","",op!G239)</f>
        <v/>
      </c>
      <c r="H306" s="114" t="str">
        <f>IF(op!H239=0,"",op!H239)</f>
        <v/>
      </c>
      <c r="I306" s="129" t="str">
        <f>IF(J306="","",(IF(op!I239+1&gt;LOOKUP(H306,schaal2011,regels2011),op!I239,op!I239+1)))</f>
        <v/>
      </c>
      <c r="J306" s="378" t="str">
        <f>IF(op!J239="","",op!J239)</f>
        <v/>
      </c>
      <c r="K306" s="1194"/>
      <c r="L306" s="1065">
        <f t="shared" ref="L306:M325" si="181">IF(L239="","",L239)</f>
        <v>0</v>
      </c>
      <c r="M306" s="1065">
        <f t="shared" si="181"/>
        <v>0</v>
      </c>
      <c r="N306" s="1077" t="str">
        <f t="shared" si="177"/>
        <v/>
      </c>
      <c r="O306" s="1077" t="str">
        <f t="shared" si="178"/>
        <v/>
      </c>
      <c r="P306" s="1172" t="str">
        <f t="shared" si="164"/>
        <v/>
      </c>
      <c r="Q306" s="91"/>
      <c r="R306" s="936" t="str">
        <f t="shared" si="179"/>
        <v/>
      </c>
      <c r="S306" s="936" t="str">
        <f t="shared" si="165"/>
        <v/>
      </c>
      <c r="T306" s="937" t="str">
        <f t="shared" si="166"/>
        <v/>
      </c>
      <c r="U306" s="361"/>
      <c r="V306" s="375"/>
      <c r="W306" s="375"/>
      <c r="X306" s="375"/>
      <c r="Y306" s="1120" t="e">
        <f>VLOOKUP(H306,tab!$A$73:$V$114,I306+2,FALSE)</f>
        <v>#VALUE!</v>
      </c>
      <c r="Z306" s="1211">
        <f>tab!$E$64</f>
        <v>0.62</v>
      </c>
      <c r="AA306" s="1163" t="e">
        <f t="shared" si="167"/>
        <v>#VALUE!</v>
      </c>
      <c r="AB306" s="1163" t="e">
        <f t="shared" si="168"/>
        <v>#VALUE!</v>
      </c>
      <c r="AC306" s="1163" t="e">
        <f t="shared" si="169"/>
        <v>#VALUE!</v>
      </c>
      <c r="AD306" s="1162" t="e">
        <f t="shared" si="170"/>
        <v>#VALUE!</v>
      </c>
      <c r="AE306" s="1162">
        <f t="shared" si="171"/>
        <v>0</v>
      </c>
      <c r="AF306" s="1129">
        <f>IF(H306&gt;8,tab!$D$65,tab!$D$67)</f>
        <v>0.5</v>
      </c>
      <c r="AG306" s="1143">
        <f t="shared" si="172"/>
        <v>0</v>
      </c>
      <c r="AH306" s="1159">
        <f t="shared" si="173"/>
        <v>0</v>
      </c>
      <c r="AI306" s="1142" t="e">
        <f>DATE(YEAR(tab!$I$3),MONTH(G306),DAY(G306))&gt;tab!$I$3</f>
        <v>#VALUE!</v>
      </c>
      <c r="AJ306" s="1142" t="e">
        <f t="shared" si="174"/>
        <v>#VALUE!</v>
      </c>
      <c r="AK306" s="1096">
        <f t="shared" si="175"/>
        <v>30</v>
      </c>
      <c r="AL306" s="1096">
        <f t="shared" si="180"/>
        <v>30</v>
      </c>
      <c r="AM306" s="1143">
        <f t="shared" si="176"/>
        <v>0</v>
      </c>
    </row>
    <row r="307" spans="3:39" ht="12.75" customHeight="1" x14ac:dyDescent="0.2">
      <c r="C307" s="90"/>
      <c r="D307" s="97" t="str">
        <f>IF(op!D240=0,"",op!D240)</f>
        <v/>
      </c>
      <c r="E307" s="97" t="str">
        <f>IF(op!E240=0,"-",op!E240)</f>
        <v/>
      </c>
      <c r="F307" s="114" t="str">
        <f>IF(op!F240="","",op!F240+1)</f>
        <v/>
      </c>
      <c r="G307" s="377" t="str">
        <f>IF(op!G240="","",op!G240)</f>
        <v/>
      </c>
      <c r="H307" s="114" t="str">
        <f>IF(op!H240=0,"",op!H240)</f>
        <v/>
      </c>
      <c r="I307" s="129" t="str">
        <f>IF(J307="","",(IF(op!I240+1&gt;LOOKUP(H307,schaal2011,regels2011),op!I240,op!I240+1)))</f>
        <v/>
      </c>
      <c r="J307" s="378" t="str">
        <f>IF(op!J240="","",op!J240)</f>
        <v/>
      </c>
      <c r="K307" s="1194"/>
      <c r="L307" s="1065">
        <f t="shared" si="181"/>
        <v>0</v>
      </c>
      <c r="M307" s="1065">
        <f t="shared" si="181"/>
        <v>0</v>
      </c>
      <c r="N307" s="1077" t="str">
        <f t="shared" si="177"/>
        <v/>
      </c>
      <c r="O307" s="1077" t="str">
        <f t="shared" si="178"/>
        <v/>
      </c>
      <c r="P307" s="1172" t="str">
        <f t="shared" si="164"/>
        <v/>
      </c>
      <c r="Q307" s="91"/>
      <c r="R307" s="936" t="str">
        <f t="shared" si="179"/>
        <v/>
      </c>
      <c r="S307" s="936" t="str">
        <f t="shared" si="165"/>
        <v/>
      </c>
      <c r="T307" s="937" t="str">
        <f t="shared" si="166"/>
        <v/>
      </c>
      <c r="U307" s="361"/>
      <c r="V307" s="375"/>
      <c r="W307" s="375"/>
      <c r="X307" s="375"/>
      <c r="Y307" s="1120" t="e">
        <f>VLOOKUP(H307,tab!$A$73:$V$114,I307+2,FALSE)</f>
        <v>#VALUE!</v>
      </c>
      <c r="Z307" s="1211">
        <f>tab!$E$64</f>
        <v>0.62</v>
      </c>
      <c r="AA307" s="1163" t="e">
        <f t="shared" si="167"/>
        <v>#VALUE!</v>
      </c>
      <c r="AB307" s="1163" t="e">
        <f t="shared" si="168"/>
        <v>#VALUE!</v>
      </c>
      <c r="AC307" s="1163" t="e">
        <f t="shared" si="169"/>
        <v>#VALUE!</v>
      </c>
      <c r="AD307" s="1162" t="e">
        <f t="shared" si="170"/>
        <v>#VALUE!</v>
      </c>
      <c r="AE307" s="1162">
        <f t="shared" si="171"/>
        <v>0</v>
      </c>
      <c r="AF307" s="1129">
        <f>IF(H307&gt;8,tab!$D$65,tab!$D$67)</f>
        <v>0.5</v>
      </c>
      <c r="AG307" s="1143">
        <f t="shared" si="172"/>
        <v>0</v>
      </c>
      <c r="AH307" s="1159">
        <f t="shared" si="173"/>
        <v>0</v>
      </c>
      <c r="AI307" s="1142" t="e">
        <f>DATE(YEAR(tab!$I$3),MONTH(G307),DAY(G307))&gt;tab!$I$3</f>
        <v>#VALUE!</v>
      </c>
      <c r="AJ307" s="1142" t="e">
        <f t="shared" si="174"/>
        <v>#VALUE!</v>
      </c>
      <c r="AK307" s="1096">
        <f t="shared" si="175"/>
        <v>30</v>
      </c>
      <c r="AL307" s="1096">
        <f t="shared" si="180"/>
        <v>30</v>
      </c>
      <c r="AM307" s="1143">
        <f t="shared" si="176"/>
        <v>0</v>
      </c>
    </row>
    <row r="308" spans="3:39" ht="12.75" customHeight="1" x14ac:dyDescent="0.2">
      <c r="C308" s="90"/>
      <c r="D308" s="97" t="str">
        <f>IF(op!D241=0,"",op!D241)</f>
        <v/>
      </c>
      <c r="E308" s="97" t="str">
        <f>IF(op!E241=0,"-",op!E241)</f>
        <v/>
      </c>
      <c r="F308" s="114" t="str">
        <f>IF(op!F241="","",op!F241+1)</f>
        <v/>
      </c>
      <c r="G308" s="377" t="str">
        <f>IF(op!G241="","",op!G241)</f>
        <v/>
      </c>
      <c r="H308" s="114" t="str">
        <f>IF(op!H241=0,"",op!H241)</f>
        <v/>
      </c>
      <c r="I308" s="129" t="str">
        <f>IF(J308="","",(IF(op!I241+1&gt;LOOKUP(H308,schaal2011,regels2011),op!I241,op!I241+1)))</f>
        <v/>
      </c>
      <c r="J308" s="378" t="str">
        <f>IF(op!J241="","",op!J241)</f>
        <v/>
      </c>
      <c r="K308" s="1194"/>
      <c r="L308" s="1065">
        <f t="shared" si="181"/>
        <v>0</v>
      </c>
      <c r="M308" s="1065">
        <f t="shared" si="181"/>
        <v>0</v>
      </c>
      <c r="N308" s="1077" t="str">
        <f t="shared" si="177"/>
        <v/>
      </c>
      <c r="O308" s="1077" t="str">
        <f t="shared" si="178"/>
        <v/>
      </c>
      <c r="P308" s="1172" t="str">
        <f t="shared" si="164"/>
        <v/>
      </c>
      <c r="Q308" s="91"/>
      <c r="R308" s="936" t="str">
        <f t="shared" si="179"/>
        <v/>
      </c>
      <c r="S308" s="936" t="str">
        <f t="shared" si="165"/>
        <v/>
      </c>
      <c r="T308" s="937" t="str">
        <f t="shared" si="166"/>
        <v/>
      </c>
      <c r="U308" s="361"/>
      <c r="V308" s="375"/>
      <c r="W308" s="375"/>
      <c r="X308" s="375"/>
      <c r="Y308" s="1120" t="e">
        <f>VLOOKUP(H308,tab!$A$73:$V$114,I308+2,FALSE)</f>
        <v>#VALUE!</v>
      </c>
      <c r="Z308" s="1211">
        <f>tab!$E$64</f>
        <v>0.62</v>
      </c>
      <c r="AA308" s="1163" t="e">
        <f t="shared" si="167"/>
        <v>#VALUE!</v>
      </c>
      <c r="AB308" s="1163" t="e">
        <f t="shared" si="168"/>
        <v>#VALUE!</v>
      </c>
      <c r="AC308" s="1163" t="e">
        <f t="shared" si="169"/>
        <v>#VALUE!</v>
      </c>
      <c r="AD308" s="1162" t="e">
        <f t="shared" si="170"/>
        <v>#VALUE!</v>
      </c>
      <c r="AE308" s="1162">
        <f t="shared" si="171"/>
        <v>0</v>
      </c>
      <c r="AF308" s="1129">
        <f>IF(H308&gt;8,tab!$D$65,tab!$D$67)</f>
        <v>0.5</v>
      </c>
      <c r="AG308" s="1143">
        <f t="shared" si="172"/>
        <v>0</v>
      </c>
      <c r="AH308" s="1159">
        <f t="shared" si="173"/>
        <v>0</v>
      </c>
      <c r="AI308" s="1142" t="e">
        <f>DATE(YEAR(tab!$I$3),MONTH(G308),DAY(G308))&gt;tab!$I$3</f>
        <v>#VALUE!</v>
      </c>
      <c r="AJ308" s="1142" t="e">
        <f t="shared" si="174"/>
        <v>#VALUE!</v>
      </c>
      <c r="AK308" s="1096">
        <f t="shared" si="175"/>
        <v>30</v>
      </c>
      <c r="AL308" s="1096">
        <f t="shared" si="180"/>
        <v>30</v>
      </c>
      <c r="AM308" s="1143">
        <f t="shared" si="176"/>
        <v>0</v>
      </c>
    </row>
    <row r="309" spans="3:39" ht="12.75" customHeight="1" x14ac:dyDescent="0.2">
      <c r="C309" s="90"/>
      <c r="D309" s="97" t="str">
        <f>IF(op!D242=0,"",op!D242)</f>
        <v/>
      </c>
      <c r="E309" s="97" t="str">
        <f>IF(op!E242=0,"-",op!E242)</f>
        <v/>
      </c>
      <c r="F309" s="114" t="str">
        <f>IF(op!F242="","",op!F242+1)</f>
        <v/>
      </c>
      <c r="G309" s="377" t="str">
        <f>IF(op!G242="","",op!G242)</f>
        <v/>
      </c>
      <c r="H309" s="114" t="str">
        <f>IF(op!H242=0,"",op!H242)</f>
        <v/>
      </c>
      <c r="I309" s="129" t="str">
        <f>IF(J309="","",(IF(op!I242+1&gt;LOOKUP(H309,schaal2011,regels2011),op!I242,op!I242+1)))</f>
        <v/>
      </c>
      <c r="J309" s="378" t="str">
        <f>IF(op!J242="","",op!J242)</f>
        <v/>
      </c>
      <c r="K309" s="1194"/>
      <c r="L309" s="1065">
        <f t="shared" si="181"/>
        <v>0</v>
      </c>
      <c r="M309" s="1065">
        <f t="shared" si="181"/>
        <v>0</v>
      </c>
      <c r="N309" s="1077" t="str">
        <f t="shared" si="177"/>
        <v/>
      </c>
      <c r="O309" s="1077" t="str">
        <f t="shared" si="178"/>
        <v/>
      </c>
      <c r="P309" s="1172" t="str">
        <f t="shared" si="164"/>
        <v/>
      </c>
      <c r="Q309" s="91"/>
      <c r="R309" s="936" t="str">
        <f t="shared" si="179"/>
        <v/>
      </c>
      <c r="S309" s="936" t="str">
        <f t="shared" si="165"/>
        <v/>
      </c>
      <c r="T309" s="937" t="str">
        <f t="shared" si="166"/>
        <v/>
      </c>
      <c r="U309" s="361"/>
      <c r="V309" s="375"/>
      <c r="W309" s="375"/>
      <c r="X309" s="375"/>
      <c r="Y309" s="1120" t="e">
        <f>VLOOKUP(H309,tab!$A$73:$V$114,I309+2,FALSE)</f>
        <v>#VALUE!</v>
      </c>
      <c r="Z309" s="1211">
        <f>tab!$E$64</f>
        <v>0.62</v>
      </c>
      <c r="AA309" s="1163" t="e">
        <f t="shared" si="167"/>
        <v>#VALUE!</v>
      </c>
      <c r="AB309" s="1163" t="e">
        <f t="shared" si="168"/>
        <v>#VALUE!</v>
      </c>
      <c r="AC309" s="1163" t="e">
        <f t="shared" si="169"/>
        <v>#VALUE!</v>
      </c>
      <c r="AD309" s="1162" t="e">
        <f t="shared" si="170"/>
        <v>#VALUE!</v>
      </c>
      <c r="AE309" s="1162">
        <f t="shared" si="171"/>
        <v>0</v>
      </c>
      <c r="AF309" s="1129">
        <f>IF(H309&gt;8,tab!$D$65,tab!$D$67)</f>
        <v>0.5</v>
      </c>
      <c r="AG309" s="1143">
        <f t="shared" si="172"/>
        <v>0</v>
      </c>
      <c r="AH309" s="1159">
        <f t="shared" si="173"/>
        <v>0</v>
      </c>
      <c r="AI309" s="1142" t="e">
        <f>DATE(YEAR(tab!$I$3),MONTH(G309),DAY(G309))&gt;tab!$I$3</f>
        <v>#VALUE!</v>
      </c>
      <c r="AJ309" s="1142" t="e">
        <f t="shared" si="174"/>
        <v>#VALUE!</v>
      </c>
      <c r="AK309" s="1096">
        <f t="shared" si="175"/>
        <v>30</v>
      </c>
      <c r="AL309" s="1096">
        <f t="shared" si="180"/>
        <v>30</v>
      </c>
      <c r="AM309" s="1143">
        <f t="shared" si="176"/>
        <v>0</v>
      </c>
    </row>
    <row r="310" spans="3:39" ht="12.75" customHeight="1" x14ac:dyDescent="0.2">
      <c r="C310" s="90"/>
      <c r="D310" s="97" t="str">
        <f>IF(op!D243=0,"",op!D243)</f>
        <v/>
      </c>
      <c r="E310" s="97" t="str">
        <f>IF(op!E243=0,"-",op!E243)</f>
        <v/>
      </c>
      <c r="F310" s="114" t="str">
        <f>IF(op!F243="","",op!F243+1)</f>
        <v/>
      </c>
      <c r="G310" s="377" t="str">
        <f>IF(op!G243="","",op!G243)</f>
        <v/>
      </c>
      <c r="H310" s="114" t="str">
        <f>IF(op!H243=0,"",op!H243)</f>
        <v/>
      </c>
      <c r="I310" s="129" t="str">
        <f>IF(J310="","",(IF(op!I243+1&gt;LOOKUP(H310,schaal2011,regels2011),op!I243,op!I243+1)))</f>
        <v/>
      </c>
      <c r="J310" s="378" t="str">
        <f>IF(op!J243="","",op!J243)</f>
        <v/>
      </c>
      <c r="K310" s="1194"/>
      <c r="L310" s="1065">
        <f t="shared" si="181"/>
        <v>0</v>
      </c>
      <c r="M310" s="1065">
        <f t="shared" si="181"/>
        <v>0</v>
      </c>
      <c r="N310" s="1077" t="str">
        <f t="shared" si="177"/>
        <v/>
      </c>
      <c r="O310" s="1077" t="str">
        <f t="shared" si="178"/>
        <v/>
      </c>
      <c r="P310" s="1172" t="str">
        <f t="shared" si="164"/>
        <v/>
      </c>
      <c r="Q310" s="91"/>
      <c r="R310" s="936" t="str">
        <f t="shared" si="179"/>
        <v/>
      </c>
      <c r="S310" s="936" t="str">
        <f t="shared" si="165"/>
        <v/>
      </c>
      <c r="T310" s="937" t="str">
        <f t="shared" si="166"/>
        <v/>
      </c>
      <c r="U310" s="361"/>
      <c r="V310" s="375"/>
      <c r="W310" s="375"/>
      <c r="X310" s="375"/>
      <c r="Y310" s="1120" t="e">
        <f>VLOOKUP(H310,tab!$A$73:$V$114,I310+2,FALSE)</f>
        <v>#VALUE!</v>
      </c>
      <c r="Z310" s="1211">
        <f>tab!$E$64</f>
        <v>0.62</v>
      </c>
      <c r="AA310" s="1163" t="e">
        <f t="shared" si="167"/>
        <v>#VALUE!</v>
      </c>
      <c r="AB310" s="1163" t="e">
        <f t="shared" si="168"/>
        <v>#VALUE!</v>
      </c>
      <c r="AC310" s="1163" t="e">
        <f t="shared" si="169"/>
        <v>#VALUE!</v>
      </c>
      <c r="AD310" s="1162" t="e">
        <f t="shared" si="170"/>
        <v>#VALUE!</v>
      </c>
      <c r="AE310" s="1162">
        <f t="shared" si="171"/>
        <v>0</v>
      </c>
      <c r="AF310" s="1129">
        <f>IF(H310&gt;8,tab!$D$65,tab!$D$67)</f>
        <v>0.5</v>
      </c>
      <c r="AG310" s="1143">
        <f t="shared" si="172"/>
        <v>0</v>
      </c>
      <c r="AH310" s="1159">
        <f t="shared" si="173"/>
        <v>0</v>
      </c>
      <c r="AI310" s="1142" t="e">
        <f>DATE(YEAR(tab!$I$3),MONTH(G310),DAY(G310))&gt;tab!$I$3</f>
        <v>#VALUE!</v>
      </c>
      <c r="AJ310" s="1142" t="e">
        <f t="shared" si="174"/>
        <v>#VALUE!</v>
      </c>
      <c r="AK310" s="1096">
        <f t="shared" si="175"/>
        <v>30</v>
      </c>
      <c r="AL310" s="1096">
        <f t="shared" si="180"/>
        <v>30</v>
      </c>
      <c r="AM310" s="1143">
        <f t="shared" si="176"/>
        <v>0</v>
      </c>
    </row>
    <row r="311" spans="3:39" ht="12.75" customHeight="1" x14ac:dyDescent="0.2">
      <c r="C311" s="90"/>
      <c r="D311" s="97" t="str">
        <f>IF(op!D244=0,"",op!D244)</f>
        <v/>
      </c>
      <c r="E311" s="97" t="str">
        <f>IF(op!E244=0,"-",op!E244)</f>
        <v/>
      </c>
      <c r="F311" s="114" t="str">
        <f>IF(op!F244="","",op!F244+1)</f>
        <v/>
      </c>
      <c r="G311" s="377" t="str">
        <f>IF(op!G244="","",op!G244)</f>
        <v/>
      </c>
      <c r="H311" s="114" t="str">
        <f>IF(op!H244=0,"",op!H244)</f>
        <v/>
      </c>
      <c r="I311" s="129" t="str">
        <f>IF(J311="","",(IF(op!I244+1&gt;LOOKUP(H311,schaal2011,regels2011),op!I244,op!I244+1)))</f>
        <v/>
      </c>
      <c r="J311" s="378" t="str">
        <f>IF(op!J244="","",op!J244)</f>
        <v/>
      </c>
      <c r="K311" s="1194"/>
      <c r="L311" s="1065">
        <f t="shared" si="181"/>
        <v>0</v>
      </c>
      <c r="M311" s="1065">
        <f t="shared" si="181"/>
        <v>0</v>
      </c>
      <c r="N311" s="1077" t="str">
        <f t="shared" si="177"/>
        <v/>
      </c>
      <c r="O311" s="1077" t="str">
        <f t="shared" si="178"/>
        <v/>
      </c>
      <c r="P311" s="1172" t="str">
        <f t="shared" si="164"/>
        <v/>
      </c>
      <c r="Q311" s="91"/>
      <c r="R311" s="936" t="str">
        <f t="shared" si="179"/>
        <v/>
      </c>
      <c r="S311" s="936" t="str">
        <f t="shared" si="165"/>
        <v/>
      </c>
      <c r="T311" s="937" t="str">
        <f t="shared" si="166"/>
        <v/>
      </c>
      <c r="U311" s="361"/>
      <c r="V311" s="375"/>
      <c r="W311" s="375"/>
      <c r="X311" s="375"/>
      <c r="Y311" s="1120" t="e">
        <f>VLOOKUP(H311,tab!$A$73:$V$114,I311+2,FALSE)</f>
        <v>#VALUE!</v>
      </c>
      <c r="Z311" s="1211">
        <f>tab!$E$64</f>
        <v>0.62</v>
      </c>
      <c r="AA311" s="1163" t="e">
        <f t="shared" si="167"/>
        <v>#VALUE!</v>
      </c>
      <c r="AB311" s="1163" t="e">
        <f t="shared" si="168"/>
        <v>#VALUE!</v>
      </c>
      <c r="AC311" s="1163" t="e">
        <f t="shared" si="169"/>
        <v>#VALUE!</v>
      </c>
      <c r="AD311" s="1162" t="e">
        <f t="shared" si="170"/>
        <v>#VALUE!</v>
      </c>
      <c r="AE311" s="1162">
        <f t="shared" si="171"/>
        <v>0</v>
      </c>
      <c r="AF311" s="1129">
        <f>IF(H311&gt;8,tab!$D$65,tab!$D$67)</f>
        <v>0.5</v>
      </c>
      <c r="AG311" s="1143">
        <f t="shared" si="172"/>
        <v>0</v>
      </c>
      <c r="AH311" s="1159">
        <f t="shared" si="173"/>
        <v>0</v>
      </c>
      <c r="AI311" s="1142" t="e">
        <f>DATE(YEAR(tab!$I$3),MONTH(G311),DAY(G311))&gt;tab!$I$3</f>
        <v>#VALUE!</v>
      </c>
      <c r="AJ311" s="1142" t="e">
        <f t="shared" si="174"/>
        <v>#VALUE!</v>
      </c>
      <c r="AK311" s="1096">
        <f t="shared" si="175"/>
        <v>30</v>
      </c>
      <c r="AL311" s="1096">
        <f t="shared" si="180"/>
        <v>30</v>
      </c>
      <c r="AM311" s="1143">
        <f t="shared" si="176"/>
        <v>0</v>
      </c>
    </row>
    <row r="312" spans="3:39" ht="12.75" customHeight="1" x14ac:dyDescent="0.2">
      <c r="C312" s="90"/>
      <c r="D312" s="97" t="str">
        <f>IF(op!D245=0,"",op!D245)</f>
        <v/>
      </c>
      <c r="E312" s="97" t="str">
        <f>IF(op!E245=0,"-",op!E245)</f>
        <v/>
      </c>
      <c r="F312" s="114" t="str">
        <f>IF(op!F245="","",op!F245+1)</f>
        <v/>
      </c>
      <c r="G312" s="377" t="str">
        <f>IF(op!G245="","",op!G245)</f>
        <v/>
      </c>
      <c r="H312" s="114" t="str">
        <f>IF(op!H245=0,"",op!H245)</f>
        <v/>
      </c>
      <c r="I312" s="129" t="str">
        <f>IF(J312="","",(IF(op!I245+1&gt;LOOKUP(H312,schaal2011,regels2011),op!I245,op!I245+1)))</f>
        <v/>
      </c>
      <c r="J312" s="378" t="str">
        <f>IF(op!J245="","",op!J245)</f>
        <v/>
      </c>
      <c r="K312" s="1194"/>
      <c r="L312" s="1065">
        <f t="shared" si="181"/>
        <v>0</v>
      </c>
      <c r="M312" s="1065">
        <f t="shared" si="181"/>
        <v>0</v>
      </c>
      <c r="N312" s="1077" t="str">
        <f t="shared" si="177"/>
        <v/>
      </c>
      <c r="O312" s="1077" t="str">
        <f t="shared" si="178"/>
        <v/>
      </c>
      <c r="P312" s="1172" t="str">
        <f t="shared" si="164"/>
        <v/>
      </c>
      <c r="Q312" s="91"/>
      <c r="R312" s="936" t="str">
        <f t="shared" si="179"/>
        <v/>
      </c>
      <c r="S312" s="936" t="str">
        <f t="shared" si="165"/>
        <v/>
      </c>
      <c r="T312" s="937" t="str">
        <f t="shared" si="166"/>
        <v/>
      </c>
      <c r="U312" s="361"/>
      <c r="V312" s="375"/>
      <c r="W312" s="375"/>
      <c r="X312" s="375"/>
      <c r="Y312" s="1120" t="e">
        <f>VLOOKUP(H312,tab!$A$73:$V$114,I312+2,FALSE)</f>
        <v>#VALUE!</v>
      </c>
      <c r="Z312" s="1211">
        <f>tab!$E$64</f>
        <v>0.62</v>
      </c>
      <c r="AA312" s="1163" t="e">
        <f t="shared" si="167"/>
        <v>#VALUE!</v>
      </c>
      <c r="AB312" s="1163" t="e">
        <f t="shared" si="168"/>
        <v>#VALUE!</v>
      </c>
      <c r="AC312" s="1163" t="e">
        <f t="shared" si="169"/>
        <v>#VALUE!</v>
      </c>
      <c r="AD312" s="1162" t="e">
        <f t="shared" si="170"/>
        <v>#VALUE!</v>
      </c>
      <c r="AE312" s="1162">
        <f t="shared" si="171"/>
        <v>0</v>
      </c>
      <c r="AF312" s="1129">
        <f>IF(H312&gt;8,tab!$D$65,tab!$D$67)</f>
        <v>0.5</v>
      </c>
      <c r="AG312" s="1143">
        <f t="shared" si="172"/>
        <v>0</v>
      </c>
      <c r="AH312" s="1159">
        <f t="shared" si="173"/>
        <v>0</v>
      </c>
      <c r="AI312" s="1142" t="e">
        <f>DATE(YEAR(tab!$I$3),MONTH(G312),DAY(G312))&gt;tab!$I$3</f>
        <v>#VALUE!</v>
      </c>
      <c r="AJ312" s="1142" t="e">
        <f t="shared" si="174"/>
        <v>#VALUE!</v>
      </c>
      <c r="AK312" s="1096">
        <f t="shared" si="175"/>
        <v>30</v>
      </c>
      <c r="AL312" s="1096">
        <f t="shared" si="180"/>
        <v>30</v>
      </c>
      <c r="AM312" s="1143">
        <f t="shared" si="176"/>
        <v>0</v>
      </c>
    </row>
    <row r="313" spans="3:39" ht="12.75" customHeight="1" x14ac:dyDescent="0.2">
      <c r="C313" s="90"/>
      <c r="D313" s="97" t="str">
        <f>IF(op!D246=0,"",op!D246)</f>
        <v/>
      </c>
      <c r="E313" s="97" t="str">
        <f>IF(op!E246=0,"-",op!E246)</f>
        <v/>
      </c>
      <c r="F313" s="114" t="str">
        <f>IF(op!F246="","",op!F246+1)</f>
        <v/>
      </c>
      <c r="G313" s="377" t="str">
        <f>IF(op!G246="","",op!G246)</f>
        <v/>
      </c>
      <c r="H313" s="114" t="str">
        <f>IF(op!H246=0,"",op!H246)</f>
        <v/>
      </c>
      <c r="I313" s="129" t="str">
        <f>IF(J313="","",(IF(op!I246+1&gt;LOOKUP(H313,schaal2011,regels2011),op!I246,op!I246+1)))</f>
        <v/>
      </c>
      <c r="J313" s="378" t="str">
        <f>IF(op!J246="","",op!J246)</f>
        <v/>
      </c>
      <c r="K313" s="1194"/>
      <c r="L313" s="1065">
        <f t="shared" si="181"/>
        <v>0</v>
      </c>
      <c r="M313" s="1065">
        <f t="shared" si="181"/>
        <v>0</v>
      </c>
      <c r="N313" s="1077" t="str">
        <f t="shared" si="177"/>
        <v/>
      </c>
      <c r="O313" s="1077" t="str">
        <f t="shared" si="178"/>
        <v/>
      </c>
      <c r="P313" s="1172" t="str">
        <f t="shared" si="164"/>
        <v/>
      </c>
      <c r="Q313" s="91"/>
      <c r="R313" s="936" t="str">
        <f t="shared" si="179"/>
        <v/>
      </c>
      <c r="S313" s="936" t="str">
        <f t="shared" si="165"/>
        <v/>
      </c>
      <c r="T313" s="937" t="str">
        <f t="shared" si="166"/>
        <v/>
      </c>
      <c r="U313" s="361"/>
      <c r="V313" s="375"/>
      <c r="W313" s="375"/>
      <c r="X313" s="375"/>
      <c r="Y313" s="1120" t="e">
        <f>VLOOKUP(H313,tab!$A$73:$V$114,I313+2,FALSE)</f>
        <v>#VALUE!</v>
      </c>
      <c r="Z313" s="1211">
        <f>tab!$E$64</f>
        <v>0.62</v>
      </c>
      <c r="AA313" s="1163" t="e">
        <f t="shared" si="167"/>
        <v>#VALUE!</v>
      </c>
      <c r="AB313" s="1163" t="e">
        <f t="shared" si="168"/>
        <v>#VALUE!</v>
      </c>
      <c r="AC313" s="1163" t="e">
        <f t="shared" si="169"/>
        <v>#VALUE!</v>
      </c>
      <c r="AD313" s="1162" t="e">
        <f t="shared" si="170"/>
        <v>#VALUE!</v>
      </c>
      <c r="AE313" s="1162">
        <f t="shared" si="171"/>
        <v>0</v>
      </c>
      <c r="AF313" s="1129">
        <f>IF(H313&gt;8,tab!$D$65,tab!$D$67)</f>
        <v>0.5</v>
      </c>
      <c r="AG313" s="1143">
        <f t="shared" si="172"/>
        <v>0</v>
      </c>
      <c r="AH313" s="1159">
        <f t="shared" si="173"/>
        <v>0</v>
      </c>
      <c r="AI313" s="1142" t="e">
        <f>DATE(YEAR(tab!$I$3),MONTH(G313),DAY(G313))&gt;tab!$I$3</f>
        <v>#VALUE!</v>
      </c>
      <c r="AJ313" s="1142" t="e">
        <f t="shared" si="174"/>
        <v>#VALUE!</v>
      </c>
      <c r="AK313" s="1096">
        <f t="shared" si="175"/>
        <v>30</v>
      </c>
      <c r="AL313" s="1096">
        <f t="shared" si="180"/>
        <v>30</v>
      </c>
      <c r="AM313" s="1143">
        <f t="shared" si="176"/>
        <v>0</v>
      </c>
    </row>
    <row r="314" spans="3:39" ht="12.75" customHeight="1" x14ac:dyDescent="0.2">
      <c r="C314" s="90"/>
      <c r="D314" s="97" t="str">
        <f>IF(op!D247=0,"",op!D247)</f>
        <v/>
      </c>
      <c r="E314" s="97" t="str">
        <f>IF(op!E247=0,"-",op!E247)</f>
        <v/>
      </c>
      <c r="F314" s="114" t="str">
        <f>IF(op!F247="","",op!F247+1)</f>
        <v/>
      </c>
      <c r="G314" s="377" t="str">
        <f>IF(op!G247="","",op!G247)</f>
        <v/>
      </c>
      <c r="H314" s="114" t="str">
        <f>IF(op!H247=0,"",op!H247)</f>
        <v/>
      </c>
      <c r="I314" s="129" t="str">
        <f>IF(J314="","",(IF(op!I247+1&gt;LOOKUP(H314,schaal2011,regels2011),op!I247,op!I247+1)))</f>
        <v/>
      </c>
      <c r="J314" s="378" t="str">
        <f>IF(op!J247="","",op!J247)</f>
        <v/>
      </c>
      <c r="K314" s="1194"/>
      <c r="L314" s="1065">
        <f t="shared" si="181"/>
        <v>0</v>
      </c>
      <c r="M314" s="1065">
        <f t="shared" si="181"/>
        <v>0</v>
      </c>
      <c r="N314" s="1077" t="str">
        <f t="shared" si="177"/>
        <v/>
      </c>
      <c r="O314" s="1077" t="str">
        <f t="shared" si="178"/>
        <v/>
      </c>
      <c r="P314" s="1172" t="str">
        <f t="shared" si="164"/>
        <v/>
      </c>
      <c r="Q314" s="91"/>
      <c r="R314" s="936" t="str">
        <f t="shared" si="179"/>
        <v/>
      </c>
      <c r="S314" s="936" t="str">
        <f t="shared" si="165"/>
        <v/>
      </c>
      <c r="T314" s="937" t="str">
        <f t="shared" si="166"/>
        <v/>
      </c>
      <c r="U314" s="361"/>
      <c r="V314" s="375"/>
      <c r="W314" s="375"/>
      <c r="X314" s="375"/>
      <c r="Y314" s="1120" t="e">
        <f>VLOOKUP(H314,tab!$A$73:$V$114,I314+2,FALSE)</f>
        <v>#VALUE!</v>
      </c>
      <c r="Z314" s="1211">
        <f>tab!$E$64</f>
        <v>0.62</v>
      </c>
      <c r="AA314" s="1163" t="e">
        <f t="shared" si="167"/>
        <v>#VALUE!</v>
      </c>
      <c r="AB314" s="1163" t="e">
        <f t="shared" si="168"/>
        <v>#VALUE!</v>
      </c>
      <c r="AC314" s="1163" t="e">
        <f t="shared" si="169"/>
        <v>#VALUE!</v>
      </c>
      <c r="AD314" s="1162" t="e">
        <f t="shared" si="170"/>
        <v>#VALUE!</v>
      </c>
      <c r="AE314" s="1162">
        <f t="shared" si="171"/>
        <v>0</v>
      </c>
      <c r="AF314" s="1129">
        <f>IF(H314&gt;8,tab!$D$65,tab!$D$67)</f>
        <v>0.5</v>
      </c>
      <c r="AG314" s="1143">
        <f t="shared" si="172"/>
        <v>0</v>
      </c>
      <c r="AH314" s="1159">
        <f t="shared" si="173"/>
        <v>0</v>
      </c>
      <c r="AI314" s="1142" t="e">
        <f>DATE(YEAR(tab!$I$3),MONTH(G314),DAY(G314))&gt;tab!$I$3</f>
        <v>#VALUE!</v>
      </c>
      <c r="AJ314" s="1142" t="e">
        <f t="shared" si="174"/>
        <v>#VALUE!</v>
      </c>
      <c r="AK314" s="1096">
        <f t="shared" si="175"/>
        <v>30</v>
      </c>
      <c r="AL314" s="1096">
        <f t="shared" si="180"/>
        <v>30</v>
      </c>
      <c r="AM314" s="1143">
        <f t="shared" si="176"/>
        <v>0</v>
      </c>
    </row>
    <row r="315" spans="3:39" ht="12.75" customHeight="1" x14ac:dyDescent="0.2">
      <c r="C315" s="90"/>
      <c r="D315" s="97" t="str">
        <f>IF(op!D248=0,"",op!D248)</f>
        <v/>
      </c>
      <c r="E315" s="97" t="str">
        <f>IF(op!E248=0,"-",op!E248)</f>
        <v/>
      </c>
      <c r="F315" s="114" t="str">
        <f>IF(op!F248="","",op!F248+1)</f>
        <v/>
      </c>
      <c r="G315" s="377" t="str">
        <f>IF(op!G248="","",op!G248)</f>
        <v/>
      </c>
      <c r="H315" s="114" t="str">
        <f>IF(op!H248=0,"",op!H248)</f>
        <v/>
      </c>
      <c r="I315" s="129" t="str">
        <f>IF(J315="","",(IF(op!I248+1&gt;LOOKUP(H315,schaal2011,regels2011),op!I248,op!I248+1)))</f>
        <v/>
      </c>
      <c r="J315" s="378" t="str">
        <f>IF(op!J248="","",op!J248)</f>
        <v/>
      </c>
      <c r="K315" s="1194"/>
      <c r="L315" s="1065">
        <f t="shared" si="181"/>
        <v>0</v>
      </c>
      <c r="M315" s="1065">
        <f t="shared" si="181"/>
        <v>0</v>
      </c>
      <c r="N315" s="1077" t="str">
        <f t="shared" si="177"/>
        <v/>
      </c>
      <c r="O315" s="1077" t="str">
        <f t="shared" si="178"/>
        <v/>
      </c>
      <c r="P315" s="1172" t="str">
        <f t="shared" si="164"/>
        <v/>
      </c>
      <c r="Q315" s="91"/>
      <c r="R315" s="936" t="str">
        <f t="shared" si="179"/>
        <v/>
      </c>
      <c r="S315" s="936" t="str">
        <f t="shared" si="165"/>
        <v/>
      </c>
      <c r="T315" s="937" t="str">
        <f t="shared" si="166"/>
        <v/>
      </c>
      <c r="U315" s="361"/>
      <c r="V315" s="375"/>
      <c r="W315" s="375"/>
      <c r="X315" s="375"/>
      <c r="Y315" s="1120" t="e">
        <f>VLOOKUP(H315,tab!$A$73:$V$114,I315+2,FALSE)</f>
        <v>#VALUE!</v>
      </c>
      <c r="Z315" s="1211">
        <f>tab!$E$64</f>
        <v>0.62</v>
      </c>
      <c r="AA315" s="1163" t="e">
        <f t="shared" si="167"/>
        <v>#VALUE!</v>
      </c>
      <c r="AB315" s="1163" t="e">
        <f t="shared" si="168"/>
        <v>#VALUE!</v>
      </c>
      <c r="AC315" s="1163" t="e">
        <f t="shared" si="169"/>
        <v>#VALUE!</v>
      </c>
      <c r="AD315" s="1162" t="e">
        <f t="shared" si="170"/>
        <v>#VALUE!</v>
      </c>
      <c r="AE315" s="1162">
        <f t="shared" si="171"/>
        <v>0</v>
      </c>
      <c r="AF315" s="1129">
        <f>IF(H315&gt;8,tab!$D$65,tab!$D$67)</f>
        <v>0.5</v>
      </c>
      <c r="AG315" s="1143">
        <f t="shared" si="172"/>
        <v>0</v>
      </c>
      <c r="AH315" s="1159">
        <f t="shared" si="173"/>
        <v>0</v>
      </c>
      <c r="AI315" s="1142" t="e">
        <f>DATE(YEAR(tab!$I$3),MONTH(G315),DAY(G315))&gt;tab!$I$3</f>
        <v>#VALUE!</v>
      </c>
      <c r="AJ315" s="1142" t="e">
        <f t="shared" si="174"/>
        <v>#VALUE!</v>
      </c>
      <c r="AK315" s="1096">
        <f t="shared" si="175"/>
        <v>30</v>
      </c>
      <c r="AL315" s="1096">
        <f t="shared" si="180"/>
        <v>30</v>
      </c>
      <c r="AM315" s="1143">
        <f t="shared" si="176"/>
        <v>0</v>
      </c>
    </row>
    <row r="316" spans="3:39" ht="12.75" customHeight="1" x14ac:dyDescent="0.2">
      <c r="C316" s="90"/>
      <c r="D316" s="97" t="str">
        <f>IF(op!D249=0,"",op!D249)</f>
        <v/>
      </c>
      <c r="E316" s="97" t="str">
        <f>IF(op!E249=0,"-",op!E249)</f>
        <v/>
      </c>
      <c r="F316" s="114" t="str">
        <f>IF(op!F249="","",op!F249+1)</f>
        <v/>
      </c>
      <c r="G316" s="377" t="str">
        <f>IF(op!G249="","",op!G249)</f>
        <v/>
      </c>
      <c r="H316" s="114" t="str">
        <f>IF(op!H249=0,"",op!H249)</f>
        <v/>
      </c>
      <c r="I316" s="129" t="str">
        <f>IF(J316="","",(IF(op!I249+1&gt;LOOKUP(H316,schaal2011,regels2011),op!I249,op!I249+1)))</f>
        <v/>
      </c>
      <c r="J316" s="378" t="str">
        <f>IF(op!J249="","",op!J249)</f>
        <v/>
      </c>
      <c r="K316" s="1194"/>
      <c r="L316" s="1065">
        <f t="shared" si="181"/>
        <v>0</v>
      </c>
      <c r="M316" s="1065">
        <f t="shared" si="181"/>
        <v>0</v>
      </c>
      <c r="N316" s="1077" t="str">
        <f t="shared" si="177"/>
        <v/>
      </c>
      <c r="O316" s="1077" t="str">
        <f t="shared" si="178"/>
        <v/>
      </c>
      <c r="P316" s="1172" t="str">
        <f t="shared" si="164"/>
        <v/>
      </c>
      <c r="Q316" s="91"/>
      <c r="R316" s="936" t="str">
        <f t="shared" si="179"/>
        <v/>
      </c>
      <c r="S316" s="936" t="str">
        <f t="shared" si="165"/>
        <v/>
      </c>
      <c r="T316" s="937" t="str">
        <f t="shared" si="166"/>
        <v/>
      </c>
      <c r="U316" s="361"/>
      <c r="V316" s="375"/>
      <c r="W316" s="375"/>
      <c r="X316" s="375"/>
      <c r="Y316" s="1120" t="e">
        <f>VLOOKUP(H316,tab!$A$73:$V$114,I316+2,FALSE)</f>
        <v>#VALUE!</v>
      </c>
      <c r="Z316" s="1211">
        <f>tab!$E$64</f>
        <v>0.62</v>
      </c>
      <c r="AA316" s="1163" t="e">
        <f t="shared" si="167"/>
        <v>#VALUE!</v>
      </c>
      <c r="AB316" s="1163" t="e">
        <f t="shared" si="168"/>
        <v>#VALUE!</v>
      </c>
      <c r="AC316" s="1163" t="e">
        <f t="shared" si="169"/>
        <v>#VALUE!</v>
      </c>
      <c r="AD316" s="1162" t="e">
        <f t="shared" si="170"/>
        <v>#VALUE!</v>
      </c>
      <c r="AE316" s="1162">
        <f t="shared" si="171"/>
        <v>0</v>
      </c>
      <c r="AF316" s="1129">
        <f>IF(H316&gt;8,tab!$D$65,tab!$D$67)</f>
        <v>0.5</v>
      </c>
      <c r="AG316" s="1143">
        <f t="shared" si="172"/>
        <v>0</v>
      </c>
      <c r="AH316" s="1159">
        <f t="shared" si="173"/>
        <v>0</v>
      </c>
      <c r="AI316" s="1142" t="e">
        <f>DATE(YEAR(tab!$I$3),MONTH(G316),DAY(G316))&gt;tab!$I$3</f>
        <v>#VALUE!</v>
      </c>
      <c r="AJ316" s="1142" t="e">
        <f t="shared" si="174"/>
        <v>#VALUE!</v>
      </c>
      <c r="AK316" s="1096">
        <f t="shared" si="175"/>
        <v>30</v>
      </c>
      <c r="AL316" s="1096">
        <f t="shared" si="180"/>
        <v>30</v>
      </c>
      <c r="AM316" s="1143">
        <f t="shared" si="176"/>
        <v>0</v>
      </c>
    </row>
    <row r="317" spans="3:39" ht="12.75" customHeight="1" x14ac:dyDescent="0.2">
      <c r="C317" s="90"/>
      <c r="D317" s="97" t="str">
        <f>IF(op!D250=0,"",op!D250)</f>
        <v/>
      </c>
      <c r="E317" s="97" t="str">
        <f>IF(op!E250=0,"-",op!E250)</f>
        <v/>
      </c>
      <c r="F317" s="114" t="str">
        <f>IF(op!F250="","",op!F250+1)</f>
        <v/>
      </c>
      <c r="G317" s="377" t="str">
        <f>IF(op!G250="","",op!G250)</f>
        <v/>
      </c>
      <c r="H317" s="114" t="str">
        <f>IF(op!H250=0,"",op!H250)</f>
        <v/>
      </c>
      <c r="I317" s="129" t="str">
        <f>IF(J317="","",(IF(op!I250+1&gt;LOOKUP(H317,schaal2011,regels2011),op!I250,op!I250+1)))</f>
        <v/>
      </c>
      <c r="J317" s="378" t="str">
        <f>IF(op!J250="","",op!J250)</f>
        <v/>
      </c>
      <c r="K317" s="1194"/>
      <c r="L317" s="1065">
        <f t="shared" si="181"/>
        <v>0</v>
      </c>
      <c r="M317" s="1065">
        <f t="shared" si="181"/>
        <v>0</v>
      </c>
      <c r="N317" s="1077" t="str">
        <f t="shared" si="177"/>
        <v/>
      </c>
      <c r="O317" s="1077" t="str">
        <f t="shared" si="178"/>
        <v/>
      </c>
      <c r="P317" s="1172" t="str">
        <f t="shared" si="164"/>
        <v/>
      </c>
      <c r="Q317" s="91"/>
      <c r="R317" s="936" t="str">
        <f t="shared" si="179"/>
        <v/>
      </c>
      <c r="S317" s="936" t="str">
        <f t="shared" si="165"/>
        <v/>
      </c>
      <c r="T317" s="937" t="str">
        <f t="shared" si="166"/>
        <v/>
      </c>
      <c r="U317" s="361"/>
      <c r="V317" s="375"/>
      <c r="W317" s="375"/>
      <c r="X317" s="375"/>
      <c r="Y317" s="1120" t="e">
        <f>VLOOKUP(H317,tab!$A$73:$V$114,I317+2,FALSE)</f>
        <v>#VALUE!</v>
      </c>
      <c r="Z317" s="1211">
        <f>tab!$E$64</f>
        <v>0.62</v>
      </c>
      <c r="AA317" s="1163" t="e">
        <f t="shared" si="167"/>
        <v>#VALUE!</v>
      </c>
      <c r="AB317" s="1163" t="e">
        <f t="shared" si="168"/>
        <v>#VALUE!</v>
      </c>
      <c r="AC317" s="1163" t="e">
        <f t="shared" si="169"/>
        <v>#VALUE!</v>
      </c>
      <c r="AD317" s="1162" t="e">
        <f t="shared" si="170"/>
        <v>#VALUE!</v>
      </c>
      <c r="AE317" s="1162">
        <f t="shared" si="171"/>
        <v>0</v>
      </c>
      <c r="AF317" s="1129">
        <f>IF(H317&gt;8,tab!$D$65,tab!$D$67)</f>
        <v>0.5</v>
      </c>
      <c r="AG317" s="1143">
        <f t="shared" si="172"/>
        <v>0</v>
      </c>
      <c r="AH317" s="1159">
        <f t="shared" si="173"/>
        <v>0</v>
      </c>
      <c r="AI317" s="1142" t="e">
        <f>DATE(YEAR(tab!$I$3),MONTH(G317),DAY(G317))&gt;tab!$I$3</f>
        <v>#VALUE!</v>
      </c>
      <c r="AJ317" s="1142" t="e">
        <f t="shared" si="174"/>
        <v>#VALUE!</v>
      </c>
      <c r="AK317" s="1096">
        <f t="shared" si="175"/>
        <v>30</v>
      </c>
      <c r="AL317" s="1096">
        <f t="shared" si="180"/>
        <v>30</v>
      </c>
      <c r="AM317" s="1143">
        <f t="shared" si="176"/>
        <v>0</v>
      </c>
    </row>
    <row r="318" spans="3:39" ht="12.75" customHeight="1" x14ac:dyDescent="0.2">
      <c r="C318" s="90"/>
      <c r="D318" s="97" t="str">
        <f>IF(op!D251=0,"",op!D251)</f>
        <v/>
      </c>
      <c r="E318" s="97" t="str">
        <f>IF(op!E251=0,"-",op!E251)</f>
        <v/>
      </c>
      <c r="F318" s="114" t="str">
        <f>IF(op!F251="","",op!F251+1)</f>
        <v/>
      </c>
      <c r="G318" s="377" t="str">
        <f>IF(op!G251="","",op!G251)</f>
        <v/>
      </c>
      <c r="H318" s="114" t="str">
        <f>IF(op!H251=0,"",op!H251)</f>
        <v/>
      </c>
      <c r="I318" s="129" t="str">
        <f>IF(J318="","",(IF(op!I251+1&gt;LOOKUP(H318,schaal2011,regels2011),op!I251,op!I251+1)))</f>
        <v/>
      </c>
      <c r="J318" s="378" t="str">
        <f>IF(op!J251="","",op!J251)</f>
        <v/>
      </c>
      <c r="K318" s="1194"/>
      <c r="L318" s="1065">
        <f t="shared" si="181"/>
        <v>0</v>
      </c>
      <c r="M318" s="1065">
        <f t="shared" si="181"/>
        <v>0</v>
      </c>
      <c r="N318" s="1077" t="str">
        <f t="shared" si="177"/>
        <v/>
      </c>
      <c r="O318" s="1077" t="str">
        <f t="shared" si="178"/>
        <v/>
      </c>
      <c r="P318" s="1172" t="str">
        <f t="shared" si="164"/>
        <v/>
      </c>
      <c r="Q318" s="91"/>
      <c r="R318" s="936" t="str">
        <f t="shared" si="179"/>
        <v/>
      </c>
      <c r="S318" s="936" t="str">
        <f t="shared" si="165"/>
        <v/>
      </c>
      <c r="T318" s="937" t="str">
        <f t="shared" si="166"/>
        <v/>
      </c>
      <c r="U318" s="361"/>
      <c r="V318" s="375"/>
      <c r="W318" s="375"/>
      <c r="X318" s="375"/>
      <c r="Y318" s="1120" t="e">
        <f>VLOOKUP(H318,tab!$A$73:$V$114,I318+2,FALSE)</f>
        <v>#VALUE!</v>
      </c>
      <c r="Z318" s="1211">
        <f>tab!$E$64</f>
        <v>0.62</v>
      </c>
      <c r="AA318" s="1163" t="e">
        <f t="shared" si="167"/>
        <v>#VALUE!</v>
      </c>
      <c r="AB318" s="1163" t="e">
        <f t="shared" si="168"/>
        <v>#VALUE!</v>
      </c>
      <c r="AC318" s="1163" t="e">
        <f t="shared" si="169"/>
        <v>#VALUE!</v>
      </c>
      <c r="AD318" s="1162" t="e">
        <f t="shared" si="170"/>
        <v>#VALUE!</v>
      </c>
      <c r="AE318" s="1162">
        <f t="shared" si="171"/>
        <v>0</v>
      </c>
      <c r="AF318" s="1129">
        <f>IF(H318&gt;8,tab!$D$65,tab!$D$67)</f>
        <v>0.5</v>
      </c>
      <c r="AG318" s="1143">
        <f t="shared" ref="AG318:AG340" si="182">IF(F318&lt;25,0,IF(F318=25,25,IF(F318&lt;40,0,IF(F318=40,40,IF(F318&gt;=40,0)))))</f>
        <v>0</v>
      </c>
      <c r="AH318" s="1159">
        <f t="shared" ref="AH318:AH340" si="183">IF(AG318=25,(Y318*1.08*(J318)/2),IF(AG318=40,(Y318*1.08*(J318)),IF(AG318=0,0)))</f>
        <v>0</v>
      </c>
      <c r="AI318" s="1142" t="e">
        <f>DATE(YEAR(tab!$I$3),MONTH(G318),DAY(G318))&gt;tab!$I$3</f>
        <v>#VALUE!</v>
      </c>
      <c r="AJ318" s="1142" t="e">
        <f t="shared" ref="AJ318:AJ340" si="184">YEAR($E$279)-YEAR(G318)-AI318</f>
        <v>#VALUE!</v>
      </c>
      <c r="AK318" s="1096">
        <f t="shared" ref="AK318:AK340" si="185">IF((G318=""),30,AJ318)</f>
        <v>30</v>
      </c>
      <c r="AL318" s="1096">
        <f t="shared" ref="AL318:AL340" si="186">IF((AK318)&gt;50,50,(AK318))</f>
        <v>30</v>
      </c>
      <c r="AM318" s="1143">
        <f t="shared" ref="AM318:AM340" si="187">ROUND((AL318*(SUM(J318:J318))),2)</f>
        <v>0</v>
      </c>
    </row>
    <row r="319" spans="3:39" ht="12.75" customHeight="1" x14ac:dyDescent="0.2">
      <c r="C319" s="90"/>
      <c r="D319" s="97" t="str">
        <f>IF(op!D252=0,"",op!D252)</f>
        <v/>
      </c>
      <c r="E319" s="97" t="str">
        <f>IF(op!E252=0,"-",op!E252)</f>
        <v/>
      </c>
      <c r="F319" s="114" t="str">
        <f>IF(op!F252="","",op!F252+1)</f>
        <v/>
      </c>
      <c r="G319" s="377" t="str">
        <f>IF(op!G252="","",op!G252)</f>
        <v/>
      </c>
      <c r="H319" s="114" t="str">
        <f>IF(op!H252=0,"",op!H252)</f>
        <v/>
      </c>
      <c r="I319" s="129" t="str">
        <f>IF(J319="","",(IF(op!I252+1&gt;LOOKUP(H319,schaal2011,regels2011),op!I252,op!I252+1)))</f>
        <v/>
      </c>
      <c r="J319" s="378" t="str">
        <f>IF(op!J252="","",op!J252)</f>
        <v/>
      </c>
      <c r="K319" s="1194"/>
      <c r="L319" s="1065">
        <f t="shared" si="181"/>
        <v>0</v>
      </c>
      <c r="M319" s="1065">
        <f t="shared" si="181"/>
        <v>0</v>
      </c>
      <c r="N319" s="1077" t="str">
        <f t="shared" si="177"/>
        <v/>
      </c>
      <c r="O319" s="1077" t="str">
        <f t="shared" si="178"/>
        <v/>
      </c>
      <c r="P319" s="1172" t="str">
        <f t="shared" si="164"/>
        <v/>
      </c>
      <c r="Q319" s="91"/>
      <c r="R319" s="936" t="str">
        <f t="shared" si="179"/>
        <v/>
      </c>
      <c r="S319" s="936" t="str">
        <f t="shared" si="165"/>
        <v/>
      </c>
      <c r="T319" s="937" t="str">
        <f t="shared" si="166"/>
        <v/>
      </c>
      <c r="U319" s="361"/>
      <c r="V319" s="375"/>
      <c r="W319" s="375"/>
      <c r="X319" s="375"/>
      <c r="Y319" s="1120" t="e">
        <f>VLOOKUP(H319,tab!$A$73:$V$114,I319+2,FALSE)</f>
        <v>#VALUE!</v>
      </c>
      <c r="Z319" s="1211">
        <f>tab!$E$64</f>
        <v>0.62</v>
      </c>
      <c r="AA319" s="1163" t="e">
        <f t="shared" si="167"/>
        <v>#VALUE!</v>
      </c>
      <c r="AB319" s="1163" t="e">
        <f t="shared" si="168"/>
        <v>#VALUE!</v>
      </c>
      <c r="AC319" s="1163" t="e">
        <f t="shared" si="169"/>
        <v>#VALUE!</v>
      </c>
      <c r="AD319" s="1162" t="e">
        <f t="shared" si="170"/>
        <v>#VALUE!</v>
      </c>
      <c r="AE319" s="1162">
        <f t="shared" si="171"/>
        <v>0</v>
      </c>
      <c r="AF319" s="1129">
        <f>IF(H319&gt;8,tab!$D$65,tab!$D$67)</f>
        <v>0.5</v>
      </c>
      <c r="AG319" s="1143">
        <f t="shared" si="182"/>
        <v>0</v>
      </c>
      <c r="AH319" s="1159">
        <f t="shared" si="183"/>
        <v>0</v>
      </c>
      <c r="AI319" s="1142" t="e">
        <f>DATE(YEAR(tab!$I$3),MONTH(G319),DAY(G319))&gt;tab!$I$3</f>
        <v>#VALUE!</v>
      </c>
      <c r="AJ319" s="1142" t="e">
        <f t="shared" si="184"/>
        <v>#VALUE!</v>
      </c>
      <c r="AK319" s="1096">
        <f t="shared" si="185"/>
        <v>30</v>
      </c>
      <c r="AL319" s="1096">
        <f t="shared" si="186"/>
        <v>30</v>
      </c>
      <c r="AM319" s="1143">
        <f t="shared" si="187"/>
        <v>0</v>
      </c>
    </row>
    <row r="320" spans="3:39" ht="12.75" customHeight="1" x14ac:dyDescent="0.2">
      <c r="C320" s="90"/>
      <c r="D320" s="97" t="str">
        <f>IF(op!D253=0,"",op!D253)</f>
        <v/>
      </c>
      <c r="E320" s="97" t="str">
        <f>IF(op!E253=0,"-",op!E253)</f>
        <v/>
      </c>
      <c r="F320" s="114" t="str">
        <f>IF(op!F253="","",op!F253+1)</f>
        <v/>
      </c>
      <c r="G320" s="377" t="str">
        <f>IF(op!G253="","",op!G253)</f>
        <v/>
      </c>
      <c r="H320" s="114" t="str">
        <f>IF(op!H253=0,"",op!H253)</f>
        <v/>
      </c>
      <c r="I320" s="129" t="str">
        <f>IF(J320="","",(IF(op!I253+1&gt;LOOKUP(H320,schaal2011,regels2011),op!I253,op!I253+1)))</f>
        <v/>
      </c>
      <c r="J320" s="378" t="str">
        <f>IF(op!J253="","",op!J253)</f>
        <v/>
      </c>
      <c r="K320" s="1194"/>
      <c r="L320" s="1065">
        <f t="shared" si="181"/>
        <v>0</v>
      </c>
      <c r="M320" s="1065">
        <f t="shared" si="181"/>
        <v>0</v>
      </c>
      <c r="N320" s="1077" t="str">
        <f t="shared" si="177"/>
        <v/>
      </c>
      <c r="O320" s="1077" t="str">
        <f t="shared" si="178"/>
        <v/>
      </c>
      <c r="P320" s="1172" t="str">
        <f t="shared" si="164"/>
        <v/>
      </c>
      <c r="Q320" s="91"/>
      <c r="R320" s="936" t="str">
        <f t="shared" si="179"/>
        <v/>
      </c>
      <c r="S320" s="936" t="str">
        <f t="shared" si="165"/>
        <v/>
      </c>
      <c r="T320" s="937" t="str">
        <f t="shared" si="166"/>
        <v/>
      </c>
      <c r="U320" s="361"/>
      <c r="V320" s="375"/>
      <c r="W320" s="375"/>
      <c r="X320" s="375"/>
      <c r="Y320" s="1120" t="e">
        <f>VLOOKUP(H320,tab!$A$73:$V$114,I320+2,FALSE)</f>
        <v>#VALUE!</v>
      </c>
      <c r="Z320" s="1211">
        <f>tab!$E$64</f>
        <v>0.62</v>
      </c>
      <c r="AA320" s="1163" t="e">
        <f t="shared" si="167"/>
        <v>#VALUE!</v>
      </c>
      <c r="AB320" s="1163" t="e">
        <f t="shared" si="168"/>
        <v>#VALUE!</v>
      </c>
      <c r="AC320" s="1163" t="e">
        <f t="shared" si="169"/>
        <v>#VALUE!</v>
      </c>
      <c r="AD320" s="1162" t="e">
        <f t="shared" si="170"/>
        <v>#VALUE!</v>
      </c>
      <c r="AE320" s="1162">
        <f t="shared" si="171"/>
        <v>0</v>
      </c>
      <c r="AF320" s="1129">
        <f>IF(H320&gt;8,tab!$D$65,tab!$D$67)</f>
        <v>0.5</v>
      </c>
      <c r="AG320" s="1143">
        <f t="shared" si="182"/>
        <v>0</v>
      </c>
      <c r="AH320" s="1159">
        <f t="shared" si="183"/>
        <v>0</v>
      </c>
      <c r="AI320" s="1142" t="e">
        <f>DATE(YEAR(tab!$I$3),MONTH(G320),DAY(G320))&gt;tab!$I$3</f>
        <v>#VALUE!</v>
      </c>
      <c r="AJ320" s="1142" t="e">
        <f t="shared" si="184"/>
        <v>#VALUE!</v>
      </c>
      <c r="AK320" s="1096">
        <f t="shared" si="185"/>
        <v>30</v>
      </c>
      <c r="AL320" s="1096">
        <f t="shared" si="186"/>
        <v>30</v>
      </c>
      <c r="AM320" s="1143">
        <f t="shared" si="187"/>
        <v>0</v>
      </c>
    </row>
    <row r="321" spans="3:39" ht="12.75" customHeight="1" x14ac:dyDescent="0.2">
      <c r="C321" s="90"/>
      <c r="D321" s="97" t="str">
        <f>IF(op!D254=0,"",op!D254)</f>
        <v/>
      </c>
      <c r="E321" s="97" t="str">
        <f>IF(op!E254=0,"-",op!E254)</f>
        <v/>
      </c>
      <c r="F321" s="114" t="str">
        <f>IF(op!F254="","",op!F254+1)</f>
        <v/>
      </c>
      <c r="G321" s="377" t="str">
        <f>IF(op!G254="","",op!G254)</f>
        <v/>
      </c>
      <c r="H321" s="114" t="str">
        <f>IF(op!H254=0,"",op!H254)</f>
        <v/>
      </c>
      <c r="I321" s="129" t="str">
        <f>IF(J321="","",(IF(op!I254+1&gt;LOOKUP(H321,schaal2011,regels2011),op!I254,op!I254+1)))</f>
        <v/>
      </c>
      <c r="J321" s="378" t="str">
        <f>IF(op!J254="","",op!J254)</f>
        <v/>
      </c>
      <c r="K321" s="1194"/>
      <c r="L321" s="1065">
        <f t="shared" si="181"/>
        <v>0</v>
      </c>
      <c r="M321" s="1065">
        <f t="shared" si="181"/>
        <v>0</v>
      </c>
      <c r="N321" s="1077" t="str">
        <f t="shared" si="177"/>
        <v/>
      </c>
      <c r="O321" s="1077" t="str">
        <f t="shared" si="178"/>
        <v/>
      </c>
      <c r="P321" s="1172" t="str">
        <f t="shared" si="164"/>
        <v/>
      </c>
      <c r="Q321" s="91"/>
      <c r="R321" s="936" t="str">
        <f t="shared" si="179"/>
        <v/>
      </c>
      <c r="S321" s="936" t="str">
        <f t="shared" si="165"/>
        <v/>
      </c>
      <c r="T321" s="937" t="str">
        <f t="shared" si="166"/>
        <v/>
      </c>
      <c r="U321" s="361"/>
      <c r="V321" s="375"/>
      <c r="W321" s="375"/>
      <c r="X321" s="375"/>
      <c r="Y321" s="1120" t="e">
        <f>VLOOKUP(H321,tab!$A$73:$V$114,I321+2,FALSE)</f>
        <v>#VALUE!</v>
      </c>
      <c r="Z321" s="1211">
        <f>tab!$E$64</f>
        <v>0.62</v>
      </c>
      <c r="AA321" s="1163" t="e">
        <f t="shared" si="167"/>
        <v>#VALUE!</v>
      </c>
      <c r="AB321" s="1163" t="e">
        <f t="shared" si="168"/>
        <v>#VALUE!</v>
      </c>
      <c r="AC321" s="1163" t="e">
        <f t="shared" si="169"/>
        <v>#VALUE!</v>
      </c>
      <c r="AD321" s="1162" t="e">
        <f t="shared" si="170"/>
        <v>#VALUE!</v>
      </c>
      <c r="AE321" s="1162">
        <f t="shared" si="171"/>
        <v>0</v>
      </c>
      <c r="AF321" s="1129">
        <f>IF(H321&gt;8,tab!$D$65,tab!$D$67)</f>
        <v>0.5</v>
      </c>
      <c r="AG321" s="1143">
        <f t="shared" si="182"/>
        <v>0</v>
      </c>
      <c r="AH321" s="1159">
        <f t="shared" si="183"/>
        <v>0</v>
      </c>
      <c r="AI321" s="1142" t="e">
        <f>DATE(YEAR(tab!$I$3),MONTH(G321),DAY(G321))&gt;tab!$I$3</f>
        <v>#VALUE!</v>
      </c>
      <c r="AJ321" s="1142" t="e">
        <f t="shared" si="184"/>
        <v>#VALUE!</v>
      </c>
      <c r="AK321" s="1096">
        <f t="shared" si="185"/>
        <v>30</v>
      </c>
      <c r="AL321" s="1096">
        <f t="shared" si="186"/>
        <v>30</v>
      </c>
      <c r="AM321" s="1143">
        <f t="shared" si="187"/>
        <v>0</v>
      </c>
    </row>
    <row r="322" spans="3:39" ht="12.75" customHeight="1" x14ac:dyDescent="0.2">
      <c r="C322" s="90"/>
      <c r="D322" s="97" t="str">
        <f>IF(op!D255=0,"",op!D255)</f>
        <v/>
      </c>
      <c r="E322" s="97" t="str">
        <f>IF(op!E255=0,"-",op!E255)</f>
        <v/>
      </c>
      <c r="F322" s="114" t="str">
        <f>IF(op!F255="","",op!F255+1)</f>
        <v/>
      </c>
      <c r="G322" s="377" t="str">
        <f>IF(op!G255="","",op!G255)</f>
        <v/>
      </c>
      <c r="H322" s="114" t="str">
        <f>IF(op!H255=0,"",op!H255)</f>
        <v/>
      </c>
      <c r="I322" s="129" t="str">
        <f>IF(J322="","",(IF(op!I255+1&gt;LOOKUP(H322,schaal2011,regels2011),op!I255,op!I255+1)))</f>
        <v/>
      </c>
      <c r="J322" s="378" t="str">
        <f>IF(op!J255="","",op!J255)</f>
        <v/>
      </c>
      <c r="K322" s="1194"/>
      <c r="L322" s="1065">
        <f t="shared" si="181"/>
        <v>0</v>
      </c>
      <c r="M322" s="1065">
        <f t="shared" si="181"/>
        <v>0</v>
      </c>
      <c r="N322" s="1077" t="str">
        <f t="shared" si="177"/>
        <v/>
      </c>
      <c r="O322" s="1077" t="str">
        <f t="shared" si="178"/>
        <v/>
      </c>
      <c r="P322" s="1172" t="str">
        <f t="shared" si="164"/>
        <v/>
      </c>
      <c r="Q322" s="91"/>
      <c r="R322" s="936" t="str">
        <f t="shared" si="179"/>
        <v/>
      </c>
      <c r="S322" s="936" t="str">
        <f t="shared" si="165"/>
        <v/>
      </c>
      <c r="T322" s="937" t="str">
        <f t="shared" si="166"/>
        <v/>
      </c>
      <c r="U322" s="361"/>
      <c r="V322" s="375"/>
      <c r="W322" s="375"/>
      <c r="X322" s="375"/>
      <c r="Y322" s="1120" t="e">
        <f>VLOOKUP(H322,tab!$A$73:$V$114,I322+2,FALSE)</f>
        <v>#VALUE!</v>
      </c>
      <c r="Z322" s="1211">
        <f>tab!$E$64</f>
        <v>0.62</v>
      </c>
      <c r="AA322" s="1163" t="e">
        <f t="shared" si="167"/>
        <v>#VALUE!</v>
      </c>
      <c r="AB322" s="1163" t="e">
        <f t="shared" si="168"/>
        <v>#VALUE!</v>
      </c>
      <c r="AC322" s="1163" t="e">
        <f t="shared" si="169"/>
        <v>#VALUE!</v>
      </c>
      <c r="AD322" s="1162" t="e">
        <f t="shared" si="170"/>
        <v>#VALUE!</v>
      </c>
      <c r="AE322" s="1162">
        <f t="shared" si="171"/>
        <v>0</v>
      </c>
      <c r="AF322" s="1129">
        <f>IF(H322&gt;8,tab!$D$65,tab!$D$67)</f>
        <v>0.5</v>
      </c>
      <c r="AG322" s="1143">
        <f t="shared" si="182"/>
        <v>0</v>
      </c>
      <c r="AH322" s="1159">
        <f t="shared" si="183"/>
        <v>0</v>
      </c>
      <c r="AI322" s="1142" t="e">
        <f>DATE(YEAR(tab!$I$3),MONTH(G322),DAY(G322))&gt;tab!$I$3</f>
        <v>#VALUE!</v>
      </c>
      <c r="AJ322" s="1142" t="e">
        <f t="shared" si="184"/>
        <v>#VALUE!</v>
      </c>
      <c r="AK322" s="1096">
        <f t="shared" si="185"/>
        <v>30</v>
      </c>
      <c r="AL322" s="1096">
        <f t="shared" si="186"/>
        <v>30</v>
      </c>
      <c r="AM322" s="1143">
        <f t="shared" si="187"/>
        <v>0</v>
      </c>
    </row>
    <row r="323" spans="3:39" ht="12.75" customHeight="1" x14ac:dyDescent="0.2">
      <c r="C323" s="90"/>
      <c r="D323" s="97" t="str">
        <f>IF(op!D256=0,"",op!D256)</f>
        <v/>
      </c>
      <c r="E323" s="97" t="str">
        <f>IF(op!E256=0,"-",op!E256)</f>
        <v/>
      </c>
      <c r="F323" s="114" t="str">
        <f>IF(op!F256="","",op!F256+1)</f>
        <v/>
      </c>
      <c r="G323" s="377" t="str">
        <f>IF(op!G256="","",op!G256)</f>
        <v/>
      </c>
      <c r="H323" s="114" t="str">
        <f>IF(op!H256=0,"",op!H256)</f>
        <v/>
      </c>
      <c r="I323" s="129" t="str">
        <f>IF(J323="","",(IF(op!I256+1&gt;LOOKUP(H323,schaal2011,regels2011),op!I256,op!I256+1)))</f>
        <v/>
      </c>
      <c r="J323" s="378" t="str">
        <f>IF(op!J256="","",op!J256)</f>
        <v/>
      </c>
      <c r="K323" s="1194"/>
      <c r="L323" s="1065">
        <f t="shared" si="181"/>
        <v>0</v>
      </c>
      <c r="M323" s="1065">
        <f t="shared" si="181"/>
        <v>0</v>
      </c>
      <c r="N323" s="1077" t="str">
        <f t="shared" si="177"/>
        <v/>
      </c>
      <c r="O323" s="1077" t="str">
        <f t="shared" si="178"/>
        <v/>
      </c>
      <c r="P323" s="1172" t="str">
        <f t="shared" si="164"/>
        <v/>
      </c>
      <c r="Q323" s="91"/>
      <c r="R323" s="936" t="str">
        <f t="shared" si="179"/>
        <v/>
      </c>
      <c r="S323" s="936" t="str">
        <f t="shared" si="165"/>
        <v/>
      </c>
      <c r="T323" s="937" t="str">
        <f t="shared" si="166"/>
        <v/>
      </c>
      <c r="U323" s="361"/>
      <c r="V323" s="375"/>
      <c r="W323" s="375"/>
      <c r="X323" s="375"/>
      <c r="Y323" s="1120" t="e">
        <f>VLOOKUP(H323,tab!$A$73:$V$114,I323+2,FALSE)</f>
        <v>#VALUE!</v>
      </c>
      <c r="Z323" s="1211">
        <f>tab!$E$64</f>
        <v>0.62</v>
      </c>
      <c r="AA323" s="1163" t="e">
        <f t="shared" si="167"/>
        <v>#VALUE!</v>
      </c>
      <c r="AB323" s="1163" t="e">
        <f t="shared" si="168"/>
        <v>#VALUE!</v>
      </c>
      <c r="AC323" s="1163" t="e">
        <f t="shared" si="169"/>
        <v>#VALUE!</v>
      </c>
      <c r="AD323" s="1162" t="e">
        <f t="shared" si="170"/>
        <v>#VALUE!</v>
      </c>
      <c r="AE323" s="1162">
        <f t="shared" si="171"/>
        <v>0</v>
      </c>
      <c r="AF323" s="1129">
        <f>IF(H323&gt;8,tab!$D$65,tab!$D$67)</f>
        <v>0.5</v>
      </c>
      <c r="AG323" s="1143">
        <f t="shared" si="182"/>
        <v>0</v>
      </c>
      <c r="AH323" s="1159">
        <f t="shared" si="183"/>
        <v>0</v>
      </c>
      <c r="AI323" s="1142" t="e">
        <f>DATE(YEAR(tab!$I$3),MONTH(G323),DAY(G323))&gt;tab!$I$3</f>
        <v>#VALUE!</v>
      </c>
      <c r="AJ323" s="1142" t="e">
        <f t="shared" si="184"/>
        <v>#VALUE!</v>
      </c>
      <c r="AK323" s="1096">
        <f t="shared" si="185"/>
        <v>30</v>
      </c>
      <c r="AL323" s="1096">
        <f t="shared" si="186"/>
        <v>30</v>
      </c>
      <c r="AM323" s="1143">
        <f t="shared" si="187"/>
        <v>0</v>
      </c>
    </row>
    <row r="324" spans="3:39" ht="12.75" customHeight="1" x14ac:dyDescent="0.2">
      <c r="C324" s="90"/>
      <c r="D324" s="97" t="str">
        <f>IF(op!D257=0,"",op!D257)</f>
        <v/>
      </c>
      <c r="E324" s="97" t="str">
        <f>IF(op!E257=0,"-",op!E257)</f>
        <v/>
      </c>
      <c r="F324" s="114" t="str">
        <f>IF(op!F257="","",op!F257+1)</f>
        <v/>
      </c>
      <c r="G324" s="377" t="str">
        <f>IF(op!G257="","",op!G257)</f>
        <v/>
      </c>
      <c r="H324" s="114" t="str">
        <f>IF(op!H257=0,"",op!H257)</f>
        <v/>
      </c>
      <c r="I324" s="129" t="str">
        <f>IF(J324="","",(IF(op!I257+1&gt;LOOKUP(H324,schaal2011,regels2011),op!I257,op!I257+1)))</f>
        <v/>
      </c>
      <c r="J324" s="378" t="str">
        <f>IF(op!J257="","",op!J257)</f>
        <v/>
      </c>
      <c r="K324" s="1194"/>
      <c r="L324" s="1065">
        <f t="shared" si="181"/>
        <v>0</v>
      </c>
      <c r="M324" s="1065">
        <f t="shared" si="181"/>
        <v>0</v>
      </c>
      <c r="N324" s="1077" t="str">
        <f t="shared" si="177"/>
        <v/>
      </c>
      <c r="O324" s="1077" t="str">
        <f t="shared" si="178"/>
        <v/>
      </c>
      <c r="P324" s="1172" t="str">
        <f t="shared" si="164"/>
        <v/>
      </c>
      <c r="Q324" s="91"/>
      <c r="R324" s="936" t="str">
        <f t="shared" si="179"/>
        <v/>
      </c>
      <c r="S324" s="936" t="str">
        <f t="shared" si="165"/>
        <v/>
      </c>
      <c r="T324" s="937" t="str">
        <f t="shared" si="166"/>
        <v/>
      </c>
      <c r="U324" s="361"/>
      <c r="V324" s="375"/>
      <c r="W324" s="375"/>
      <c r="X324" s="375"/>
      <c r="Y324" s="1120" t="e">
        <f>VLOOKUP(H324,tab!$A$73:$V$114,I324+2,FALSE)</f>
        <v>#VALUE!</v>
      </c>
      <c r="Z324" s="1211">
        <f>tab!$E$64</f>
        <v>0.62</v>
      </c>
      <c r="AA324" s="1163" t="e">
        <f t="shared" si="167"/>
        <v>#VALUE!</v>
      </c>
      <c r="AB324" s="1163" t="e">
        <f t="shared" si="168"/>
        <v>#VALUE!</v>
      </c>
      <c r="AC324" s="1163" t="e">
        <f t="shared" si="169"/>
        <v>#VALUE!</v>
      </c>
      <c r="AD324" s="1162" t="e">
        <f t="shared" si="170"/>
        <v>#VALUE!</v>
      </c>
      <c r="AE324" s="1162">
        <f t="shared" si="171"/>
        <v>0</v>
      </c>
      <c r="AF324" s="1129">
        <f>IF(H324&gt;8,tab!$D$65,tab!$D$67)</f>
        <v>0.5</v>
      </c>
      <c r="AG324" s="1143">
        <f t="shared" si="182"/>
        <v>0</v>
      </c>
      <c r="AH324" s="1159">
        <f t="shared" si="183"/>
        <v>0</v>
      </c>
      <c r="AI324" s="1142" t="e">
        <f>DATE(YEAR(tab!$I$3),MONTH(G324),DAY(G324))&gt;tab!$I$3</f>
        <v>#VALUE!</v>
      </c>
      <c r="AJ324" s="1142" t="e">
        <f t="shared" si="184"/>
        <v>#VALUE!</v>
      </c>
      <c r="AK324" s="1096">
        <f t="shared" si="185"/>
        <v>30</v>
      </c>
      <c r="AL324" s="1096">
        <f t="shared" si="186"/>
        <v>30</v>
      </c>
      <c r="AM324" s="1143">
        <f t="shared" si="187"/>
        <v>0</v>
      </c>
    </row>
    <row r="325" spans="3:39" ht="12.75" customHeight="1" x14ac:dyDescent="0.2">
      <c r="C325" s="90"/>
      <c r="D325" s="97" t="str">
        <f>IF(op!D258=0,"",op!D258)</f>
        <v/>
      </c>
      <c r="E325" s="97" t="str">
        <f>IF(op!E258=0,"-",op!E258)</f>
        <v/>
      </c>
      <c r="F325" s="114" t="str">
        <f>IF(op!F258="","",op!F258+1)</f>
        <v/>
      </c>
      <c r="G325" s="377" t="str">
        <f>IF(op!G258="","",op!G258)</f>
        <v/>
      </c>
      <c r="H325" s="114" t="str">
        <f>IF(op!H258=0,"",op!H258)</f>
        <v/>
      </c>
      <c r="I325" s="129" t="str">
        <f>IF(J325="","",(IF(op!I258+1&gt;LOOKUP(H325,schaal2011,regels2011),op!I258,op!I258+1)))</f>
        <v/>
      </c>
      <c r="J325" s="378" t="str">
        <f>IF(op!J258="","",op!J258)</f>
        <v/>
      </c>
      <c r="K325" s="1194"/>
      <c r="L325" s="1065">
        <f t="shared" si="181"/>
        <v>0</v>
      </c>
      <c r="M325" s="1065">
        <f t="shared" si="181"/>
        <v>0</v>
      </c>
      <c r="N325" s="1077" t="str">
        <f t="shared" si="177"/>
        <v/>
      </c>
      <c r="O325" s="1077" t="str">
        <f t="shared" si="178"/>
        <v/>
      </c>
      <c r="P325" s="1172" t="str">
        <f t="shared" si="164"/>
        <v/>
      </c>
      <c r="Q325" s="91"/>
      <c r="R325" s="936" t="str">
        <f t="shared" si="179"/>
        <v/>
      </c>
      <c r="S325" s="936" t="str">
        <f t="shared" si="165"/>
        <v/>
      </c>
      <c r="T325" s="937" t="str">
        <f t="shared" si="166"/>
        <v/>
      </c>
      <c r="U325" s="361"/>
      <c r="V325" s="375"/>
      <c r="W325" s="375"/>
      <c r="X325" s="375"/>
      <c r="Y325" s="1120" t="e">
        <f>VLOOKUP(H325,tab!$A$73:$V$114,I325+2,FALSE)</f>
        <v>#VALUE!</v>
      </c>
      <c r="Z325" s="1211">
        <f>tab!$E$64</f>
        <v>0.62</v>
      </c>
      <c r="AA325" s="1163" t="e">
        <f t="shared" si="167"/>
        <v>#VALUE!</v>
      </c>
      <c r="AB325" s="1163" t="e">
        <f t="shared" si="168"/>
        <v>#VALUE!</v>
      </c>
      <c r="AC325" s="1163" t="e">
        <f t="shared" si="169"/>
        <v>#VALUE!</v>
      </c>
      <c r="AD325" s="1162" t="e">
        <f t="shared" si="170"/>
        <v>#VALUE!</v>
      </c>
      <c r="AE325" s="1162">
        <f t="shared" si="171"/>
        <v>0</v>
      </c>
      <c r="AF325" s="1129">
        <f>IF(H325&gt;8,tab!$D$65,tab!$D$67)</f>
        <v>0.5</v>
      </c>
      <c r="AG325" s="1143">
        <f t="shared" si="182"/>
        <v>0</v>
      </c>
      <c r="AH325" s="1159">
        <f t="shared" si="183"/>
        <v>0</v>
      </c>
      <c r="AI325" s="1142" t="e">
        <f>DATE(YEAR(tab!$I$3),MONTH(G325),DAY(G325))&gt;tab!$I$3</f>
        <v>#VALUE!</v>
      </c>
      <c r="AJ325" s="1142" t="e">
        <f t="shared" si="184"/>
        <v>#VALUE!</v>
      </c>
      <c r="AK325" s="1096">
        <f t="shared" si="185"/>
        <v>30</v>
      </c>
      <c r="AL325" s="1096">
        <f t="shared" si="186"/>
        <v>30</v>
      </c>
      <c r="AM325" s="1143">
        <f t="shared" si="187"/>
        <v>0</v>
      </c>
    </row>
    <row r="326" spans="3:39" ht="12.75" customHeight="1" x14ac:dyDescent="0.2">
      <c r="C326" s="90"/>
      <c r="D326" s="97" t="str">
        <f>IF(op!D259=0,"",op!D259)</f>
        <v/>
      </c>
      <c r="E326" s="97" t="str">
        <f>IF(op!E259=0,"-",op!E259)</f>
        <v/>
      </c>
      <c r="F326" s="114" t="str">
        <f>IF(op!F259="","",op!F259+1)</f>
        <v/>
      </c>
      <c r="G326" s="377" t="str">
        <f>IF(op!G259="","",op!G259)</f>
        <v/>
      </c>
      <c r="H326" s="114" t="str">
        <f>IF(op!H259=0,"",op!H259)</f>
        <v/>
      </c>
      <c r="I326" s="129" t="str">
        <f>IF(J326="","",(IF(op!I259+1&gt;LOOKUP(H326,schaal2011,regels2011),op!I259,op!I259+1)))</f>
        <v/>
      </c>
      <c r="J326" s="378" t="str">
        <f>IF(op!J259="","",op!J259)</f>
        <v/>
      </c>
      <c r="K326" s="1194"/>
      <c r="L326" s="1065">
        <f t="shared" ref="L326:M340" si="188">IF(L259="","",L259)</f>
        <v>0</v>
      </c>
      <c r="M326" s="1065">
        <f t="shared" si="188"/>
        <v>0</v>
      </c>
      <c r="N326" s="1077" t="str">
        <f t="shared" si="177"/>
        <v/>
      </c>
      <c r="O326" s="1077" t="str">
        <f t="shared" si="178"/>
        <v/>
      </c>
      <c r="P326" s="1172" t="str">
        <f t="shared" si="164"/>
        <v/>
      </c>
      <c r="Q326" s="91"/>
      <c r="R326" s="936" t="str">
        <f t="shared" si="179"/>
        <v/>
      </c>
      <c r="S326" s="936" t="str">
        <f t="shared" si="165"/>
        <v/>
      </c>
      <c r="T326" s="937" t="str">
        <f t="shared" si="166"/>
        <v/>
      </c>
      <c r="U326" s="361"/>
      <c r="V326" s="375"/>
      <c r="W326" s="375"/>
      <c r="X326" s="375"/>
      <c r="Y326" s="1120" t="e">
        <f>VLOOKUP(H326,tab!$A$73:$V$114,I326+2,FALSE)</f>
        <v>#VALUE!</v>
      </c>
      <c r="Z326" s="1211">
        <f>tab!$E$64</f>
        <v>0.62</v>
      </c>
      <c r="AA326" s="1163" t="e">
        <f t="shared" si="167"/>
        <v>#VALUE!</v>
      </c>
      <c r="AB326" s="1163" t="e">
        <f t="shared" si="168"/>
        <v>#VALUE!</v>
      </c>
      <c r="AC326" s="1163" t="e">
        <f t="shared" si="169"/>
        <v>#VALUE!</v>
      </c>
      <c r="AD326" s="1162" t="e">
        <f t="shared" si="170"/>
        <v>#VALUE!</v>
      </c>
      <c r="AE326" s="1162">
        <f t="shared" si="171"/>
        <v>0</v>
      </c>
      <c r="AF326" s="1129">
        <f>IF(H326&gt;8,tab!$D$65,tab!$D$67)</f>
        <v>0.5</v>
      </c>
      <c r="AG326" s="1143">
        <f t="shared" si="182"/>
        <v>0</v>
      </c>
      <c r="AH326" s="1159">
        <f t="shared" si="183"/>
        <v>0</v>
      </c>
      <c r="AI326" s="1142" t="e">
        <f>DATE(YEAR(tab!$I$3),MONTH(G326),DAY(G326))&gt;tab!$I$3</f>
        <v>#VALUE!</v>
      </c>
      <c r="AJ326" s="1142" t="e">
        <f t="shared" si="184"/>
        <v>#VALUE!</v>
      </c>
      <c r="AK326" s="1096">
        <f t="shared" si="185"/>
        <v>30</v>
      </c>
      <c r="AL326" s="1096">
        <f t="shared" si="186"/>
        <v>30</v>
      </c>
      <c r="AM326" s="1143">
        <f t="shared" si="187"/>
        <v>0</v>
      </c>
    </row>
    <row r="327" spans="3:39" ht="12.75" customHeight="1" x14ac:dyDescent="0.2">
      <c r="C327" s="90"/>
      <c r="D327" s="97" t="str">
        <f>IF(op!D260=0,"",op!D260)</f>
        <v/>
      </c>
      <c r="E327" s="97" t="str">
        <f>IF(op!E260=0,"-",op!E260)</f>
        <v/>
      </c>
      <c r="F327" s="114" t="str">
        <f>IF(op!F260="","",op!F260+1)</f>
        <v/>
      </c>
      <c r="G327" s="377" t="str">
        <f>IF(op!G260="","",op!G260)</f>
        <v/>
      </c>
      <c r="H327" s="114" t="str">
        <f>IF(op!H260=0,"",op!H260)</f>
        <v/>
      </c>
      <c r="I327" s="129" t="str">
        <f>IF(J327="","",(IF(op!I260+1&gt;LOOKUP(H327,schaal2011,regels2011),op!I260,op!I260+1)))</f>
        <v/>
      </c>
      <c r="J327" s="378" t="str">
        <f>IF(op!J260="","",op!J260)</f>
        <v/>
      </c>
      <c r="K327" s="1194"/>
      <c r="L327" s="1065">
        <f t="shared" si="188"/>
        <v>0</v>
      </c>
      <c r="M327" s="1065">
        <f t="shared" si="188"/>
        <v>0</v>
      </c>
      <c r="N327" s="1077" t="str">
        <f t="shared" si="177"/>
        <v/>
      </c>
      <c r="O327" s="1077" t="str">
        <f t="shared" si="178"/>
        <v/>
      </c>
      <c r="P327" s="1172" t="str">
        <f t="shared" si="164"/>
        <v/>
      </c>
      <c r="Q327" s="91"/>
      <c r="R327" s="936" t="str">
        <f t="shared" si="179"/>
        <v/>
      </c>
      <c r="S327" s="936" t="str">
        <f t="shared" si="165"/>
        <v/>
      </c>
      <c r="T327" s="937" t="str">
        <f t="shared" si="166"/>
        <v/>
      </c>
      <c r="U327" s="361"/>
      <c r="V327" s="375"/>
      <c r="W327" s="375"/>
      <c r="X327" s="375"/>
      <c r="Y327" s="1120" t="e">
        <f>VLOOKUP(H327,tab!$A$73:$V$114,I327+2,FALSE)</f>
        <v>#VALUE!</v>
      </c>
      <c r="Z327" s="1211">
        <f>tab!$E$64</f>
        <v>0.62</v>
      </c>
      <c r="AA327" s="1163" t="e">
        <f t="shared" si="167"/>
        <v>#VALUE!</v>
      </c>
      <c r="AB327" s="1163" t="e">
        <f t="shared" si="168"/>
        <v>#VALUE!</v>
      </c>
      <c r="AC327" s="1163" t="e">
        <f t="shared" si="169"/>
        <v>#VALUE!</v>
      </c>
      <c r="AD327" s="1162" t="e">
        <f t="shared" si="170"/>
        <v>#VALUE!</v>
      </c>
      <c r="AE327" s="1162">
        <f t="shared" si="171"/>
        <v>0</v>
      </c>
      <c r="AF327" s="1129">
        <f>IF(H327&gt;8,tab!$D$65,tab!$D$67)</f>
        <v>0.5</v>
      </c>
      <c r="AG327" s="1143">
        <f t="shared" si="182"/>
        <v>0</v>
      </c>
      <c r="AH327" s="1159">
        <f t="shared" si="183"/>
        <v>0</v>
      </c>
      <c r="AI327" s="1142" t="e">
        <f>DATE(YEAR(tab!$I$3),MONTH(G327),DAY(G327))&gt;tab!$I$3</f>
        <v>#VALUE!</v>
      </c>
      <c r="AJ327" s="1142" t="e">
        <f t="shared" si="184"/>
        <v>#VALUE!</v>
      </c>
      <c r="AK327" s="1096">
        <f t="shared" si="185"/>
        <v>30</v>
      </c>
      <c r="AL327" s="1096">
        <f t="shared" si="186"/>
        <v>30</v>
      </c>
      <c r="AM327" s="1143">
        <f t="shared" si="187"/>
        <v>0</v>
      </c>
    </row>
    <row r="328" spans="3:39" ht="12.75" customHeight="1" x14ac:dyDescent="0.2">
      <c r="C328" s="90"/>
      <c r="D328" s="97" t="str">
        <f>IF(op!D261=0,"",op!D261)</f>
        <v/>
      </c>
      <c r="E328" s="97" t="str">
        <f>IF(op!E261=0,"-",op!E261)</f>
        <v/>
      </c>
      <c r="F328" s="114" t="str">
        <f>IF(op!F261="","",op!F261+1)</f>
        <v/>
      </c>
      <c r="G328" s="377" t="str">
        <f>IF(op!G261="","",op!G261)</f>
        <v/>
      </c>
      <c r="H328" s="114" t="str">
        <f>IF(op!H261=0,"",op!H261)</f>
        <v/>
      </c>
      <c r="I328" s="129" t="str">
        <f>IF(J328="","",(IF(op!I261+1&gt;LOOKUP(H328,schaal2011,regels2011),op!I261,op!I261+1)))</f>
        <v/>
      </c>
      <c r="J328" s="378" t="str">
        <f>IF(op!J261="","",op!J261)</f>
        <v/>
      </c>
      <c r="K328" s="1194"/>
      <c r="L328" s="1065">
        <f t="shared" si="188"/>
        <v>0</v>
      </c>
      <c r="M328" s="1065">
        <f t="shared" si="188"/>
        <v>0</v>
      </c>
      <c r="N328" s="1077" t="str">
        <f t="shared" si="177"/>
        <v/>
      </c>
      <c r="O328" s="1077" t="str">
        <f t="shared" si="178"/>
        <v/>
      </c>
      <c r="P328" s="1172" t="str">
        <f t="shared" si="164"/>
        <v/>
      </c>
      <c r="Q328" s="91"/>
      <c r="R328" s="936" t="str">
        <f t="shared" si="179"/>
        <v/>
      </c>
      <c r="S328" s="936" t="str">
        <f t="shared" si="165"/>
        <v/>
      </c>
      <c r="T328" s="937" t="str">
        <f t="shared" si="166"/>
        <v/>
      </c>
      <c r="U328" s="361"/>
      <c r="V328" s="375"/>
      <c r="W328" s="375"/>
      <c r="X328" s="375"/>
      <c r="Y328" s="1120" t="e">
        <f>VLOOKUP(H328,tab!$A$73:$V$114,I328+2,FALSE)</f>
        <v>#VALUE!</v>
      </c>
      <c r="Z328" s="1211">
        <f>tab!$E$64</f>
        <v>0.62</v>
      </c>
      <c r="AA328" s="1163" t="e">
        <f t="shared" si="167"/>
        <v>#VALUE!</v>
      </c>
      <c r="AB328" s="1163" t="e">
        <f t="shared" si="168"/>
        <v>#VALUE!</v>
      </c>
      <c r="AC328" s="1163" t="e">
        <f t="shared" si="169"/>
        <v>#VALUE!</v>
      </c>
      <c r="AD328" s="1162" t="e">
        <f t="shared" si="170"/>
        <v>#VALUE!</v>
      </c>
      <c r="AE328" s="1162">
        <f t="shared" si="171"/>
        <v>0</v>
      </c>
      <c r="AF328" s="1129">
        <f>IF(H328&gt;8,tab!$D$65,tab!$D$67)</f>
        <v>0.5</v>
      </c>
      <c r="AG328" s="1143">
        <f t="shared" si="182"/>
        <v>0</v>
      </c>
      <c r="AH328" s="1159">
        <f t="shared" si="183"/>
        <v>0</v>
      </c>
      <c r="AI328" s="1142" t="e">
        <f>DATE(YEAR(tab!$I$3),MONTH(G328),DAY(G328))&gt;tab!$I$3</f>
        <v>#VALUE!</v>
      </c>
      <c r="AJ328" s="1142" t="e">
        <f t="shared" si="184"/>
        <v>#VALUE!</v>
      </c>
      <c r="AK328" s="1096">
        <f t="shared" si="185"/>
        <v>30</v>
      </c>
      <c r="AL328" s="1096">
        <f t="shared" si="186"/>
        <v>30</v>
      </c>
      <c r="AM328" s="1143">
        <f t="shared" si="187"/>
        <v>0</v>
      </c>
    </row>
    <row r="329" spans="3:39" ht="12.75" customHeight="1" x14ac:dyDescent="0.2">
      <c r="C329" s="90"/>
      <c r="D329" s="97" t="str">
        <f>IF(op!D262=0,"",op!D262)</f>
        <v/>
      </c>
      <c r="E329" s="97" t="str">
        <f>IF(op!E262=0,"-",op!E262)</f>
        <v/>
      </c>
      <c r="F329" s="114" t="str">
        <f>IF(op!F262="","",op!F262+1)</f>
        <v/>
      </c>
      <c r="G329" s="377" t="str">
        <f>IF(op!G262="","",op!G262)</f>
        <v/>
      </c>
      <c r="H329" s="114" t="str">
        <f>IF(op!H262=0,"",op!H262)</f>
        <v/>
      </c>
      <c r="I329" s="129" t="str">
        <f>IF(J329="","",(IF(op!I262+1&gt;LOOKUP(H329,schaal2011,regels2011),op!I262,op!I262+1)))</f>
        <v/>
      </c>
      <c r="J329" s="378" t="str">
        <f>IF(op!J262="","",op!J262)</f>
        <v/>
      </c>
      <c r="K329" s="1194"/>
      <c r="L329" s="1065">
        <f t="shared" si="188"/>
        <v>0</v>
      </c>
      <c r="M329" s="1065">
        <f t="shared" si="188"/>
        <v>0</v>
      </c>
      <c r="N329" s="1077" t="str">
        <f t="shared" si="177"/>
        <v/>
      </c>
      <c r="O329" s="1077" t="str">
        <f t="shared" si="178"/>
        <v/>
      </c>
      <c r="P329" s="1172" t="str">
        <f t="shared" si="164"/>
        <v/>
      </c>
      <c r="Q329" s="91"/>
      <c r="R329" s="936" t="str">
        <f t="shared" si="179"/>
        <v/>
      </c>
      <c r="S329" s="936" t="str">
        <f t="shared" si="165"/>
        <v/>
      </c>
      <c r="T329" s="937" t="str">
        <f t="shared" si="166"/>
        <v/>
      </c>
      <c r="U329" s="361"/>
      <c r="V329" s="375"/>
      <c r="W329" s="375"/>
      <c r="X329" s="375"/>
      <c r="Y329" s="1120" t="e">
        <f>VLOOKUP(H329,tab!$A$73:$V$114,I329+2,FALSE)</f>
        <v>#VALUE!</v>
      </c>
      <c r="Z329" s="1211">
        <f>tab!$E$64</f>
        <v>0.62</v>
      </c>
      <c r="AA329" s="1163" t="e">
        <f t="shared" si="167"/>
        <v>#VALUE!</v>
      </c>
      <c r="AB329" s="1163" t="e">
        <f t="shared" si="168"/>
        <v>#VALUE!</v>
      </c>
      <c r="AC329" s="1163" t="e">
        <f t="shared" si="169"/>
        <v>#VALUE!</v>
      </c>
      <c r="AD329" s="1162" t="e">
        <f t="shared" si="170"/>
        <v>#VALUE!</v>
      </c>
      <c r="AE329" s="1162">
        <f t="shared" si="171"/>
        <v>0</v>
      </c>
      <c r="AF329" s="1129">
        <f>IF(H329&gt;8,tab!$D$65,tab!$D$67)</f>
        <v>0.5</v>
      </c>
      <c r="AG329" s="1143">
        <f t="shared" si="182"/>
        <v>0</v>
      </c>
      <c r="AH329" s="1159">
        <f t="shared" si="183"/>
        <v>0</v>
      </c>
      <c r="AI329" s="1142" t="e">
        <f>DATE(YEAR(tab!$I$3),MONTH(G329),DAY(G329))&gt;tab!$I$3</f>
        <v>#VALUE!</v>
      </c>
      <c r="AJ329" s="1142" t="e">
        <f t="shared" si="184"/>
        <v>#VALUE!</v>
      </c>
      <c r="AK329" s="1096">
        <f t="shared" si="185"/>
        <v>30</v>
      </c>
      <c r="AL329" s="1096">
        <f t="shared" si="186"/>
        <v>30</v>
      </c>
      <c r="AM329" s="1143">
        <f t="shared" si="187"/>
        <v>0</v>
      </c>
    </row>
    <row r="330" spans="3:39" ht="12.75" customHeight="1" x14ac:dyDescent="0.2">
      <c r="C330" s="90"/>
      <c r="D330" s="97" t="str">
        <f>IF(op!D263=0,"",op!D263)</f>
        <v/>
      </c>
      <c r="E330" s="97" t="str">
        <f>IF(op!E263=0,"-",op!E263)</f>
        <v/>
      </c>
      <c r="F330" s="114" t="str">
        <f>IF(op!F263="","",op!F263+1)</f>
        <v/>
      </c>
      <c r="G330" s="377" t="str">
        <f>IF(op!G263="","",op!G263)</f>
        <v/>
      </c>
      <c r="H330" s="114" t="str">
        <f>IF(op!H263=0,"",op!H263)</f>
        <v/>
      </c>
      <c r="I330" s="129" t="str">
        <f>IF(J330="","",(IF(op!I263+1&gt;LOOKUP(H330,schaal2011,regels2011),op!I263,op!I263+1)))</f>
        <v/>
      </c>
      <c r="J330" s="378" t="str">
        <f>IF(op!J263="","",op!J263)</f>
        <v/>
      </c>
      <c r="K330" s="1194"/>
      <c r="L330" s="1065">
        <f t="shared" si="188"/>
        <v>0</v>
      </c>
      <c r="M330" s="1065">
        <f t="shared" si="188"/>
        <v>0</v>
      </c>
      <c r="N330" s="1077" t="str">
        <f t="shared" si="177"/>
        <v/>
      </c>
      <c r="O330" s="1077" t="str">
        <f t="shared" si="178"/>
        <v/>
      </c>
      <c r="P330" s="1172" t="str">
        <f t="shared" si="164"/>
        <v/>
      </c>
      <c r="Q330" s="91"/>
      <c r="R330" s="936" t="str">
        <f t="shared" si="179"/>
        <v/>
      </c>
      <c r="S330" s="936" t="str">
        <f t="shared" si="165"/>
        <v/>
      </c>
      <c r="T330" s="937" t="str">
        <f t="shared" si="166"/>
        <v/>
      </c>
      <c r="U330" s="361"/>
      <c r="V330" s="375"/>
      <c r="W330" s="375"/>
      <c r="X330" s="375"/>
      <c r="Y330" s="1120" t="e">
        <f>VLOOKUP(H330,tab!$A$73:$V$114,I330+2,FALSE)</f>
        <v>#VALUE!</v>
      </c>
      <c r="Z330" s="1211">
        <f>tab!$E$64</f>
        <v>0.62</v>
      </c>
      <c r="AA330" s="1163" t="e">
        <f t="shared" si="167"/>
        <v>#VALUE!</v>
      </c>
      <c r="AB330" s="1163" t="e">
        <f t="shared" si="168"/>
        <v>#VALUE!</v>
      </c>
      <c r="AC330" s="1163" t="e">
        <f t="shared" si="169"/>
        <v>#VALUE!</v>
      </c>
      <c r="AD330" s="1162" t="e">
        <f t="shared" si="170"/>
        <v>#VALUE!</v>
      </c>
      <c r="AE330" s="1162">
        <f t="shared" si="171"/>
        <v>0</v>
      </c>
      <c r="AF330" s="1129">
        <f>IF(H330&gt;8,tab!$D$65,tab!$D$67)</f>
        <v>0.5</v>
      </c>
      <c r="AG330" s="1143">
        <f t="shared" si="182"/>
        <v>0</v>
      </c>
      <c r="AH330" s="1159">
        <f t="shared" si="183"/>
        <v>0</v>
      </c>
      <c r="AI330" s="1142" t="e">
        <f>DATE(YEAR(tab!$I$3),MONTH(G330),DAY(G330))&gt;tab!$I$3</f>
        <v>#VALUE!</v>
      </c>
      <c r="AJ330" s="1142" t="e">
        <f t="shared" si="184"/>
        <v>#VALUE!</v>
      </c>
      <c r="AK330" s="1096">
        <f t="shared" si="185"/>
        <v>30</v>
      </c>
      <c r="AL330" s="1096">
        <f t="shared" si="186"/>
        <v>30</v>
      </c>
      <c r="AM330" s="1143">
        <f t="shared" si="187"/>
        <v>0</v>
      </c>
    </row>
    <row r="331" spans="3:39" ht="12.75" customHeight="1" x14ac:dyDescent="0.2">
      <c r="C331" s="90"/>
      <c r="D331" s="97" t="str">
        <f>IF(op!D264=0,"",op!D264)</f>
        <v/>
      </c>
      <c r="E331" s="97" t="str">
        <f>IF(op!E264=0,"-",op!E264)</f>
        <v/>
      </c>
      <c r="F331" s="114" t="str">
        <f>IF(op!F264="","",op!F264+1)</f>
        <v/>
      </c>
      <c r="G331" s="377" t="str">
        <f>IF(op!G264="","",op!G264)</f>
        <v/>
      </c>
      <c r="H331" s="114" t="str">
        <f>IF(op!H264=0,"",op!H264)</f>
        <v/>
      </c>
      <c r="I331" s="129" t="str">
        <f>IF(J331="","",(IF(op!I264+1&gt;LOOKUP(H331,schaal2011,regels2011),op!I264,op!I264+1)))</f>
        <v/>
      </c>
      <c r="J331" s="378" t="str">
        <f>IF(op!J264="","",op!J264)</f>
        <v/>
      </c>
      <c r="K331" s="1194"/>
      <c r="L331" s="1065">
        <f t="shared" si="188"/>
        <v>0</v>
      </c>
      <c r="M331" s="1065">
        <f t="shared" si="188"/>
        <v>0</v>
      </c>
      <c r="N331" s="1077" t="str">
        <f t="shared" si="177"/>
        <v/>
      </c>
      <c r="O331" s="1077" t="str">
        <f t="shared" si="178"/>
        <v/>
      </c>
      <c r="P331" s="1172" t="str">
        <f t="shared" si="164"/>
        <v/>
      </c>
      <c r="Q331" s="91"/>
      <c r="R331" s="936" t="str">
        <f t="shared" si="179"/>
        <v/>
      </c>
      <c r="S331" s="936" t="str">
        <f t="shared" si="165"/>
        <v/>
      </c>
      <c r="T331" s="937" t="str">
        <f t="shared" si="166"/>
        <v/>
      </c>
      <c r="U331" s="361"/>
      <c r="V331" s="375"/>
      <c r="W331" s="375"/>
      <c r="X331" s="375"/>
      <c r="Y331" s="1120" t="e">
        <f>VLOOKUP(H331,tab!$A$73:$V$114,I331+2,FALSE)</f>
        <v>#VALUE!</v>
      </c>
      <c r="Z331" s="1211">
        <f>tab!$E$64</f>
        <v>0.62</v>
      </c>
      <c r="AA331" s="1163" t="e">
        <f t="shared" si="167"/>
        <v>#VALUE!</v>
      </c>
      <c r="AB331" s="1163" t="e">
        <f t="shared" si="168"/>
        <v>#VALUE!</v>
      </c>
      <c r="AC331" s="1163" t="e">
        <f t="shared" si="169"/>
        <v>#VALUE!</v>
      </c>
      <c r="AD331" s="1162" t="e">
        <f t="shared" si="170"/>
        <v>#VALUE!</v>
      </c>
      <c r="AE331" s="1162">
        <f t="shared" si="171"/>
        <v>0</v>
      </c>
      <c r="AF331" s="1129">
        <f>IF(H331&gt;8,tab!$D$65,tab!$D$67)</f>
        <v>0.5</v>
      </c>
      <c r="AG331" s="1143">
        <f t="shared" si="182"/>
        <v>0</v>
      </c>
      <c r="AH331" s="1159">
        <f t="shared" si="183"/>
        <v>0</v>
      </c>
      <c r="AI331" s="1142" t="e">
        <f>DATE(YEAR(tab!$I$3),MONTH(G331),DAY(G331))&gt;tab!$I$3</f>
        <v>#VALUE!</v>
      </c>
      <c r="AJ331" s="1142" t="e">
        <f t="shared" si="184"/>
        <v>#VALUE!</v>
      </c>
      <c r="AK331" s="1096">
        <f t="shared" si="185"/>
        <v>30</v>
      </c>
      <c r="AL331" s="1096">
        <f t="shared" si="186"/>
        <v>30</v>
      </c>
      <c r="AM331" s="1143">
        <f t="shared" si="187"/>
        <v>0</v>
      </c>
    </row>
    <row r="332" spans="3:39" ht="12.75" customHeight="1" x14ac:dyDescent="0.2">
      <c r="C332" s="90"/>
      <c r="D332" s="97" t="str">
        <f>IF(op!D265=0,"",op!D265)</f>
        <v/>
      </c>
      <c r="E332" s="97" t="str">
        <f>IF(op!E265=0,"-",op!E265)</f>
        <v/>
      </c>
      <c r="F332" s="114" t="str">
        <f>IF(op!F265="","",op!F265+1)</f>
        <v/>
      </c>
      <c r="G332" s="377" t="str">
        <f>IF(op!G265="","",op!G265)</f>
        <v/>
      </c>
      <c r="H332" s="114" t="str">
        <f>IF(op!H265=0,"",op!H265)</f>
        <v/>
      </c>
      <c r="I332" s="129" t="str">
        <f>IF(J332="","",(IF(op!I265+1&gt;LOOKUP(H332,schaal2011,regels2011),op!I265,op!I265+1)))</f>
        <v/>
      </c>
      <c r="J332" s="378" t="str">
        <f>IF(op!J265="","",op!J265)</f>
        <v/>
      </c>
      <c r="K332" s="1194"/>
      <c r="L332" s="1065">
        <f t="shared" si="188"/>
        <v>0</v>
      </c>
      <c r="M332" s="1065">
        <f t="shared" si="188"/>
        <v>0</v>
      </c>
      <c r="N332" s="1077" t="str">
        <f t="shared" si="177"/>
        <v/>
      </c>
      <c r="O332" s="1077" t="str">
        <f t="shared" si="178"/>
        <v/>
      </c>
      <c r="P332" s="1172" t="str">
        <f t="shared" si="164"/>
        <v/>
      </c>
      <c r="Q332" s="91"/>
      <c r="R332" s="936" t="str">
        <f t="shared" si="179"/>
        <v/>
      </c>
      <c r="S332" s="936" t="str">
        <f t="shared" si="165"/>
        <v/>
      </c>
      <c r="T332" s="937" t="str">
        <f t="shared" si="166"/>
        <v/>
      </c>
      <c r="U332" s="361"/>
      <c r="V332" s="375"/>
      <c r="W332" s="375"/>
      <c r="X332" s="375"/>
      <c r="Y332" s="1120" t="e">
        <f>VLOOKUP(H332,tab!$A$73:$V$114,I332+2,FALSE)</f>
        <v>#VALUE!</v>
      </c>
      <c r="Z332" s="1211">
        <f>tab!$E$64</f>
        <v>0.62</v>
      </c>
      <c r="AA332" s="1163" t="e">
        <f t="shared" si="167"/>
        <v>#VALUE!</v>
      </c>
      <c r="AB332" s="1163" t="e">
        <f t="shared" si="168"/>
        <v>#VALUE!</v>
      </c>
      <c r="AC332" s="1163" t="e">
        <f t="shared" si="169"/>
        <v>#VALUE!</v>
      </c>
      <c r="AD332" s="1162" t="e">
        <f t="shared" si="170"/>
        <v>#VALUE!</v>
      </c>
      <c r="AE332" s="1162">
        <f t="shared" si="171"/>
        <v>0</v>
      </c>
      <c r="AF332" s="1129">
        <f>IF(H332&gt;8,tab!$D$65,tab!$D$67)</f>
        <v>0.5</v>
      </c>
      <c r="AG332" s="1143">
        <f t="shared" si="182"/>
        <v>0</v>
      </c>
      <c r="AH332" s="1159">
        <f t="shared" si="183"/>
        <v>0</v>
      </c>
      <c r="AI332" s="1142" t="e">
        <f>DATE(YEAR(tab!$I$3),MONTH(G332),DAY(G332))&gt;tab!$I$3</f>
        <v>#VALUE!</v>
      </c>
      <c r="AJ332" s="1142" t="e">
        <f t="shared" si="184"/>
        <v>#VALUE!</v>
      </c>
      <c r="AK332" s="1096">
        <f t="shared" si="185"/>
        <v>30</v>
      </c>
      <c r="AL332" s="1096">
        <f t="shared" si="186"/>
        <v>30</v>
      </c>
      <c r="AM332" s="1143">
        <f t="shared" si="187"/>
        <v>0</v>
      </c>
    </row>
    <row r="333" spans="3:39" ht="12.75" customHeight="1" x14ac:dyDescent="0.2">
      <c r="C333" s="90"/>
      <c r="D333" s="97" t="str">
        <f>IF(op!D266=0,"",op!D266)</f>
        <v/>
      </c>
      <c r="E333" s="97" t="str">
        <f>IF(op!E266=0,"-",op!E266)</f>
        <v/>
      </c>
      <c r="F333" s="114" t="str">
        <f>IF(op!F266="","",op!F266+1)</f>
        <v/>
      </c>
      <c r="G333" s="377" t="str">
        <f>IF(op!G266="","",op!G266)</f>
        <v/>
      </c>
      <c r="H333" s="114" t="str">
        <f>IF(op!H266=0,"",op!H266)</f>
        <v/>
      </c>
      <c r="I333" s="129" t="str">
        <f>IF(J333="","",(IF(op!I266+1&gt;LOOKUP(H333,schaal2011,regels2011),op!I266,op!I266+1)))</f>
        <v/>
      </c>
      <c r="J333" s="378" t="str">
        <f>IF(op!J266="","",op!J266)</f>
        <v/>
      </c>
      <c r="K333" s="1194"/>
      <c r="L333" s="1065">
        <f t="shared" si="188"/>
        <v>0</v>
      </c>
      <c r="M333" s="1065">
        <f t="shared" si="188"/>
        <v>0</v>
      </c>
      <c r="N333" s="1077" t="str">
        <f t="shared" si="177"/>
        <v/>
      </c>
      <c r="O333" s="1077" t="str">
        <f t="shared" si="178"/>
        <v/>
      </c>
      <c r="P333" s="1172" t="str">
        <f t="shared" si="164"/>
        <v/>
      </c>
      <c r="Q333" s="91"/>
      <c r="R333" s="936" t="str">
        <f t="shared" si="179"/>
        <v/>
      </c>
      <c r="S333" s="936" t="str">
        <f t="shared" si="165"/>
        <v/>
      </c>
      <c r="T333" s="937" t="str">
        <f t="shared" si="166"/>
        <v/>
      </c>
      <c r="U333" s="361"/>
      <c r="V333" s="375"/>
      <c r="W333" s="375"/>
      <c r="X333" s="375"/>
      <c r="Y333" s="1120" t="e">
        <f>VLOOKUP(H333,tab!$A$73:$V$114,I333+2,FALSE)</f>
        <v>#VALUE!</v>
      </c>
      <c r="Z333" s="1211">
        <f>tab!$E$64</f>
        <v>0.62</v>
      </c>
      <c r="AA333" s="1163" t="e">
        <f t="shared" si="167"/>
        <v>#VALUE!</v>
      </c>
      <c r="AB333" s="1163" t="e">
        <f t="shared" si="168"/>
        <v>#VALUE!</v>
      </c>
      <c r="AC333" s="1163" t="e">
        <f t="shared" si="169"/>
        <v>#VALUE!</v>
      </c>
      <c r="AD333" s="1162" t="e">
        <f t="shared" si="170"/>
        <v>#VALUE!</v>
      </c>
      <c r="AE333" s="1162">
        <f t="shared" si="171"/>
        <v>0</v>
      </c>
      <c r="AF333" s="1129">
        <f>IF(H333&gt;8,tab!$D$65,tab!$D$67)</f>
        <v>0.5</v>
      </c>
      <c r="AG333" s="1143">
        <f t="shared" si="182"/>
        <v>0</v>
      </c>
      <c r="AH333" s="1159">
        <f t="shared" si="183"/>
        <v>0</v>
      </c>
      <c r="AI333" s="1142" t="e">
        <f>DATE(YEAR(tab!$I$3),MONTH(G333),DAY(G333))&gt;tab!$I$3</f>
        <v>#VALUE!</v>
      </c>
      <c r="AJ333" s="1142" t="e">
        <f t="shared" si="184"/>
        <v>#VALUE!</v>
      </c>
      <c r="AK333" s="1096">
        <f t="shared" si="185"/>
        <v>30</v>
      </c>
      <c r="AL333" s="1096">
        <f t="shared" si="186"/>
        <v>30</v>
      </c>
      <c r="AM333" s="1143">
        <f t="shared" si="187"/>
        <v>0</v>
      </c>
    </row>
    <row r="334" spans="3:39" ht="12.75" customHeight="1" x14ac:dyDescent="0.2">
      <c r="C334" s="90"/>
      <c r="D334" s="97" t="str">
        <f>IF(op!D267=0,"",op!D267)</f>
        <v/>
      </c>
      <c r="E334" s="97" t="str">
        <f>IF(op!E267=0,"-",op!E267)</f>
        <v/>
      </c>
      <c r="F334" s="114" t="str">
        <f>IF(op!F267="","",op!F267+1)</f>
        <v/>
      </c>
      <c r="G334" s="377" t="str">
        <f>IF(op!G267="","",op!G267)</f>
        <v/>
      </c>
      <c r="H334" s="114" t="str">
        <f>IF(op!H267=0,"",op!H267)</f>
        <v/>
      </c>
      <c r="I334" s="129" t="str">
        <f>IF(J334="","",(IF(op!I267+1&gt;LOOKUP(H334,schaal2011,regels2011),op!I267,op!I267+1)))</f>
        <v/>
      </c>
      <c r="J334" s="378" t="str">
        <f>IF(op!J267="","",op!J267)</f>
        <v/>
      </c>
      <c r="K334" s="1194"/>
      <c r="L334" s="1065">
        <f t="shared" si="188"/>
        <v>0</v>
      </c>
      <c r="M334" s="1065">
        <f t="shared" si="188"/>
        <v>0</v>
      </c>
      <c r="N334" s="1077" t="str">
        <f t="shared" si="177"/>
        <v/>
      </c>
      <c r="O334" s="1077" t="str">
        <f t="shared" si="178"/>
        <v/>
      </c>
      <c r="P334" s="1172" t="str">
        <f t="shared" si="164"/>
        <v/>
      </c>
      <c r="Q334" s="91"/>
      <c r="R334" s="936" t="str">
        <f t="shared" si="179"/>
        <v/>
      </c>
      <c r="S334" s="936" t="str">
        <f t="shared" si="165"/>
        <v/>
      </c>
      <c r="T334" s="937" t="str">
        <f t="shared" si="166"/>
        <v/>
      </c>
      <c r="U334" s="361"/>
      <c r="V334" s="375"/>
      <c r="W334" s="375"/>
      <c r="X334" s="375"/>
      <c r="Y334" s="1120" t="e">
        <f>VLOOKUP(H334,tab!$A$73:$V$114,I334+2,FALSE)</f>
        <v>#VALUE!</v>
      </c>
      <c r="Z334" s="1211">
        <f>tab!$E$64</f>
        <v>0.62</v>
      </c>
      <c r="AA334" s="1163" t="e">
        <f t="shared" si="167"/>
        <v>#VALUE!</v>
      </c>
      <c r="AB334" s="1163" t="e">
        <f t="shared" si="168"/>
        <v>#VALUE!</v>
      </c>
      <c r="AC334" s="1163" t="e">
        <f t="shared" si="169"/>
        <v>#VALUE!</v>
      </c>
      <c r="AD334" s="1162" t="e">
        <f t="shared" si="170"/>
        <v>#VALUE!</v>
      </c>
      <c r="AE334" s="1162">
        <f t="shared" si="171"/>
        <v>0</v>
      </c>
      <c r="AF334" s="1129">
        <f>IF(H334&gt;8,tab!$D$65,tab!$D$67)</f>
        <v>0.5</v>
      </c>
      <c r="AG334" s="1143">
        <f t="shared" si="182"/>
        <v>0</v>
      </c>
      <c r="AH334" s="1159">
        <f t="shared" si="183"/>
        <v>0</v>
      </c>
      <c r="AI334" s="1142" t="e">
        <f>DATE(YEAR(tab!$I$3),MONTH(G334),DAY(G334))&gt;tab!$I$3</f>
        <v>#VALUE!</v>
      </c>
      <c r="AJ334" s="1142" t="e">
        <f t="shared" si="184"/>
        <v>#VALUE!</v>
      </c>
      <c r="AK334" s="1096">
        <f t="shared" si="185"/>
        <v>30</v>
      </c>
      <c r="AL334" s="1096">
        <f t="shared" si="186"/>
        <v>30</v>
      </c>
      <c r="AM334" s="1143">
        <f t="shared" si="187"/>
        <v>0</v>
      </c>
    </row>
    <row r="335" spans="3:39" ht="12.75" customHeight="1" x14ac:dyDescent="0.2">
      <c r="C335" s="90"/>
      <c r="D335" s="97" t="str">
        <f>IF(op!D268=0,"",op!D268)</f>
        <v/>
      </c>
      <c r="E335" s="97" t="str">
        <f>IF(op!E268=0,"-",op!E268)</f>
        <v/>
      </c>
      <c r="F335" s="114" t="str">
        <f>IF(op!F268="","",op!F268+1)</f>
        <v/>
      </c>
      <c r="G335" s="377" t="str">
        <f>IF(op!G268="","",op!G268)</f>
        <v/>
      </c>
      <c r="H335" s="114" t="str">
        <f>IF(op!H268=0,"",op!H268)</f>
        <v/>
      </c>
      <c r="I335" s="129" t="str">
        <f>IF(J335="","",(IF(op!I268+1&gt;LOOKUP(H335,schaal2011,regels2011),op!I268,op!I268+1)))</f>
        <v/>
      </c>
      <c r="J335" s="378" t="str">
        <f>IF(op!J268="","",op!J268)</f>
        <v/>
      </c>
      <c r="K335" s="1194"/>
      <c r="L335" s="1065">
        <f t="shared" si="188"/>
        <v>0</v>
      </c>
      <c r="M335" s="1065">
        <f t="shared" si="188"/>
        <v>0</v>
      </c>
      <c r="N335" s="1077" t="str">
        <f t="shared" si="177"/>
        <v/>
      </c>
      <c r="O335" s="1077" t="str">
        <f t="shared" si="178"/>
        <v/>
      </c>
      <c r="P335" s="1172" t="str">
        <f t="shared" si="164"/>
        <v/>
      </c>
      <c r="Q335" s="91"/>
      <c r="R335" s="936" t="str">
        <f t="shared" si="179"/>
        <v/>
      </c>
      <c r="S335" s="936" t="str">
        <f t="shared" si="165"/>
        <v/>
      </c>
      <c r="T335" s="937" t="str">
        <f t="shared" si="166"/>
        <v/>
      </c>
      <c r="U335" s="361"/>
      <c r="V335" s="375"/>
      <c r="W335" s="375"/>
      <c r="X335" s="375"/>
      <c r="Y335" s="1120" t="e">
        <f>VLOOKUP(H335,tab!$A$73:$V$114,I335+2,FALSE)</f>
        <v>#VALUE!</v>
      </c>
      <c r="Z335" s="1211">
        <f>tab!$E$64</f>
        <v>0.62</v>
      </c>
      <c r="AA335" s="1163" t="e">
        <f t="shared" si="167"/>
        <v>#VALUE!</v>
      </c>
      <c r="AB335" s="1163" t="e">
        <f t="shared" si="168"/>
        <v>#VALUE!</v>
      </c>
      <c r="AC335" s="1163" t="e">
        <f t="shared" si="169"/>
        <v>#VALUE!</v>
      </c>
      <c r="AD335" s="1162" t="e">
        <f t="shared" si="170"/>
        <v>#VALUE!</v>
      </c>
      <c r="AE335" s="1162">
        <f t="shared" si="171"/>
        <v>0</v>
      </c>
      <c r="AF335" s="1129">
        <f>IF(H335&gt;8,tab!$D$65,tab!$D$67)</f>
        <v>0.5</v>
      </c>
      <c r="AG335" s="1143">
        <f t="shared" si="182"/>
        <v>0</v>
      </c>
      <c r="AH335" s="1159">
        <f t="shared" si="183"/>
        <v>0</v>
      </c>
      <c r="AI335" s="1142" t="e">
        <f>DATE(YEAR(tab!$I$3),MONTH(G335),DAY(G335))&gt;tab!$I$3</f>
        <v>#VALUE!</v>
      </c>
      <c r="AJ335" s="1142" t="e">
        <f t="shared" si="184"/>
        <v>#VALUE!</v>
      </c>
      <c r="AK335" s="1096">
        <f t="shared" si="185"/>
        <v>30</v>
      </c>
      <c r="AL335" s="1096">
        <f t="shared" si="186"/>
        <v>30</v>
      </c>
      <c r="AM335" s="1143">
        <f t="shared" si="187"/>
        <v>0</v>
      </c>
    </row>
    <row r="336" spans="3:39" ht="12.75" customHeight="1" x14ac:dyDescent="0.2">
      <c r="C336" s="90"/>
      <c r="D336" s="97" t="str">
        <f>IF(op!D269=0,"",op!D269)</f>
        <v/>
      </c>
      <c r="E336" s="97" t="str">
        <f>IF(op!E269=0,"-",op!E269)</f>
        <v/>
      </c>
      <c r="F336" s="114" t="str">
        <f>IF(op!F269="","",op!F269+1)</f>
        <v/>
      </c>
      <c r="G336" s="377" t="str">
        <f>IF(op!G269="","",op!G269)</f>
        <v/>
      </c>
      <c r="H336" s="114" t="str">
        <f>IF(op!H269=0,"",op!H269)</f>
        <v/>
      </c>
      <c r="I336" s="129" t="str">
        <f>IF(J336="","",(IF(op!I269+1&gt;LOOKUP(H336,schaal2011,regels2011),op!I269,op!I269+1)))</f>
        <v/>
      </c>
      <c r="J336" s="378" t="str">
        <f>IF(op!J269="","",op!J269)</f>
        <v/>
      </c>
      <c r="K336" s="1194"/>
      <c r="L336" s="1065">
        <f t="shared" si="188"/>
        <v>0</v>
      </c>
      <c r="M336" s="1065">
        <f t="shared" si="188"/>
        <v>0</v>
      </c>
      <c r="N336" s="1077" t="str">
        <f t="shared" si="177"/>
        <v/>
      </c>
      <c r="O336" s="1077" t="str">
        <f t="shared" si="178"/>
        <v/>
      </c>
      <c r="P336" s="1172" t="str">
        <f t="shared" si="164"/>
        <v/>
      </c>
      <c r="Q336" s="91"/>
      <c r="R336" s="936" t="str">
        <f t="shared" si="179"/>
        <v/>
      </c>
      <c r="S336" s="936" t="str">
        <f t="shared" si="165"/>
        <v/>
      </c>
      <c r="T336" s="937" t="str">
        <f t="shared" si="166"/>
        <v/>
      </c>
      <c r="U336" s="361"/>
      <c r="V336" s="375"/>
      <c r="W336" s="375"/>
      <c r="X336" s="375"/>
      <c r="Y336" s="1120" t="e">
        <f>VLOOKUP(H336,tab!$A$73:$V$114,I336+2,FALSE)</f>
        <v>#VALUE!</v>
      </c>
      <c r="Z336" s="1211">
        <f>tab!$E$64</f>
        <v>0.62</v>
      </c>
      <c r="AA336" s="1163" t="e">
        <f t="shared" si="167"/>
        <v>#VALUE!</v>
      </c>
      <c r="AB336" s="1163" t="e">
        <f t="shared" si="168"/>
        <v>#VALUE!</v>
      </c>
      <c r="AC336" s="1163" t="e">
        <f t="shared" si="169"/>
        <v>#VALUE!</v>
      </c>
      <c r="AD336" s="1162" t="e">
        <f t="shared" si="170"/>
        <v>#VALUE!</v>
      </c>
      <c r="AE336" s="1162">
        <f t="shared" si="171"/>
        <v>0</v>
      </c>
      <c r="AF336" s="1129">
        <f>IF(H336&gt;8,tab!$D$65,tab!$D$67)</f>
        <v>0.5</v>
      </c>
      <c r="AG336" s="1143">
        <f t="shared" si="182"/>
        <v>0</v>
      </c>
      <c r="AH336" s="1159">
        <f t="shared" si="183"/>
        <v>0</v>
      </c>
      <c r="AI336" s="1142" t="e">
        <f>DATE(YEAR(tab!$I$3),MONTH(G336),DAY(G336))&gt;tab!$I$3</f>
        <v>#VALUE!</v>
      </c>
      <c r="AJ336" s="1142" t="e">
        <f t="shared" si="184"/>
        <v>#VALUE!</v>
      </c>
      <c r="AK336" s="1096">
        <f t="shared" si="185"/>
        <v>30</v>
      </c>
      <c r="AL336" s="1096">
        <f t="shared" si="186"/>
        <v>30</v>
      </c>
      <c r="AM336" s="1143">
        <f t="shared" si="187"/>
        <v>0</v>
      </c>
    </row>
    <row r="337" spans="3:39" ht="12.75" customHeight="1" x14ac:dyDescent="0.2">
      <c r="C337" s="90"/>
      <c r="D337" s="97" t="str">
        <f>IF(op!D270=0,"",op!D270)</f>
        <v/>
      </c>
      <c r="E337" s="97" t="str">
        <f>IF(op!E270=0,"-",op!E270)</f>
        <v/>
      </c>
      <c r="F337" s="114" t="str">
        <f>IF(op!F270="","",op!F270+1)</f>
        <v/>
      </c>
      <c r="G337" s="377" t="str">
        <f>IF(op!G270="","",op!G270)</f>
        <v/>
      </c>
      <c r="H337" s="114" t="str">
        <f>IF(op!H270=0,"",op!H270)</f>
        <v/>
      </c>
      <c r="I337" s="129" t="str">
        <f>IF(J337="","",(IF(op!I270+1&gt;LOOKUP(H337,schaal2011,regels2011),op!I270,op!I270+1)))</f>
        <v/>
      </c>
      <c r="J337" s="378" t="str">
        <f>IF(op!J270="","",op!J270)</f>
        <v/>
      </c>
      <c r="K337" s="1194"/>
      <c r="L337" s="1065">
        <f t="shared" si="188"/>
        <v>0</v>
      </c>
      <c r="M337" s="1065">
        <f t="shared" si="188"/>
        <v>0</v>
      </c>
      <c r="N337" s="1077" t="str">
        <f t="shared" si="177"/>
        <v/>
      </c>
      <c r="O337" s="1077" t="str">
        <f t="shared" si="178"/>
        <v/>
      </c>
      <c r="P337" s="1172" t="str">
        <f t="shared" si="164"/>
        <v/>
      </c>
      <c r="Q337" s="91"/>
      <c r="R337" s="936" t="str">
        <f t="shared" si="179"/>
        <v/>
      </c>
      <c r="S337" s="936" t="str">
        <f t="shared" si="165"/>
        <v/>
      </c>
      <c r="T337" s="937" t="str">
        <f t="shared" si="166"/>
        <v/>
      </c>
      <c r="U337" s="361"/>
      <c r="V337" s="375"/>
      <c r="W337" s="375"/>
      <c r="X337" s="375"/>
      <c r="Y337" s="1120" t="e">
        <f>VLOOKUP(H337,tab!$A$73:$V$114,I337+2,FALSE)</f>
        <v>#VALUE!</v>
      </c>
      <c r="Z337" s="1211">
        <f>tab!$E$64</f>
        <v>0.62</v>
      </c>
      <c r="AA337" s="1163" t="e">
        <f t="shared" si="167"/>
        <v>#VALUE!</v>
      </c>
      <c r="AB337" s="1163" t="e">
        <f t="shared" si="168"/>
        <v>#VALUE!</v>
      </c>
      <c r="AC337" s="1163" t="e">
        <f t="shared" si="169"/>
        <v>#VALUE!</v>
      </c>
      <c r="AD337" s="1162" t="e">
        <f t="shared" si="170"/>
        <v>#VALUE!</v>
      </c>
      <c r="AE337" s="1162">
        <f t="shared" si="171"/>
        <v>0</v>
      </c>
      <c r="AF337" s="1129">
        <f>IF(H337&gt;8,tab!$D$65,tab!$D$67)</f>
        <v>0.5</v>
      </c>
      <c r="AG337" s="1143">
        <f t="shared" si="182"/>
        <v>0</v>
      </c>
      <c r="AH337" s="1159">
        <f t="shared" si="183"/>
        <v>0</v>
      </c>
      <c r="AI337" s="1142" t="e">
        <f>DATE(YEAR(tab!$I$3),MONTH(G337),DAY(G337))&gt;tab!$I$3</f>
        <v>#VALUE!</v>
      </c>
      <c r="AJ337" s="1142" t="e">
        <f t="shared" si="184"/>
        <v>#VALUE!</v>
      </c>
      <c r="AK337" s="1096">
        <f t="shared" si="185"/>
        <v>30</v>
      </c>
      <c r="AL337" s="1096">
        <f t="shared" si="186"/>
        <v>30</v>
      </c>
      <c r="AM337" s="1143">
        <f t="shared" si="187"/>
        <v>0</v>
      </c>
    </row>
    <row r="338" spans="3:39" ht="12.75" customHeight="1" x14ac:dyDescent="0.2">
      <c r="C338" s="90"/>
      <c r="D338" s="97" t="str">
        <f>IF(op!D271=0,"",op!D271)</f>
        <v/>
      </c>
      <c r="E338" s="97" t="str">
        <f>IF(op!E271=0,"-",op!E271)</f>
        <v/>
      </c>
      <c r="F338" s="114" t="str">
        <f>IF(op!F271="","",op!F271+1)</f>
        <v/>
      </c>
      <c r="G338" s="377" t="str">
        <f>IF(op!G271="","",op!G271)</f>
        <v/>
      </c>
      <c r="H338" s="114" t="str">
        <f>IF(op!H271=0,"",op!H271)</f>
        <v/>
      </c>
      <c r="I338" s="129" t="str">
        <f>IF(J338="","",(IF(op!I271+1&gt;LOOKUP(H338,schaal2011,regels2011),op!I271,op!I271+1)))</f>
        <v/>
      </c>
      <c r="J338" s="378" t="str">
        <f>IF(op!J271="","",op!J271)</f>
        <v/>
      </c>
      <c r="K338" s="1194"/>
      <c r="L338" s="1065">
        <f t="shared" si="188"/>
        <v>0</v>
      </c>
      <c r="M338" s="1065">
        <f t="shared" si="188"/>
        <v>0</v>
      </c>
      <c r="N338" s="1077" t="str">
        <f t="shared" si="177"/>
        <v/>
      </c>
      <c r="O338" s="1077" t="str">
        <f t="shared" si="178"/>
        <v/>
      </c>
      <c r="P338" s="1172" t="str">
        <f t="shared" si="164"/>
        <v/>
      </c>
      <c r="Q338" s="91"/>
      <c r="R338" s="936" t="str">
        <f t="shared" si="179"/>
        <v/>
      </c>
      <c r="S338" s="936" t="str">
        <f t="shared" si="165"/>
        <v/>
      </c>
      <c r="T338" s="937" t="str">
        <f t="shared" si="166"/>
        <v/>
      </c>
      <c r="U338" s="361"/>
      <c r="V338" s="375"/>
      <c r="W338" s="375"/>
      <c r="X338" s="375"/>
      <c r="Y338" s="1120" t="e">
        <f>VLOOKUP(H338,tab!$A$73:$V$114,I338+2,FALSE)</f>
        <v>#VALUE!</v>
      </c>
      <c r="Z338" s="1211">
        <f>tab!$E$64</f>
        <v>0.62</v>
      </c>
      <c r="AA338" s="1163" t="e">
        <f t="shared" si="167"/>
        <v>#VALUE!</v>
      </c>
      <c r="AB338" s="1163" t="e">
        <f t="shared" si="168"/>
        <v>#VALUE!</v>
      </c>
      <c r="AC338" s="1163" t="e">
        <f t="shared" si="169"/>
        <v>#VALUE!</v>
      </c>
      <c r="AD338" s="1162" t="e">
        <f t="shared" si="170"/>
        <v>#VALUE!</v>
      </c>
      <c r="AE338" s="1162">
        <f t="shared" si="171"/>
        <v>0</v>
      </c>
      <c r="AF338" s="1129">
        <f>IF(H338&gt;8,tab!$D$65,tab!$D$67)</f>
        <v>0.5</v>
      </c>
      <c r="AG338" s="1143">
        <f t="shared" si="182"/>
        <v>0</v>
      </c>
      <c r="AH338" s="1159">
        <f t="shared" si="183"/>
        <v>0</v>
      </c>
      <c r="AI338" s="1142" t="e">
        <f>DATE(YEAR(tab!$I$3),MONTH(G338),DAY(G338))&gt;tab!$I$3</f>
        <v>#VALUE!</v>
      </c>
      <c r="AJ338" s="1142" t="e">
        <f t="shared" si="184"/>
        <v>#VALUE!</v>
      </c>
      <c r="AK338" s="1096">
        <f t="shared" si="185"/>
        <v>30</v>
      </c>
      <c r="AL338" s="1096">
        <f t="shared" si="186"/>
        <v>30</v>
      </c>
      <c r="AM338" s="1143">
        <f t="shared" si="187"/>
        <v>0</v>
      </c>
    </row>
    <row r="339" spans="3:39" ht="12.75" customHeight="1" x14ac:dyDescent="0.2">
      <c r="C339" s="90"/>
      <c r="D339" s="97" t="str">
        <f>IF(op!D272=0,"",op!D272)</f>
        <v/>
      </c>
      <c r="E339" s="97" t="str">
        <f>IF(op!E272=0,"-",op!E272)</f>
        <v/>
      </c>
      <c r="F339" s="114" t="str">
        <f>IF(op!F272="","",op!F272+1)</f>
        <v/>
      </c>
      <c r="G339" s="377" t="str">
        <f>IF(op!G272="","",op!G272)</f>
        <v/>
      </c>
      <c r="H339" s="114" t="str">
        <f>IF(op!H272=0,"",op!H272)</f>
        <v/>
      </c>
      <c r="I339" s="129" t="str">
        <f>IF(J339="","",(IF(op!I272+1&gt;LOOKUP(H339,schaal2011,regels2011),op!I272,op!I272+1)))</f>
        <v/>
      </c>
      <c r="J339" s="378" t="str">
        <f>IF(op!J272="","",op!J272)</f>
        <v/>
      </c>
      <c r="K339" s="1194"/>
      <c r="L339" s="1065">
        <f t="shared" si="188"/>
        <v>0</v>
      </c>
      <c r="M339" s="1065">
        <f t="shared" si="188"/>
        <v>0</v>
      </c>
      <c r="N339" s="1077" t="str">
        <f t="shared" si="177"/>
        <v/>
      </c>
      <c r="O339" s="1077" t="str">
        <f t="shared" si="178"/>
        <v/>
      </c>
      <c r="P339" s="1172" t="str">
        <f t="shared" si="164"/>
        <v/>
      </c>
      <c r="Q339" s="91"/>
      <c r="R339" s="936" t="str">
        <f t="shared" si="179"/>
        <v/>
      </c>
      <c r="S339" s="936" t="str">
        <f t="shared" si="165"/>
        <v/>
      </c>
      <c r="T339" s="937" t="str">
        <f t="shared" si="166"/>
        <v/>
      </c>
      <c r="U339" s="361"/>
      <c r="V339" s="375"/>
      <c r="W339" s="375"/>
      <c r="X339" s="375"/>
      <c r="Y339" s="1120" t="e">
        <f>VLOOKUP(H339,tab!$A$73:$V$114,I339+2,FALSE)</f>
        <v>#VALUE!</v>
      </c>
      <c r="Z339" s="1211">
        <f>tab!$E$64</f>
        <v>0.62</v>
      </c>
      <c r="AA339" s="1163" t="e">
        <f t="shared" si="167"/>
        <v>#VALUE!</v>
      </c>
      <c r="AB339" s="1163" t="e">
        <f t="shared" si="168"/>
        <v>#VALUE!</v>
      </c>
      <c r="AC339" s="1163" t="e">
        <f t="shared" si="169"/>
        <v>#VALUE!</v>
      </c>
      <c r="AD339" s="1162" t="e">
        <f t="shared" si="170"/>
        <v>#VALUE!</v>
      </c>
      <c r="AE339" s="1162">
        <f t="shared" si="171"/>
        <v>0</v>
      </c>
      <c r="AF339" s="1129">
        <f>IF(H339&gt;8,tab!$D$65,tab!$D$67)</f>
        <v>0.5</v>
      </c>
      <c r="AG339" s="1143">
        <f t="shared" si="182"/>
        <v>0</v>
      </c>
      <c r="AH339" s="1159">
        <f t="shared" si="183"/>
        <v>0</v>
      </c>
      <c r="AI339" s="1142" t="e">
        <f>DATE(YEAR(tab!$I$3),MONTH(G339),DAY(G339))&gt;tab!$I$3</f>
        <v>#VALUE!</v>
      </c>
      <c r="AJ339" s="1142" t="e">
        <f t="shared" si="184"/>
        <v>#VALUE!</v>
      </c>
      <c r="AK339" s="1096">
        <f t="shared" si="185"/>
        <v>30</v>
      </c>
      <c r="AL339" s="1096">
        <f t="shared" si="186"/>
        <v>30</v>
      </c>
      <c r="AM339" s="1143">
        <f t="shared" si="187"/>
        <v>0</v>
      </c>
    </row>
    <row r="340" spans="3:39" ht="12.75" customHeight="1" x14ac:dyDescent="0.2">
      <c r="C340" s="90"/>
      <c r="D340" s="97" t="str">
        <f>IF(op!D273=0,"",op!D273)</f>
        <v/>
      </c>
      <c r="E340" s="97" t="str">
        <f>IF(op!E273=0,"-",op!E273)</f>
        <v/>
      </c>
      <c r="F340" s="114" t="str">
        <f>IF(op!F273="","",op!F273+1)</f>
        <v/>
      </c>
      <c r="G340" s="377" t="str">
        <f>IF(op!G273="","",op!G273)</f>
        <v/>
      </c>
      <c r="H340" s="114" t="str">
        <f>IF(op!H273=0,"",op!H273)</f>
        <v/>
      </c>
      <c r="I340" s="129" t="str">
        <f>IF(J340="","",(IF(op!I273+1&gt;LOOKUP(H340,schaal2011,regels2011),op!I273,op!I273+1)))</f>
        <v/>
      </c>
      <c r="J340" s="378" t="str">
        <f>IF(op!J273="","",op!J273)</f>
        <v/>
      </c>
      <c r="K340" s="1194"/>
      <c r="L340" s="1065">
        <f t="shared" si="188"/>
        <v>0</v>
      </c>
      <c r="M340" s="1065">
        <f t="shared" si="188"/>
        <v>0</v>
      </c>
      <c r="N340" s="1077" t="str">
        <f t="shared" si="177"/>
        <v/>
      </c>
      <c r="O340" s="1077" t="str">
        <f t="shared" si="178"/>
        <v/>
      </c>
      <c r="P340" s="1172" t="str">
        <f t="shared" si="164"/>
        <v/>
      </c>
      <c r="Q340" s="91"/>
      <c r="R340" s="936" t="str">
        <f t="shared" si="179"/>
        <v/>
      </c>
      <c r="S340" s="936" t="str">
        <f t="shared" si="165"/>
        <v/>
      </c>
      <c r="T340" s="937" t="str">
        <f t="shared" si="166"/>
        <v/>
      </c>
      <c r="U340" s="361"/>
      <c r="V340" s="375"/>
      <c r="W340" s="375"/>
      <c r="X340" s="375"/>
      <c r="Y340" s="1120" t="e">
        <f>VLOOKUP(H340,tab!$A$73:$V$114,I340+2,FALSE)</f>
        <v>#VALUE!</v>
      </c>
      <c r="Z340" s="1211">
        <f>tab!$E$64</f>
        <v>0.62</v>
      </c>
      <c r="AA340" s="1163" t="e">
        <f t="shared" si="167"/>
        <v>#VALUE!</v>
      </c>
      <c r="AB340" s="1163" t="e">
        <f t="shared" si="168"/>
        <v>#VALUE!</v>
      </c>
      <c r="AC340" s="1163" t="e">
        <f t="shared" si="169"/>
        <v>#VALUE!</v>
      </c>
      <c r="AD340" s="1162" t="e">
        <f t="shared" si="170"/>
        <v>#VALUE!</v>
      </c>
      <c r="AE340" s="1162">
        <f t="shared" si="171"/>
        <v>0</v>
      </c>
      <c r="AF340" s="1129">
        <f>IF(H340&gt;8,tab!$D$65,tab!$D$67)</f>
        <v>0.5</v>
      </c>
      <c r="AG340" s="1143">
        <f t="shared" si="182"/>
        <v>0</v>
      </c>
      <c r="AH340" s="1159">
        <f t="shared" si="183"/>
        <v>0</v>
      </c>
      <c r="AI340" s="1142" t="e">
        <f>DATE(YEAR(tab!$I$3),MONTH(G340),DAY(G340))&gt;tab!$I$3</f>
        <v>#VALUE!</v>
      </c>
      <c r="AJ340" s="1142" t="e">
        <f t="shared" si="184"/>
        <v>#VALUE!</v>
      </c>
      <c r="AK340" s="1096">
        <f t="shared" si="185"/>
        <v>30</v>
      </c>
      <c r="AL340" s="1096">
        <f t="shared" si="186"/>
        <v>30</v>
      </c>
      <c r="AM340" s="1143">
        <f t="shared" si="187"/>
        <v>0</v>
      </c>
    </row>
    <row r="341" spans="3:39" x14ac:dyDescent="0.2">
      <c r="C341" s="98"/>
      <c r="D341" s="227"/>
      <c r="E341" s="436"/>
      <c r="F341" s="436"/>
      <c r="G341" s="437"/>
      <c r="H341" s="436"/>
      <c r="I341" s="438"/>
      <c r="J341" s="953">
        <f>SUM(J286:J340)</f>
        <v>1</v>
      </c>
      <c r="K341" s="1195"/>
      <c r="L341" s="1161">
        <f>SUM(L286:L340)</f>
        <v>0</v>
      </c>
      <c r="M341" s="1161">
        <f>SUM(M286:M340)</f>
        <v>0</v>
      </c>
      <c r="N341" s="1161">
        <f>SUM(N286:N340)</f>
        <v>40</v>
      </c>
      <c r="O341" s="1161">
        <f t="shared" ref="O341:P341" si="189">SUM(O286:O340)</f>
        <v>0</v>
      </c>
      <c r="P341" s="1161">
        <f t="shared" si="189"/>
        <v>40</v>
      </c>
      <c r="Q341" s="227"/>
      <c r="R341" s="954">
        <f t="shared" ref="R341" si="190">SUM(R286:R340)</f>
        <v>98688.618878842681</v>
      </c>
      <c r="S341" s="954">
        <f t="shared" ref="S341:T341" si="191">SUM(S286:S340)</f>
        <v>2438.2611211573239</v>
      </c>
      <c r="T341" s="954">
        <f t="shared" si="191"/>
        <v>101126.88</v>
      </c>
      <c r="U341" s="106"/>
      <c r="Y341" s="1121" t="e">
        <f>SUM(Y286:Y340)</f>
        <v>#VALUE!</v>
      </c>
      <c r="AA341" s="1121"/>
      <c r="AB341" s="1121" t="e">
        <f t="shared" ref="AB341" si="192">SUM(AB286:AB340)</f>
        <v>#VALUE!</v>
      </c>
      <c r="AC341" s="1121"/>
      <c r="AF341" s="1145"/>
      <c r="AG341" s="1146">
        <f>SUM(AG286:AG340)</f>
        <v>0</v>
      </c>
      <c r="AH341" s="1155">
        <f>SUM(AH286:AH340)</f>
        <v>0</v>
      </c>
      <c r="AI341" s="1144"/>
      <c r="AJ341" s="1144"/>
    </row>
    <row r="342" spans="3:39" x14ac:dyDescent="0.2">
      <c r="H342" s="174"/>
      <c r="K342" s="1196"/>
      <c r="Q342" s="281"/>
      <c r="R342" s="439"/>
      <c r="S342" s="416"/>
      <c r="Y342" s="1093"/>
      <c r="AA342" s="1121"/>
      <c r="AB342" s="1121"/>
      <c r="AC342" s="1121"/>
      <c r="AF342" s="1145"/>
      <c r="AG342" s="1146"/>
      <c r="AH342" s="1155"/>
    </row>
  </sheetData>
  <sheetProtection algorithmName="SHA-512" hashValue="sIdlTImWt8AUzrBE4wXtbhOKhWBibv27TYW4cZOFGlK72iD1bZXbAeQY+e0IFJ9b4zIfoJ65ityRMSrTHH0B1w==" saltValue="O5ZLi2w0R9KOHSg3kh9yDw==" spinCount="100000" sheet="1" objects="1" scenarios="1"/>
  <phoneticPr fontId="0" type="noConversion"/>
  <dataValidations count="2">
    <dataValidation type="list" allowBlank="1" showInputMessage="1" showErrorMessage="1" sqref="H286:H340 H73:H78 H219:H273 H84:H138 H152:H206 H16:H70">
      <formula1>"LA,LB,LC,LD,LE"</formula1>
    </dataValidation>
    <dataValidation type="whole" allowBlank="1" showInputMessage="1" showErrorMessage="1" sqref="I16:I70">
      <formula1>1</formula1>
      <formula2>16</formula2>
    </dataValidation>
  </dataValidations>
  <pageMargins left="0.74803149606299213" right="0.74803149606299213" top="0.98425196850393704" bottom="0.98425196850393704" header="0.51181102362204722" footer="0.51181102362204722"/>
  <pageSetup paperSize="9" scale="50" orientation="portrait" r:id="rId1"/>
  <headerFooter alignWithMargins="0">
    <oddHeader>&amp;L&amp;"Arial,Vet"&amp;F&amp;R&amp;"Arial,Vet"&amp;A</oddHeader>
    <oddFooter>&amp;L&amp;"Arial,Vet"PO-Raad&amp;C&amp;"Arial,Vet"&amp;D&amp;R&amp;"Arial,Vet"pagina &amp;P</oddFooter>
  </headerFooter>
  <rowBreaks count="1" manualBreakCount="1">
    <brk id="73" min="1" max="36"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8">
    <pageSetUpPr fitToPage="1"/>
  </sheetPr>
  <dimension ref="B1:AR166"/>
  <sheetViews>
    <sheetView showGridLines="0" zoomScale="85" zoomScaleNormal="85" workbookViewId="0">
      <pane ySplit="15" topLeftCell="A16" activePane="bottomLeft" state="frozen"/>
      <selection activeCell="B2" sqref="B2"/>
      <selection pane="bottomLeft" activeCell="B2" sqref="B2"/>
    </sheetView>
  </sheetViews>
  <sheetFormatPr defaultColWidth="9.140625" defaultRowHeight="12.75" x14ac:dyDescent="0.2"/>
  <cols>
    <col min="1" max="1" width="3.7109375" style="68" customWidth="1"/>
    <col min="2" max="3" width="2.7109375" style="68" customWidth="1"/>
    <col min="4" max="4" width="8.7109375" style="281" customWidth="1"/>
    <col min="5" max="5" width="21.5703125" style="281" customWidth="1"/>
    <col min="6" max="6" width="8.7109375" style="174" customWidth="1"/>
    <col min="7" max="7" width="8.7109375" style="282" customWidth="1"/>
    <col min="8" max="9" width="8.7109375" style="283" customWidth="1"/>
    <col min="10" max="10" width="8.7109375" style="284" customWidth="1"/>
    <col min="11" max="11" width="0.85546875" style="68" customWidth="1"/>
    <col min="12" max="16" width="10.85546875" style="283" customWidth="1"/>
    <col min="17" max="17" width="0.85546875" style="68" customWidth="1"/>
    <col min="18" max="18" width="10.85546875" style="458" customWidth="1"/>
    <col min="19" max="19" width="10.85546875" style="68" customWidth="1"/>
    <col min="20" max="20" width="10.85546875" style="416" customWidth="1"/>
    <col min="21" max="21" width="3" style="68" customWidth="1"/>
    <col min="22" max="22" width="2.7109375" style="68" customWidth="1"/>
    <col min="23" max="24" width="20.7109375" style="68" customWidth="1"/>
    <col min="25" max="25" width="9.7109375" style="1092" customWidth="1"/>
    <col min="26" max="29" width="10.85546875" style="174" customWidth="1"/>
    <col min="30" max="31" width="8.7109375" style="1093" customWidth="1"/>
    <col min="32" max="32" width="9.7109375" style="1094" customWidth="1"/>
    <col min="33" max="33" width="8.7109375" style="1132" customWidth="1"/>
    <col min="34" max="34" width="8.7109375" style="1154" customWidth="1"/>
    <col min="35" max="38" width="8.7109375" style="68" customWidth="1"/>
    <col min="39" max="39" width="1.5703125" style="68" customWidth="1"/>
    <col min="40" max="40" width="12.7109375" style="68" customWidth="1"/>
    <col min="41" max="41" width="12.7109375" style="174" customWidth="1"/>
    <col min="42" max="42" width="12.7109375" style="288" customWidth="1"/>
    <col min="43" max="43" width="12.7109375" style="68" customWidth="1"/>
    <col min="44" max="44" width="1.5703125" style="68" customWidth="1"/>
    <col min="45" max="46" width="10.7109375" style="68" customWidth="1"/>
    <col min="47" max="48" width="2.7109375" style="68" customWidth="1"/>
    <col min="49" max="54" width="9.28515625" style="68" bestFit="1" customWidth="1"/>
    <col min="55" max="16384" width="9.140625" style="68"/>
  </cols>
  <sheetData>
    <row r="1" spans="2:44" ht="12.75" customHeight="1" x14ac:dyDescent="0.2"/>
    <row r="2" spans="2:44" x14ac:dyDescent="0.2">
      <c r="B2" s="63"/>
      <c r="C2" s="64"/>
      <c r="D2" s="290"/>
      <c r="E2" s="290"/>
      <c r="F2" s="175"/>
      <c r="G2" s="291"/>
      <c r="H2" s="292"/>
      <c r="I2" s="292"/>
      <c r="J2" s="293"/>
      <c r="K2" s="64"/>
      <c r="L2" s="292"/>
      <c r="M2" s="292"/>
      <c r="N2" s="292"/>
      <c r="O2" s="292"/>
      <c r="P2" s="292"/>
      <c r="Q2" s="64"/>
      <c r="R2" s="459"/>
      <c r="S2" s="64"/>
      <c r="T2" s="774"/>
      <c r="U2" s="64"/>
      <c r="V2" s="67"/>
    </row>
    <row r="3" spans="2:44" x14ac:dyDescent="0.2">
      <c r="B3" s="69"/>
      <c r="C3" s="70"/>
      <c r="D3" s="234"/>
      <c r="E3" s="234"/>
      <c r="F3" s="176"/>
      <c r="G3" s="297"/>
      <c r="H3" s="298"/>
      <c r="I3" s="298"/>
      <c r="J3" s="299"/>
      <c r="K3" s="70"/>
      <c r="L3" s="298"/>
      <c r="M3" s="298"/>
      <c r="N3" s="298"/>
      <c r="O3" s="298"/>
      <c r="P3" s="298"/>
      <c r="Q3" s="70"/>
      <c r="R3" s="460"/>
      <c r="S3" s="70"/>
      <c r="T3" s="396"/>
      <c r="U3" s="70"/>
      <c r="V3" s="73"/>
    </row>
    <row r="4" spans="2:44" s="302" customFormat="1" ht="18.75" x14ac:dyDescent="0.3">
      <c r="B4" s="303"/>
      <c r="C4" s="858" t="s">
        <v>514</v>
      </c>
      <c r="D4" s="310"/>
      <c r="E4" s="310"/>
      <c r="F4" s="306"/>
      <c r="G4" s="307"/>
      <c r="H4" s="308"/>
      <c r="I4" s="308"/>
      <c r="J4" s="309"/>
      <c r="K4" s="310"/>
      <c r="L4" s="308"/>
      <c r="M4" s="308"/>
      <c r="N4" s="308"/>
      <c r="O4" s="308"/>
      <c r="P4" s="308"/>
      <c r="Q4" s="310"/>
      <c r="R4" s="461"/>
      <c r="S4" s="310"/>
      <c r="T4" s="776"/>
      <c r="U4" s="310"/>
      <c r="V4" s="311"/>
      <c r="Y4" s="1122"/>
      <c r="Z4" s="1208"/>
      <c r="AA4" s="1208"/>
      <c r="AB4" s="1208"/>
      <c r="AC4" s="1208"/>
      <c r="AD4" s="1099"/>
      <c r="AE4" s="1099"/>
      <c r="AF4" s="1102"/>
      <c r="AG4" s="1135"/>
      <c r="AH4" s="1157"/>
      <c r="AI4" s="312"/>
      <c r="AJ4" s="312"/>
      <c r="AK4" s="312"/>
      <c r="AL4" s="313"/>
      <c r="AM4" s="314"/>
      <c r="AN4" s="315"/>
      <c r="AO4" s="316"/>
      <c r="AP4" s="313"/>
    </row>
    <row r="5" spans="2:44" s="317" customFormat="1" ht="18.75" x14ac:dyDescent="0.3">
      <c r="B5" s="318"/>
      <c r="C5" s="319" t="str">
        <f>geg!G12</f>
        <v>Basisschool</v>
      </c>
      <c r="D5" s="326"/>
      <c r="E5" s="326"/>
      <c r="F5" s="322"/>
      <c r="G5" s="323"/>
      <c r="H5" s="324"/>
      <c r="I5" s="324"/>
      <c r="J5" s="325"/>
      <c r="K5" s="326"/>
      <c r="L5" s="324"/>
      <c r="M5" s="324"/>
      <c r="N5" s="324"/>
      <c r="O5" s="324"/>
      <c r="P5" s="324"/>
      <c r="Q5" s="326"/>
      <c r="R5" s="461"/>
      <c r="S5" s="326"/>
      <c r="T5" s="776"/>
      <c r="U5" s="326"/>
      <c r="V5" s="327"/>
      <c r="Y5" s="1122"/>
      <c r="Z5" s="1209"/>
      <c r="AA5" s="1209"/>
      <c r="AB5" s="1209"/>
      <c r="AC5" s="1209"/>
      <c r="AD5" s="1099"/>
      <c r="AE5" s="1099"/>
      <c r="AF5" s="1102"/>
      <c r="AG5" s="1135"/>
      <c r="AH5" s="1157"/>
      <c r="AI5" s="328"/>
      <c r="AJ5" s="328"/>
      <c r="AK5" s="328"/>
      <c r="AL5" s="329"/>
      <c r="AM5" s="330"/>
      <c r="AN5" s="331"/>
      <c r="AO5" s="332"/>
      <c r="AP5" s="329"/>
    </row>
    <row r="6" spans="2:44" ht="12.75" customHeight="1" x14ac:dyDescent="0.2">
      <c r="B6" s="69"/>
      <c r="C6" s="70"/>
      <c r="D6" s="70"/>
      <c r="E6" s="70"/>
      <c r="F6" s="176"/>
      <c r="G6" s="297"/>
      <c r="H6" s="298"/>
      <c r="I6" s="298"/>
      <c r="J6" s="299"/>
      <c r="K6" s="70"/>
      <c r="L6" s="298"/>
      <c r="M6" s="298"/>
      <c r="N6" s="298"/>
      <c r="O6" s="298"/>
      <c r="P6" s="298"/>
      <c r="Q6" s="70"/>
      <c r="R6" s="460"/>
      <c r="S6" s="70"/>
      <c r="T6" s="396"/>
      <c r="U6" s="70"/>
      <c r="V6" s="73"/>
      <c r="AI6" s="333"/>
      <c r="AJ6" s="333"/>
      <c r="AK6" s="333"/>
      <c r="AL6" s="284"/>
      <c r="AM6" s="283"/>
      <c r="AN6" s="285"/>
      <c r="AO6" s="334"/>
      <c r="AP6" s="284"/>
    </row>
    <row r="7" spans="2:44" ht="12.75" customHeight="1" x14ac:dyDescent="0.2">
      <c r="B7" s="69"/>
      <c r="C7" s="70"/>
      <c r="D7" s="70"/>
      <c r="E7" s="70"/>
      <c r="F7" s="176"/>
      <c r="G7" s="297"/>
      <c r="H7" s="298"/>
      <c r="I7" s="298"/>
      <c r="J7" s="299"/>
      <c r="K7" s="70"/>
      <c r="L7" s="298"/>
      <c r="M7" s="298"/>
      <c r="N7" s="298"/>
      <c r="O7" s="298"/>
      <c r="P7" s="298"/>
      <c r="Q7" s="70"/>
      <c r="R7" s="460"/>
      <c r="S7" s="70"/>
      <c r="T7" s="396"/>
      <c r="U7" s="70"/>
      <c r="V7" s="73"/>
      <c r="AI7" s="333"/>
      <c r="AJ7" s="333"/>
      <c r="AK7" s="333"/>
      <c r="AL7" s="284"/>
      <c r="AM7" s="283"/>
      <c r="AN7" s="285"/>
      <c r="AO7" s="334"/>
      <c r="AP7" s="284"/>
    </row>
    <row r="8" spans="2:44" s="335" customFormat="1" ht="12.75" customHeight="1" x14ac:dyDescent="0.25">
      <c r="B8" s="336"/>
      <c r="C8" s="70" t="s">
        <v>195</v>
      </c>
      <c r="D8" s="234"/>
      <c r="E8" s="350" t="str">
        <f>op!E8</f>
        <v>2015/16</v>
      </c>
      <c r="F8" s="340"/>
      <c r="G8" s="341"/>
      <c r="H8" s="342"/>
      <c r="I8" s="342"/>
      <c r="J8" s="343"/>
      <c r="K8" s="337"/>
      <c r="L8" s="342"/>
      <c r="M8" s="342"/>
      <c r="N8" s="342"/>
      <c r="O8" s="342"/>
      <c r="P8" s="342"/>
      <c r="Q8" s="337"/>
      <c r="R8" s="462"/>
      <c r="S8" s="337"/>
      <c r="T8" s="777"/>
      <c r="U8" s="337"/>
      <c r="V8" s="344"/>
      <c r="Y8" s="1123"/>
      <c r="Z8" s="1210"/>
      <c r="AA8" s="1210"/>
      <c r="AB8" s="1210"/>
      <c r="AC8" s="1210"/>
      <c r="AD8" s="1109"/>
      <c r="AE8" s="1109"/>
      <c r="AF8" s="1112"/>
      <c r="AG8" s="1139"/>
      <c r="AH8" s="1158"/>
      <c r="AI8" s="345"/>
      <c r="AJ8" s="345"/>
      <c r="AK8" s="345"/>
      <c r="AL8" s="346"/>
      <c r="AM8" s="347"/>
      <c r="AN8" s="348"/>
      <c r="AO8" s="349"/>
      <c r="AP8" s="346"/>
    </row>
    <row r="9" spans="2:44" ht="12.75" customHeight="1" x14ac:dyDescent="0.2">
      <c r="B9" s="69"/>
      <c r="C9" s="70" t="s">
        <v>217</v>
      </c>
      <c r="D9" s="234"/>
      <c r="E9" s="350">
        <f>op!E9</f>
        <v>42278</v>
      </c>
      <c r="F9" s="72"/>
      <c r="G9" s="352"/>
      <c r="H9" s="298"/>
      <c r="I9" s="298"/>
      <c r="J9" s="299"/>
      <c r="K9" s="70"/>
      <c r="L9" s="298"/>
      <c r="M9" s="298"/>
      <c r="N9" s="298"/>
      <c r="O9" s="298"/>
      <c r="P9" s="298"/>
      <c r="Q9" s="70"/>
      <c r="R9" s="460"/>
      <c r="S9" s="70"/>
      <c r="T9" s="396"/>
      <c r="U9" s="70"/>
      <c r="V9" s="73"/>
      <c r="AI9" s="333"/>
      <c r="AJ9" s="333"/>
      <c r="AK9" s="333"/>
      <c r="AL9" s="284"/>
      <c r="AM9" s="283"/>
      <c r="AN9" s="285"/>
      <c r="AO9" s="334"/>
      <c r="AP9" s="284"/>
    </row>
    <row r="10" spans="2:44" ht="12.75" customHeight="1" x14ac:dyDescent="0.25">
      <c r="B10" s="69"/>
      <c r="C10" s="70"/>
      <c r="D10" s="430"/>
      <c r="E10" s="431"/>
      <c r="F10" s="72"/>
      <c r="G10" s="352"/>
      <c r="H10" s="298"/>
      <c r="I10" s="298"/>
      <c r="J10" s="299"/>
      <c r="K10" s="70"/>
      <c r="L10" s="298"/>
      <c r="M10" s="298"/>
      <c r="N10" s="298"/>
      <c r="O10" s="298"/>
      <c r="P10" s="298"/>
      <c r="Q10" s="70"/>
      <c r="R10" s="460"/>
      <c r="S10" s="70"/>
      <c r="T10" s="396"/>
      <c r="U10" s="70"/>
      <c r="V10" s="73"/>
      <c r="AI10" s="333"/>
      <c r="AJ10" s="333"/>
      <c r="AK10" s="333"/>
      <c r="AL10" s="284"/>
      <c r="AM10" s="283"/>
      <c r="AN10" s="285"/>
      <c r="AO10" s="334"/>
      <c r="AP10" s="284"/>
    </row>
    <row r="11" spans="2:44" ht="12.75" customHeight="1" x14ac:dyDescent="0.2">
      <c r="B11" s="69"/>
      <c r="C11" s="955"/>
      <c r="D11" s="921"/>
      <c r="E11" s="920"/>
      <c r="F11" s="900"/>
      <c r="G11" s="922"/>
      <c r="H11" s="923"/>
      <c r="I11" s="923"/>
      <c r="J11" s="924"/>
      <c r="K11" s="925"/>
      <c r="L11" s="923"/>
      <c r="M11" s="923"/>
      <c r="N11" s="923"/>
      <c r="O11" s="923"/>
      <c r="P11" s="923"/>
      <c r="Q11" s="925"/>
      <c r="R11" s="925"/>
      <c r="S11" s="925"/>
      <c r="T11" s="778"/>
      <c r="U11" s="161"/>
      <c r="V11" s="73"/>
      <c r="Z11" s="905"/>
      <c r="AA11" s="905"/>
      <c r="AB11" s="905"/>
      <c r="AC11" s="905"/>
      <c r="AI11" s="333"/>
      <c r="AJ11" s="333"/>
      <c r="AK11" s="333"/>
      <c r="AL11" s="284"/>
      <c r="AM11" s="283"/>
      <c r="AN11" s="285"/>
      <c r="AO11" s="334"/>
      <c r="AP11" s="284"/>
    </row>
    <row r="12" spans="2:44" s="106" customFormat="1" ht="12.75" customHeight="1" x14ac:dyDescent="0.2">
      <c r="B12" s="102"/>
      <c r="C12" s="956"/>
      <c r="D12" s="1074" t="s">
        <v>335</v>
      </c>
      <c r="E12" s="1075"/>
      <c r="F12" s="1075"/>
      <c r="G12" s="1075"/>
      <c r="H12" s="1076"/>
      <c r="I12" s="1076"/>
      <c r="J12" s="1076"/>
      <c r="K12" s="1191"/>
      <c r="L12" s="1074" t="s">
        <v>561</v>
      </c>
      <c r="M12" s="1064"/>
      <c r="N12" s="1074"/>
      <c r="O12" s="1074"/>
      <c r="P12" s="1170"/>
      <c r="Q12" s="927"/>
      <c r="R12" s="1074" t="s">
        <v>563</v>
      </c>
      <c r="S12" s="1076"/>
      <c r="T12" s="1153"/>
      <c r="U12" s="944"/>
      <c r="V12" s="364"/>
      <c r="W12" s="365"/>
      <c r="X12" s="365"/>
      <c r="Y12" s="1094"/>
      <c r="Z12" s="1126"/>
      <c r="AA12" s="1094"/>
      <c r="AB12" s="1094"/>
      <c r="AC12" s="1094"/>
      <c r="AD12" s="1125"/>
      <c r="AE12" s="1125"/>
      <c r="AF12" s="1126"/>
      <c r="AG12" s="1151"/>
      <c r="AH12" s="1160"/>
      <c r="AI12" s="1141"/>
      <c r="AJ12" s="1141"/>
      <c r="AK12" s="1141"/>
      <c r="AL12" s="1141"/>
      <c r="AM12" s="1141"/>
      <c r="AQ12" s="365"/>
      <c r="AR12" s="365"/>
    </row>
    <row r="13" spans="2:44" s="106" customFormat="1" ht="12.75" customHeight="1" x14ac:dyDescent="0.2">
      <c r="B13" s="102"/>
      <c r="C13" s="956"/>
      <c r="D13" s="886" t="s">
        <v>549</v>
      </c>
      <c r="E13" s="886" t="s">
        <v>201</v>
      </c>
      <c r="F13" s="929" t="s">
        <v>147</v>
      </c>
      <c r="G13" s="930" t="s">
        <v>325</v>
      </c>
      <c r="H13" s="929" t="s">
        <v>231</v>
      </c>
      <c r="I13" s="929" t="s">
        <v>262</v>
      </c>
      <c r="J13" s="931" t="s">
        <v>150</v>
      </c>
      <c r="K13" s="1192"/>
      <c r="L13" s="932" t="s">
        <v>544</v>
      </c>
      <c r="M13" s="932" t="s">
        <v>537</v>
      </c>
      <c r="N13" s="932" t="s">
        <v>551</v>
      </c>
      <c r="O13" s="932" t="s">
        <v>544</v>
      </c>
      <c r="P13" s="1171" t="s">
        <v>556</v>
      </c>
      <c r="Q13" s="898"/>
      <c r="R13" s="1073" t="s">
        <v>216</v>
      </c>
      <c r="S13" s="934" t="s">
        <v>562</v>
      </c>
      <c r="T13" s="935" t="s">
        <v>216</v>
      </c>
      <c r="U13" s="945"/>
      <c r="V13" s="368"/>
      <c r="W13" s="369"/>
      <c r="X13" s="369"/>
      <c r="Y13" s="1127" t="s">
        <v>361</v>
      </c>
      <c r="Z13" s="1182" t="s">
        <v>548</v>
      </c>
      <c r="AA13" s="1115" t="s">
        <v>557</v>
      </c>
      <c r="AB13" s="1115" t="s">
        <v>557</v>
      </c>
      <c r="AC13" s="1115" t="s">
        <v>560</v>
      </c>
      <c r="AD13" s="1128" t="s">
        <v>542</v>
      </c>
      <c r="AE13" s="1128" t="s">
        <v>543</v>
      </c>
      <c r="AF13" s="1114" t="s">
        <v>539</v>
      </c>
      <c r="AG13" s="1152" t="s">
        <v>343</v>
      </c>
      <c r="AH13" s="1160" t="s">
        <v>468</v>
      </c>
      <c r="AI13" s="1114" t="s">
        <v>328</v>
      </c>
      <c r="AJ13" s="1114" t="s">
        <v>329</v>
      </c>
      <c r="AK13" s="1114" t="s">
        <v>149</v>
      </c>
      <c r="AL13" s="1114" t="s">
        <v>228</v>
      </c>
      <c r="AM13" s="1128" t="s">
        <v>203</v>
      </c>
      <c r="AQ13" s="365"/>
      <c r="AR13" s="369"/>
    </row>
    <row r="14" spans="2:44" s="106" customFormat="1" ht="12.75" customHeight="1" x14ac:dyDescent="0.2">
      <c r="B14" s="102"/>
      <c r="C14" s="956"/>
      <c r="D14" s="1075"/>
      <c r="E14" s="886"/>
      <c r="F14" s="929" t="s">
        <v>148</v>
      </c>
      <c r="G14" s="930" t="s">
        <v>326</v>
      </c>
      <c r="H14" s="929"/>
      <c r="I14" s="929"/>
      <c r="J14" s="931"/>
      <c r="K14" s="1192"/>
      <c r="L14" s="932" t="s">
        <v>545</v>
      </c>
      <c r="M14" s="932" t="s">
        <v>547</v>
      </c>
      <c r="N14" s="932" t="s">
        <v>552</v>
      </c>
      <c r="O14" s="932" t="s">
        <v>546</v>
      </c>
      <c r="P14" s="1171" t="s">
        <v>320</v>
      </c>
      <c r="Q14" s="898"/>
      <c r="R14" s="902" t="s">
        <v>554</v>
      </c>
      <c r="S14" s="934" t="s">
        <v>538</v>
      </c>
      <c r="T14" s="935" t="s">
        <v>320</v>
      </c>
      <c r="U14" s="906"/>
      <c r="V14" s="78"/>
      <c r="Y14" s="1127" t="s">
        <v>223</v>
      </c>
      <c r="Z14" s="1183">
        <f>tab!$D$64</f>
        <v>0.62</v>
      </c>
      <c r="AA14" s="1115" t="s">
        <v>558</v>
      </c>
      <c r="AB14" s="1115" t="s">
        <v>559</v>
      </c>
      <c r="AC14" s="1115" t="s">
        <v>555</v>
      </c>
      <c r="AD14" s="1128" t="s">
        <v>541</v>
      </c>
      <c r="AE14" s="1128" t="s">
        <v>541</v>
      </c>
      <c r="AF14" s="1114" t="s">
        <v>540</v>
      </c>
      <c r="AG14" s="1152"/>
      <c r="AH14" s="1159" t="s">
        <v>261</v>
      </c>
      <c r="AI14" s="1128" t="s">
        <v>327</v>
      </c>
      <c r="AJ14" s="1128" t="s">
        <v>327</v>
      </c>
      <c r="AK14" s="1114"/>
      <c r="AL14" s="1114" t="s">
        <v>203</v>
      </c>
      <c r="AM14" s="1128"/>
      <c r="AR14" s="434"/>
    </row>
    <row r="15" spans="2:44" ht="12.75" customHeight="1" x14ac:dyDescent="0.2">
      <c r="B15" s="69"/>
      <c r="C15" s="956"/>
      <c r="D15" s="1075"/>
      <c r="E15" s="1075"/>
      <c r="F15" s="899"/>
      <c r="G15" s="946"/>
      <c r="H15" s="929"/>
      <c r="I15" s="929"/>
      <c r="J15" s="931"/>
      <c r="K15" s="933"/>
      <c r="L15" s="932"/>
      <c r="M15" s="932"/>
      <c r="N15" s="932"/>
      <c r="O15" s="932"/>
      <c r="P15" s="932"/>
      <c r="Q15" s="933"/>
      <c r="R15" s="947"/>
      <c r="S15" s="947"/>
      <c r="T15" s="465"/>
      <c r="U15" s="435"/>
      <c r="V15" s="73"/>
      <c r="Y15" s="1127"/>
      <c r="Z15" s="1206"/>
      <c r="AA15" s="1206"/>
      <c r="AB15" s="1206"/>
      <c r="AC15" s="1206"/>
      <c r="AD15" s="1128"/>
      <c r="AE15" s="1128"/>
      <c r="AF15" s="1113"/>
      <c r="AG15" s="1152"/>
      <c r="AH15" s="1159"/>
      <c r="AO15" s="68"/>
      <c r="AP15" s="68"/>
      <c r="AR15" s="375"/>
    </row>
    <row r="16" spans="2:44" ht="12.75" customHeight="1" x14ac:dyDescent="0.2">
      <c r="B16" s="69"/>
      <c r="C16" s="90"/>
      <c r="D16" s="97"/>
      <c r="E16" s="97" t="s">
        <v>521</v>
      </c>
      <c r="F16" s="114">
        <v>40</v>
      </c>
      <c r="G16" s="377"/>
      <c r="H16" s="114">
        <v>8</v>
      </c>
      <c r="I16" s="129">
        <v>8</v>
      </c>
      <c r="J16" s="378">
        <v>1</v>
      </c>
      <c r="K16" s="392"/>
      <c r="L16" s="1078"/>
      <c r="M16" s="1078"/>
      <c r="N16" s="1077">
        <f t="shared" ref="N16:N35" si="0">IF(J16="","",IF((J16*40)&gt;40,40,((J16*40))))</f>
        <v>40</v>
      </c>
      <c r="O16" s="1077"/>
      <c r="P16" s="1172">
        <f>IF(J16="","",(SUM(L16:O16)))</f>
        <v>40</v>
      </c>
      <c r="Q16" s="91"/>
      <c r="R16" s="936">
        <f>IF(J16="","",(((1659*J16)-P16)*AB16))</f>
        <v>50956.868571428575</v>
      </c>
      <c r="S16" s="936">
        <f>IF(J16="","",(P16*AC16)+(AA16*AD16)+((AE16*AA16*(1-AF16))))</f>
        <v>1258.9714285714288</v>
      </c>
      <c r="T16" s="937">
        <f>IF(J16="","",(R16+S16))</f>
        <v>52215.840000000004</v>
      </c>
      <c r="U16" s="361"/>
      <c r="V16" s="381"/>
      <c r="W16" s="375"/>
      <c r="X16" s="375"/>
      <c r="Y16" s="1120">
        <f>VLOOKUP(H16,tab!$A$73:$V$114,I16+2,FALSE)</f>
        <v>2686</v>
      </c>
      <c r="Z16" s="1211">
        <f>tab!$D$64</f>
        <v>0.62</v>
      </c>
      <c r="AA16" s="1163">
        <f>(Y16*12/1659)</f>
        <v>19.428571428571427</v>
      </c>
      <c r="AB16" s="1163">
        <f>(Y16*12*(1+Z16))/1659</f>
        <v>31.474285714285717</v>
      </c>
      <c r="AC16" s="1163">
        <f>AB16-AA16</f>
        <v>12.04571428571429</v>
      </c>
      <c r="AD16" s="1162">
        <f>(N16+O16)</f>
        <v>40</v>
      </c>
      <c r="AE16" s="1162">
        <f>(L16+M16)</f>
        <v>0</v>
      </c>
      <c r="AF16" s="1129">
        <f>IF(H16&gt;8,tab!$D$65,tab!$D$67)</f>
        <v>0.4</v>
      </c>
      <c r="AG16" s="1143">
        <f t="shared" ref="AG16:AG35" si="1">IF(F16&lt;25,0,IF(F16=25,25,IF(F16&lt;40,0,IF(F16=40,40,IF(F16&gt;=40,0)))))</f>
        <v>40</v>
      </c>
      <c r="AH16" s="1159">
        <f t="shared" ref="AH16:AH35" si="2">IF(AG16=25,(Y16*1.08*(J16)/2),IF(AG16=40,(Y16*1.08*(J16)),IF(AG16=0,0)))</f>
        <v>2900.88</v>
      </c>
    </row>
    <row r="17" spans="2:34" ht="12.75" customHeight="1" x14ac:dyDescent="0.2">
      <c r="B17" s="69"/>
      <c r="C17" s="90"/>
      <c r="D17" s="97"/>
      <c r="E17" s="97"/>
      <c r="F17" s="114"/>
      <c r="G17" s="377"/>
      <c r="H17" s="114"/>
      <c r="I17" s="129"/>
      <c r="J17" s="378"/>
      <c r="K17" s="392"/>
      <c r="L17" s="1078"/>
      <c r="M17" s="1078"/>
      <c r="N17" s="1077" t="str">
        <f t="shared" si="0"/>
        <v/>
      </c>
      <c r="O17" s="1077"/>
      <c r="P17" s="1172" t="str">
        <f t="shared" ref="P17:P35" si="3">IF(J17="","",(SUM(L17:O17)))</f>
        <v/>
      </c>
      <c r="Q17" s="91"/>
      <c r="R17" s="936" t="str">
        <f t="shared" ref="R17:R35" si="4">IF(J17="","",(((1659*J17)-P17)*AB17))</f>
        <v/>
      </c>
      <c r="S17" s="936" t="str">
        <f t="shared" ref="S17:S35" si="5">IF(J17="","",(P17*AC17)+(AA17*AD17)+((AE17*AA17*(1-AF17))))</f>
        <v/>
      </c>
      <c r="T17" s="937" t="str">
        <f t="shared" ref="T17:T35" si="6">IF(J17="","",(R17+S17))</f>
        <v/>
      </c>
      <c r="U17" s="361"/>
      <c r="V17" s="381"/>
      <c r="W17" s="375"/>
      <c r="X17" s="375"/>
      <c r="Y17" s="1120" t="e">
        <f>VLOOKUP(H17,tab!$A$73:$V$114,I17+2,FALSE)</f>
        <v>#N/A</v>
      </c>
      <c r="Z17" s="1211">
        <f>tab!$D$64</f>
        <v>0.62</v>
      </c>
      <c r="AA17" s="1163" t="e">
        <f t="shared" ref="AA17:AA35" si="7">(Y17*12/1659)</f>
        <v>#N/A</v>
      </c>
      <c r="AB17" s="1163" t="e">
        <f t="shared" ref="AB17:AB35" si="8">(Y17*12*(1+Z17))/1659</f>
        <v>#N/A</v>
      </c>
      <c r="AC17" s="1163" t="e">
        <f t="shared" ref="AC17:AC35" si="9">AB17-AA17</f>
        <v>#N/A</v>
      </c>
      <c r="AD17" s="1162" t="e">
        <f t="shared" ref="AD17:AD35" si="10">(N17+O17)</f>
        <v>#VALUE!</v>
      </c>
      <c r="AE17" s="1162">
        <f t="shared" ref="AE17:AE35" si="11">(L17+M17)</f>
        <v>0</v>
      </c>
      <c r="AF17" s="1129">
        <f>IF(H17&gt;8,tab!$D$65,tab!$D$67)</f>
        <v>0.4</v>
      </c>
      <c r="AG17" s="1143">
        <f t="shared" si="1"/>
        <v>0</v>
      </c>
      <c r="AH17" s="1159">
        <f t="shared" si="2"/>
        <v>0</v>
      </c>
    </row>
    <row r="18" spans="2:34" ht="12.75" customHeight="1" x14ac:dyDescent="0.2">
      <c r="B18" s="69"/>
      <c r="C18" s="90"/>
      <c r="D18" s="97"/>
      <c r="E18" s="97"/>
      <c r="F18" s="114"/>
      <c r="G18" s="377"/>
      <c r="H18" s="114"/>
      <c r="I18" s="129"/>
      <c r="J18" s="378"/>
      <c r="K18" s="392"/>
      <c r="L18" s="1078"/>
      <c r="M18" s="1078"/>
      <c r="N18" s="1077" t="str">
        <f t="shared" si="0"/>
        <v/>
      </c>
      <c r="O18" s="1077"/>
      <c r="P18" s="1172" t="str">
        <f t="shared" si="3"/>
        <v/>
      </c>
      <c r="Q18" s="91"/>
      <c r="R18" s="936" t="str">
        <f t="shared" si="4"/>
        <v/>
      </c>
      <c r="S18" s="936" t="str">
        <f t="shared" si="5"/>
        <v/>
      </c>
      <c r="T18" s="937" t="str">
        <f t="shared" si="6"/>
        <v/>
      </c>
      <c r="U18" s="361"/>
      <c r="V18" s="381"/>
      <c r="W18" s="375"/>
      <c r="X18" s="375"/>
      <c r="Y18" s="1120" t="e">
        <f>VLOOKUP(H18,tab!$A$73:$V$114,I18+2,FALSE)</f>
        <v>#N/A</v>
      </c>
      <c r="Z18" s="1211">
        <f>tab!$D$64</f>
        <v>0.62</v>
      </c>
      <c r="AA18" s="1163" t="e">
        <f t="shared" si="7"/>
        <v>#N/A</v>
      </c>
      <c r="AB18" s="1163" t="e">
        <f t="shared" si="8"/>
        <v>#N/A</v>
      </c>
      <c r="AC18" s="1163" t="e">
        <f t="shared" si="9"/>
        <v>#N/A</v>
      </c>
      <c r="AD18" s="1162" t="e">
        <f t="shared" si="10"/>
        <v>#VALUE!</v>
      </c>
      <c r="AE18" s="1162">
        <f t="shared" si="11"/>
        <v>0</v>
      </c>
      <c r="AF18" s="1129">
        <f>IF(H18&gt;8,tab!$D$65,tab!$D$67)</f>
        <v>0.4</v>
      </c>
      <c r="AG18" s="1143">
        <f t="shared" si="1"/>
        <v>0</v>
      </c>
      <c r="AH18" s="1159">
        <f t="shared" si="2"/>
        <v>0</v>
      </c>
    </row>
    <row r="19" spans="2:34" ht="12.75" customHeight="1" x14ac:dyDescent="0.2">
      <c r="B19" s="69"/>
      <c r="C19" s="90"/>
      <c r="D19" s="97"/>
      <c r="E19" s="97"/>
      <c r="F19" s="114"/>
      <c r="G19" s="377"/>
      <c r="H19" s="114"/>
      <c r="I19" s="129"/>
      <c r="J19" s="378"/>
      <c r="K19" s="392"/>
      <c r="L19" s="1078"/>
      <c r="M19" s="1078"/>
      <c r="N19" s="1077" t="str">
        <f t="shared" si="0"/>
        <v/>
      </c>
      <c r="O19" s="1077"/>
      <c r="P19" s="1172" t="str">
        <f t="shared" si="3"/>
        <v/>
      </c>
      <c r="Q19" s="91"/>
      <c r="R19" s="936" t="str">
        <f t="shared" si="4"/>
        <v/>
      </c>
      <c r="S19" s="936" t="str">
        <f t="shared" si="5"/>
        <v/>
      </c>
      <c r="T19" s="937" t="str">
        <f t="shared" si="6"/>
        <v/>
      </c>
      <c r="U19" s="361"/>
      <c r="V19" s="381"/>
      <c r="W19" s="375"/>
      <c r="X19" s="375"/>
      <c r="Y19" s="1120" t="e">
        <f>VLOOKUP(H19,tab!$A$73:$V$114,I19+2,FALSE)</f>
        <v>#N/A</v>
      </c>
      <c r="Z19" s="1211">
        <f>tab!$D$64</f>
        <v>0.62</v>
      </c>
      <c r="AA19" s="1163" t="e">
        <f t="shared" si="7"/>
        <v>#N/A</v>
      </c>
      <c r="AB19" s="1163" t="e">
        <f t="shared" si="8"/>
        <v>#N/A</v>
      </c>
      <c r="AC19" s="1163" t="e">
        <f t="shared" si="9"/>
        <v>#N/A</v>
      </c>
      <c r="AD19" s="1162" t="e">
        <f t="shared" si="10"/>
        <v>#VALUE!</v>
      </c>
      <c r="AE19" s="1162">
        <f t="shared" si="11"/>
        <v>0</v>
      </c>
      <c r="AF19" s="1129">
        <f>IF(H19&gt;8,tab!$D$65,tab!$D$67)</f>
        <v>0.4</v>
      </c>
      <c r="AG19" s="1143">
        <f t="shared" si="1"/>
        <v>0</v>
      </c>
      <c r="AH19" s="1159">
        <f t="shared" si="2"/>
        <v>0</v>
      </c>
    </row>
    <row r="20" spans="2:34" ht="12.75" customHeight="1" x14ac:dyDescent="0.2">
      <c r="B20" s="69"/>
      <c r="C20" s="90"/>
      <c r="D20" s="97"/>
      <c r="E20" s="97"/>
      <c r="F20" s="114"/>
      <c r="G20" s="377"/>
      <c r="H20" s="114"/>
      <c r="I20" s="129"/>
      <c r="J20" s="378"/>
      <c r="K20" s="392"/>
      <c r="L20" s="1078"/>
      <c r="M20" s="1078"/>
      <c r="N20" s="1077" t="str">
        <f t="shared" si="0"/>
        <v/>
      </c>
      <c r="O20" s="1077"/>
      <c r="P20" s="1172" t="str">
        <f t="shared" si="3"/>
        <v/>
      </c>
      <c r="Q20" s="91"/>
      <c r="R20" s="936" t="str">
        <f t="shared" si="4"/>
        <v/>
      </c>
      <c r="S20" s="936" t="str">
        <f t="shared" si="5"/>
        <v/>
      </c>
      <c r="T20" s="937" t="str">
        <f t="shared" si="6"/>
        <v/>
      </c>
      <c r="U20" s="361"/>
      <c r="V20" s="381"/>
      <c r="W20" s="375"/>
      <c r="X20" s="375"/>
      <c r="Y20" s="1120" t="e">
        <f>VLOOKUP(H20,tab!$A$73:$V$114,I20+2,FALSE)</f>
        <v>#N/A</v>
      </c>
      <c r="Z20" s="1211">
        <f>tab!$D$64</f>
        <v>0.62</v>
      </c>
      <c r="AA20" s="1163" t="e">
        <f t="shared" si="7"/>
        <v>#N/A</v>
      </c>
      <c r="AB20" s="1163" t="e">
        <f t="shared" si="8"/>
        <v>#N/A</v>
      </c>
      <c r="AC20" s="1163" t="e">
        <f t="shared" si="9"/>
        <v>#N/A</v>
      </c>
      <c r="AD20" s="1162" t="e">
        <f t="shared" si="10"/>
        <v>#VALUE!</v>
      </c>
      <c r="AE20" s="1162">
        <f t="shared" si="11"/>
        <v>0</v>
      </c>
      <c r="AF20" s="1129">
        <f>IF(H20&gt;8,tab!$D$65,tab!$D$67)</f>
        <v>0.4</v>
      </c>
      <c r="AG20" s="1143">
        <f t="shared" si="1"/>
        <v>0</v>
      </c>
      <c r="AH20" s="1159">
        <f t="shared" si="2"/>
        <v>0</v>
      </c>
    </row>
    <row r="21" spans="2:34" ht="12.75" customHeight="1" x14ac:dyDescent="0.2">
      <c r="B21" s="69"/>
      <c r="C21" s="90"/>
      <c r="D21" s="97"/>
      <c r="E21" s="97"/>
      <c r="F21" s="114"/>
      <c r="G21" s="377"/>
      <c r="H21" s="114"/>
      <c r="I21" s="129"/>
      <c r="J21" s="378"/>
      <c r="K21" s="392"/>
      <c r="L21" s="1078"/>
      <c r="M21" s="1078"/>
      <c r="N21" s="1077" t="str">
        <f t="shared" si="0"/>
        <v/>
      </c>
      <c r="O21" s="1077"/>
      <c r="P21" s="1172" t="str">
        <f t="shared" si="3"/>
        <v/>
      </c>
      <c r="Q21" s="91"/>
      <c r="R21" s="936" t="str">
        <f t="shared" si="4"/>
        <v/>
      </c>
      <c r="S21" s="936" t="str">
        <f t="shared" si="5"/>
        <v/>
      </c>
      <c r="T21" s="937" t="str">
        <f t="shared" si="6"/>
        <v/>
      </c>
      <c r="U21" s="361"/>
      <c r="V21" s="381"/>
      <c r="W21" s="375"/>
      <c r="X21" s="375"/>
      <c r="Y21" s="1120" t="e">
        <f>VLOOKUP(H21,tab!$A$73:$V$114,I21+2,FALSE)</f>
        <v>#N/A</v>
      </c>
      <c r="Z21" s="1211">
        <f>tab!$D$64</f>
        <v>0.62</v>
      </c>
      <c r="AA21" s="1163" t="e">
        <f t="shared" si="7"/>
        <v>#N/A</v>
      </c>
      <c r="AB21" s="1163" t="e">
        <f t="shared" si="8"/>
        <v>#N/A</v>
      </c>
      <c r="AC21" s="1163" t="e">
        <f t="shared" si="9"/>
        <v>#N/A</v>
      </c>
      <c r="AD21" s="1162" t="e">
        <f t="shared" si="10"/>
        <v>#VALUE!</v>
      </c>
      <c r="AE21" s="1162">
        <f t="shared" si="11"/>
        <v>0</v>
      </c>
      <c r="AF21" s="1129">
        <f>IF(H21&gt;8,tab!$D$65,tab!$D$67)</f>
        <v>0.4</v>
      </c>
      <c r="AG21" s="1143">
        <f t="shared" si="1"/>
        <v>0</v>
      </c>
      <c r="AH21" s="1159">
        <f t="shared" si="2"/>
        <v>0</v>
      </c>
    </row>
    <row r="22" spans="2:34" ht="12.75" customHeight="1" x14ac:dyDescent="0.2">
      <c r="B22" s="69"/>
      <c r="C22" s="90"/>
      <c r="D22" s="97"/>
      <c r="E22" s="97"/>
      <c r="F22" s="114"/>
      <c r="G22" s="377"/>
      <c r="H22" s="114"/>
      <c r="I22" s="129"/>
      <c r="J22" s="378"/>
      <c r="K22" s="392"/>
      <c r="L22" s="1078"/>
      <c r="M22" s="1078"/>
      <c r="N22" s="1077" t="str">
        <f t="shared" si="0"/>
        <v/>
      </c>
      <c r="O22" s="1077"/>
      <c r="P22" s="1172" t="str">
        <f t="shared" si="3"/>
        <v/>
      </c>
      <c r="Q22" s="91"/>
      <c r="R22" s="936" t="str">
        <f t="shared" si="4"/>
        <v/>
      </c>
      <c r="S22" s="936" t="str">
        <f t="shared" si="5"/>
        <v/>
      </c>
      <c r="T22" s="937" t="str">
        <f t="shared" si="6"/>
        <v/>
      </c>
      <c r="U22" s="361"/>
      <c r="V22" s="381"/>
      <c r="W22" s="375"/>
      <c r="X22" s="375"/>
      <c r="Y22" s="1120" t="e">
        <f>VLOOKUP(H22,tab!$A$73:$V$114,I22+2,FALSE)</f>
        <v>#N/A</v>
      </c>
      <c r="Z22" s="1211">
        <f>tab!$D$64</f>
        <v>0.62</v>
      </c>
      <c r="AA22" s="1163" t="e">
        <f t="shared" si="7"/>
        <v>#N/A</v>
      </c>
      <c r="AB22" s="1163" t="e">
        <f t="shared" si="8"/>
        <v>#N/A</v>
      </c>
      <c r="AC22" s="1163" t="e">
        <f t="shared" si="9"/>
        <v>#N/A</v>
      </c>
      <c r="AD22" s="1162" t="e">
        <f t="shared" si="10"/>
        <v>#VALUE!</v>
      </c>
      <c r="AE22" s="1162">
        <f t="shared" si="11"/>
        <v>0</v>
      </c>
      <c r="AF22" s="1129">
        <f>IF(H22&gt;8,tab!$D$65,tab!$D$67)</f>
        <v>0.4</v>
      </c>
      <c r="AG22" s="1143">
        <f t="shared" si="1"/>
        <v>0</v>
      </c>
      <c r="AH22" s="1159">
        <f t="shared" si="2"/>
        <v>0</v>
      </c>
    </row>
    <row r="23" spans="2:34" ht="12.75" customHeight="1" x14ac:dyDescent="0.2">
      <c r="B23" s="69"/>
      <c r="C23" s="90"/>
      <c r="D23" s="97"/>
      <c r="E23" s="97"/>
      <c r="F23" s="114"/>
      <c r="G23" s="377"/>
      <c r="H23" s="114"/>
      <c r="I23" s="129"/>
      <c r="J23" s="378"/>
      <c r="K23" s="392"/>
      <c r="L23" s="1078"/>
      <c r="M23" s="1078"/>
      <c r="N23" s="1077" t="str">
        <f t="shared" si="0"/>
        <v/>
      </c>
      <c r="O23" s="1077"/>
      <c r="P23" s="1172" t="str">
        <f t="shared" si="3"/>
        <v/>
      </c>
      <c r="Q23" s="91"/>
      <c r="R23" s="936" t="str">
        <f t="shared" si="4"/>
        <v/>
      </c>
      <c r="S23" s="936" t="str">
        <f t="shared" si="5"/>
        <v/>
      </c>
      <c r="T23" s="937" t="str">
        <f t="shared" si="6"/>
        <v/>
      </c>
      <c r="U23" s="361"/>
      <c r="V23" s="381"/>
      <c r="W23" s="375"/>
      <c r="X23" s="375"/>
      <c r="Y23" s="1120" t="e">
        <f>VLOOKUP(H23,tab!$A$73:$V$114,I23+2,FALSE)</f>
        <v>#N/A</v>
      </c>
      <c r="Z23" s="1211">
        <f>tab!$D$64</f>
        <v>0.62</v>
      </c>
      <c r="AA23" s="1163" t="e">
        <f t="shared" si="7"/>
        <v>#N/A</v>
      </c>
      <c r="AB23" s="1163" t="e">
        <f t="shared" si="8"/>
        <v>#N/A</v>
      </c>
      <c r="AC23" s="1163" t="e">
        <f t="shared" si="9"/>
        <v>#N/A</v>
      </c>
      <c r="AD23" s="1162" t="e">
        <f t="shared" si="10"/>
        <v>#VALUE!</v>
      </c>
      <c r="AE23" s="1162">
        <f t="shared" si="11"/>
        <v>0</v>
      </c>
      <c r="AF23" s="1129">
        <f>IF(H23&gt;8,tab!$D$65,tab!$D$67)</f>
        <v>0.4</v>
      </c>
      <c r="AG23" s="1143">
        <f t="shared" si="1"/>
        <v>0</v>
      </c>
      <c r="AH23" s="1159">
        <f t="shared" si="2"/>
        <v>0</v>
      </c>
    </row>
    <row r="24" spans="2:34" ht="12.75" customHeight="1" x14ac:dyDescent="0.2">
      <c r="B24" s="69"/>
      <c r="C24" s="90"/>
      <c r="D24" s="97"/>
      <c r="E24" s="97"/>
      <c r="F24" s="114"/>
      <c r="G24" s="377"/>
      <c r="H24" s="114"/>
      <c r="I24" s="129"/>
      <c r="J24" s="378"/>
      <c r="K24" s="392"/>
      <c r="L24" s="1078"/>
      <c r="M24" s="1078"/>
      <c r="N24" s="1077" t="str">
        <f t="shared" si="0"/>
        <v/>
      </c>
      <c r="O24" s="1077"/>
      <c r="P24" s="1172" t="str">
        <f t="shared" si="3"/>
        <v/>
      </c>
      <c r="Q24" s="91"/>
      <c r="R24" s="936" t="str">
        <f t="shared" si="4"/>
        <v/>
      </c>
      <c r="S24" s="936" t="str">
        <f t="shared" si="5"/>
        <v/>
      </c>
      <c r="T24" s="937" t="str">
        <f t="shared" si="6"/>
        <v/>
      </c>
      <c r="U24" s="361"/>
      <c r="V24" s="381"/>
      <c r="W24" s="375"/>
      <c r="X24" s="375"/>
      <c r="Y24" s="1120" t="e">
        <f>VLOOKUP(H24,tab!$A$73:$V$114,I24+2,FALSE)</f>
        <v>#N/A</v>
      </c>
      <c r="Z24" s="1211">
        <f>tab!$D$64</f>
        <v>0.62</v>
      </c>
      <c r="AA24" s="1163" t="e">
        <f t="shared" si="7"/>
        <v>#N/A</v>
      </c>
      <c r="AB24" s="1163" t="e">
        <f t="shared" si="8"/>
        <v>#N/A</v>
      </c>
      <c r="AC24" s="1163" t="e">
        <f t="shared" si="9"/>
        <v>#N/A</v>
      </c>
      <c r="AD24" s="1162" t="e">
        <f t="shared" si="10"/>
        <v>#VALUE!</v>
      </c>
      <c r="AE24" s="1162">
        <f t="shared" si="11"/>
        <v>0</v>
      </c>
      <c r="AF24" s="1129">
        <f>IF(H24&gt;8,tab!$D$65,tab!$D$67)</f>
        <v>0.4</v>
      </c>
      <c r="AG24" s="1143">
        <f t="shared" si="1"/>
        <v>0</v>
      </c>
      <c r="AH24" s="1159">
        <f t="shared" si="2"/>
        <v>0</v>
      </c>
    </row>
    <row r="25" spans="2:34" ht="12.75" customHeight="1" x14ac:dyDescent="0.2">
      <c r="B25" s="69"/>
      <c r="C25" s="90"/>
      <c r="D25" s="97"/>
      <c r="E25" s="97"/>
      <c r="F25" s="114"/>
      <c r="G25" s="377"/>
      <c r="H25" s="114"/>
      <c r="I25" s="129"/>
      <c r="J25" s="378"/>
      <c r="K25" s="392"/>
      <c r="L25" s="1078"/>
      <c r="M25" s="1078"/>
      <c r="N25" s="1077" t="str">
        <f t="shared" si="0"/>
        <v/>
      </c>
      <c r="O25" s="1077"/>
      <c r="P25" s="1172" t="str">
        <f t="shared" si="3"/>
        <v/>
      </c>
      <c r="Q25" s="91"/>
      <c r="R25" s="936" t="str">
        <f t="shared" si="4"/>
        <v/>
      </c>
      <c r="S25" s="936" t="str">
        <f t="shared" si="5"/>
        <v/>
      </c>
      <c r="T25" s="937" t="str">
        <f t="shared" si="6"/>
        <v/>
      </c>
      <c r="U25" s="361"/>
      <c r="V25" s="381"/>
      <c r="W25" s="375"/>
      <c r="X25" s="375"/>
      <c r="Y25" s="1120" t="e">
        <f>VLOOKUP(H25,tab!$A$73:$V$114,I25+2,FALSE)</f>
        <v>#N/A</v>
      </c>
      <c r="Z25" s="1211">
        <f>tab!$D$64</f>
        <v>0.62</v>
      </c>
      <c r="AA25" s="1163" t="e">
        <f t="shared" si="7"/>
        <v>#N/A</v>
      </c>
      <c r="AB25" s="1163" t="e">
        <f t="shared" si="8"/>
        <v>#N/A</v>
      </c>
      <c r="AC25" s="1163" t="e">
        <f t="shared" si="9"/>
        <v>#N/A</v>
      </c>
      <c r="AD25" s="1162" t="e">
        <f t="shared" si="10"/>
        <v>#VALUE!</v>
      </c>
      <c r="AE25" s="1162">
        <f t="shared" si="11"/>
        <v>0</v>
      </c>
      <c r="AF25" s="1129">
        <f>IF(H25&gt;8,tab!$D$65,tab!$D$67)</f>
        <v>0.4</v>
      </c>
      <c r="AG25" s="1143">
        <f t="shared" si="1"/>
        <v>0</v>
      </c>
      <c r="AH25" s="1159">
        <f t="shared" si="2"/>
        <v>0</v>
      </c>
    </row>
    <row r="26" spans="2:34" ht="12.75" customHeight="1" x14ac:dyDescent="0.2">
      <c r="B26" s="69"/>
      <c r="C26" s="90"/>
      <c r="D26" s="97"/>
      <c r="E26" s="97"/>
      <c r="F26" s="114"/>
      <c r="G26" s="377"/>
      <c r="H26" s="114"/>
      <c r="I26" s="129"/>
      <c r="J26" s="378"/>
      <c r="K26" s="392"/>
      <c r="L26" s="1078"/>
      <c r="M26" s="1078"/>
      <c r="N26" s="1077" t="str">
        <f t="shared" si="0"/>
        <v/>
      </c>
      <c r="O26" s="1077"/>
      <c r="P26" s="1172" t="str">
        <f t="shared" si="3"/>
        <v/>
      </c>
      <c r="Q26" s="91"/>
      <c r="R26" s="936" t="str">
        <f t="shared" si="4"/>
        <v/>
      </c>
      <c r="S26" s="936" t="str">
        <f t="shared" si="5"/>
        <v/>
      </c>
      <c r="T26" s="937" t="str">
        <f t="shared" si="6"/>
        <v/>
      </c>
      <c r="U26" s="361"/>
      <c r="V26" s="381"/>
      <c r="W26" s="375"/>
      <c r="X26" s="375"/>
      <c r="Y26" s="1120" t="e">
        <f>VLOOKUP(H26,tab!$A$73:$V$114,I26+2,FALSE)</f>
        <v>#N/A</v>
      </c>
      <c r="Z26" s="1211">
        <f>tab!$D$64</f>
        <v>0.62</v>
      </c>
      <c r="AA26" s="1163" t="e">
        <f t="shared" si="7"/>
        <v>#N/A</v>
      </c>
      <c r="AB26" s="1163" t="e">
        <f t="shared" si="8"/>
        <v>#N/A</v>
      </c>
      <c r="AC26" s="1163" t="e">
        <f t="shared" si="9"/>
        <v>#N/A</v>
      </c>
      <c r="AD26" s="1162" t="e">
        <f t="shared" si="10"/>
        <v>#VALUE!</v>
      </c>
      <c r="AE26" s="1162">
        <f t="shared" si="11"/>
        <v>0</v>
      </c>
      <c r="AF26" s="1129">
        <f>IF(H26&gt;8,tab!$D$65,tab!$D$67)</f>
        <v>0.4</v>
      </c>
      <c r="AG26" s="1143">
        <f t="shared" si="1"/>
        <v>0</v>
      </c>
      <c r="AH26" s="1159">
        <f t="shared" si="2"/>
        <v>0</v>
      </c>
    </row>
    <row r="27" spans="2:34" ht="12.75" customHeight="1" x14ac:dyDescent="0.2">
      <c r="B27" s="69"/>
      <c r="C27" s="90"/>
      <c r="D27" s="97"/>
      <c r="E27" s="97"/>
      <c r="F27" s="114"/>
      <c r="G27" s="377"/>
      <c r="H27" s="114"/>
      <c r="I27" s="129"/>
      <c r="J27" s="378"/>
      <c r="K27" s="392"/>
      <c r="L27" s="1078"/>
      <c r="M27" s="1078"/>
      <c r="N27" s="1077" t="str">
        <f t="shared" si="0"/>
        <v/>
      </c>
      <c r="O27" s="1077"/>
      <c r="P27" s="1172" t="str">
        <f t="shared" si="3"/>
        <v/>
      </c>
      <c r="Q27" s="91"/>
      <c r="R27" s="936" t="str">
        <f t="shared" si="4"/>
        <v/>
      </c>
      <c r="S27" s="936" t="str">
        <f t="shared" si="5"/>
        <v/>
      </c>
      <c r="T27" s="937" t="str">
        <f t="shared" si="6"/>
        <v/>
      </c>
      <c r="U27" s="361"/>
      <c r="V27" s="381"/>
      <c r="W27" s="375"/>
      <c r="X27" s="375"/>
      <c r="Y27" s="1120" t="e">
        <f>VLOOKUP(H27,tab!$A$73:$V$114,I27+2,FALSE)</f>
        <v>#N/A</v>
      </c>
      <c r="Z27" s="1211">
        <f>tab!$D$64</f>
        <v>0.62</v>
      </c>
      <c r="AA27" s="1163" t="e">
        <f t="shared" si="7"/>
        <v>#N/A</v>
      </c>
      <c r="AB27" s="1163" t="e">
        <f t="shared" si="8"/>
        <v>#N/A</v>
      </c>
      <c r="AC27" s="1163" t="e">
        <f t="shared" si="9"/>
        <v>#N/A</v>
      </c>
      <c r="AD27" s="1162" t="e">
        <f t="shared" si="10"/>
        <v>#VALUE!</v>
      </c>
      <c r="AE27" s="1162">
        <f t="shared" si="11"/>
        <v>0</v>
      </c>
      <c r="AF27" s="1129">
        <f>IF(H27&gt;8,tab!$D$65,tab!$D$67)</f>
        <v>0.4</v>
      </c>
      <c r="AG27" s="1143">
        <f t="shared" si="1"/>
        <v>0</v>
      </c>
      <c r="AH27" s="1159">
        <f t="shared" si="2"/>
        <v>0</v>
      </c>
    </row>
    <row r="28" spans="2:34" ht="12.75" customHeight="1" x14ac:dyDescent="0.2">
      <c r="B28" s="69"/>
      <c r="C28" s="90"/>
      <c r="D28" s="97"/>
      <c r="E28" s="97"/>
      <c r="F28" s="114"/>
      <c r="G28" s="377"/>
      <c r="H28" s="114"/>
      <c r="I28" s="129"/>
      <c r="J28" s="378"/>
      <c r="K28" s="392"/>
      <c r="L28" s="1078"/>
      <c r="M28" s="1078"/>
      <c r="N28" s="1077" t="str">
        <f t="shared" si="0"/>
        <v/>
      </c>
      <c r="O28" s="1077"/>
      <c r="P28" s="1172" t="str">
        <f t="shared" si="3"/>
        <v/>
      </c>
      <c r="Q28" s="91"/>
      <c r="R28" s="936" t="str">
        <f t="shared" si="4"/>
        <v/>
      </c>
      <c r="S28" s="936" t="str">
        <f t="shared" si="5"/>
        <v/>
      </c>
      <c r="T28" s="937" t="str">
        <f t="shared" si="6"/>
        <v/>
      </c>
      <c r="U28" s="361"/>
      <c r="V28" s="381"/>
      <c r="W28" s="375"/>
      <c r="X28" s="375"/>
      <c r="Y28" s="1120" t="e">
        <f>VLOOKUP(H28,tab!$A$73:$V$114,I28+2,FALSE)</f>
        <v>#N/A</v>
      </c>
      <c r="Z28" s="1211">
        <f>tab!$D$64</f>
        <v>0.62</v>
      </c>
      <c r="AA28" s="1163" t="e">
        <f t="shared" si="7"/>
        <v>#N/A</v>
      </c>
      <c r="AB28" s="1163" t="e">
        <f t="shared" si="8"/>
        <v>#N/A</v>
      </c>
      <c r="AC28" s="1163" t="e">
        <f t="shared" si="9"/>
        <v>#N/A</v>
      </c>
      <c r="AD28" s="1162" t="e">
        <f t="shared" si="10"/>
        <v>#VALUE!</v>
      </c>
      <c r="AE28" s="1162">
        <f t="shared" si="11"/>
        <v>0</v>
      </c>
      <c r="AF28" s="1129">
        <f>IF(H28&gt;8,tab!$D$65,tab!$D$67)</f>
        <v>0.4</v>
      </c>
      <c r="AG28" s="1143">
        <f t="shared" si="1"/>
        <v>0</v>
      </c>
      <c r="AH28" s="1159">
        <f t="shared" si="2"/>
        <v>0</v>
      </c>
    </row>
    <row r="29" spans="2:34" ht="12.75" customHeight="1" x14ac:dyDescent="0.2">
      <c r="B29" s="69"/>
      <c r="C29" s="90"/>
      <c r="D29" s="97"/>
      <c r="E29" s="97"/>
      <c r="F29" s="114"/>
      <c r="G29" s="377"/>
      <c r="H29" s="114"/>
      <c r="I29" s="129"/>
      <c r="J29" s="378"/>
      <c r="K29" s="392"/>
      <c r="L29" s="1078"/>
      <c r="M29" s="1078"/>
      <c r="N29" s="1077" t="str">
        <f t="shared" si="0"/>
        <v/>
      </c>
      <c r="O29" s="1077"/>
      <c r="P29" s="1172" t="str">
        <f t="shared" si="3"/>
        <v/>
      </c>
      <c r="Q29" s="91"/>
      <c r="R29" s="936" t="str">
        <f t="shared" si="4"/>
        <v/>
      </c>
      <c r="S29" s="936" t="str">
        <f t="shared" si="5"/>
        <v/>
      </c>
      <c r="T29" s="937" t="str">
        <f t="shared" si="6"/>
        <v/>
      </c>
      <c r="U29" s="361"/>
      <c r="V29" s="381"/>
      <c r="W29" s="375"/>
      <c r="X29" s="375"/>
      <c r="Y29" s="1120" t="e">
        <f>VLOOKUP(H29,tab!$A$73:$V$114,I29+2,FALSE)</f>
        <v>#N/A</v>
      </c>
      <c r="Z29" s="1211">
        <f>tab!$D$64</f>
        <v>0.62</v>
      </c>
      <c r="AA29" s="1163" t="e">
        <f t="shared" si="7"/>
        <v>#N/A</v>
      </c>
      <c r="AB29" s="1163" t="e">
        <f t="shared" si="8"/>
        <v>#N/A</v>
      </c>
      <c r="AC29" s="1163" t="e">
        <f t="shared" si="9"/>
        <v>#N/A</v>
      </c>
      <c r="AD29" s="1162" t="e">
        <f t="shared" si="10"/>
        <v>#VALUE!</v>
      </c>
      <c r="AE29" s="1162">
        <f t="shared" si="11"/>
        <v>0</v>
      </c>
      <c r="AF29" s="1129">
        <f>IF(H29&gt;8,tab!$D$65,tab!$D$67)</f>
        <v>0.4</v>
      </c>
      <c r="AG29" s="1143">
        <f t="shared" si="1"/>
        <v>0</v>
      </c>
      <c r="AH29" s="1159">
        <f t="shared" si="2"/>
        <v>0</v>
      </c>
    </row>
    <row r="30" spans="2:34" ht="12.75" customHeight="1" x14ac:dyDescent="0.2">
      <c r="B30" s="69"/>
      <c r="C30" s="90"/>
      <c r="D30" s="97"/>
      <c r="E30" s="97"/>
      <c r="F30" s="114"/>
      <c r="G30" s="377"/>
      <c r="H30" s="114"/>
      <c r="I30" s="129"/>
      <c r="J30" s="378"/>
      <c r="K30" s="392"/>
      <c r="L30" s="1078"/>
      <c r="M30" s="1078"/>
      <c r="N30" s="1077" t="str">
        <f t="shared" si="0"/>
        <v/>
      </c>
      <c r="O30" s="1077"/>
      <c r="P30" s="1172" t="str">
        <f t="shared" si="3"/>
        <v/>
      </c>
      <c r="Q30" s="91"/>
      <c r="R30" s="936" t="str">
        <f t="shared" si="4"/>
        <v/>
      </c>
      <c r="S30" s="936" t="str">
        <f t="shared" si="5"/>
        <v/>
      </c>
      <c r="T30" s="937" t="str">
        <f t="shared" si="6"/>
        <v/>
      </c>
      <c r="U30" s="361"/>
      <c r="V30" s="381"/>
      <c r="W30" s="375"/>
      <c r="X30" s="375"/>
      <c r="Y30" s="1120" t="e">
        <f>VLOOKUP(H30,tab!$A$73:$V$114,I30+2,FALSE)</f>
        <v>#N/A</v>
      </c>
      <c r="Z30" s="1211">
        <f>tab!$D$64</f>
        <v>0.62</v>
      </c>
      <c r="AA30" s="1163" t="e">
        <f t="shared" si="7"/>
        <v>#N/A</v>
      </c>
      <c r="AB30" s="1163" t="e">
        <f t="shared" si="8"/>
        <v>#N/A</v>
      </c>
      <c r="AC30" s="1163" t="e">
        <f t="shared" si="9"/>
        <v>#N/A</v>
      </c>
      <c r="AD30" s="1162" t="e">
        <f t="shared" si="10"/>
        <v>#VALUE!</v>
      </c>
      <c r="AE30" s="1162">
        <f t="shared" si="11"/>
        <v>0</v>
      </c>
      <c r="AF30" s="1129">
        <f>IF(H30&gt;8,tab!$D$65,tab!$D$67)</f>
        <v>0.4</v>
      </c>
      <c r="AG30" s="1143">
        <f t="shared" si="1"/>
        <v>0</v>
      </c>
      <c r="AH30" s="1159">
        <f t="shared" si="2"/>
        <v>0</v>
      </c>
    </row>
    <row r="31" spans="2:34" ht="12.75" customHeight="1" x14ac:dyDescent="0.2">
      <c r="B31" s="69"/>
      <c r="C31" s="90"/>
      <c r="D31" s="97"/>
      <c r="E31" s="97"/>
      <c r="F31" s="114"/>
      <c r="G31" s="377"/>
      <c r="H31" s="114"/>
      <c r="I31" s="129"/>
      <c r="J31" s="378"/>
      <c r="K31" s="392"/>
      <c r="L31" s="1078"/>
      <c r="M31" s="1078"/>
      <c r="N31" s="1077" t="str">
        <f t="shared" si="0"/>
        <v/>
      </c>
      <c r="O31" s="1077"/>
      <c r="P31" s="1172" t="str">
        <f t="shared" si="3"/>
        <v/>
      </c>
      <c r="Q31" s="91"/>
      <c r="R31" s="936" t="str">
        <f t="shared" si="4"/>
        <v/>
      </c>
      <c r="S31" s="936" t="str">
        <f t="shared" si="5"/>
        <v/>
      </c>
      <c r="T31" s="937" t="str">
        <f t="shared" si="6"/>
        <v/>
      </c>
      <c r="U31" s="361"/>
      <c r="V31" s="381"/>
      <c r="W31" s="375"/>
      <c r="X31" s="375"/>
      <c r="Y31" s="1120" t="e">
        <f>VLOOKUP(H31,tab!$A$73:$V$114,I31+2,FALSE)</f>
        <v>#N/A</v>
      </c>
      <c r="Z31" s="1211">
        <f>tab!$D$64</f>
        <v>0.62</v>
      </c>
      <c r="AA31" s="1163" t="e">
        <f t="shared" si="7"/>
        <v>#N/A</v>
      </c>
      <c r="AB31" s="1163" t="e">
        <f t="shared" si="8"/>
        <v>#N/A</v>
      </c>
      <c r="AC31" s="1163" t="e">
        <f t="shared" si="9"/>
        <v>#N/A</v>
      </c>
      <c r="AD31" s="1162" t="e">
        <f t="shared" si="10"/>
        <v>#VALUE!</v>
      </c>
      <c r="AE31" s="1162">
        <f t="shared" si="11"/>
        <v>0</v>
      </c>
      <c r="AF31" s="1129">
        <f>IF(H31&gt;8,tab!$D$65,tab!$D$67)</f>
        <v>0.4</v>
      </c>
      <c r="AG31" s="1143">
        <f t="shared" si="1"/>
        <v>0</v>
      </c>
      <c r="AH31" s="1159">
        <f t="shared" si="2"/>
        <v>0</v>
      </c>
    </row>
    <row r="32" spans="2:34" ht="12.75" customHeight="1" x14ac:dyDescent="0.2">
      <c r="B32" s="69"/>
      <c r="C32" s="90"/>
      <c r="D32" s="97"/>
      <c r="E32" s="97"/>
      <c r="F32" s="114"/>
      <c r="G32" s="377"/>
      <c r="H32" s="114"/>
      <c r="I32" s="129"/>
      <c r="J32" s="378"/>
      <c r="K32" s="392"/>
      <c r="L32" s="1078"/>
      <c r="M32" s="1078"/>
      <c r="N32" s="1077" t="str">
        <f t="shared" si="0"/>
        <v/>
      </c>
      <c r="O32" s="1077"/>
      <c r="P32" s="1172" t="str">
        <f t="shared" si="3"/>
        <v/>
      </c>
      <c r="Q32" s="91"/>
      <c r="R32" s="936" t="str">
        <f t="shared" si="4"/>
        <v/>
      </c>
      <c r="S32" s="936" t="str">
        <f t="shared" si="5"/>
        <v/>
      </c>
      <c r="T32" s="937" t="str">
        <f t="shared" si="6"/>
        <v/>
      </c>
      <c r="U32" s="361"/>
      <c r="V32" s="381"/>
      <c r="W32" s="375"/>
      <c r="X32" s="375"/>
      <c r="Y32" s="1120" t="e">
        <f>VLOOKUP(H32,tab!$A$73:$V$114,I32+2,FALSE)</f>
        <v>#N/A</v>
      </c>
      <c r="Z32" s="1211">
        <f>tab!$D$64</f>
        <v>0.62</v>
      </c>
      <c r="AA32" s="1163" t="e">
        <f t="shared" si="7"/>
        <v>#N/A</v>
      </c>
      <c r="AB32" s="1163" t="e">
        <f t="shared" si="8"/>
        <v>#N/A</v>
      </c>
      <c r="AC32" s="1163" t="e">
        <f t="shared" si="9"/>
        <v>#N/A</v>
      </c>
      <c r="AD32" s="1162" t="e">
        <f t="shared" si="10"/>
        <v>#VALUE!</v>
      </c>
      <c r="AE32" s="1162">
        <f t="shared" si="11"/>
        <v>0</v>
      </c>
      <c r="AF32" s="1129">
        <f>IF(H32&gt;8,tab!$D$65,tab!$D$67)</f>
        <v>0.4</v>
      </c>
      <c r="AG32" s="1143">
        <f t="shared" si="1"/>
        <v>0</v>
      </c>
      <c r="AH32" s="1159">
        <f t="shared" si="2"/>
        <v>0</v>
      </c>
    </row>
    <row r="33" spans="2:44" ht="12.75" customHeight="1" x14ac:dyDescent="0.2">
      <c r="B33" s="69"/>
      <c r="C33" s="90"/>
      <c r="D33" s="97"/>
      <c r="E33" s="97"/>
      <c r="F33" s="114"/>
      <c r="G33" s="377"/>
      <c r="H33" s="114"/>
      <c r="I33" s="129"/>
      <c r="J33" s="378"/>
      <c r="K33" s="392"/>
      <c r="L33" s="1078"/>
      <c r="M33" s="1078"/>
      <c r="N33" s="1077" t="str">
        <f t="shared" si="0"/>
        <v/>
      </c>
      <c r="O33" s="1077"/>
      <c r="P33" s="1172" t="str">
        <f t="shared" si="3"/>
        <v/>
      </c>
      <c r="Q33" s="91"/>
      <c r="R33" s="936" t="str">
        <f t="shared" si="4"/>
        <v/>
      </c>
      <c r="S33" s="936" t="str">
        <f t="shared" si="5"/>
        <v/>
      </c>
      <c r="T33" s="937" t="str">
        <f t="shared" si="6"/>
        <v/>
      </c>
      <c r="U33" s="361"/>
      <c r="V33" s="381"/>
      <c r="W33" s="375"/>
      <c r="X33" s="375"/>
      <c r="Y33" s="1120" t="e">
        <f>VLOOKUP(H33,tab!$A$73:$V$114,I33+2,FALSE)</f>
        <v>#N/A</v>
      </c>
      <c r="Z33" s="1211">
        <f>tab!$D$64</f>
        <v>0.62</v>
      </c>
      <c r="AA33" s="1163" t="e">
        <f t="shared" si="7"/>
        <v>#N/A</v>
      </c>
      <c r="AB33" s="1163" t="e">
        <f t="shared" si="8"/>
        <v>#N/A</v>
      </c>
      <c r="AC33" s="1163" t="e">
        <f t="shared" si="9"/>
        <v>#N/A</v>
      </c>
      <c r="AD33" s="1162" t="e">
        <f t="shared" si="10"/>
        <v>#VALUE!</v>
      </c>
      <c r="AE33" s="1162">
        <f t="shared" si="11"/>
        <v>0</v>
      </c>
      <c r="AF33" s="1129">
        <f>IF(H33&gt;8,tab!$D$65,tab!$D$67)</f>
        <v>0.4</v>
      </c>
      <c r="AG33" s="1143">
        <f t="shared" si="1"/>
        <v>0</v>
      </c>
      <c r="AH33" s="1159">
        <f t="shared" si="2"/>
        <v>0</v>
      </c>
    </row>
    <row r="34" spans="2:44" ht="12.75" customHeight="1" x14ac:dyDescent="0.2">
      <c r="B34" s="69"/>
      <c r="C34" s="90"/>
      <c r="D34" s="97"/>
      <c r="E34" s="97"/>
      <c r="F34" s="114"/>
      <c r="G34" s="377"/>
      <c r="H34" s="114"/>
      <c r="I34" s="129"/>
      <c r="J34" s="378"/>
      <c r="K34" s="392"/>
      <c r="L34" s="1078"/>
      <c r="M34" s="1078"/>
      <c r="N34" s="1077" t="str">
        <f t="shared" si="0"/>
        <v/>
      </c>
      <c r="O34" s="1077"/>
      <c r="P34" s="1172" t="str">
        <f t="shared" si="3"/>
        <v/>
      </c>
      <c r="Q34" s="91"/>
      <c r="R34" s="936" t="str">
        <f t="shared" si="4"/>
        <v/>
      </c>
      <c r="S34" s="936" t="str">
        <f t="shared" si="5"/>
        <v/>
      </c>
      <c r="T34" s="937" t="str">
        <f t="shared" si="6"/>
        <v/>
      </c>
      <c r="U34" s="361"/>
      <c r="V34" s="381"/>
      <c r="W34" s="375"/>
      <c r="X34" s="375"/>
      <c r="Y34" s="1120" t="e">
        <f>VLOOKUP(H34,tab!$A$73:$V$114,I34+2,FALSE)</f>
        <v>#N/A</v>
      </c>
      <c r="Z34" s="1211">
        <f>tab!$D$64</f>
        <v>0.62</v>
      </c>
      <c r="AA34" s="1163" t="e">
        <f t="shared" si="7"/>
        <v>#N/A</v>
      </c>
      <c r="AB34" s="1163" t="e">
        <f t="shared" si="8"/>
        <v>#N/A</v>
      </c>
      <c r="AC34" s="1163" t="e">
        <f t="shared" si="9"/>
        <v>#N/A</v>
      </c>
      <c r="AD34" s="1162" t="e">
        <f t="shared" si="10"/>
        <v>#VALUE!</v>
      </c>
      <c r="AE34" s="1162">
        <f t="shared" si="11"/>
        <v>0</v>
      </c>
      <c r="AF34" s="1129">
        <f>IF(H34&gt;8,tab!$D$65,tab!$D$67)</f>
        <v>0.4</v>
      </c>
      <c r="AG34" s="1143">
        <f t="shared" si="1"/>
        <v>0</v>
      </c>
      <c r="AH34" s="1159">
        <f t="shared" si="2"/>
        <v>0</v>
      </c>
    </row>
    <row r="35" spans="2:44" ht="12.75" customHeight="1" x14ac:dyDescent="0.2">
      <c r="B35" s="69"/>
      <c r="C35" s="90"/>
      <c r="D35" s="97"/>
      <c r="E35" s="97"/>
      <c r="F35" s="114"/>
      <c r="G35" s="377"/>
      <c r="H35" s="114"/>
      <c r="I35" s="129"/>
      <c r="J35" s="378"/>
      <c r="K35" s="392"/>
      <c r="L35" s="1078"/>
      <c r="M35" s="1078"/>
      <c r="N35" s="1077" t="str">
        <f t="shared" si="0"/>
        <v/>
      </c>
      <c r="O35" s="1077"/>
      <c r="P35" s="1172" t="str">
        <f t="shared" si="3"/>
        <v/>
      </c>
      <c r="Q35" s="91"/>
      <c r="R35" s="936" t="str">
        <f t="shared" si="4"/>
        <v/>
      </c>
      <c r="S35" s="936" t="str">
        <f t="shared" si="5"/>
        <v/>
      </c>
      <c r="T35" s="937" t="str">
        <f t="shared" si="6"/>
        <v/>
      </c>
      <c r="U35" s="361"/>
      <c r="V35" s="381"/>
      <c r="W35" s="375"/>
      <c r="X35" s="375"/>
      <c r="Y35" s="1120" t="e">
        <f>VLOOKUP(H35,tab!$A$73:$V$114,I35+2,FALSE)</f>
        <v>#N/A</v>
      </c>
      <c r="Z35" s="1211">
        <f>tab!$D$64</f>
        <v>0.62</v>
      </c>
      <c r="AA35" s="1163" t="e">
        <f t="shared" si="7"/>
        <v>#N/A</v>
      </c>
      <c r="AB35" s="1163" t="e">
        <f t="shared" si="8"/>
        <v>#N/A</v>
      </c>
      <c r="AC35" s="1163" t="e">
        <f t="shared" si="9"/>
        <v>#N/A</v>
      </c>
      <c r="AD35" s="1162" t="e">
        <f t="shared" si="10"/>
        <v>#VALUE!</v>
      </c>
      <c r="AE35" s="1162">
        <f t="shared" si="11"/>
        <v>0</v>
      </c>
      <c r="AF35" s="1129">
        <f>IF(H35&gt;8,tab!$D$65,tab!$D$67)</f>
        <v>0.4</v>
      </c>
      <c r="AG35" s="1143">
        <f t="shared" si="1"/>
        <v>0</v>
      </c>
      <c r="AH35" s="1159">
        <f t="shared" si="2"/>
        <v>0</v>
      </c>
    </row>
    <row r="36" spans="2:44" ht="12.75" customHeight="1" x14ac:dyDescent="0.2">
      <c r="B36" s="69"/>
      <c r="C36" s="90"/>
      <c r="D36" s="116"/>
      <c r="E36" s="116"/>
      <c r="F36" s="128"/>
      <c r="G36" s="387"/>
      <c r="H36" s="128"/>
      <c r="I36" s="464"/>
      <c r="J36" s="939">
        <f>SUM(J16:J35)</f>
        <v>1</v>
      </c>
      <c r="K36" s="380"/>
      <c r="L36" s="1079">
        <f t="shared" ref="L36:M36" si="12">SUM(L16:L35)</f>
        <v>0</v>
      </c>
      <c r="M36" s="1079">
        <f t="shared" si="12"/>
        <v>0</v>
      </c>
      <c r="N36" s="1079">
        <f>SUM(N16:N35)</f>
        <v>40</v>
      </c>
      <c r="O36" s="1079"/>
      <c r="P36" s="1079">
        <f>SUM(P16:P35)</f>
        <v>40</v>
      </c>
      <c r="Q36" s="380"/>
      <c r="R36" s="940">
        <f t="shared" ref="R36:T36" si="13">SUM(R16:R35)</f>
        <v>50956.868571428575</v>
      </c>
      <c r="S36" s="940">
        <f t="shared" si="13"/>
        <v>1258.9714285714288</v>
      </c>
      <c r="T36" s="940">
        <f t="shared" si="13"/>
        <v>52215.840000000004</v>
      </c>
      <c r="U36" s="143"/>
      <c r="V36" s="73"/>
      <c r="Y36" s="1121" t="e">
        <f>SUM(Y16:Y35)</f>
        <v>#N/A</v>
      </c>
      <c r="Z36" s="1207"/>
      <c r="AA36" s="1207"/>
      <c r="AB36" s="1207"/>
      <c r="AC36" s="1207"/>
      <c r="AD36" s="1130" t="e">
        <f>SUM(AD16:AD35)</f>
        <v>#VALUE!</v>
      </c>
      <c r="AE36" s="1130">
        <f>SUM(AE16:AE35)</f>
        <v>0</v>
      </c>
      <c r="AF36" s="1121"/>
      <c r="AG36" s="1146">
        <f>SUM(AG16:AG35)</f>
        <v>40</v>
      </c>
      <c r="AH36" s="1155">
        <f>SUM(AH16:AH35)</f>
        <v>2900.88</v>
      </c>
    </row>
    <row r="37" spans="2:44" ht="12.75" customHeight="1" x14ac:dyDescent="0.2">
      <c r="B37" s="69"/>
      <c r="C37" s="98"/>
      <c r="D37" s="144"/>
      <c r="E37" s="144"/>
      <c r="F37" s="191"/>
      <c r="G37" s="391"/>
      <c r="H37" s="191"/>
      <c r="I37" s="392"/>
      <c r="J37" s="393"/>
      <c r="K37" s="392"/>
      <c r="L37" s="392"/>
      <c r="M37" s="392"/>
      <c r="N37" s="392"/>
      <c r="O37" s="392"/>
      <c r="P37" s="392"/>
      <c r="Q37" s="392"/>
      <c r="R37" s="466"/>
      <c r="S37" s="388"/>
      <c r="T37" s="388"/>
      <c r="U37" s="467"/>
      <c r="V37" s="73"/>
      <c r="Y37" s="1093"/>
      <c r="Z37" s="1207"/>
      <c r="AA37" s="1207"/>
      <c r="AB37" s="1207"/>
      <c r="AC37" s="1207"/>
      <c r="AF37" s="1121"/>
      <c r="AG37" s="1146"/>
      <c r="AH37" s="1155"/>
    </row>
    <row r="38" spans="2:44" ht="12.75" customHeight="1" x14ac:dyDescent="0.2">
      <c r="B38" s="69"/>
      <c r="C38" s="70"/>
      <c r="D38" s="234"/>
      <c r="E38" s="234"/>
      <c r="F38" s="176"/>
      <c r="G38" s="297"/>
      <c r="H38" s="176"/>
      <c r="I38" s="298"/>
      <c r="J38" s="445"/>
      <c r="K38" s="70"/>
      <c r="L38" s="299"/>
      <c r="M38" s="299"/>
      <c r="N38" s="299"/>
      <c r="O38" s="299"/>
      <c r="P38" s="299"/>
      <c r="Q38" s="70"/>
      <c r="R38" s="468"/>
      <c r="S38" s="446"/>
      <c r="T38" s="781"/>
      <c r="U38" s="70"/>
      <c r="V38" s="73"/>
      <c r="Y38" s="1120"/>
      <c r="Z38" s="473"/>
      <c r="AA38" s="473"/>
      <c r="AB38" s="473"/>
      <c r="AC38" s="473"/>
      <c r="AD38" s="1104"/>
      <c r="AE38" s="1104"/>
      <c r="AF38" s="1117"/>
      <c r="AG38" s="1143"/>
      <c r="AH38" s="1159"/>
    </row>
    <row r="39" spans="2:44" ht="12.75" customHeight="1" x14ac:dyDescent="0.2">
      <c r="B39" s="69"/>
      <c r="C39" s="70"/>
      <c r="D39" s="234"/>
      <c r="E39" s="234"/>
      <c r="F39" s="176"/>
      <c r="G39" s="297"/>
      <c r="H39" s="176"/>
      <c r="I39" s="298"/>
      <c r="J39" s="445"/>
      <c r="K39" s="70"/>
      <c r="L39" s="299"/>
      <c r="M39" s="299"/>
      <c r="N39" s="299"/>
      <c r="O39" s="299"/>
      <c r="P39" s="299"/>
      <c r="Q39" s="70"/>
      <c r="R39" s="468"/>
      <c r="S39" s="446"/>
      <c r="T39" s="781"/>
      <c r="U39" s="70"/>
      <c r="V39" s="73"/>
      <c r="Y39" s="1120"/>
      <c r="Z39" s="473"/>
      <c r="AA39" s="473"/>
      <c r="AB39" s="473"/>
      <c r="AC39" s="473"/>
      <c r="AD39" s="1104"/>
      <c r="AE39" s="1104"/>
      <c r="AF39" s="1117"/>
      <c r="AG39" s="1143"/>
      <c r="AH39" s="1159"/>
    </row>
    <row r="40" spans="2:44" ht="12.75" customHeight="1" x14ac:dyDescent="0.2">
      <c r="B40" s="69"/>
      <c r="C40" s="70" t="s">
        <v>195</v>
      </c>
      <c r="D40" s="234"/>
      <c r="E40" s="350" t="str">
        <f>dir!E30</f>
        <v>2016/17</v>
      </c>
      <c r="F40" s="176"/>
      <c r="G40" s="297"/>
      <c r="H40" s="176"/>
      <c r="I40" s="298"/>
      <c r="J40" s="445"/>
      <c r="K40" s="70"/>
      <c r="L40" s="299"/>
      <c r="M40" s="299"/>
      <c r="N40" s="299"/>
      <c r="O40" s="299"/>
      <c r="P40" s="299"/>
      <c r="Q40" s="70"/>
      <c r="R40" s="468"/>
      <c r="S40" s="446"/>
      <c r="T40" s="781"/>
      <c r="U40" s="70"/>
      <c r="V40" s="73"/>
      <c r="Y40" s="1120"/>
      <c r="Z40" s="473"/>
      <c r="AA40" s="473"/>
      <c r="AB40" s="473"/>
      <c r="AC40" s="473"/>
      <c r="AD40" s="1104"/>
      <c r="AE40" s="1104"/>
      <c r="AF40" s="1117"/>
      <c r="AG40" s="1143"/>
      <c r="AH40" s="1159"/>
    </row>
    <row r="41" spans="2:44" ht="12.75" customHeight="1" x14ac:dyDescent="0.2">
      <c r="B41" s="69"/>
      <c r="C41" s="70" t="s">
        <v>217</v>
      </c>
      <c r="D41" s="234"/>
      <c r="E41" s="350">
        <f>dir!E31</f>
        <v>42644</v>
      </c>
      <c r="F41" s="176"/>
      <c r="G41" s="297"/>
      <c r="H41" s="176"/>
      <c r="I41" s="298"/>
      <c r="J41" s="445"/>
      <c r="K41" s="70"/>
      <c r="L41" s="299"/>
      <c r="M41" s="299"/>
      <c r="N41" s="299"/>
      <c r="O41" s="299"/>
      <c r="P41" s="299"/>
      <c r="Q41" s="70"/>
      <c r="R41" s="468"/>
      <c r="S41" s="446"/>
      <c r="T41" s="781"/>
      <c r="U41" s="70"/>
      <c r="V41" s="73"/>
      <c r="Y41" s="1120"/>
      <c r="Z41" s="473"/>
      <c r="AA41" s="473"/>
      <c r="AB41" s="473"/>
      <c r="AC41" s="473"/>
      <c r="AD41" s="1104"/>
      <c r="AE41" s="1104"/>
      <c r="AF41" s="1117"/>
      <c r="AG41" s="1143"/>
      <c r="AH41" s="1159"/>
    </row>
    <row r="42" spans="2:44" ht="12.75" customHeight="1" x14ac:dyDescent="0.2">
      <c r="B42" s="69"/>
      <c r="C42" s="70"/>
      <c r="D42" s="234"/>
      <c r="E42" s="234"/>
      <c r="F42" s="176"/>
      <c r="G42" s="297"/>
      <c r="H42" s="176"/>
      <c r="I42" s="298"/>
      <c r="J42" s="445"/>
      <c r="K42" s="70"/>
      <c r="L42" s="299"/>
      <c r="M42" s="299"/>
      <c r="N42" s="299"/>
      <c r="O42" s="299"/>
      <c r="P42" s="299"/>
      <c r="Q42" s="70"/>
      <c r="R42" s="468"/>
      <c r="S42" s="446"/>
      <c r="T42" s="781"/>
      <c r="U42" s="70"/>
      <c r="V42" s="73"/>
      <c r="Y42" s="1120"/>
      <c r="Z42" s="473"/>
      <c r="AA42" s="473"/>
      <c r="AB42" s="473"/>
      <c r="AC42" s="473"/>
      <c r="AD42" s="1104"/>
      <c r="AE42" s="1104"/>
      <c r="AF42" s="1117"/>
      <c r="AG42" s="1143"/>
      <c r="AH42" s="1159"/>
    </row>
    <row r="43" spans="2:44" ht="12.75" customHeight="1" x14ac:dyDescent="0.2">
      <c r="B43" s="69"/>
      <c r="C43" s="955"/>
      <c r="D43" s="921"/>
      <c r="E43" s="920"/>
      <c r="F43" s="900"/>
      <c r="G43" s="922"/>
      <c r="H43" s="923"/>
      <c r="I43" s="923"/>
      <c r="J43" s="924"/>
      <c r="K43" s="925"/>
      <c r="L43" s="923"/>
      <c r="M43" s="923"/>
      <c r="N43" s="923"/>
      <c r="O43" s="923"/>
      <c r="P43" s="923"/>
      <c r="Q43" s="925"/>
      <c r="R43" s="925"/>
      <c r="S43" s="925"/>
      <c r="T43" s="778"/>
      <c r="U43" s="161"/>
      <c r="V43" s="73"/>
      <c r="Z43" s="905"/>
      <c r="AA43" s="905"/>
      <c r="AB43" s="905"/>
      <c r="AC43" s="905"/>
      <c r="AI43" s="333"/>
      <c r="AJ43" s="333"/>
      <c r="AK43" s="333"/>
      <c r="AL43" s="284"/>
      <c r="AM43" s="283"/>
      <c r="AN43" s="285"/>
      <c r="AO43" s="334"/>
      <c r="AP43" s="284"/>
    </row>
    <row r="44" spans="2:44" ht="12.75" customHeight="1" x14ac:dyDescent="0.2">
      <c r="B44" s="69"/>
      <c r="C44" s="956"/>
      <c r="D44" s="1074" t="s">
        <v>335</v>
      </c>
      <c r="E44" s="1075"/>
      <c r="F44" s="1075"/>
      <c r="G44" s="1075"/>
      <c r="H44" s="1076"/>
      <c r="I44" s="1076"/>
      <c r="J44" s="1076"/>
      <c r="K44" s="1191"/>
      <c r="L44" s="1074" t="s">
        <v>561</v>
      </c>
      <c r="M44" s="1064"/>
      <c r="N44" s="1074"/>
      <c r="O44" s="1074"/>
      <c r="P44" s="1170"/>
      <c r="Q44" s="927"/>
      <c r="R44" s="1074" t="s">
        <v>563</v>
      </c>
      <c r="S44" s="1076"/>
      <c r="T44" s="1153"/>
      <c r="U44" s="944"/>
      <c r="V44" s="364"/>
      <c r="W44" s="365"/>
      <c r="X44" s="365"/>
      <c r="Y44" s="1094"/>
      <c r="Z44" s="1126"/>
      <c r="AA44" s="1094"/>
      <c r="AB44" s="1094"/>
      <c r="AC44" s="1094"/>
      <c r="AD44" s="1125"/>
      <c r="AE44" s="1125"/>
      <c r="AF44" s="1126"/>
      <c r="AG44" s="1151"/>
      <c r="AH44" s="1160"/>
      <c r="AI44" s="1141"/>
      <c r="AJ44" s="1141"/>
      <c r="AK44" s="1141"/>
      <c r="AL44" s="1141"/>
      <c r="AM44" s="1141"/>
      <c r="AO44" s="68"/>
      <c r="AP44" s="68"/>
      <c r="AQ44" s="469"/>
      <c r="AR44" s="469"/>
    </row>
    <row r="45" spans="2:44" ht="12.75" customHeight="1" x14ac:dyDescent="0.2">
      <c r="B45" s="69"/>
      <c r="C45" s="956"/>
      <c r="D45" s="886" t="s">
        <v>549</v>
      </c>
      <c r="E45" s="886" t="s">
        <v>201</v>
      </c>
      <c r="F45" s="929" t="s">
        <v>147</v>
      </c>
      <c r="G45" s="930" t="s">
        <v>325</v>
      </c>
      <c r="H45" s="929" t="s">
        <v>231</v>
      </c>
      <c r="I45" s="929" t="s">
        <v>262</v>
      </c>
      <c r="J45" s="931" t="s">
        <v>150</v>
      </c>
      <c r="K45" s="1192"/>
      <c r="L45" s="932" t="s">
        <v>544</v>
      </c>
      <c r="M45" s="932" t="s">
        <v>537</v>
      </c>
      <c r="N45" s="932" t="s">
        <v>551</v>
      </c>
      <c r="O45" s="932" t="s">
        <v>544</v>
      </c>
      <c r="P45" s="1171" t="s">
        <v>556</v>
      </c>
      <c r="Q45" s="898"/>
      <c r="R45" s="1073" t="s">
        <v>216</v>
      </c>
      <c r="S45" s="934" t="s">
        <v>562</v>
      </c>
      <c r="T45" s="935" t="s">
        <v>216</v>
      </c>
      <c r="U45" s="945"/>
      <c r="V45" s="368"/>
      <c r="W45" s="369"/>
      <c r="X45" s="369"/>
      <c r="Y45" s="1127" t="s">
        <v>361</v>
      </c>
      <c r="Z45" s="1182" t="s">
        <v>548</v>
      </c>
      <c r="AA45" s="1115" t="s">
        <v>557</v>
      </c>
      <c r="AB45" s="1115" t="s">
        <v>557</v>
      </c>
      <c r="AC45" s="1115" t="s">
        <v>560</v>
      </c>
      <c r="AD45" s="1128" t="s">
        <v>542</v>
      </c>
      <c r="AE45" s="1128" t="s">
        <v>543</v>
      </c>
      <c r="AF45" s="1114" t="s">
        <v>539</v>
      </c>
      <c r="AG45" s="1152" t="s">
        <v>343</v>
      </c>
      <c r="AH45" s="1160" t="s">
        <v>468</v>
      </c>
      <c r="AI45" s="1114" t="s">
        <v>328</v>
      </c>
      <c r="AJ45" s="1114" t="s">
        <v>329</v>
      </c>
      <c r="AK45" s="1114" t="s">
        <v>149</v>
      </c>
      <c r="AL45" s="1114" t="s">
        <v>228</v>
      </c>
      <c r="AM45" s="1128" t="s">
        <v>203</v>
      </c>
      <c r="AO45" s="68"/>
      <c r="AP45" s="68"/>
      <c r="AQ45" s="469"/>
      <c r="AR45" s="471"/>
    </row>
    <row r="46" spans="2:44" ht="12.75" customHeight="1" x14ac:dyDescent="0.2">
      <c r="B46" s="69"/>
      <c r="C46" s="956"/>
      <c r="D46" s="1075"/>
      <c r="E46" s="886"/>
      <c r="F46" s="929" t="s">
        <v>148</v>
      </c>
      <c r="G46" s="930" t="s">
        <v>326</v>
      </c>
      <c r="H46" s="929"/>
      <c r="I46" s="929"/>
      <c r="J46" s="931"/>
      <c r="K46" s="1192"/>
      <c r="L46" s="932" t="s">
        <v>545</v>
      </c>
      <c r="M46" s="932" t="s">
        <v>547</v>
      </c>
      <c r="N46" s="932" t="s">
        <v>552</v>
      </c>
      <c r="O46" s="932" t="s">
        <v>546</v>
      </c>
      <c r="P46" s="1171" t="s">
        <v>320</v>
      </c>
      <c r="Q46" s="898"/>
      <c r="R46" s="902" t="s">
        <v>554</v>
      </c>
      <c r="S46" s="934" t="s">
        <v>538</v>
      </c>
      <c r="T46" s="935" t="s">
        <v>320</v>
      </c>
      <c r="U46" s="906"/>
      <c r="V46" s="78"/>
      <c r="W46" s="106"/>
      <c r="X46" s="106"/>
      <c r="Y46" s="1127" t="s">
        <v>223</v>
      </c>
      <c r="Z46" s="1183">
        <f>tab!$E$64</f>
        <v>0.62</v>
      </c>
      <c r="AA46" s="1115" t="s">
        <v>558</v>
      </c>
      <c r="AB46" s="1115" t="s">
        <v>559</v>
      </c>
      <c r="AC46" s="1115" t="s">
        <v>555</v>
      </c>
      <c r="AD46" s="1128" t="s">
        <v>541</v>
      </c>
      <c r="AE46" s="1128" t="s">
        <v>541</v>
      </c>
      <c r="AF46" s="1114" t="s">
        <v>540</v>
      </c>
      <c r="AG46" s="1152"/>
      <c r="AH46" s="1159" t="s">
        <v>261</v>
      </c>
      <c r="AI46" s="1128" t="s">
        <v>327</v>
      </c>
      <c r="AJ46" s="1128" t="s">
        <v>327</v>
      </c>
      <c r="AK46" s="1114"/>
      <c r="AL46" s="1114" t="s">
        <v>203</v>
      </c>
      <c r="AM46" s="1128"/>
      <c r="AO46" s="68"/>
      <c r="AP46" s="68"/>
      <c r="AR46" s="375"/>
    </row>
    <row r="47" spans="2:44" ht="12.75" customHeight="1" x14ac:dyDescent="0.2">
      <c r="B47" s="69"/>
      <c r="C47" s="956"/>
      <c r="D47" s="1075"/>
      <c r="E47" s="1075"/>
      <c r="F47" s="899"/>
      <c r="G47" s="946"/>
      <c r="H47" s="929"/>
      <c r="I47" s="929"/>
      <c r="J47" s="931"/>
      <c r="K47" s="933"/>
      <c r="L47" s="932"/>
      <c r="M47" s="932"/>
      <c r="N47" s="932"/>
      <c r="O47" s="932"/>
      <c r="P47" s="932"/>
      <c r="Q47" s="933"/>
      <c r="R47" s="947"/>
      <c r="S47" s="947"/>
      <c r="T47" s="465"/>
      <c r="U47" s="435"/>
      <c r="V47" s="73"/>
      <c r="Y47" s="1127"/>
      <c r="Z47" s="1206"/>
      <c r="AA47" s="1206"/>
      <c r="AB47" s="1206"/>
      <c r="AC47" s="1206"/>
      <c r="AD47" s="1128"/>
      <c r="AE47" s="1128"/>
      <c r="AF47" s="1113"/>
      <c r="AG47" s="1152"/>
      <c r="AH47" s="1159"/>
      <c r="AO47" s="68"/>
      <c r="AP47" s="68"/>
      <c r="AR47" s="375"/>
    </row>
    <row r="48" spans="2:44" ht="12.75" customHeight="1" x14ac:dyDescent="0.2">
      <c r="B48" s="69"/>
      <c r="C48" s="90"/>
      <c r="D48" s="97" t="str">
        <f>IF(obp!D16="","",obp!D16)</f>
        <v/>
      </c>
      <c r="E48" s="97" t="str">
        <f>IF(obp!E16=0,"",obp!E16)</f>
        <v>piet</v>
      </c>
      <c r="F48" s="114">
        <f>IF(obp!F16="","",obp!F16+1)</f>
        <v>41</v>
      </c>
      <c r="G48" s="377" t="str">
        <f>IF(obp!G16="","",obp!G16)</f>
        <v/>
      </c>
      <c r="H48" s="114">
        <f>IF(obp!H16=0,"",obp!H16)</f>
        <v>8</v>
      </c>
      <c r="I48" s="129">
        <f>IF(J48="","",(IF(obp!I16+1&gt;LOOKUP(H48,schaal2011,regels2011),obp!I16,obp!I16+1)))</f>
        <v>9</v>
      </c>
      <c r="J48" s="378">
        <f>IF(obp!J16="","",obp!J16)</f>
        <v>1</v>
      </c>
      <c r="K48" s="392"/>
      <c r="L48" s="1078">
        <f>IF(obp!L16="",0,obp!L16)</f>
        <v>0</v>
      </c>
      <c r="M48" s="1078">
        <f>IF(obp!M16="",0,obp!M16)</f>
        <v>0</v>
      </c>
      <c r="N48" s="1077">
        <f t="shared" ref="N48:N67" si="14">IF(J48="","",IF((J48*40)&gt;40,40,((J48*40))))</f>
        <v>40</v>
      </c>
      <c r="O48" s="1077"/>
      <c r="P48" s="1172">
        <f t="shared" ref="P48:P67" si="15">IF(J48="","",(SUM(L48:O48)))</f>
        <v>40</v>
      </c>
      <c r="Q48" s="91"/>
      <c r="R48" s="936">
        <f>IF(J48="","",(((1659*J48)-P48)*AB48))</f>
        <v>52000.289186256785</v>
      </c>
      <c r="S48" s="936">
        <f t="shared" ref="S48:S67" si="16">IF(J48="","",(P48*AC48)+(AA48*AD48)+((AE48*AA48*(1-AF48))))</f>
        <v>1284.7508137432189</v>
      </c>
      <c r="T48" s="937">
        <f t="shared" ref="T48:T67" si="17">IF(J48="","",(R48+S48))</f>
        <v>53285.04</v>
      </c>
      <c r="U48" s="361"/>
      <c r="V48" s="381"/>
      <c r="W48" s="375"/>
      <c r="X48" s="375"/>
      <c r="Y48" s="1120">
        <f>VLOOKUP(H48,tab!$A$73:$V$114,I48+2,FALSE)</f>
        <v>2741</v>
      </c>
      <c r="Z48" s="1211">
        <f>tab!$E$64</f>
        <v>0.62</v>
      </c>
      <c r="AA48" s="1163">
        <f t="shared" ref="AA48:AA67" si="18">(Y48*12/1659)</f>
        <v>19.826401446654611</v>
      </c>
      <c r="AB48" s="1163">
        <f t="shared" ref="AB48:AB67" si="19">(Y48*12*(1+Z48))/1659</f>
        <v>32.118770343580472</v>
      </c>
      <c r="AC48" s="1163">
        <f t="shared" ref="AC48:AC67" si="20">AB48-AA48</f>
        <v>12.292368896925861</v>
      </c>
      <c r="AD48" s="1162">
        <f t="shared" ref="AD48:AD67" si="21">(N48+O48)</f>
        <v>40</v>
      </c>
      <c r="AE48" s="1162">
        <f t="shared" ref="AE48:AE67" si="22">(L48+M48)</f>
        <v>0</v>
      </c>
      <c r="AF48" s="1129">
        <f>IF(H48&gt;8,tab!$D$65,tab!$D$67)</f>
        <v>0.4</v>
      </c>
      <c r="AG48" s="1143">
        <f t="shared" ref="AG48:AG67" si="23">IF(F48&lt;25,0,IF(F48=25,25,IF(F48&lt;40,0,IF(F48=40,40,IF(F48&gt;=40,0)))))</f>
        <v>0</v>
      </c>
      <c r="AH48" s="1159">
        <f t="shared" ref="AH48:AH67" si="24">IF(AG48=25,(Y48*1.08*(J48)/2),IF(AG48=40,(Y48*1.08*(J48)),IF(AG48=0,0)))</f>
        <v>0</v>
      </c>
      <c r="AM48" s="403"/>
    </row>
    <row r="49" spans="2:39" x14ac:dyDescent="0.2">
      <c r="B49" s="69"/>
      <c r="C49" s="90"/>
      <c r="D49" s="97" t="str">
        <f>IF(obp!D17="","",obp!D17)</f>
        <v/>
      </c>
      <c r="E49" s="97" t="str">
        <f>IF(obp!E17=0,"",obp!E17)</f>
        <v/>
      </c>
      <c r="F49" s="114" t="str">
        <f>IF(obp!F17="","",obp!F17+1)</f>
        <v/>
      </c>
      <c r="G49" s="377" t="str">
        <f>IF(obp!G17="","",obp!G17)</f>
        <v/>
      </c>
      <c r="H49" s="114" t="str">
        <f>IF(obp!H17=0,"",obp!H17)</f>
        <v/>
      </c>
      <c r="I49" s="129" t="str">
        <f>IF(J49="","",(IF(obp!I17+1&gt;LOOKUP(H49,schaal2011,regels2011),obp!I17,obp!I17+1)))</f>
        <v/>
      </c>
      <c r="J49" s="378" t="str">
        <f>IF(obp!J17="","",obp!J17)</f>
        <v/>
      </c>
      <c r="K49" s="392"/>
      <c r="L49" s="1078">
        <f>IF(obp!L17="",0,obp!L17)</f>
        <v>0</v>
      </c>
      <c r="M49" s="1078">
        <f>IF(obp!M17="",0,obp!M17)</f>
        <v>0</v>
      </c>
      <c r="N49" s="1077" t="str">
        <f t="shared" si="14"/>
        <v/>
      </c>
      <c r="O49" s="1077"/>
      <c r="P49" s="1172" t="str">
        <f t="shared" si="15"/>
        <v/>
      </c>
      <c r="Q49" s="91"/>
      <c r="R49" s="936" t="str">
        <f t="shared" ref="R49:R67" si="25">IF(J49="","",(((1659*J49)-P49)*AB49))</f>
        <v/>
      </c>
      <c r="S49" s="936" t="str">
        <f t="shared" si="16"/>
        <v/>
      </c>
      <c r="T49" s="937" t="str">
        <f t="shared" si="17"/>
        <v/>
      </c>
      <c r="U49" s="361"/>
      <c r="V49" s="381"/>
      <c r="W49" s="375"/>
      <c r="X49" s="375"/>
      <c r="Y49" s="1120" t="e">
        <f>VLOOKUP(H49,tab!$A$73:$V$114,I49+2,FALSE)</f>
        <v>#VALUE!</v>
      </c>
      <c r="Z49" s="1211">
        <f>tab!$E$64</f>
        <v>0.62</v>
      </c>
      <c r="AA49" s="1163" t="e">
        <f t="shared" si="18"/>
        <v>#VALUE!</v>
      </c>
      <c r="AB49" s="1163" t="e">
        <f t="shared" si="19"/>
        <v>#VALUE!</v>
      </c>
      <c r="AC49" s="1163" t="e">
        <f t="shared" si="20"/>
        <v>#VALUE!</v>
      </c>
      <c r="AD49" s="1162" t="e">
        <f t="shared" si="21"/>
        <v>#VALUE!</v>
      </c>
      <c r="AE49" s="1162">
        <f t="shared" si="22"/>
        <v>0</v>
      </c>
      <c r="AF49" s="1129">
        <f>IF(H49&gt;8,tab!$D$65,tab!$D$67)</f>
        <v>0.5</v>
      </c>
      <c r="AG49" s="1143">
        <f t="shared" si="23"/>
        <v>0</v>
      </c>
      <c r="AH49" s="1159">
        <f t="shared" si="24"/>
        <v>0</v>
      </c>
      <c r="AM49" s="403"/>
    </row>
    <row r="50" spans="2:39" x14ac:dyDescent="0.2">
      <c r="B50" s="69"/>
      <c r="C50" s="90"/>
      <c r="D50" s="97" t="str">
        <f>IF(obp!D18="","",obp!D18)</f>
        <v/>
      </c>
      <c r="E50" s="97" t="str">
        <f>IF(obp!E18=0,"",obp!E18)</f>
        <v/>
      </c>
      <c r="F50" s="114" t="str">
        <f>IF(obp!F18="","",obp!F18+1)</f>
        <v/>
      </c>
      <c r="G50" s="377" t="str">
        <f>IF(obp!G18="","",obp!G18)</f>
        <v/>
      </c>
      <c r="H50" s="114" t="str">
        <f>IF(obp!H18=0,"",obp!H18)</f>
        <v/>
      </c>
      <c r="I50" s="129" t="str">
        <f>IF(J50="","",(IF(obp!I18+1&gt;LOOKUP(H50,schaal2011,regels2011),obp!I18,obp!I18+1)))</f>
        <v/>
      </c>
      <c r="J50" s="378" t="str">
        <f>IF(obp!J18="","",obp!J18)</f>
        <v/>
      </c>
      <c r="K50" s="392"/>
      <c r="L50" s="1078">
        <f>IF(obp!L18="",0,obp!L18)</f>
        <v>0</v>
      </c>
      <c r="M50" s="1078">
        <f>IF(obp!M18="",0,obp!M18)</f>
        <v>0</v>
      </c>
      <c r="N50" s="1077" t="str">
        <f t="shared" si="14"/>
        <v/>
      </c>
      <c r="O50" s="1077"/>
      <c r="P50" s="1172" t="str">
        <f t="shared" si="15"/>
        <v/>
      </c>
      <c r="Q50" s="91"/>
      <c r="R50" s="936" t="str">
        <f t="shared" si="25"/>
        <v/>
      </c>
      <c r="S50" s="936" t="str">
        <f t="shared" si="16"/>
        <v/>
      </c>
      <c r="T50" s="937" t="str">
        <f t="shared" si="17"/>
        <v/>
      </c>
      <c r="U50" s="361"/>
      <c r="V50" s="381"/>
      <c r="W50" s="375"/>
      <c r="X50" s="375"/>
      <c r="Y50" s="1120" t="e">
        <f>VLOOKUP(H50,tab!$A$73:$V$114,I50+2,FALSE)</f>
        <v>#VALUE!</v>
      </c>
      <c r="Z50" s="1211">
        <f>tab!$E$64</f>
        <v>0.62</v>
      </c>
      <c r="AA50" s="1163" t="e">
        <f t="shared" si="18"/>
        <v>#VALUE!</v>
      </c>
      <c r="AB50" s="1163" t="e">
        <f t="shared" si="19"/>
        <v>#VALUE!</v>
      </c>
      <c r="AC50" s="1163" t="e">
        <f t="shared" si="20"/>
        <v>#VALUE!</v>
      </c>
      <c r="AD50" s="1162" t="e">
        <f t="shared" si="21"/>
        <v>#VALUE!</v>
      </c>
      <c r="AE50" s="1162">
        <f t="shared" si="22"/>
        <v>0</v>
      </c>
      <c r="AF50" s="1129">
        <f>IF(H50&gt;8,tab!$D$65,tab!$D$67)</f>
        <v>0.5</v>
      </c>
      <c r="AG50" s="1143">
        <f t="shared" si="23"/>
        <v>0</v>
      </c>
      <c r="AH50" s="1159">
        <f t="shared" si="24"/>
        <v>0</v>
      </c>
      <c r="AM50" s="403"/>
    </row>
    <row r="51" spans="2:39" x14ac:dyDescent="0.2">
      <c r="B51" s="69"/>
      <c r="C51" s="90"/>
      <c r="D51" s="97" t="str">
        <f>IF(obp!D19="","",obp!D19)</f>
        <v/>
      </c>
      <c r="E51" s="97" t="str">
        <f>IF(obp!E19=0,"",obp!E19)</f>
        <v/>
      </c>
      <c r="F51" s="114" t="str">
        <f>IF(obp!F19="","",obp!F19+1)</f>
        <v/>
      </c>
      <c r="G51" s="377" t="str">
        <f>IF(obp!G19="","",obp!G19)</f>
        <v/>
      </c>
      <c r="H51" s="114" t="str">
        <f>IF(obp!H19=0,"",obp!H19)</f>
        <v/>
      </c>
      <c r="I51" s="129" t="str">
        <f>IF(J51="","",(IF(obp!I19+1&gt;LOOKUP(H51,schaal2011,regels2011),obp!I19,obp!I19+1)))</f>
        <v/>
      </c>
      <c r="J51" s="378" t="str">
        <f>IF(obp!J19="","",obp!J19)</f>
        <v/>
      </c>
      <c r="K51" s="392"/>
      <c r="L51" s="1078">
        <f>IF(obp!L19="",0,obp!L19)</f>
        <v>0</v>
      </c>
      <c r="M51" s="1078">
        <f>IF(obp!M19="",0,obp!M19)</f>
        <v>0</v>
      </c>
      <c r="N51" s="1077" t="str">
        <f t="shared" si="14"/>
        <v/>
      </c>
      <c r="O51" s="1077"/>
      <c r="P51" s="1172" t="str">
        <f t="shared" si="15"/>
        <v/>
      </c>
      <c r="Q51" s="91"/>
      <c r="R51" s="936" t="str">
        <f t="shared" si="25"/>
        <v/>
      </c>
      <c r="S51" s="936" t="str">
        <f t="shared" si="16"/>
        <v/>
      </c>
      <c r="T51" s="937" t="str">
        <f t="shared" si="17"/>
        <v/>
      </c>
      <c r="U51" s="361"/>
      <c r="V51" s="381"/>
      <c r="W51" s="375"/>
      <c r="X51" s="375"/>
      <c r="Y51" s="1120" t="e">
        <f>VLOOKUP(H51,tab!$A$73:$V$114,I51+2,FALSE)</f>
        <v>#VALUE!</v>
      </c>
      <c r="Z51" s="1211">
        <f>tab!$E$64</f>
        <v>0.62</v>
      </c>
      <c r="AA51" s="1163" t="e">
        <f t="shared" si="18"/>
        <v>#VALUE!</v>
      </c>
      <c r="AB51" s="1163" t="e">
        <f t="shared" si="19"/>
        <v>#VALUE!</v>
      </c>
      <c r="AC51" s="1163" t="e">
        <f t="shared" si="20"/>
        <v>#VALUE!</v>
      </c>
      <c r="AD51" s="1162" t="e">
        <f t="shared" si="21"/>
        <v>#VALUE!</v>
      </c>
      <c r="AE51" s="1162">
        <f t="shared" si="22"/>
        <v>0</v>
      </c>
      <c r="AF51" s="1129">
        <f>IF(H51&gt;8,tab!$D$65,tab!$D$67)</f>
        <v>0.5</v>
      </c>
      <c r="AG51" s="1143">
        <f t="shared" si="23"/>
        <v>0</v>
      </c>
      <c r="AH51" s="1159">
        <f t="shared" si="24"/>
        <v>0</v>
      </c>
      <c r="AM51" s="403"/>
    </row>
    <row r="52" spans="2:39" x14ac:dyDescent="0.2">
      <c r="B52" s="69"/>
      <c r="C52" s="90"/>
      <c r="D52" s="97" t="str">
        <f>IF(obp!D20="","",obp!D20)</f>
        <v/>
      </c>
      <c r="E52" s="97" t="str">
        <f>IF(obp!E20=0,"",obp!E20)</f>
        <v/>
      </c>
      <c r="F52" s="114" t="str">
        <f>IF(obp!F20="","",obp!F20+1)</f>
        <v/>
      </c>
      <c r="G52" s="377" t="str">
        <f>IF(obp!G20="","",obp!G20)</f>
        <v/>
      </c>
      <c r="H52" s="114" t="str">
        <f>IF(obp!H20=0,"",obp!H20)</f>
        <v/>
      </c>
      <c r="I52" s="129" t="str">
        <f>IF(J52="","",(IF(obp!I20+1&gt;LOOKUP(H52,schaal2011,regels2011),obp!I20,obp!I20+1)))</f>
        <v/>
      </c>
      <c r="J52" s="378" t="str">
        <f>IF(obp!J20="","",obp!J20)</f>
        <v/>
      </c>
      <c r="K52" s="392"/>
      <c r="L52" s="1078">
        <f>IF(obp!L20="",0,obp!L20)</f>
        <v>0</v>
      </c>
      <c r="M52" s="1078">
        <f>IF(obp!M20="",0,obp!M20)</f>
        <v>0</v>
      </c>
      <c r="N52" s="1077" t="str">
        <f t="shared" si="14"/>
        <v/>
      </c>
      <c r="O52" s="1077"/>
      <c r="P52" s="1172" t="str">
        <f t="shared" si="15"/>
        <v/>
      </c>
      <c r="Q52" s="91"/>
      <c r="R52" s="936" t="str">
        <f t="shared" si="25"/>
        <v/>
      </c>
      <c r="S52" s="936" t="str">
        <f t="shared" si="16"/>
        <v/>
      </c>
      <c r="T52" s="937" t="str">
        <f t="shared" si="17"/>
        <v/>
      </c>
      <c r="U52" s="361"/>
      <c r="V52" s="381"/>
      <c r="W52" s="375"/>
      <c r="X52" s="375"/>
      <c r="Y52" s="1120" t="e">
        <f>VLOOKUP(H52,tab!$A$73:$V$114,I52+2,FALSE)</f>
        <v>#VALUE!</v>
      </c>
      <c r="Z52" s="1211">
        <f>tab!$E$64</f>
        <v>0.62</v>
      </c>
      <c r="AA52" s="1163" t="e">
        <f t="shared" si="18"/>
        <v>#VALUE!</v>
      </c>
      <c r="AB52" s="1163" t="e">
        <f t="shared" si="19"/>
        <v>#VALUE!</v>
      </c>
      <c r="AC52" s="1163" t="e">
        <f t="shared" si="20"/>
        <v>#VALUE!</v>
      </c>
      <c r="AD52" s="1162" t="e">
        <f t="shared" si="21"/>
        <v>#VALUE!</v>
      </c>
      <c r="AE52" s="1162">
        <f t="shared" si="22"/>
        <v>0</v>
      </c>
      <c r="AF52" s="1129">
        <f>IF(H52&gt;8,tab!$D$65,tab!$D$67)</f>
        <v>0.5</v>
      </c>
      <c r="AG52" s="1143">
        <f t="shared" si="23"/>
        <v>0</v>
      </c>
      <c r="AH52" s="1159">
        <f t="shared" si="24"/>
        <v>0</v>
      </c>
      <c r="AM52" s="403"/>
    </row>
    <row r="53" spans="2:39" x14ac:dyDescent="0.2">
      <c r="B53" s="69"/>
      <c r="C53" s="90"/>
      <c r="D53" s="97" t="str">
        <f>IF(obp!D21="","",obp!D21)</f>
        <v/>
      </c>
      <c r="E53" s="97" t="str">
        <f>IF(obp!E21=0,"",obp!E21)</f>
        <v/>
      </c>
      <c r="F53" s="114" t="str">
        <f>IF(obp!F21="","",obp!F21+1)</f>
        <v/>
      </c>
      <c r="G53" s="377" t="str">
        <f>IF(obp!G21="","",obp!G21)</f>
        <v/>
      </c>
      <c r="H53" s="114" t="str">
        <f>IF(obp!H21=0,"",obp!H21)</f>
        <v/>
      </c>
      <c r="I53" s="129" t="str">
        <f>IF(J53="","",(IF(obp!I21+1&gt;LOOKUP(H53,schaal2011,regels2011),obp!I21,obp!I21+1)))</f>
        <v/>
      </c>
      <c r="J53" s="378" t="str">
        <f>IF(obp!J21="","",obp!J21)</f>
        <v/>
      </c>
      <c r="K53" s="392"/>
      <c r="L53" s="1078">
        <f>IF(obp!L21="",0,obp!L21)</f>
        <v>0</v>
      </c>
      <c r="M53" s="1078">
        <f>IF(obp!M21="",0,obp!M21)</f>
        <v>0</v>
      </c>
      <c r="N53" s="1077" t="str">
        <f t="shared" si="14"/>
        <v/>
      </c>
      <c r="O53" s="1077"/>
      <c r="P53" s="1172" t="str">
        <f t="shared" si="15"/>
        <v/>
      </c>
      <c r="Q53" s="91"/>
      <c r="R53" s="936" t="str">
        <f t="shared" si="25"/>
        <v/>
      </c>
      <c r="S53" s="936" t="str">
        <f t="shared" si="16"/>
        <v/>
      </c>
      <c r="T53" s="937" t="str">
        <f t="shared" si="17"/>
        <v/>
      </c>
      <c r="U53" s="361"/>
      <c r="V53" s="381"/>
      <c r="W53" s="375"/>
      <c r="X53" s="375"/>
      <c r="Y53" s="1120" t="e">
        <f>VLOOKUP(H53,tab!$A$73:$V$114,I53+2,FALSE)</f>
        <v>#VALUE!</v>
      </c>
      <c r="Z53" s="1211">
        <f>tab!$E$64</f>
        <v>0.62</v>
      </c>
      <c r="AA53" s="1163" t="e">
        <f t="shared" si="18"/>
        <v>#VALUE!</v>
      </c>
      <c r="AB53" s="1163" t="e">
        <f t="shared" si="19"/>
        <v>#VALUE!</v>
      </c>
      <c r="AC53" s="1163" t="e">
        <f t="shared" si="20"/>
        <v>#VALUE!</v>
      </c>
      <c r="AD53" s="1162" t="e">
        <f t="shared" si="21"/>
        <v>#VALUE!</v>
      </c>
      <c r="AE53" s="1162">
        <f t="shared" si="22"/>
        <v>0</v>
      </c>
      <c r="AF53" s="1129">
        <f>IF(H53&gt;8,tab!$D$65,tab!$D$67)</f>
        <v>0.5</v>
      </c>
      <c r="AG53" s="1143">
        <f t="shared" si="23"/>
        <v>0</v>
      </c>
      <c r="AH53" s="1159">
        <f t="shared" si="24"/>
        <v>0</v>
      </c>
      <c r="AM53" s="403"/>
    </row>
    <row r="54" spans="2:39" x14ac:dyDescent="0.2">
      <c r="B54" s="69"/>
      <c r="C54" s="90"/>
      <c r="D54" s="97" t="str">
        <f>IF(obp!D22="","",obp!D22)</f>
        <v/>
      </c>
      <c r="E54" s="97" t="str">
        <f>IF(obp!E22=0,"",obp!E22)</f>
        <v/>
      </c>
      <c r="F54" s="114" t="str">
        <f>IF(obp!F22="","",obp!F22+1)</f>
        <v/>
      </c>
      <c r="G54" s="377" t="str">
        <f>IF(obp!G22="","",obp!G22)</f>
        <v/>
      </c>
      <c r="H54" s="114" t="str">
        <f>IF(obp!H22=0,"",obp!H22)</f>
        <v/>
      </c>
      <c r="I54" s="129" t="str">
        <f>IF(J54="","",(IF(obp!I22+1&gt;LOOKUP(H54,schaal2011,regels2011),obp!I22,obp!I22+1)))</f>
        <v/>
      </c>
      <c r="J54" s="378" t="str">
        <f>IF(obp!J22="","",obp!J22)</f>
        <v/>
      </c>
      <c r="K54" s="392"/>
      <c r="L54" s="1078">
        <f>IF(obp!L22="",0,obp!L22)</f>
        <v>0</v>
      </c>
      <c r="M54" s="1078">
        <f>IF(obp!M22="",0,obp!M22)</f>
        <v>0</v>
      </c>
      <c r="N54" s="1077" t="str">
        <f t="shared" si="14"/>
        <v/>
      </c>
      <c r="O54" s="1077"/>
      <c r="P54" s="1172" t="str">
        <f t="shared" si="15"/>
        <v/>
      </c>
      <c r="Q54" s="91"/>
      <c r="R54" s="936" t="str">
        <f t="shared" si="25"/>
        <v/>
      </c>
      <c r="S54" s="936" t="str">
        <f t="shared" si="16"/>
        <v/>
      </c>
      <c r="T54" s="937" t="str">
        <f t="shared" si="17"/>
        <v/>
      </c>
      <c r="U54" s="361"/>
      <c r="V54" s="381"/>
      <c r="W54" s="375"/>
      <c r="X54" s="375"/>
      <c r="Y54" s="1120" t="e">
        <f>VLOOKUP(H54,tab!$A$73:$V$114,I54+2,FALSE)</f>
        <v>#VALUE!</v>
      </c>
      <c r="Z54" s="1211">
        <f>tab!$E$64</f>
        <v>0.62</v>
      </c>
      <c r="AA54" s="1163" t="e">
        <f t="shared" si="18"/>
        <v>#VALUE!</v>
      </c>
      <c r="AB54" s="1163" t="e">
        <f t="shared" si="19"/>
        <v>#VALUE!</v>
      </c>
      <c r="AC54" s="1163" t="e">
        <f t="shared" si="20"/>
        <v>#VALUE!</v>
      </c>
      <c r="AD54" s="1162" t="e">
        <f t="shared" si="21"/>
        <v>#VALUE!</v>
      </c>
      <c r="AE54" s="1162">
        <f t="shared" si="22"/>
        <v>0</v>
      </c>
      <c r="AF54" s="1129">
        <f>IF(H54&gt;8,tab!$D$65,tab!$D$67)</f>
        <v>0.5</v>
      </c>
      <c r="AG54" s="1143">
        <f t="shared" si="23"/>
        <v>0</v>
      </c>
      <c r="AH54" s="1159">
        <f t="shared" si="24"/>
        <v>0</v>
      </c>
      <c r="AM54" s="403"/>
    </row>
    <row r="55" spans="2:39" x14ac:dyDescent="0.2">
      <c r="B55" s="69"/>
      <c r="C55" s="90"/>
      <c r="D55" s="97" t="str">
        <f>IF(obp!D23="","",obp!D23)</f>
        <v/>
      </c>
      <c r="E55" s="97" t="str">
        <f>IF(obp!E23=0,"",obp!E23)</f>
        <v/>
      </c>
      <c r="F55" s="114" t="str">
        <f>IF(obp!F23="","",obp!F23+1)</f>
        <v/>
      </c>
      <c r="G55" s="377" t="str">
        <f>IF(obp!G23="","",obp!G23)</f>
        <v/>
      </c>
      <c r="H55" s="114" t="str">
        <f>IF(obp!H23=0,"",obp!H23)</f>
        <v/>
      </c>
      <c r="I55" s="129" t="str">
        <f>IF(J55="","",(IF(obp!I23+1&gt;LOOKUP(H55,schaal2011,regels2011),obp!I23,obp!I23+1)))</f>
        <v/>
      </c>
      <c r="J55" s="378" t="str">
        <f>IF(obp!J23="","",obp!J23)</f>
        <v/>
      </c>
      <c r="K55" s="392"/>
      <c r="L55" s="1078">
        <f>IF(obp!L23="",0,obp!L23)</f>
        <v>0</v>
      </c>
      <c r="M55" s="1078">
        <f>IF(obp!M23="",0,obp!M23)</f>
        <v>0</v>
      </c>
      <c r="N55" s="1077" t="str">
        <f t="shared" si="14"/>
        <v/>
      </c>
      <c r="O55" s="1077"/>
      <c r="P55" s="1172" t="str">
        <f t="shared" si="15"/>
        <v/>
      </c>
      <c r="Q55" s="91"/>
      <c r="R55" s="936" t="str">
        <f t="shared" si="25"/>
        <v/>
      </c>
      <c r="S55" s="936" t="str">
        <f t="shared" si="16"/>
        <v/>
      </c>
      <c r="T55" s="937" t="str">
        <f t="shared" si="17"/>
        <v/>
      </c>
      <c r="U55" s="361"/>
      <c r="V55" s="381"/>
      <c r="W55" s="375"/>
      <c r="X55" s="375"/>
      <c r="Y55" s="1120" t="e">
        <f>VLOOKUP(H55,tab!$A$73:$V$114,I55+2,FALSE)</f>
        <v>#VALUE!</v>
      </c>
      <c r="Z55" s="1211">
        <f>tab!$E$64</f>
        <v>0.62</v>
      </c>
      <c r="AA55" s="1163" t="e">
        <f t="shared" si="18"/>
        <v>#VALUE!</v>
      </c>
      <c r="AB55" s="1163" t="e">
        <f t="shared" si="19"/>
        <v>#VALUE!</v>
      </c>
      <c r="AC55" s="1163" t="e">
        <f t="shared" si="20"/>
        <v>#VALUE!</v>
      </c>
      <c r="AD55" s="1162" t="e">
        <f t="shared" si="21"/>
        <v>#VALUE!</v>
      </c>
      <c r="AE55" s="1162">
        <f t="shared" si="22"/>
        <v>0</v>
      </c>
      <c r="AF55" s="1129">
        <f>IF(H55&gt;8,tab!$D$65,tab!$D$67)</f>
        <v>0.5</v>
      </c>
      <c r="AG55" s="1143">
        <f t="shared" si="23"/>
        <v>0</v>
      </c>
      <c r="AH55" s="1159">
        <f t="shared" si="24"/>
        <v>0</v>
      </c>
      <c r="AM55" s="403"/>
    </row>
    <row r="56" spans="2:39" x14ac:dyDescent="0.2">
      <c r="B56" s="69"/>
      <c r="C56" s="90"/>
      <c r="D56" s="97" t="str">
        <f>IF(obp!D24="","",obp!D24)</f>
        <v/>
      </c>
      <c r="E56" s="97" t="str">
        <f>IF(obp!E24=0,"",obp!E24)</f>
        <v/>
      </c>
      <c r="F56" s="114" t="str">
        <f>IF(obp!F24="","",obp!F24+1)</f>
        <v/>
      </c>
      <c r="G56" s="377" t="str">
        <f>IF(obp!G24="","",obp!G24)</f>
        <v/>
      </c>
      <c r="H56" s="114" t="str">
        <f>IF(obp!H24=0,"",obp!H24)</f>
        <v/>
      </c>
      <c r="I56" s="129" t="str">
        <f>IF(J56="","",(IF(obp!I24+1&gt;LOOKUP(H56,schaal2011,regels2011),obp!I24,obp!I24+1)))</f>
        <v/>
      </c>
      <c r="J56" s="378" t="str">
        <f>IF(obp!J24="","",obp!J24)</f>
        <v/>
      </c>
      <c r="K56" s="392"/>
      <c r="L56" s="1078">
        <f>IF(obp!L24="",0,obp!L24)</f>
        <v>0</v>
      </c>
      <c r="M56" s="1078">
        <f>IF(obp!M24="",0,obp!M24)</f>
        <v>0</v>
      </c>
      <c r="N56" s="1077" t="str">
        <f t="shared" si="14"/>
        <v/>
      </c>
      <c r="O56" s="1077"/>
      <c r="P56" s="1172" t="str">
        <f t="shared" si="15"/>
        <v/>
      </c>
      <c r="Q56" s="91"/>
      <c r="R56" s="936" t="str">
        <f t="shared" si="25"/>
        <v/>
      </c>
      <c r="S56" s="936" t="str">
        <f t="shared" si="16"/>
        <v/>
      </c>
      <c r="T56" s="937" t="str">
        <f t="shared" si="17"/>
        <v/>
      </c>
      <c r="U56" s="361"/>
      <c r="V56" s="381"/>
      <c r="W56" s="375"/>
      <c r="X56" s="375"/>
      <c r="Y56" s="1120" t="e">
        <f>VLOOKUP(H56,tab!$A$73:$V$114,I56+2,FALSE)</f>
        <v>#VALUE!</v>
      </c>
      <c r="Z56" s="1211">
        <f>tab!$E$64</f>
        <v>0.62</v>
      </c>
      <c r="AA56" s="1163" t="e">
        <f t="shared" si="18"/>
        <v>#VALUE!</v>
      </c>
      <c r="AB56" s="1163" t="e">
        <f t="shared" si="19"/>
        <v>#VALUE!</v>
      </c>
      <c r="AC56" s="1163" t="e">
        <f t="shared" si="20"/>
        <v>#VALUE!</v>
      </c>
      <c r="AD56" s="1162" t="e">
        <f t="shared" si="21"/>
        <v>#VALUE!</v>
      </c>
      <c r="AE56" s="1162">
        <f t="shared" si="22"/>
        <v>0</v>
      </c>
      <c r="AF56" s="1129">
        <f>IF(H56&gt;8,tab!$D$65,tab!$D$67)</f>
        <v>0.5</v>
      </c>
      <c r="AG56" s="1143">
        <f t="shared" si="23"/>
        <v>0</v>
      </c>
      <c r="AH56" s="1159">
        <f t="shared" si="24"/>
        <v>0</v>
      </c>
      <c r="AM56" s="403"/>
    </row>
    <row r="57" spans="2:39" x14ac:dyDescent="0.2">
      <c r="B57" s="69"/>
      <c r="C57" s="90"/>
      <c r="D57" s="97" t="str">
        <f>IF(obp!D25="","",obp!D25)</f>
        <v/>
      </c>
      <c r="E57" s="97" t="str">
        <f>IF(obp!E25=0,"",obp!E25)</f>
        <v/>
      </c>
      <c r="F57" s="114" t="str">
        <f>IF(obp!F25="","",obp!F25+1)</f>
        <v/>
      </c>
      <c r="G57" s="377" t="str">
        <f>IF(obp!G25="","",obp!G25)</f>
        <v/>
      </c>
      <c r="H57" s="114" t="str">
        <f>IF(obp!H25=0,"",obp!H25)</f>
        <v/>
      </c>
      <c r="I57" s="129" t="str">
        <f>IF(J57="","",(IF(obp!I25+1&gt;LOOKUP(H57,schaal2011,regels2011),obp!I25,obp!I25+1)))</f>
        <v/>
      </c>
      <c r="J57" s="378" t="str">
        <f>IF(obp!J25="","",obp!J25)</f>
        <v/>
      </c>
      <c r="K57" s="392"/>
      <c r="L57" s="1078">
        <f>IF(obp!L25="",0,obp!L25)</f>
        <v>0</v>
      </c>
      <c r="M57" s="1078">
        <f>IF(obp!M25="",0,obp!M25)</f>
        <v>0</v>
      </c>
      <c r="N57" s="1077" t="str">
        <f t="shared" si="14"/>
        <v/>
      </c>
      <c r="O57" s="1077"/>
      <c r="P57" s="1172" t="str">
        <f t="shared" si="15"/>
        <v/>
      </c>
      <c r="Q57" s="91"/>
      <c r="R57" s="936" t="str">
        <f t="shared" si="25"/>
        <v/>
      </c>
      <c r="S57" s="936" t="str">
        <f t="shared" si="16"/>
        <v/>
      </c>
      <c r="T57" s="937" t="str">
        <f t="shared" si="17"/>
        <v/>
      </c>
      <c r="U57" s="361"/>
      <c r="V57" s="381"/>
      <c r="W57" s="375"/>
      <c r="X57" s="375"/>
      <c r="Y57" s="1120" t="e">
        <f>VLOOKUP(H57,tab!$A$73:$V$114,I57+2,FALSE)</f>
        <v>#VALUE!</v>
      </c>
      <c r="Z57" s="1211">
        <f>tab!$E$64</f>
        <v>0.62</v>
      </c>
      <c r="AA57" s="1163" t="e">
        <f t="shared" si="18"/>
        <v>#VALUE!</v>
      </c>
      <c r="AB57" s="1163" t="e">
        <f t="shared" si="19"/>
        <v>#VALUE!</v>
      </c>
      <c r="AC57" s="1163" t="e">
        <f t="shared" si="20"/>
        <v>#VALUE!</v>
      </c>
      <c r="AD57" s="1162" t="e">
        <f t="shared" si="21"/>
        <v>#VALUE!</v>
      </c>
      <c r="AE57" s="1162">
        <f t="shared" si="22"/>
        <v>0</v>
      </c>
      <c r="AF57" s="1129">
        <f>IF(H57&gt;8,tab!$D$65,tab!$D$67)</f>
        <v>0.5</v>
      </c>
      <c r="AG57" s="1143">
        <f t="shared" si="23"/>
        <v>0</v>
      </c>
      <c r="AH57" s="1159">
        <f t="shared" si="24"/>
        <v>0</v>
      </c>
      <c r="AM57" s="403"/>
    </row>
    <row r="58" spans="2:39" x14ac:dyDescent="0.2">
      <c r="B58" s="69"/>
      <c r="C58" s="90"/>
      <c r="D58" s="97" t="str">
        <f>IF(obp!D26="","",obp!D26)</f>
        <v/>
      </c>
      <c r="E58" s="97" t="str">
        <f>IF(obp!E26=0,"",obp!E26)</f>
        <v/>
      </c>
      <c r="F58" s="114" t="str">
        <f>IF(obp!F26="","",obp!F26+1)</f>
        <v/>
      </c>
      <c r="G58" s="377" t="str">
        <f>IF(obp!G26="","",obp!G26)</f>
        <v/>
      </c>
      <c r="H58" s="114" t="str">
        <f>IF(obp!H26=0,"",obp!H26)</f>
        <v/>
      </c>
      <c r="I58" s="129" t="str">
        <f>IF(J58="","",(IF(obp!I26+1&gt;LOOKUP(H58,schaal2011,regels2011),obp!I26,obp!I26+1)))</f>
        <v/>
      </c>
      <c r="J58" s="378" t="str">
        <f>IF(obp!J26="","",obp!J26)</f>
        <v/>
      </c>
      <c r="K58" s="392"/>
      <c r="L58" s="1078">
        <f>IF(obp!L26="",0,obp!L26)</f>
        <v>0</v>
      </c>
      <c r="M58" s="1078">
        <f>IF(obp!M26="",0,obp!M26)</f>
        <v>0</v>
      </c>
      <c r="N58" s="1077" t="str">
        <f t="shared" si="14"/>
        <v/>
      </c>
      <c r="O58" s="1077"/>
      <c r="P58" s="1172" t="str">
        <f t="shared" si="15"/>
        <v/>
      </c>
      <c r="Q58" s="91"/>
      <c r="R58" s="936" t="str">
        <f t="shared" si="25"/>
        <v/>
      </c>
      <c r="S58" s="936" t="str">
        <f t="shared" si="16"/>
        <v/>
      </c>
      <c r="T58" s="937" t="str">
        <f t="shared" si="17"/>
        <v/>
      </c>
      <c r="U58" s="361"/>
      <c r="V58" s="381"/>
      <c r="W58" s="375"/>
      <c r="X58" s="375"/>
      <c r="Y58" s="1120" t="e">
        <f>VLOOKUP(H58,tab!$A$73:$V$114,I58+2,FALSE)</f>
        <v>#VALUE!</v>
      </c>
      <c r="Z58" s="1211">
        <f>tab!$E$64</f>
        <v>0.62</v>
      </c>
      <c r="AA58" s="1163" t="e">
        <f t="shared" si="18"/>
        <v>#VALUE!</v>
      </c>
      <c r="AB58" s="1163" t="e">
        <f t="shared" si="19"/>
        <v>#VALUE!</v>
      </c>
      <c r="AC58" s="1163" t="e">
        <f t="shared" si="20"/>
        <v>#VALUE!</v>
      </c>
      <c r="AD58" s="1162" t="e">
        <f t="shared" si="21"/>
        <v>#VALUE!</v>
      </c>
      <c r="AE58" s="1162">
        <f t="shared" si="22"/>
        <v>0</v>
      </c>
      <c r="AF58" s="1129">
        <f>IF(H58&gt;8,tab!$D$65,tab!$D$67)</f>
        <v>0.5</v>
      </c>
      <c r="AG58" s="1143">
        <f t="shared" si="23"/>
        <v>0</v>
      </c>
      <c r="AH58" s="1159">
        <f t="shared" si="24"/>
        <v>0</v>
      </c>
      <c r="AM58" s="403"/>
    </row>
    <row r="59" spans="2:39" x14ac:dyDescent="0.2">
      <c r="B59" s="69"/>
      <c r="C59" s="90"/>
      <c r="D59" s="97" t="str">
        <f>IF(obp!D27="","",obp!D27)</f>
        <v/>
      </c>
      <c r="E59" s="97" t="str">
        <f>IF(obp!E27=0,"",obp!E27)</f>
        <v/>
      </c>
      <c r="F59" s="114" t="str">
        <f>IF(obp!F27="","",obp!F27+1)</f>
        <v/>
      </c>
      <c r="G59" s="377" t="str">
        <f>IF(obp!G27="","",obp!G27)</f>
        <v/>
      </c>
      <c r="H59" s="114" t="str">
        <f>IF(obp!H27=0,"",obp!H27)</f>
        <v/>
      </c>
      <c r="I59" s="129" t="str">
        <f>IF(J59="","",(IF(obp!I27+1&gt;LOOKUP(H59,schaal2011,regels2011),obp!I27,obp!I27+1)))</f>
        <v/>
      </c>
      <c r="J59" s="378" t="str">
        <f>IF(obp!J27="","",obp!J27)</f>
        <v/>
      </c>
      <c r="K59" s="392"/>
      <c r="L59" s="1078">
        <f>IF(obp!L27="",0,obp!L27)</f>
        <v>0</v>
      </c>
      <c r="M59" s="1078">
        <f>IF(obp!M27="",0,obp!M27)</f>
        <v>0</v>
      </c>
      <c r="N59" s="1077" t="str">
        <f t="shared" si="14"/>
        <v/>
      </c>
      <c r="O59" s="1077"/>
      <c r="P59" s="1172" t="str">
        <f t="shared" si="15"/>
        <v/>
      </c>
      <c r="Q59" s="91"/>
      <c r="R59" s="936" t="str">
        <f t="shared" si="25"/>
        <v/>
      </c>
      <c r="S59" s="936" t="str">
        <f t="shared" si="16"/>
        <v/>
      </c>
      <c r="T59" s="937" t="str">
        <f t="shared" si="17"/>
        <v/>
      </c>
      <c r="U59" s="361"/>
      <c r="V59" s="381"/>
      <c r="W59" s="375"/>
      <c r="X59" s="375"/>
      <c r="Y59" s="1120" t="e">
        <f>VLOOKUP(H59,tab!$A$73:$V$114,I59+2,FALSE)</f>
        <v>#VALUE!</v>
      </c>
      <c r="Z59" s="1211">
        <f>tab!$E$64</f>
        <v>0.62</v>
      </c>
      <c r="AA59" s="1163" t="e">
        <f t="shared" si="18"/>
        <v>#VALUE!</v>
      </c>
      <c r="AB59" s="1163" t="e">
        <f t="shared" si="19"/>
        <v>#VALUE!</v>
      </c>
      <c r="AC59" s="1163" t="e">
        <f t="shared" si="20"/>
        <v>#VALUE!</v>
      </c>
      <c r="AD59" s="1162" t="e">
        <f t="shared" si="21"/>
        <v>#VALUE!</v>
      </c>
      <c r="AE59" s="1162">
        <f t="shared" si="22"/>
        <v>0</v>
      </c>
      <c r="AF59" s="1129">
        <f>IF(H59&gt;8,tab!$D$65,tab!$D$67)</f>
        <v>0.5</v>
      </c>
      <c r="AG59" s="1143">
        <f t="shared" si="23"/>
        <v>0</v>
      </c>
      <c r="AH59" s="1159">
        <f t="shared" si="24"/>
        <v>0</v>
      </c>
      <c r="AM59" s="403"/>
    </row>
    <row r="60" spans="2:39" x14ac:dyDescent="0.2">
      <c r="B60" s="69"/>
      <c r="C60" s="90"/>
      <c r="D60" s="97" t="str">
        <f>IF(obp!D28="","",obp!D28)</f>
        <v/>
      </c>
      <c r="E60" s="97" t="str">
        <f>IF(obp!E28=0,"",obp!E28)</f>
        <v/>
      </c>
      <c r="F60" s="114" t="str">
        <f>IF(obp!F28="","",obp!F28+1)</f>
        <v/>
      </c>
      <c r="G60" s="377" t="str">
        <f>IF(obp!G28="","",obp!G28)</f>
        <v/>
      </c>
      <c r="H60" s="114" t="str">
        <f>IF(obp!H28=0,"",obp!H28)</f>
        <v/>
      </c>
      <c r="I60" s="129" t="str">
        <f>IF(J60="","",(IF(obp!I28+1&gt;LOOKUP(H60,schaal2011,regels2011),obp!I28,obp!I28+1)))</f>
        <v/>
      </c>
      <c r="J60" s="378" t="str">
        <f>IF(obp!J28="","",obp!J28)</f>
        <v/>
      </c>
      <c r="K60" s="392"/>
      <c r="L60" s="1078">
        <f>IF(obp!L28="",0,obp!L28)</f>
        <v>0</v>
      </c>
      <c r="M60" s="1078">
        <f>IF(obp!M28="",0,obp!M28)</f>
        <v>0</v>
      </c>
      <c r="N60" s="1077" t="str">
        <f t="shared" si="14"/>
        <v/>
      </c>
      <c r="O60" s="1077"/>
      <c r="P60" s="1172" t="str">
        <f t="shared" si="15"/>
        <v/>
      </c>
      <c r="Q60" s="91"/>
      <c r="R60" s="936" t="str">
        <f t="shared" si="25"/>
        <v/>
      </c>
      <c r="S60" s="936" t="str">
        <f t="shared" si="16"/>
        <v/>
      </c>
      <c r="T60" s="937" t="str">
        <f t="shared" si="17"/>
        <v/>
      </c>
      <c r="U60" s="361"/>
      <c r="V60" s="381"/>
      <c r="W60" s="375"/>
      <c r="X60" s="375"/>
      <c r="Y60" s="1120" t="e">
        <f>VLOOKUP(H60,tab!$A$73:$V$114,I60+2,FALSE)</f>
        <v>#VALUE!</v>
      </c>
      <c r="Z60" s="1211">
        <f>tab!$E$64</f>
        <v>0.62</v>
      </c>
      <c r="AA60" s="1163" t="e">
        <f t="shared" si="18"/>
        <v>#VALUE!</v>
      </c>
      <c r="AB60" s="1163" t="e">
        <f t="shared" si="19"/>
        <v>#VALUE!</v>
      </c>
      <c r="AC60" s="1163" t="e">
        <f t="shared" si="20"/>
        <v>#VALUE!</v>
      </c>
      <c r="AD60" s="1162" t="e">
        <f t="shared" si="21"/>
        <v>#VALUE!</v>
      </c>
      <c r="AE60" s="1162">
        <f t="shared" si="22"/>
        <v>0</v>
      </c>
      <c r="AF60" s="1129">
        <f>IF(H60&gt;8,tab!$D$65,tab!$D$67)</f>
        <v>0.5</v>
      </c>
      <c r="AG60" s="1143">
        <f t="shared" si="23"/>
        <v>0</v>
      </c>
      <c r="AH60" s="1159">
        <f t="shared" si="24"/>
        <v>0</v>
      </c>
      <c r="AM60" s="403"/>
    </row>
    <row r="61" spans="2:39" x14ac:dyDescent="0.2">
      <c r="B61" s="69"/>
      <c r="C61" s="90"/>
      <c r="D61" s="97" t="str">
        <f>IF(obp!D29="","",obp!D29)</f>
        <v/>
      </c>
      <c r="E61" s="97" t="str">
        <f>IF(obp!E29=0,"",obp!E29)</f>
        <v/>
      </c>
      <c r="F61" s="114" t="str">
        <f>IF(obp!F29="","",obp!F29+1)</f>
        <v/>
      </c>
      <c r="G61" s="377" t="str">
        <f>IF(obp!G29="","",obp!G29)</f>
        <v/>
      </c>
      <c r="H61" s="114" t="str">
        <f>IF(obp!H29=0,"",obp!H29)</f>
        <v/>
      </c>
      <c r="I61" s="129" t="str">
        <f>IF(J61="","",(IF(obp!I29+1&gt;LOOKUP(H61,schaal2011,regels2011),obp!I29,obp!I29+1)))</f>
        <v/>
      </c>
      <c r="J61" s="378" t="str">
        <f>IF(obp!J29="","",obp!J29)</f>
        <v/>
      </c>
      <c r="K61" s="392"/>
      <c r="L61" s="1078">
        <f>IF(obp!L29="",0,obp!L29)</f>
        <v>0</v>
      </c>
      <c r="M61" s="1078">
        <f>IF(obp!M29="",0,obp!M29)</f>
        <v>0</v>
      </c>
      <c r="N61" s="1077" t="str">
        <f t="shared" si="14"/>
        <v/>
      </c>
      <c r="O61" s="1077"/>
      <c r="P61" s="1172" t="str">
        <f t="shared" si="15"/>
        <v/>
      </c>
      <c r="Q61" s="91"/>
      <c r="R61" s="936" t="str">
        <f t="shared" si="25"/>
        <v/>
      </c>
      <c r="S61" s="936" t="str">
        <f t="shared" si="16"/>
        <v/>
      </c>
      <c r="T61" s="937" t="str">
        <f t="shared" si="17"/>
        <v/>
      </c>
      <c r="U61" s="361"/>
      <c r="V61" s="381"/>
      <c r="W61" s="375"/>
      <c r="X61" s="375"/>
      <c r="Y61" s="1120" t="e">
        <f>VLOOKUP(H61,tab!$A$73:$V$114,I61+2,FALSE)</f>
        <v>#VALUE!</v>
      </c>
      <c r="Z61" s="1211">
        <f>tab!$E$64</f>
        <v>0.62</v>
      </c>
      <c r="AA61" s="1163" t="e">
        <f t="shared" si="18"/>
        <v>#VALUE!</v>
      </c>
      <c r="AB61" s="1163" t="e">
        <f t="shared" si="19"/>
        <v>#VALUE!</v>
      </c>
      <c r="AC61" s="1163" t="e">
        <f t="shared" si="20"/>
        <v>#VALUE!</v>
      </c>
      <c r="AD61" s="1162" t="e">
        <f t="shared" si="21"/>
        <v>#VALUE!</v>
      </c>
      <c r="AE61" s="1162">
        <f t="shared" si="22"/>
        <v>0</v>
      </c>
      <c r="AF61" s="1129">
        <f>IF(H61&gt;8,tab!$D$65,tab!$D$67)</f>
        <v>0.5</v>
      </c>
      <c r="AG61" s="1143">
        <f t="shared" si="23"/>
        <v>0</v>
      </c>
      <c r="AH61" s="1159">
        <f t="shared" si="24"/>
        <v>0</v>
      </c>
      <c r="AM61" s="403"/>
    </row>
    <row r="62" spans="2:39" x14ac:dyDescent="0.2">
      <c r="B62" s="69"/>
      <c r="C62" s="90"/>
      <c r="D62" s="97" t="str">
        <f>IF(obp!D30="","",obp!D30)</f>
        <v/>
      </c>
      <c r="E62" s="97" t="str">
        <f>IF(obp!E30=0,"",obp!E30)</f>
        <v/>
      </c>
      <c r="F62" s="114" t="str">
        <f>IF(obp!F30="","",obp!F30+1)</f>
        <v/>
      </c>
      <c r="G62" s="377" t="str">
        <f>IF(obp!G30="","",obp!G30)</f>
        <v/>
      </c>
      <c r="H62" s="114" t="str">
        <f>IF(obp!H30=0,"",obp!H30)</f>
        <v/>
      </c>
      <c r="I62" s="129" t="str">
        <f>IF(J62="","",(IF(obp!I30+1&gt;LOOKUP(H62,schaal2011,regels2011),obp!I30,obp!I30+1)))</f>
        <v/>
      </c>
      <c r="J62" s="378" t="str">
        <f>IF(obp!J30="","",obp!J30)</f>
        <v/>
      </c>
      <c r="K62" s="392"/>
      <c r="L62" s="1078">
        <f>IF(obp!L30="",0,obp!L30)</f>
        <v>0</v>
      </c>
      <c r="M62" s="1078">
        <f>IF(obp!M30="",0,obp!M30)</f>
        <v>0</v>
      </c>
      <c r="N62" s="1077" t="str">
        <f t="shared" si="14"/>
        <v/>
      </c>
      <c r="O62" s="1077"/>
      <c r="P62" s="1172" t="str">
        <f t="shared" si="15"/>
        <v/>
      </c>
      <c r="Q62" s="91"/>
      <c r="R62" s="936" t="str">
        <f t="shared" si="25"/>
        <v/>
      </c>
      <c r="S62" s="936" t="str">
        <f t="shared" si="16"/>
        <v/>
      </c>
      <c r="T62" s="937" t="str">
        <f t="shared" si="17"/>
        <v/>
      </c>
      <c r="U62" s="361"/>
      <c r="V62" s="381"/>
      <c r="W62" s="375"/>
      <c r="X62" s="375"/>
      <c r="Y62" s="1120" t="e">
        <f>VLOOKUP(H62,tab!$A$73:$V$114,I62+2,FALSE)</f>
        <v>#VALUE!</v>
      </c>
      <c r="Z62" s="1211">
        <f>tab!$E$64</f>
        <v>0.62</v>
      </c>
      <c r="AA62" s="1163" t="e">
        <f t="shared" si="18"/>
        <v>#VALUE!</v>
      </c>
      <c r="AB62" s="1163" t="e">
        <f t="shared" si="19"/>
        <v>#VALUE!</v>
      </c>
      <c r="AC62" s="1163" t="e">
        <f t="shared" si="20"/>
        <v>#VALUE!</v>
      </c>
      <c r="AD62" s="1162" t="e">
        <f t="shared" si="21"/>
        <v>#VALUE!</v>
      </c>
      <c r="AE62" s="1162">
        <f t="shared" si="22"/>
        <v>0</v>
      </c>
      <c r="AF62" s="1129">
        <f>IF(H62&gt;8,tab!$D$65,tab!$D$67)</f>
        <v>0.5</v>
      </c>
      <c r="AG62" s="1143">
        <f t="shared" si="23"/>
        <v>0</v>
      </c>
      <c r="AH62" s="1159">
        <f t="shared" si="24"/>
        <v>0</v>
      </c>
      <c r="AM62" s="403"/>
    </row>
    <row r="63" spans="2:39" x14ac:dyDescent="0.2">
      <c r="B63" s="69"/>
      <c r="C63" s="90"/>
      <c r="D63" s="97" t="str">
        <f>IF(obp!D31="","",obp!D31)</f>
        <v/>
      </c>
      <c r="E63" s="97" t="str">
        <f>IF(obp!E31=0,"",obp!E31)</f>
        <v/>
      </c>
      <c r="F63" s="114" t="str">
        <f>IF(obp!F31="","",obp!F31+1)</f>
        <v/>
      </c>
      <c r="G63" s="377" t="str">
        <f>IF(obp!G31="","",obp!G31)</f>
        <v/>
      </c>
      <c r="H63" s="114" t="str">
        <f>IF(obp!H31=0,"",obp!H31)</f>
        <v/>
      </c>
      <c r="I63" s="129" t="str">
        <f>IF(J63="","",(IF(obp!I31+1&gt;LOOKUP(H63,schaal2011,regels2011),obp!I31,obp!I31+1)))</f>
        <v/>
      </c>
      <c r="J63" s="378" t="str">
        <f>IF(obp!J31="","",obp!J31)</f>
        <v/>
      </c>
      <c r="K63" s="392"/>
      <c r="L63" s="1078">
        <f>IF(obp!L31="",0,obp!L31)</f>
        <v>0</v>
      </c>
      <c r="M63" s="1078">
        <f>IF(obp!M31="",0,obp!M31)</f>
        <v>0</v>
      </c>
      <c r="N63" s="1077" t="str">
        <f t="shared" si="14"/>
        <v/>
      </c>
      <c r="O63" s="1077"/>
      <c r="P63" s="1172" t="str">
        <f t="shared" si="15"/>
        <v/>
      </c>
      <c r="Q63" s="91"/>
      <c r="R63" s="936" t="str">
        <f t="shared" si="25"/>
        <v/>
      </c>
      <c r="S63" s="936" t="str">
        <f t="shared" si="16"/>
        <v/>
      </c>
      <c r="T63" s="937" t="str">
        <f t="shared" si="17"/>
        <v/>
      </c>
      <c r="U63" s="361"/>
      <c r="V63" s="381"/>
      <c r="W63" s="375"/>
      <c r="X63" s="375"/>
      <c r="Y63" s="1120" t="e">
        <f>VLOOKUP(H63,tab!$A$73:$V$114,I63+2,FALSE)</f>
        <v>#VALUE!</v>
      </c>
      <c r="Z63" s="1211">
        <f>tab!$E$64</f>
        <v>0.62</v>
      </c>
      <c r="AA63" s="1163" t="e">
        <f t="shared" si="18"/>
        <v>#VALUE!</v>
      </c>
      <c r="AB63" s="1163" t="e">
        <f t="shared" si="19"/>
        <v>#VALUE!</v>
      </c>
      <c r="AC63" s="1163" t="e">
        <f t="shared" si="20"/>
        <v>#VALUE!</v>
      </c>
      <c r="AD63" s="1162" t="e">
        <f t="shared" si="21"/>
        <v>#VALUE!</v>
      </c>
      <c r="AE63" s="1162">
        <f t="shared" si="22"/>
        <v>0</v>
      </c>
      <c r="AF63" s="1129">
        <f>IF(H63&gt;8,tab!$D$65,tab!$D$67)</f>
        <v>0.5</v>
      </c>
      <c r="AG63" s="1143">
        <f t="shared" si="23"/>
        <v>0</v>
      </c>
      <c r="AH63" s="1159">
        <f t="shared" si="24"/>
        <v>0</v>
      </c>
      <c r="AM63" s="403"/>
    </row>
    <row r="64" spans="2:39" x14ac:dyDescent="0.2">
      <c r="B64" s="69"/>
      <c r="C64" s="90"/>
      <c r="D64" s="97" t="str">
        <f>IF(obp!D32="","",obp!D32)</f>
        <v/>
      </c>
      <c r="E64" s="97" t="str">
        <f>IF(obp!E32=0,"",obp!E32)</f>
        <v/>
      </c>
      <c r="F64" s="114" t="str">
        <f>IF(obp!F32="","",obp!F32+1)</f>
        <v/>
      </c>
      <c r="G64" s="377" t="str">
        <f>IF(obp!G32="","",obp!G32)</f>
        <v/>
      </c>
      <c r="H64" s="114" t="str">
        <f>IF(obp!H32=0,"",obp!H32)</f>
        <v/>
      </c>
      <c r="I64" s="129" t="str">
        <f>IF(J64="","",(IF(obp!I32+1&gt;LOOKUP(H64,schaal2011,regels2011),obp!I32,obp!I32+1)))</f>
        <v/>
      </c>
      <c r="J64" s="378" t="str">
        <f>IF(obp!J32="","",obp!J32)</f>
        <v/>
      </c>
      <c r="K64" s="392"/>
      <c r="L64" s="1078">
        <f>IF(obp!L32="",0,obp!L32)</f>
        <v>0</v>
      </c>
      <c r="M64" s="1078">
        <f>IF(obp!M32="",0,obp!M32)</f>
        <v>0</v>
      </c>
      <c r="N64" s="1077" t="str">
        <f t="shared" si="14"/>
        <v/>
      </c>
      <c r="O64" s="1077"/>
      <c r="P64" s="1172" t="str">
        <f t="shared" si="15"/>
        <v/>
      </c>
      <c r="Q64" s="91"/>
      <c r="R64" s="936" t="str">
        <f t="shared" si="25"/>
        <v/>
      </c>
      <c r="S64" s="936" t="str">
        <f t="shared" si="16"/>
        <v/>
      </c>
      <c r="T64" s="937" t="str">
        <f t="shared" si="17"/>
        <v/>
      </c>
      <c r="U64" s="361"/>
      <c r="V64" s="381"/>
      <c r="W64" s="375"/>
      <c r="X64" s="375"/>
      <c r="Y64" s="1120" t="e">
        <f>VLOOKUP(H64,tab!$A$73:$V$114,I64+2,FALSE)</f>
        <v>#VALUE!</v>
      </c>
      <c r="Z64" s="1211">
        <f>tab!$E$64</f>
        <v>0.62</v>
      </c>
      <c r="AA64" s="1163" t="e">
        <f t="shared" si="18"/>
        <v>#VALUE!</v>
      </c>
      <c r="AB64" s="1163" t="e">
        <f t="shared" si="19"/>
        <v>#VALUE!</v>
      </c>
      <c r="AC64" s="1163" t="e">
        <f t="shared" si="20"/>
        <v>#VALUE!</v>
      </c>
      <c r="AD64" s="1162" t="e">
        <f t="shared" si="21"/>
        <v>#VALUE!</v>
      </c>
      <c r="AE64" s="1162">
        <f t="shared" si="22"/>
        <v>0</v>
      </c>
      <c r="AF64" s="1129">
        <f>IF(H64&gt;8,tab!$D$65,tab!$D$67)</f>
        <v>0.5</v>
      </c>
      <c r="AG64" s="1143">
        <f t="shared" si="23"/>
        <v>0</v>
      </c>
      <c r="AH64" s="1159">
        <f t="shared" si="24"/>
        <v>0</v>
      </c>
      <c r="AM64" s="403"/>
    </row>
    <row r="65" spans="2:44" x14ac:dyDescent="0.2">
      <c r="B65" s="69"/>
      <c r="C65" s="90"/>
      <c r="D65" s="97" t="str">
        <f>IF(obp!D33="","",obp!D33)</f>
        <v/>
      </c>
      <c r="E65" s="97" t="str">
        <f>IF(obp!E33=0,"",obp!E33)</f>
        <v/>
      </c>
      <c r="F65" s="114" t="str">
        <f>IF(obp!F33="","",obp!F33+1)</f>
        <v/>
      </c>
      <c r="G65" s="377" t="str">
        <f>IF(obp!G33="","",obp!G33)</f>
        <v/>
      </c>
      <c r="H65" s="114" t="str">
        <f>IF(obp!H33=0,"",obp!H33)</f>
        <v/>
      </c>
      <c r="I65" s="129" t="str">
        <f>IF(J65="","",(IF(obp!I33+1&gt;LOOKUP(H65,schaal2011,regels2011),obp!I33,obp!I33+1)))</f>
        <v/>
      </c>
      <c r="J65" s="378" t="str">
        <f>IF(obp!J33="","",obp!J33)</f>
        <v/>
      </c>
      <c r="K65" s="392"/>
      <c r="L65" s="1078">
        <f>IF(obp!L33="",0,obp!L33)</f>
        <v>0</v>
      </c>
      <c r="M65" s="1078">
        <f>IF(obp!M33="",0,obp!M33)</f>
        <v>0</v>
      </c>
      <c r="N65" s="1077" t="str">
        <f t="shared" si="14"/>
        <v/>
      </c>
      <c r="O65" s="1077"/>
      <c r="P65" s="1172" t="str">
        <f t="shared" si="15"/>
        <v/>
      </c>
      <c r="Q65" s="91"/>
      <c r="R65" s="936" t="str">
        <f t="shared" si="25"/>
        <v/>
      </c>
      <c r="S65" s="936" t="str">
        <f t="shared" si="16"/>
        <v/>
      </c>
      <c r="T65" s="937" t="str">
        <f t="shared" si="17"/>
        <v/>
      </c>
      <c r="U65" s="361"/>
      <c r="V65" s="381"/>
      <c r="W65" s="375"/>
      <c r="X65" s="375"/>
      <c r="Y65" s="1120" t="e">
        <f>VLOOKUP(H65,tab!$A$73:$V$114,I65+2,FALSE)</f>
        <v>#VALUE!</v>
      </c>
      <c r="Z65" s="1211">
        <f>tab!$E$64</f>
        <v>0.62</v>
      </c>
      <c r="AA65" s="1163" t="e">
        <f t="shared" si="18"/>
        <v>#VALUE!</v>
      </c>
      <c r="AB65" s="1163" t="e">
        <f t="shared" si="19"/>
        <v>#VALUE!</v>
      </c>
      <c r="AC65" s="1163" t="e">
        <f t="shared" si="20"/>
        <v>#VALUE!</v>
      </c>
      <c r="AD65" s="1162" t="e">
        <f t="shared" si="21"/>
        <v>#VALUE!</v>
      </c>
      <c r="AE65" s="1162">
        <f t="shared" si="22"/>
        <v>0</v>
      </c>
      <c r="AF65" s="1129">
        <f>IF(H65&gt;8,tab!$D$65,tab!$D$67)</f>
        <v>0.5</v>
      </c>
      <c r="AG65" s="1143">
        <f t="shared" si="23"/>
        <v>0</v>
      </c>
      <c r="AH65" s="1159">
        <f t="shared" si="24"/>
        <v>0</v>
      </c>
      <c r="AM65" s="403"/>
    </row>
    <row r="66" spans="2:44" x14ac:dyDescent="0.2">
      <c r="B66" s="69"/>
      <c r="C66" s="90"/>
      <c r="D66" s="97" t="str">
        <f>IF(obp!D34="","",obp!D34)</f>
        <v/>
      </c>
      <c r="E66" s="97" t="str">
        <f>IF(obp!E34=0,"",obp!E34)</f>
        <v/>
      </c>
      <c r="F66" s="114" t="str">
        <f>IF(obp!F34="","",obp!F34+1)</f>
        <v/>
      </c>
      <c r="G66" s="377" t="str">
        <f>IF(obp!G34="","",obp!G34)</f>
        <v/>
      </c>
      <c r="H66" s="114" t="str">
        <f>IF(obp!H34=0,"",obp!H34)</f>
        <v/>
      </c>
      <c r="I66" s="129" t="str">
        <f>IF(J66="","",(IF(obp!I34+1&gt;LOOKUP(H66,schaal2011,regels2011),obp!I34,obp!I34+1)))</f>
        <v/>
      </c>
      <c r="J66" s="378" t="str">
        <f>IF(obp!J34="","",obp!J34)</f>
        <v/>
      </c>
      <c r="K66" s="392"/>
      <c r="L66" s="1078">
        <f>IF(obp!L34="",0,obp!L34)</f>
        <v>0</v>
      </c>
      <c r="M66" s="1078">
        <f>IF(obp!M34="",0,obp!M34)</f>
        <v>0</v>
      </c>
      <c r="N66" s="1077" t="str">
        <f t="shared" si="14"/>
        <v/>
      </c>
      <c r="O66" s="1077"/>
      <c r="P66" s="1172" t="str">
        <f t="shared" si="15"/>
        <v/>
      </c>
      <c r="Q66" s="91"/>
      <c r="R66" s="936" t="str">
        <f t="shared" si="25"/>
        <v/>
      </c>
      <c r="S66" s="936" t="str">
        <f t="shared" si="16"/>
        <v/>
      </c>
      <c r="T66" s="937" t="str">
        <f t="shared" si="17"/>
        <v/>
      </c>
      <c r="U66" s="361"/>
      <c r="V66" s="381"/>
      <c r="W66" s="375"/>
      <c r="X66" s="375"/>
      <c r="Y66" s="1120" t="e">
        <f>VLOOKUP(H66,tab!$A$73:$V$114,I66+2,FALSE)</f>
        <v>#VALUE!</v>
      </c>
      <c r="Z66" s="1211">
        <f>tab!$E$64</f>
        <v>0.62</v>
      </c>
      <c r="AA66" s="1163" t="e">
        <f t="shared" si="18"/>
        <v>#VALUE!</v>
      </c>
      <c r="AB66" s="1163" t="e">
        <f t="shared" si="19"/>
        <v>#VALUE!</v>
      </c>
      <c r="AC66" s="1163" t="e">
        <f t="shared" si="20"/>
        <v>#VALUE!</v>
      </c>
      <c r="AD66" s="1162" t="e">
        <f t="shared" si="21"/>
        <v>#VALUE!</v>
      </c>
      <c r="AE66" s="1162">
        <f t="shared" si="22"/>
        <v>0</v>
      </c>
      <c r="AF66" s="1129">
        <f>IF(H66&gt;8,tab!$D$65,tab!$D$67)</f>
        <v>0.5</v>
      </c>
      <c r="AG66" s="1143">
        <f t="shared" si="23"/>
        <v>0</v>
      </c>
      <c r="AH66" s="1159">
        <f t="shared" si="24"/>
        <v>0</v>
      </c>
      <c r="AM66" s="403"/>
    </row>
    <row r="67" spans="2:44" x14ac:dyDescent="0.2">
      <c r="B67" s="69"/>
      <c r="C67" s="90"/>
      <c r="D67" s="97" t="str">
        <f>IF(obp!D35="","",obp!D35)</f>
        <v/>
      </c>
      <c r="E67" s="97" t="str">
        <f>IF(obp!E35=0,"",obp!E35)</f>
        <v/>
      </c>
      <c r="F67" s="114" t="str">
        <f>IF(obp!F35="","",obp!F35+1)</f>
        <v/>
      </c>
      <c r="G67" s="377" t="str">
        <f>IF(obp!G35="","",obp!G35)</f>
        <v/>
      </c>
      <c r="H67" s="114" t="str">
        <f>IF(obp!H35=0,"",obp!H35)</f>
        <v/>
      </c>
      <c r="I67" s="129" t="str">
        <f>IF(J67="","",(IF(obp!I35+1&gt;LOOKUP(H67,schaal2011,regels2011),obp!I35,obp!I35+1)))</f>
        <v/>
      </c>
      <c r="J67" s="378" t="str">
        <f>IF(obp!J35="","",obp!J35)</f>
        <v/>
      </c>
      <c r="K67" s="392"/>
      <c r="L67" s="1078">
        <f>IF(obp!L35="",0,obp!L35)</f>
        <v>0</v>
      </c>
      <c r="M67" s="1078">
        <f>IF(obp!M35="",0,obp!M35)</f>
        <v>0</v>
      </c>
      <c r="N67" s="1077" t="str">
        <f t="shared" si="14"/>
        <v/>
      </c>
      <c r="O67" s="1077"/>
      <c r="P67" s="1172" t="str">
        <f t="shared" si="15"/>
        <v/>
      </c>
      <c r="Q67" s="91"/>
      <c r="R67" s="936" t="str">
        <f t="shared" si="25"/>
        <v/>
      </c>
      <c r="S67" s="936" t="str">
        <f t="shared" si="16"/>
        <v/>
      </c>
      <c r="T67" s="937" t="str">
        <f t="shared" si="17"/>
        <v/>
      </c>
      <c r="U67" s="361"/>
      <c r="V67" s="381"/>
      <c r="W67" s="375"/>
      <c r="X67" s="375"/>
      <c r="Y67" s="1120" t="e">
        <f>VLOOKUP(H67,tab!$A$73:$V$114,I67+2,FALSE)</f>
        <v>#VALUE!</v>
      </c>
      <c r="Z67" s="1211">
        <f>tab!$E$64</f>
        <v>0.62</v>
      </c>
      <c r="AA67" s="1163" t="e">
        <f t="shared" si="18"/>
        <v>#VALUE!</v>
      </c>
      <c r="AB67" s="1163" t="e">
        <f t="shared" si="19"/>
        <v>#VALUE!</v>
      </c>
      <c r="AC67" s="1163" t="e">
        <f t="shared" si="20"/>
        <v>#VALUE!</v>
      </c>
      <c r="AD67" s="1162" t="e">
        <f t="shared" si="21"/>
        <v>#VALUE!</v>
      </c>
      <c r="AE67" s="1162">
        <f t="shared" si="22"/>
        <v>0</v>
      </c>
      <c r="AF67" s="1129">
        <f>IF(H67&gt;8,tab!$D$65,tab!$D$67)</f>
        <v>0.5</v>
      </c>
      <c r="AG67" s="1143">
        <f t="shared" si="23"/>
        <v>0</v>
      </c>
      <c r="AH67" s="1159">
        <f t="shared" si="24"/>
        <v>0</v>
      </c>
      <c r="AM67" s="403"/>
    </row>
    <row r="68" spans="2:44" x14ac:dyDescent="0.2">
      <c r="B68" s="69"/>
      <c r="C68" s="90"/>
      <c r="D68" s="116"/>
      <c r="E68" s="116"/>
      <c r="F68" s="128"/>
      <c r="G68" s="387"/>
      <c r="H68" s="128"/>
      <c r="I68" s="464"/>
      <c r="J68" s="939">
        <f>SUM(J48:J67)</f>
        <v>1</v>
      </c>
      <c r="K68" s="380"/>
      <c r="L68" s="1079">
        <f t="shared" ref="L68" si="26">SUM(L48:L67)</f>
        <v>0</v>
      </c>
      <c r="M68" s="1079">
        <f t="shared" ref="M68" si="27">SUM(M48:M67)</f>
        <v>0</v>
      </c>
      <c r="N68" s="1079">
        <f>SUM(N48:N67)</f>
        <v>40</v>
      </c>
      <c r="O68" s="1079"/>
      <c r="P68" s="1079">
        <f>SUM(P48:P67)</f>
        <v>40</v>
      </c>
      <c r="Q68" s="380"/>
      <c r="R68" s="940">
        <f t="shared" ref="R68" si="28">SUM(R48:R67)</f>
        <v>52000.289186256785</v>
      </c>
      <c r="S68" s="940">
        <f t="shared" ref="S68:T68" si="29">SUM(S48:S67)</f>
        <v>1284.7508137432189</v>
      </c>
      <c r="T68" s="940">
        <f t="shared" si="29"/>
        <v>53285.04</v>
      </c>
      <c r="U68" s="143"/>
      <c r="V68" s="73"/>
      <c r="Y68" s="1121" t="e">
        <f>SUM(Y48:Y67)</f>
        <v>#VALUE!</v>
      </c>
      <c r="Z68" s="1207"/>
      <c r="AA68" s="1207"/>
      <c r="AB68" s="1207"/>
      <c r="AC68" s="1207"/>
      <c r="AD68" s="1130" t="e">
        <f>SUM(AD48:AD67)</f>
        <v>#VALUE!</v>
      </c>
      <c r="AE68" s="1130">
        <f>SUM(AE48:AE67)</f>
        <v>0</v>
      </c>
      <c r="AF68" s="1121"/>
      <c r="AG68" s="1146">
        <f>SUM(AG48:AG67)</f>
        <v>0</v>
      </c>
      <c r="AH68" s="1155">
        <f>SUM(AH48:AH67)</f>
        <v>0</v>
      </c>
    </row>
    <row r="69" spans="2:44" x14ac:dyDescent="0.2">
      <c r="B69" s="69"/>
      <c r="C69" s="98"/>
      <c r="D69" s="144"/>
      <c r="E69" s="144"/>
      <c r="F69" s="191"/>
      <c r="G69" s="391"/>
      <c r="H69" s="191"/>
      <c r="I69" s="392"/>
      <c r="J69" s="393"/>
      <c r="K69" s="392"/>
      <c r="L69" s="392"/>
      <c r="M69" s="392"/>
      <c r="N69" s="392"/>
      <c r="O69" s="392"/>
      <c r="P69" s="392"/>
      <c r="Q69" s="392"/>
      <c r="R69" s="466"/>
      <c r="S69" s="388"/>
      <c r="T69" s="388"/>
      <c r="U69" s="467"/>
      <c r="V69" s="73"/>
      <c r="Y69" s="1093"/>
      <c r="Z69" s="1207"/>
      <c r="AA69" s="1207"/>
      <c r="AB69" s="1207"/>
      <c r="AC69" s="1207"/>
      <c r="AF69" s="1121"/>
      <c r="AG69" s="1146"/>
      <c r="AH69" s="1155"/>
    </row>
    <row r="70" spans="2:44" ht="12.75" customHeight="1" x14ac:dyDescent="0.2">
      <c r="B70" s="171"/>
      <c r="C70" s="172"/>
      <c r="D70" s="405"/>
      <c r="E70" s="405"/>
      <c r="F70" s="406"/>
      <c r="G70" s="407"/>
      <c r="H70" s="406"/>
      <c r="I70" s="408"/>
      <c r="J70" s="409"/>
      <c r="K70" s="172"/>
      <c r="L70" s="410"/>
      <c r="M70" s="410"/>
      <c r="N70" s="410"/>
      <c r="O70" s="410"/>
      <c r="P70" s="410"/>
      <c r="Q70" s="172"/>
      <c r="R70" s="472"/>
      <c r="S70" s="411"/>
      <c r="T70" s="779"/>
      <c r="U70" s="172"/>
      <c r="V70" s="173"/>
      <c r="Y70" s="1120"/>
      <c r="Z70" s="473"/>
      <c r="AA70" s="473"/>
      <c r="AB70" s="473"/>
      <c r="AC70" s="473"/>
      <c r="AD70" s="1104"/>
      <c r="AE70" s="1104"/>
      <c r="AF70" s="1117"/>
      <c r="AG70" s="1143"/>
      <c r="AH70" s="1159"/>
    </row>
    <row r="71" spans="2:44" ht="12.75" customHeight="1" x14ac:dyDescent="0.2">
      <c r="H71" s="174"/>
      <c r="J71" s="382"/>
      <c r="L71" s="284"/>
      <c r="M71" s="284"/>
      <c r="N71" s="284"/>
      <c r="O71" s="284"/>
      <c r="P71" s="284"/>
      <c r="R71" s="474"/>
      <c r="S71" s="375"/>
      <c r="T71" s="780"/>
      <c r="Y71" s="1120"/>
      <c r="Z71" s="473"/>
      <c r="AA71" s="473"/>
      <c r="AB71" s="473"/>
      <c r="AC71" s="473"/>
      <c r="AD71" s="1104"/>
      <c r="AE71" s="1104"/>
      <c r="AF71" s="1117"/>
      <c r="AG71" s="1143"/>
      <c r="AH71" s="1159"/>
    </row>
    <row r="72" spans="2:44" ht="12.75" customHeight="1" x14ac:dyDescent="0.2">
      <c r="H72" s="174"/>
      <c r="J72" s="382"/>
      <c r="L72" s="284"/>
      <c r="M72" s="284"/>
      <c r="N72" s="284"/>
      <c r="O72" s="284"/>
      <c r="P72" s="284"/>
      <c r="R72" s="474"/>
      <c r="S72" s="375"/>
      <c r="T72" s="780"/>
      <c r="Y72" s="1120"/>
      <c r="Z72" s="473"/>
      <c r="AA72" s="473"/>
      <c r="AB72" s="473"/>
      <c r="AC72" s="473"/>
      <c r="AD72" s="1104"/>
      <c r="AE72" s="1104"/>
      <c r="AF72" s="1117"/>
      <c r="AG72" s="1143"/>
      <c r="AH72" s="1159"/>
    </row>
    <row r="73" spans="2:44" ht="12.75" customHeight="1" x14ac:dyDescent="0.2">
      <c r="C73" s="68" t="s">
        <v>195</v>
      </c>
      <c r="E73" s="415" t="str">
        <f>dir!E54</f>
        <v>2017/18</v>
      </c>
      <c r="H73" s="174"/>
      <c r="J73" s="382"/>
      <c r="L73" s="284"/>
      <c r="M73" s="284"/>
      <c r="N73" s="284"/>
      <c r="O73" s="284"/>
      <c r="P73" s="284"/>
      <c r="R73" s="474"/>
      <c r="S73" s="375"/>
      <c r="T73" s="780"/>
      <c r="Y73" s="1120"/>
      <c r="Z73" s="473"/>
      <c r="AA73" s="473"/>
      <c r="AB73" s="473"/>
      <c r="AC73" s="473"/>
      <c r="AD73" s="1104"/>
      <c r="AE73" s="1104"/>
      <c r="AF73" s="1117"/>
      <c r="AG73" s="1143"/>
      <c r="AH73" s="1159"/>
    </row>
    <row r="74" spans="2:44" ht="12.75" customHeight="1" x14ac:dyDescent="0.2">
      <c r="C74" s="68" t="s">
        <v>217</v>
      </c>
      <c r="E74" s="415">
        <f>dir!E55</f>
        <v>43009</v>
      </c>
      <c r="H74" s="174"/>
      <c r="J74" s="382"/>
      <c r="L74" s="284"/>
      <c r="M74" s="284"/>
      <c r="N74" s="284"/>
      <c r="O74" s="284"/>
      <c r="P74" s="284"/>
      <c r="R74" s="474"/>
      <c r="S74" s="375"/>
      <c r="T74" s="780"/>
      <c r="Y74" s="1120"/>
      <c r="Z74" s="473"/>
      <c r="AA74" s="473"/>
      <c r="AB74" s="473"/>
      <c r="AC74" s="473"/>
      <c r="AD74" s="1104"/>
      <c r="AE74" s="1104"/>
      <c r="AF74" s="1117"/>
      <c r="AG74" s="1143"/>
      <c r="AH74" s="1159"/>
    </row>
    <row r="75" spans="2:44" ht="12.75" customHeight="1" x14ac:dyDescent="0.2">
      <c r="H75" s="174"/>
      <c r="J75" s="382"/>
      <c r="L75" s="284"/>
      <c r="M75" s="284"/>
      <c r="N75" s="284"/>
      <c r="O75" s="284"/>
      <c r="P75" s="284"/>
      <c r="R75" s="474"/>
      <c r="S75" s="375"/>
      <c r="T75" s="780"/>
      <c r="Y75" s="1120"/>
      <c r="Z75" s="473"/>
      <c r="AA75" s="473"/>
      <c r="AB75" s="473"/>
      <c r="AC75" s="473"/>
      <c r="AD75" s="1104"/>
      <c r="AE75" s="1104"/>
      <c r="AF75" s="1117"/>
      <c r="AG75" s="1143"/>
      <c r="AH75" s="1159"/>
    </row>
    <row r="76" spans="2:44" ht="12.75" customHeight="1" x14ac:dyDescent="0.2">
      <c r="C76" s="955"/>
      <c r="D76" s="921"/>
      <c r="E76" s="920"/>
      <c r="F76" s="900"/>
      <c r="G76" s="922"/>
      <c r="H76" s="923"/>
      <c r="I76" s="923"/>
      <c r="J76" s="924"/>
      <c r="K76" s="925"/>
      <c r="L76" s="923"/>
      <c r="M76" s="923"/>
      <c r="N76" s="923"/>
      <c r="O76" s="923"/>
      <c r="P76" s="923"/>
      <c r="Q76" s="925"/>
      <c r="R76" s="925"/>
      <c r="S76" s="925"/>
      <c r="T76" s="778"/>
      <c r="U76" s="161"/>
      <c r="Z76" s="905"/>
      <c r="AA76" s="905"/>
      <c r="AB76" s="905"/>
      <c r="AC76" s="905"/>
      <c r="AI76" s="333"/>
      <c r="AJ76" s="333"/>
      <c r="AK76" s="333"/>
      <c r="AL76" s="284"/>
      <c r="AM76" s="283"/>
      <c r="AN76" s="285"/>
      <c r="AO76" s="334"/>
      <c r="AP76" s="284"/>
    </row>
    <row r="77" spans="2:44" ht="12.75" customHeight="1" x14ac:dyDescent="0.2">
      <c r="C77" s="956"/>
      <c r="D77" s="1074" t="s">
        <v>335</v>
      </c>
      <c r="E77" s="1075"/>
      <c r="F77" s="1075"/>
      <c r="G77" s="1075"/>
      <c r="H77" s="1076"/>
      <c r="I77" s="1076"/>
      <c r="J77" s="1076"/>
      <c r="K77" s="1191"/>
      <c r="L77" s="1074" t="s">
        <v>561</v>
      </c>
      <c r="M77" s="1064"/>
      <c r="N77" s="1074"/>
      <c r="O77" s="1074"/>
      <c r="P77" s="1170"/>
      <c r="Q77" s="927"/>
      <c r="R77" s="1074" t="s">
        <v>563</v>
      </c>
      <c r="S77" s="1076"/>
      <c r="T77" s="1153"/>
      <c r="U77" s="944"/>
      <c r="V77" s="365"/>
      <c r="W77" s="365"/>
      <c r="X77" s="365"/>
      <c r="Y77" s="1094"/>
      <c r="Z77" s="1126"/>
      <c r="AA77" s="1094"/>
      <c r="AB77" s="1094"/>
      <c r="AC77" s="1094"/>
      <c r="AD77" s="1125"/>
      <c r="AE77" s="1125"/>
      <c r="AF77" s="1126"/>
      <c r="AG77" s="1151"/>
      <c r="AH77" s="1160"/>
      <c r="AI77" s="1141"/>
      <c r="AJ77" s="1141"/>
      <c r="AK77" s="1141"/>
      <c r="AL77" s="1141"/>
      <c r="AM77" s="1141"/>
      <c r="AO77" s="68"/>
      <c r="AP77" s="68"/>
      <c r="AQ77" s="469"/>
      <c r="AR77" s="469"/>
    </row>
    <row r="78" spans="2:44" ht="12.75" customHeight="1" x14ac:dyDescent="0.2">
      <c r="C78" s="956"/>
      <c r="D78" s="886" t="s">
        <v>549</v>
      </c>
      <c r="E78" s="886" t="s">
        <v>201</v>
      </c>
      <c r="F78" s="929" t="s">
        <v>147</v>
      </c>
      <c r="G78" s="930" t="s">
        <v>325</v>
      </c>
      <c r="H78" s="929" t="s">
        <v>231</v>
      </c>
      <c r="I78" s="929" t="s">
        <v>262</v>
      </c>
      <c r="J78" s="931" t="s">
        <v>150</v>
      </c>
      <c r="K78" s="1192"/>
      <c r="L78" s="932" t="s">
        <v>544</v>
      </c>
      <c r="M78" s="932" t="s">
        <v>537</v>
      </c>
      <c r="N78" s="932" t="s">
        <v>551</v>
      </c>
      <c r="O78" s="932" t="s">
        <v>544</v>
      </c>
      <c r="P78" s="1171" t="s">
        <v>556</v>
      </c>
      <c r="Q78" s="898"/>
      <c r="R78" s="1073" t="s">
        <v>216</v>
      </c>
      <c r="S78" s="934" t="s">
        <v>562</v>
      </c>
      <c r="T78" s="935" t="s">
        <v>216</v>
      </c>
      <c r="U78" s="945"/>
      <c r="V78" s="369"/>
      <c r="W78" s="369"/>
      <c r="X78" s="369"/>
      <c r="Y78" s="1127" t="s">
        <v>361</v>
      </c>
      <c r="Z78" s="1182" t="s">
        <v>548</v>
      </c>
      <c r="AA78" s="1115" t="s">
        <v>557</v>
      </c>
      <c r="AB78" s="1115" t="s">
        <v>557</v>
      </c>
      <c r="AC78" s="1115" t="s">
        <v>560</v>
      </c>
      <c r="AD78" s="1128" t="s">
        <v>542</v>
      </c>
      <c r="AE78" s="1128" t="s">
        <v>543</v>
      </c>
      <c r="AF78" s="1114" t="s">
        <v>539</v>
      </c>
      <c r="AG78" s="1152" t="s">
        <v>343</v>
      </c>
      <c r="AH78" s="1160" t="s">
        <v>468</v>
      </c>
      <c r="AI78" s="1114" t="s">
        <v>328</v>
      </c>
      <c r="AJ78" s="1114" t="s">
        <v>329</v>
      </c>
      <c r="AK78" s="1114" t="s">
        <v>149</v>
      </c>
      <c r="AL78" s="1114" t="s">
        <v>228</v>
      </c>
      <c r="AM78" s="1128" t="s">
        <v>203</v>
      </c>
      <c r="AO78" s="68"/>
      <c r="AP78" s="68"/>
      <c r="AQ78" s="469"/>
      <c r="AR78" s="471"/>
    </row>
    <row r="79" spans="2:44" ht="12.75" customHeight="1" x14ac:dyDescent="0.2">
      <c r="C79" s="956"/>
      <c r="D79" s="1075"/>
      <c r="E79" s="886"/>
      <c r="F79" s="929" t="s">
        <v>148</v>
      </c>
      <c r="G79" s="930" t="s">
        <v>326</v>
      </c>
      <c r="H79" s="929"/>
      <c r="I79" s="929"/>
      <c r="J79" s="931"/>
      <c r="K79" s="1192"/>
      <c r="L79" s="932" t="s">
        <v>545</v>
      </c>
      <c r="M79" s="932" t="s">
        <v>547</v>
      </c>
      <c r="N79" s="932" t="s">
        <v>552</v>
      </c>
      <c r="O79" s="932" t="s">
        <v>546</v>
      </c>
      <c r="P79" s="1171" t="s">
        <v>320</v>
      </c>
      <c r="Q79" s="898"/>
      <c r="R79" s="902" t="s">
        <v>554</v>
      </c>
      <c r="S79" s="934" t="s">
        <v>538</v>
      </c>
      <c r="T79" s="935" t="s">
        <v>320</v>
      </c>
      <c r="U79" s="906"/>
      <c r="V79" s="106"/>
      <c r="W79" s="106"/>
      <c r="X79" s="106"/>
      <c r="Y79" s="1127" t="s">
        <v>223</v>
      </c>
      <c r="Z79" s="1183">
        <f>tab!$E$64</f>
        <v>0.62</v>
      </c>
      <c r="AA79" s="1115" t="s">
        <v>558</v>
      </c>
      <c r="AB79" s="1115" t="s">
        <v>559</v>
      </c>
      <c r="AC79" s="1115" t="s">
        <v>555</v>
      </c>
      <c r="AD79" s="1128" t="s">
        <v>541</v>
      </c>
      <c r="AE79" s="1128" t="s">
        <v>541</v>
      </c>
      <c r="AF79" s="1114" t="s">
        <v>540</v>
      </c>
      <c r="AG79" s="1152"/>
      <c r="AH79" s="1159" t="s">
        <v>261</v>
      </c>
      <c r="AI79" s="1128" t="s">
        <v>327</v>
      </c>
      <c r="AJ79" s="1128" t="s">
        <v>327</v>
      </c>
      <c r="AK79" s="1114"/>
      <c r="AL79" s="1114" t="s">
        <v>203</v>
      </c>
      <c r="AM79" s="1128"/>
      <c r="AO79" s="68"/>
      <c r="AP79" s="68"/>
      <c r="AR79" s="375"/>
    </row>
    <row r="80" spans="2:44" ht="12.75" customHeight="1" x14ac:dyDescent="0.2">
      <c r="C80" s="956"/>
      <c r="D80" s="1075"/>
      <c r="E80" s="1075"/>
      <c r="F80" s="899"/>
      <c r="G80" s="946"/>
      <c r="H80" s="929"/>
      <c r="I80" s="929"/>
      <c r="J80" s="931"/>
      <c r="K80" s="933"/>
      <c r="L80" s="932"/>
      <c r="M80" s="932"/>
      <c r="N80" s="932"/>
      <c r="O80" s="932"/>
      <c r="P80" s="932"/>
      <c r="Q80" s="933"/>
      <c r="R80" s="947"/>
      <c r="S80" s="947"/>
      <c r="T80" s="465"/>
      <c r="U80" s="435"/>
      <c r="Y80" s="1127"/>
      <c r="Z80" s="1206"/>
      <c r="AA80" s="1206"/>
      <c r="AB80" s="1206"/>
      <c r="AC80" s="1206"/>
      <c r="AD80" s="1128"/>
      <c r="AE80" s="1128"/>
      <c r="AF80" s="1113"/>
      <c r="AG80" s="1152"/>
      <c r="AH80" s="1159"/>
      <c r="AO80" s="68"/>
      <c r="AP80" s="68"/>
      <c r="AR80" s="375"/>
    </row>
    <row r="81" spans="3:39" ht="12.75" customHeight="1" x14ac:dyDescent="0.2">
      <c r="C81" s="90"/>
      <c r="D81" s="97" t="str">
        <f>IF(obp!D48="","",obp!D48)</f>
        <v/>
      </c>
      <c r="E81" s="97" t="str">
        <f>IF(obp!E48=0,"",obp!E48)</f>
        <v>piet</v>
      </c>
      <c r="F81" s="114">
        <f>IF(obp!F48="","",obp!F48+1)</f>
        <v>42</v>
      </c>
      <c r="G81" s="377" t="str">
        <f>IF(obp!G48="","",obp!G48)</f>
        <v/>
      </c>
      <c r="H81" s="114">
        <f>IF(obp!H48=0,"",obp!H48)</f>
        <v>8</v>
      </c>
      <c r="I81" s="129">
        <f>IF(J81="","",(IF(obp!I48+1&gt;LOOKUP(H81,schaal2011,regels2011),obp!I48,obp!I48+1)))</f>
        <v>10</v>
      </c>
      <c r="J81" s="378">
        <f>IF(obp!J48="","",obp!J48)</f>
        <v>1</v>
      </c>
      <c r="K81" s="392"/>
      <c r="L81" s="1078">
        <f>IF(obp!L48="","",obp!L48)</f>
        <v>0</v>
      </c>
      <c r="M81" s="1078">
        <f>IF(obp!M48="","",obp!M48)</f>
        <v>0</v>
      </c>
      <c r="N81" s="1077">
        <f t="shared" ref="N81:N100" si="30">IF(J81="","",IF((J81*40)&gt;40,40,((J81*40))))</f>
        <v>40</v>
      </c>
      <c r="O81" s="1077"/>
      <c r="P81" s="1172">
        <f t="shared" ref="P81:P100" si="31">IF(J81="","",(SUM(L81:O81)))</f>
        <v>40</v>
      </c>
      <c r="Q81" s="91"/>
      <c r="R81" s="936">
        <f>IF(J81="","",(((1659*J81)-P81)*AB81))</f>
        <v>53119.594936708854</v>
      </c>
      <c r="S81" s="936">
        <f t="shared" ref="S81:S100" si="32">IF(J81="","",(P81*AC81)+(AA81*AD81)+((AE81*AA81*(1-AF81))))</f>
        <v>1312.405063291139</v>
      </c>
      <c r="T81" s="937">
        <f t="shared" ref="T81:T100" si="33">IF(J81="","",(R81+S81))</f>
        <v>54431.999999999993</v>
      </c>
      <c r="U81" s="361"/>
      <c r="V81" s="375"/>
      <c r="W81" s="375"/>
      <c r="X81" s="375"/>
      <c r="Y81" s="1120">
        <f>VLOOKUP(H81,tab!$A$73:$V$114,I81+2,FALSE)</f>
        <v>2800</v>
      </c>
      <c r="Z81" s="1211">
        <f>tab!$E$64</f>
        <v>0.62</v>
      </c>
      <c r="AA81" s="1163">
        <f t="shared" ref="AA81:AA100" si="34">(Y81*12/1659)</f>
        <v>20.253164556962027</v>
      </c>
      <c r="AB81" s="1163">
        <f t="shared" ref="AB81:AB100" si="35">(Y81*12*(1+Z81))/1659</f>
        <v>32.810126582278478</v>
      </c>
      <c r="AC81" s="1163">
        <f t="shared" ref="AC81:AC100" si="36">AB81-AA81</f>
        <v>12.556962025316452</v>
      </c>
      <c r="AD81" s="1162">
        <f t="shared" ref="AD81:AD100" si="37">(N81+O81)</f>
        <v>40</v>
      </c>
      <c r="AE81" s="1162">
        <f t="shared" ref="AE81:AE100" si="38">(L81+M81)</f>
        <v>0</v>
      </c>
      <c r="AF81" s="1129">
        <f>IF(H81&gt;8,tab!$D$65,tab!$D$67)</f>
        <v>0.4</v>
      </c>
      <c r="AG81" s="1143">
        <f t="shared" ref="AG81:AG100" si="39">IF(F81&lt;25,0,IF(F81=25,25,IF(F81&lt;40,0,IF(F81=40,40,IF(F81&gt;=40,0)))))</f>
        <v>0</v>
      </c>
      <c r="AH81" s="1159">
        <f t="shared" ref="AH81:AH100" si="40">IF(AG81=25,(Y81*1.08*(J81)/2),IF(AG81=40,(Y81*1.08*(J81)),IF(AG81=0,0)))</f>
        <v>0</v>
      </c>
      <c r="AM81" s="403"/>
    </row>
    <row r="82" spans="3:39" ht="12.75" customHeight="1" x14ac:dyDescent="0.2">
      <c r="C82" s="90"/>
      <c r="D82" s="97" t="str">
        <f>IF(obp!D49="","",obp!D49)</f>
        <v/>
      </c>
      <c r="E82" s="97" t="str">
        <f>IF(obp!E49=0,"",obp!E49)</f>
        <v/>
      </c>
      <c r="F82" s="114" t="str">
        <f>IF(obp!F49="","",obp!F49+1)</f>
        <v/>
      </c>
      <c r="G82" s="377" t="str">
        <f>IF(obp!G49="","",obp!G49)</f>
        <v/>
      </c>
      <c r="H82" s="114" t="str">
        <f>IF(obp!H49=0,"",obp!H49)</f>
        <v/>
      </c>
      <c r="I82" s="129" t="str">
        <f>IF(J82="","",(IF(obp!I49+1&gt;LOOKUP(H82,schaal2011,regels2011),obp!I49,obp!I49+1)))</f>
        <v/>
      </c>
      <c r="J82" s="378" t="str">
        <f>IF(obp!J49="","",obp!J49)</f>
        <v/>
      </c>
      <c r="K82" s="392"/>
      <c r="L82" s="1078">
        <f>IF(obp!L49="","",obp!L49)</f>
        <v>0</v>
      </c>
      <c r="M82" s="1078">
        <f>IF(obp!M49="","",obp!M49)</f>
        <v>0</v>
      </c>
      <c r="N82" s="1077" t="str">
        <f t="shared" si="30"/>
        <v/>
      </c>
      <c r="O82" s="1077"/>
      <c r="P82" s="1172" t="str">
        <f t="shared" si="31"/>
        <v/>
      </c>
      <c r="Q82" s="91"/>
      <c r="R82" s="936" t="str">
        <f t="shared" ref="R82:R100" si="41">IF(J82="","",(((1659*J82)-P82)*AB82))</f>
        <v/>
      </c>
      <c r="S82" s="936" t="str">
        <f t="shared" si="32"/>
        <v/>
      </c>
      <c r="T82" s="937" t="str">
        <f t="shared" si="33"/>
        <v/>
      </c>
      <c r="U82" s="361"/>
      <c r="V82" s="375"/>
      <c r="W82" s="375"/>
      <c r="X82" s="375"/>
      <c r="Y82" s="1120" t="e">
        <f>VLOOKUP(H82,tab!$A$73:$V$114,I82+2,FALSE)</f>
        <v>#VALUE!</v>
      </c>
      <c r="Z82" s="1211">
        <f>tab!$E$64</f>
        <v>0.62</v>
      </c>
      <c r="AA82" s="1163" t="e">
        <f t="shared" si="34"/>
        <v>#VALUE!</v>
      </c>
      <c r="AB82" s="1163" t="e">
        <f t="shared" si="35"/>
        <v>#VALUE!</v>
      </c>
      <c r="AC82" s="1163" t="e">
        <f t="shared" si="36"/>
        <v>#VALUE!</v>
      </c>
      <c r="AD82" s="1162" t="e">
        <f t="shared" si="37"/>
        <v>#VALUE!</v>
      </c>
      <c r="AE82" s="1162">
        <f t="shared" si="38"/>
        <v>0</v>
      </c>
      <c r="AF82" s="1129">
        <f>IF(H82&gt;8,tab!$D$65,tab!$D$67)</f>
        <v>0.5</v>
      </c>
      <c r="AG82" s="1143">
        <f t="shared" si="39"/>
        <v>0</v>
      </c>
      <c r="AH82" s="1159">
        <f t="shared" si="40"/>
        <v>0</v>
      </c>
      <c r="AM82" s="403"/>
    </row>
    <row r="83" spans="3:39" ht="12.75" customHeight="1" x14ac:dyDescent="0.2">
      <c r="C83" s="90"/>
      <c r="D83" s="97" t="str">
        <f>IF(obp!D50="","",obp!D50)</f>
        <v/>
      </c>
      <c r="E83" s="97" t="str">
        <f>IF(obp!E50=0,"",obp!E50)</f>
        <v/>
      </c>
      <c r="F83" s="114" t="str">
        <f>IF(obp!F50="","",obp!F50+1)</f>
        <v/>
      </c>
      <c r="G83" s="377" t="str">
        <f>IF(obp!G50="","",obp!G50)</f>
        <v/>
      </c>
      <c r="H83" s="114" t="str">
        <f>IF(obp!H50=0,"",obp!H50)</f>
        <v/>
      </c>
      <c r="I83" s="129" t="str">
        <f>IF(J83="","",(IF(obp!I50+1&gt;LOOKUP(H83,schaal2011,regels2011),obp!I50,obp!I50+1)))</f>
        <v/>
      </c>
      <c r="J83" s="378" t="str">
        <f>IF(obp!J50="","",obp!J50)</f>
        <v/>
      </c>
      <c r="K83" s="392"/>
      <c r="L83" s="1078">
        <f>IF(obp!L50="","",obp!L50)</f>
        <v>0</v>
      </c>
      <c r="M83" s="1078">
        <f>IF(obp!M50="","",obp!M50)</f>
        <v>0</v>
      </c>
      <c r="N83" s="1077" t="str">
        <f t="shared" si="30"/>
        <v/>
      </c>
      <c r="O83" s="1077"/>
      <c r="P83" s="1172" t="str">
        <f t="shared" si="31"/>
        <v/>
      </c>
      <c r="Q83" s="91"/>
      <c r="R83" s="936" t="str">
        <f t="shared" si="41"/>
        <v/>
      </c>
      <c r="S83" s="936" t="str">
        <f t="shared" si="32"/>
        <v/>
      </c>
      <c r="T83" s="937" t="str">
        <f t="shared" si="33"/>
        <v/>
      </c>
      <c r="U83" s="361"/>
      <c r="V83" s="375"/>
      <c r="W83" s="375"/>
      <c r="X83" s="375"/>
      <c r="Y83" s="1120" t="e">
        <f>VLOOKUP(H83,tab!$A$73:$V$114,I83+2,FALSE)</f>
        <v>#VALUE!</v>
      </c>
      <c r="Z83" s="1211">
        <f>tab!$E$64</f>
        <v>0.62</v>
      </c>
      <c r="AA83" s="1163" t="e">
        <f t="shared" si="34"/>
        <v>#VALUE!</v>
      </c>
      <c r="AB83" s="1163" t="e">
        <f t="shared" si="35"/>
        <v>#VALUE!</v>
      </c>
      <c r="AC83" s="1163" t="e">
        <f t="shared" si="36"/>
        <v>#VALUE!</v>
      </c>
      <c r="AD83" s="1162" t="e">
        <f t="shared" si="37"/>
        <v>#VALUE!</v>
      </c>
      <c r="AE83" s="1162">
        <f t="shared" si="38"/>
        <v>0</v>
      </c>
      <c r="AF83" s="1129">
        <f>IF(H83&gt;8,tab!$D$65,tab!$D$67)</f>
        <v>0.5</v>
      </c>
      <c r="AG83" s="1143">
        <f t="shared" si="39"/>
        <v>0</v>
      </c>
      <c r="AH83" s="1159">
        <f t="shared" si="40"/>
        <v>0</v>
      </c>
      <c r="AM83" s="403"/>
    </row>
    <row r="84" spans="3:39" ht="12.75" customHeight="1" x14ac:dyDescent="0.2">
      <c r="C84" s="90"/>
      <c r="D84" s="97" t="str">
        <f>IF(obp!D51="","",obp!D51)</f>
        <v/>
      </c>
      <c r="E84" s="97" t="str">
        <f>IF(obp!E51=0,"",obp!E51)</f>
        <v/>
      </c>
      <c r="F84" s="114" t="str">
        <f>IF(obp!F51="","",obp!F51+1)</f>
        <v/>
      </c>
      <c r="G84" s="377" t="str">
        <f>IF(obp!G51="","",obp!G51)</f>
        <v/>
      </c>
      <c r="H84" s="114" t="str">
        <f>IF(obp!H51=0,"",obp!H51)</f>
        <v/>
      </c>
      <c r="I84" s="129" t="str">
        <f>IF(J84="","",(IF(obp!I51+1&gt;LOOKUP(H84,schaal2011,regels2011),obp!I51,obp!I51+1)))</f>
        <v/>
      </c>
      <c r="J84" s="378" t="str">
        <f>IF(obp!J51="","",obp!J51)</f>
        <v/>
      </c>
      <c r="K84" s="392"/>
      <c r="L84" s="1078">
        <f>IF(obp!L51="","",obp!L51)</f>
        <v>0</v>
      </c>
      <c r="M84" s="1078">
        <f>IF(obp!M51="","",obp!M51)</f>
        <v>0</v>
      </c>
      <c r="N84" s="1077" t="str">
        <f t="shared" si="30"/>
        <v/>
      </c>
      <c r="O84" s="1077"/>
      <c r="P84" s="1172" t="str">
        <f t="shared" si="31"/>
        <v/>
      </c>
      <c r="Q84" s="91"/>
      <c r="R84" s="936" t="str">
        <f t="shared" si="41"/>
        <v/>
      </c>
      <c r="S84" s="936" t="str">
        <f t="shared" si="32"/>
        <v/>
      </c>
      <c r="T84" s="937" t="str">
        <f t="shared" si="33"/>
        <v/>
      </c>
      <c r="U84" s="361"/>
      <c r="V84" s="375"/>
      <c r="W84" s="375"/>
      <c r="X84" s="375"/>
      <c r="Y84" s="1120" t="e">
        <f>VLOOKUP(H84,tab!$A$73:$V$114,I84+2,FALSE)</f>
        <v>#VALUE!</v>
      </c>
      <c r="Z84" s="1211">
        <f>tab!$E$64</f>
        <v>0.62</v>
      </c>
      <c r="AA84" s="1163" t="e">
        <f t="shared" si="34"/>
        <v>#VALUE!</v>
      </c>
      <c r="AB84" s="1163" t="e">
        <f t="shared" si="35"/>
        <v>#VALUE!</v>
      </c>
      <c r="AC84" s="1163" t="e">
        <f t="shared" si="36"/>
        <v>#VALUE!</v>
      </c>
      <c r="AD84" s="1162" t="e">
        <f t="shared" si="37"/>
        <v>#VALUE!</v>
      </c>
      <c r="AE84" s="1162">
        <f t="shared" si="38"/>
        <v>0</v>
      </c>
      <c r="AF84" s="1129">
        <f>IF(H84&gt;8,tab!$D$65,tab!$D$67)</f>
        <v>0.5</v>
      </c>
      <c r="AG84" s="1143">
        <f t="shared" si="39"/>
        <v>0</v>
      </c>
      <c r="AH84" s="1159">
        <f t="shared" si="40"/>
        <v>0</v>
      </c>
      <c r="AM84" s="403"/>
    </row>
    <row r="85" spans="3:39" ht="12.75" customHeight="1" x14ac:dyDescent="0.2">
      <c r="C85" s="90"/>
      <c r="D85" s="97" t="str">
        <f>IF(obp!D52="","",obp!D52)</f>
        <v/>
      </c>
      <c r="E85" s="97" t="str">
        <f>IF(obp!E52=0,"",obp!E52)</f>
        <v/>
      </c>
      <c r="F85" s="114" t="str">
        <f>IF(obp!F52="","",obp!F52+1)</f>
        <v/>
      </c>
      <c r="G85" s="377" t="str">
        <f>IF(obp!G52="","",obp!G52)</f>
        <v/>
      </c>
      <c r="H85" s="114" t="str">
        <f>IF(obp!H52=0,"",obp!H52)</f>
        <v/>
      </c>
      <c r="I85" s="129" t="str">
        <f>IF(J85="","",(IF(obp!I52+1&gt;LOOKUP(H85,schaal2011,regels2011),obp!I52,obp!I52+1)))</f>
        <v/>
      </c>
      <c r="J85" s="378" t="str">
        <f>IF(obp!J52="","",obp!J52)</f>
        <v/>
      </c>
      <c r="K85" s="392"/>
      <c r="L85" s="1078">
        <f>IF(obp!L52="","",obp!L52)</f>
        <v>0</v>
      </c>
      <c r="M85" s="1078">
        <f>IF(obp!M52="","",obp!M52)</f>
        <v>0</v>
      </c>
      <c r="N85" s="1077" t="str">
        <f t="shared" si="30"/>
        <v/>
      </c>
      <c r="O85" s="1077"/>
      <c r="P85" s="1172" t="str">
        <f t="shared" si="31"/>
        <v/>
      </c>
      <c r="Q85" s="91"/>
      <c r="R85" s="936" t="str">
        <f t="shared" si="41"/>
        <v/>
      </c>
      <c r="S85" s="936" t="str">
        <f t="shared" si="32"/>
        <v/>
      </c>
      <c r="T85" s="937" t="str">
        <f t="shared" si="33"/>
        <v/>
      </c>
      <c r="U85" s="361"/>
      <c r="V85" s="375"/>
      <c r="W85" s="375"/>
      <c r="X85" s="375"/>
      <c r="Y85" s="1120" t="e">
        <f>VLOOKUP(H85,tab!$A$73:$V$114,I85+2,FALSE)</f>
        <v>#VALUE!</v>
      </c>
      <c r="Z85" s="1211">
        <f>tab!$E$64</f>
        <v>0.62</v>
      </c>
      <c r="AA85" s="1163" t="e">
        <f t="shared" si="34"/>
        <v>#VALUE!</v>
      </c>
      <c r="AB85" s="1163" t="e">
        <f t="shared" si="35"/>
        <v>#VALUE!</v>
      </c>
      <c r="AC85" s="1163" t="e">
        <f t="shared" si="36"/>
        <v>#VALUE!</v>
      </c>
      <c r="AD85" s="1162" t="e">
        <f t="shared" si="37"/>
        <v>#VALUE!</v>
      </c>
      <c r="AE85" s="1162">
        <f t="shared" si="38"/>
        <v>0</v>
      </c>
      <c r="AF85" s="1129">
        <f>IF(H85&gt;8,tab!$D$65,tab!$D$67)</f>
        <v>0.5</v>
      </c>
      <c r="AG85" s="1143">
        <f t="shared" si="39"/>
        <v>0</v>
      </c>
      <c r="AH85" s="1159">
        <f t="shared" si="40"/>
        <v>0</v>
      </c>
      <c r="AM85" s="403"/>
    </row>
    <row r="86" spans="3:39" ht="12.75" customHeight="1" x14ac:dyDescent="0.2">
      <c r="C86" s="90"/>
      <c r="D86" s="97" t="str">
        <f>IF(obp!D53="","",obp!D53)</f>
        <v/>
      </c>
      <c r="E86" s="97" t="str">
        <f>IF(obp!E53=0,"",obp!E53)</f>
        <v/>
      </c>
      <c r="F86" s="114" t="str">
        <f>IF(obp!F53="","",obp!F53+1)</f>
        <v/>
      </c>
      <c r="G86" s="377" t="str">
        <f>IF(obp!G53="","",obp!G53)</f>
        <v/>
      </c>
      <c r="H86" s="114" t="str">
        <f>IF(obp!H53=0,"",obp!H53)</f>
        <v/>
      </c>
      <c r="I86" s="129" t="str">
        <f>IF(J86="","",(IF(obp!I53+1&gt;LOOKUP(H86,schaal2011,regels2011),obp!I53,obp!I53+1)))</f>
        <v/>
      </c>
      <c r="J86" s="378" t="str">
        <f>IF(obp!J53="","",obp!J53)</f>
        <v/>
      </c>
      <c r="K86" s="392"/>
      <c r="L86" s="1078">
        <f>IF(obp!L53="","",obp!L53)</f>
        <v>0</v>
      </c>
      <c r="M86" s="1078">
        <f>IF(obp!M53="","",obp!M53)</f>
        <v>0</v>
      </c>
      <c r="N86" s="1077" t="str">
        <f t="shared" si="30"/>
        <v/>
      </c>
      <c r="O86" s="1077"/>
      <c r="P86" s="1172" t="str">
        <f t="shared" si="31"/>
        <v/>
      </c>
      <c r="Q86" s="91"/>
      <c r="R86" s="936" t="str">
        <f t="shared" si="41"/>
        <v/>
      </c>
      <c r="S86" s="936" t="str">
        <f t="shared" si="32"/>
        <v/>
      </c>
      <c r="T86" s="937" t="str">
        <f t="shared" si="33"/>
        <v/>
      </c>
      <c r="U86" s="361"/>
      <c r="V86" s="375"/>
      <c r="W86" s="375"/>
      <c r="X86" s="375"/>
      <c r="Y86" s="1120" t="e">
        <f>VLOOKUP(H86,tab!$A$73:$V$114,I86+2,FALSE)</f>
        <v>#VALUE!</v>
      </c>
      <c r="Z86" s="1211">
        <f>tab!$E$64</f>
        <v>0.62</v>
      </c>
      <c r="AA86" s="1163" t="e">
        <f t="shared" si="34"/>
        <v>#VALUE!</v>
      </c>
      <c r="AB86" s="1163" t="e">
        <f t="shared" si="35"/>
        <v>#VALUE!</v>
      </c>
      <c r="AC86" s="1163" t="e">
        <f t="shared" si="36"/>
        <v>#VALUE!</v>
      </c>
      <c r="AD86" s="1162" t="e">
        <f t="shared" si="37"/>
        <v>#VALUE!</v>
      </c>
      <c r="AE86" s="1162">
        <f t="shared" si="38"/>
        <v>0</v>
      </c>
      <c r="AF86" s="1129">
        <f>IF(H86&gt;8,tab!$D$65,tab!$D$67)</f>
        <v>0.5</v>
      </c>
      <c r="AG86" s="1143">
        <f t="shared" si="39"/>
        <v>0</v>
      </c>
      <c r="AH86" s="1159">
        <f t="shared" si="40"/>
        <v>0</v>
      </c>
      <c r="AM86" s="403"/>
    </row>
    <row r="87" spans="3:39" ht="12.75" customHeight="1" x14ac:dyDescent="0.2">
      <c r="C87" s="90"/>
      <c r="D87" s="97" t="str">
        <f>IF(obp!D54="","",obp!D54)</f>
        <v/>
      </c>
      <c r="E87" s="97" t="str">
        <f>IF(obp!E54=0,"",obp!E54)</f>
        <v/>
      </c>
      <c r="F87" s="114" t="str">
        <f>IF(obp!F54="","",obp!F54+1)</f>
        <v/>
      </c>
      <c r="G87" s="377" t="str">
        <f>IF(obp!G54="","",obp!G54)</f>
        <v/>
      </c>
      <c r="H87" s="114" t="str">
        <f>IF(obp!H54=0,"",obp!H54)</f>
        <v/>
      </c>
      <c r="I87" s="129" t="str">
        <f>IF(J87="","",(IF(obp!I54+1&gt;LOOKUP(H87,schaal2011,regels2011),obp!I54,obp!I54+1)))</f>
        <v/>
      </c>
      <c r="J87" s="378" t="str">
        <f>IF(obp!J54="","",obp!J54)</f>
        <v/>
      </c>
      <c r="K87" s="392"/>
      <c r="L87" s="1078">
        <f>IF(obp!L54="","",obp!L54)</f>
        <v>0</v>
      </c>
      <c r="M87" s="1078">
        <f>IF(obp!M54="","",obp!M54)</f>
        <v>0</v>
      </c>
      <c r="N87" s="1077" t="str">
        <f t="shared" si="30"/>
        <v/>
      </c>
      <c r="O87" s="1077"/>
      <c r="P87" s="1172" t="str">
        <f t="shared" si="31"/>
        <v/>
      </c>
      <c r="Q87" s="91"/>
      <c r="R87" s="936" t="str">
        <f t="shared" si="41"/>
        <v/>
      </c>
      <c r="S87" s="936" t="str">
        <f t="shared" si="32"/>
        <v/>
      </c>
      <c r="T87" s="937" t="str">
        <f t="shared" si="33"/>
        <v/>
      </c>
      <c r="U87" s="361"/>
      <c r="V87" s="375"/>
      <c r="W87" s="375"/>
      <c r="X87" s="375"/>
      <c r="Y87" s="1120" t="e">
        <f>VLOOKUP(H87,tab!$A$73:$V$114,I87+2,FALSE)</f>
        <v>#VALUE!</v>
      </c>
      <c r="Z87" s="1211">
        <f>tab!$E$64</f>
        <v>0.62</v>
      </c>
      <c r="AA87" s="1163" t="e">
        <f t="shared" si="34"/>
        <v>#VALUE!</v>
      </c>
      <c r="AB87" s="1163" t="e">
        <f t="shared" si="35"/>
        <v>#VALUE!</v>
      </c>
      <c r="AC87" s="1163" t="e">
        <f t="shared" si="36"/>
        <v>#VALUE!</v>
      </c>
      <c r="AD87" s="1162" t="e">
        <f t="shared" si="37"/>
        <v>#VALUE!</v>
      </c>
      <c r="AE87" s="1162">
        <f t="shared" si="38"/>
        <v>0</v>
      </c>
      <c r="AF87" s="1129">
        <f>IF(H87&gt;8,tab!$D$65,tab!$D$67)</f>
        <v>0.5</v>
      </c>
      <c r="AG87" s="1143">
        <f t="shared" si="39"/>
        <v>0</v>
      </c>
      <c r="AH87" s="1159">
        <f t="shared" si="40"/>
        <v>0</v>
      </c>
      <c r="AM87" s="403"/>
    </row>
    <row r="88" spans="3:39" ht="12.75" customHeight="1" x14ac:dyDescent="0.2">
      <c r="C88" s="90"/>
      <c r="D88" s="97" t="str">
        <f>IF(obp!D55="","",obp!D55)</f>
        <v/>
      </c>
      <c r="E88" s="97" t="str">
        <f>IF(obp!E55=0,"",obp!E55)</f>
        <v/>
      </c>
      <c r="F88" s="114" t="str">
        <f>IF(obp!F55="","",obp!F55+1)</f>
        <v/>
      </c>
      <c r="G88" s="377" t="str">
        <f>IF(obp!G55="","",obp!G55)</f>
        <v/>
      </c>
      <c r="H88" s="114" t="str">
        <f>IF(obp!H55=0,"",obp!H55)</f>
        <v/>
      </c>
      <c r="I88" s="129" t="str">
        <f>IF(J88="","",(IF(obp!I55+1&gt;LOOKUP(H88,schaal2011,regels2011),obp!I55,obp!I55+1)))</f>
        <v/>
      </c>
      <c r="J88" s="378" t="str">
        <f>IF(obp!J55="","",obp!J55)</f>
        <v/>
      </c>
      <c r="K88" s="392"/>
      <c r="L88" s="1078">
        <f>IF(obp!L55="","",obp!L55)</f>
        <v>0</v>
      </c>
      <c r="M88" s="1078">
        <f>IF(obp!M55="","",obp!M55)</f>
        <v>0</v>
      </c>
      <c r="N88" s="1077" t="str">
        <f t="shared" si="30"/>
        <v/>
      </c>
      <c r="O88" s="1077"/>
      <c r="P88" s="1172" t="str">
        <f t="shared" si="31"/>
        <v/>
      </c>
      <c r="Q88" s="91"/>
      <c r="R88" s="936" t="str">
        <f t="shared" si="41"/>
        <v/>
      </c>
      <c r="S88" s="936" t="str">
        <f t="shared" si="32"/>
        <v/>
      </c>
      <c r="T88" s="937" t="str">
        <f t="shared" si="33"/>
        <v/>
      </c>
      <c r="U88" s="361"/>
      <c r="V88" s="375"/>
      <c r="W88" s="375"/>
      <c r="X88" s="375"/>
      <c r="Y88" s="1120" t="e">
        <f>VLOOKUP(H88,tab!$A$73:$V$114,I88+2,FALSE)</f>
        <v>#VALUE!</v>
      </c>
      <c r="Z88" s="1211">
        <f>tab!$E$64</f>
        <v>0.62</v>
      </c>
      <c r="AA88" s="1163" t="e">
        <f t="shared" si="34"/>
        <v>#VALUE!</v>
      </c>
      <c r="AB88" s="1163" t="e">
        <f t="shared" si="35"/>
        <v>#VALUE!</v>
      </c>
      <c r="AC88" s="1163" t="e">
        <f t="shared" si="36"/>
        <v>#VALUE!</v>
      </c>
      <c r="AD88" s="1162" t="e">
        <f t="shared" si="37"/>
        <v>#VALUE!</v>
      </c>
      <c r="AE88" s="1162">
        <f t="shared" si="38"/>
        <v>0</v>
      </c>
      <c r="AF88" s="1129">
        <f>IF(H88&gt;8,tab!$D$65,tab!$D$67)</f>
        <v>0.5</v>
      </c>
      <c r="AG88" s="1143">
        <f t="shared" si="39"/>
        <v>0</v>
      </c>
      <c r="AH88" s="1159">
        <f t="shared" si="40"/>
        <v>0</v>
      </c>
      <c r="AM88" s="403"/>
    </row>
    <row r="89" spans="3:39" ht="12.75" customHeight="1" x14ac:dyDescent="0.2">
      <c r="C89" s="90"/>
      <c r="D89" s="97" t="str">
        <f>IF(obp!D56="","",obp!D56)</f>
        <v/>
      </c>
      <c r="E89" s="97" t="str">
        <f>IF(obp!E56=0,"",obp!E56)</f>
        <v/>
      </c>
      <c r="F89" s="114" t="str">
        <f>IF(obp!F56="","",obp!F56+1)</f>
        <v/>
      </c>
      <c r="G89" s="377" t="str">
        <f>IF(obp!G56="","",obp!G56)</f>
        <v/>
      </c>
      <c r="H89" s="114" t="str">
        <f>IF(obp!H56=0,"",obp!H56)</f>
        <v/>
      </c>
      <c r="I89" s="129" t="str">
        <f>IF(J89="","",(IF(obp!I56+1&gt;LOOKUP(H89,schaal2011,regels2011),obp!I56,obp!I56+1)))</f>
        <v/>
      </c>
      <c r="J89" s="378" t="str">
        <f>IF(obp!J56="","",obp!J56)</f>
        <v/>
      </c>
      <c r="K89" s="392"/>
      <c r="L89" s="1078">
        <f>IF(obp!L56="","",obp!L56)</f>
        <v>0</v>
      </c>
      <c r="M89" s="1078">
        <f>IF(obp!M56="","",obp!M56)</f>
        <v>0</v>
      </c>
      <c r="N89" s="1077" t="str">
        <f t="shared" si="30"/>
        <v/>
      </c>
      <c r="O89" s="1077"/>
      <c r="P89" s="1172" t="str">
        <f t="shared" si="31"/>
        <v/>
      </c>
      <c r="Q89" s="91"/>
      <c r="R89" s="936" t="str">
        <f t="shared" si="41"/>
        <v/>
      </c>
      <c r="S89" s="936" t="str">
        <f t="shared" si="32"/>
        <v/>
      </c>
      <c r="T89" s="937" t="str">
        <f t="shared" si="33"/>
        <v/>
      </c>
      <c r="U89" s="361"/>
      <c r="V89" s="375"/>
      <c r="W89" s="375"/>
      <c r="X89" s="375"/>
      <c r="Y89" s="1120" t="e">
        <f>VLOOKUP(H89,tab!$A$73:$V$114,I89+2,FALSE)</f>
        <v>#VALUE!</v>
      </c>
      <c r="Z89" s="1211">
        <f>tab!$E$64</f>
        <v>0.62</v>
      </c>
      <c r="AA89" s="1163" t="e">
        <f t="shared" si="34"/>
        <v>#VALUE!</v>
      </c>
      <c r="AB89" s="1163" t="e">
        <f t="shared" si="35"/>
        <v>#VALUE!</v>
      </c>
      <c r="AC89" s="1163" t="e">
        <f t="shared" si="36"/>
        <v>#VALUE!</v>
      </c>
      <c r="AD89" s="1162" t="e">
        <f t="shared" si="37"/>
        <v>#VALUE!</v>
      </c>
      <c r="AE89" s="1162">
        <f t="shared" si="38"/>
        <v>0</v>
      </c>
      <c r="AF89" s="1129">
        <f>IF(H89&gt;8,tab!$D$65,tab!$D$67)</f>
        <v>0.5</v>
      </c>
      <c r="AG89" s="1143">
        <f t="shared" si="39"/>
        <v>0</v>
      </c>
      <c r="AH89" s="1159">
        <f t="shared" si="40"/>
        <v>0</v>
      </c>
      <c r="AM89" s="403"/>
    </row>
    <row r="90" spans="3:39" ht="12.75" customHeight="1" x14ac:dyDescent="0.2">
      <c r="C90" s="90"/>
      <c r="D90" s="97" t="str">
        <f>IF(obp!D57="","",obp!D57)</f>
        <v/>
      </c>
      <c r="E90" s="97" t="str">
        <f>IF(obp!E57=0,"",obp!E57)</f>
        <v/>
      </c>
      <c r="F90" s="114" t="str">
        <f>IF(obp!F57="","",obp!F57+1)</f>
        <v/>
      </c>
      <c r="G90" s="377" t="str">
        <f>IF(obp!G57="","",obp!G57)</f>
        <v/>
      </c>
      <c r="H90" s="114" t="str">
        <f>IF(obp!H57=0,"",obp!H57)</f>
        <v/>
      </c>
      <c r="I90" s="129" t="str">
        <f>IF(J90="","",(IF(obp!I57+1&gt;LOOKUP(H90,schaal2011,regels2011),obp!I57,obp!I57+1)))</f>
        <v/>
      </c>
      <c r="J90" s="378" t="str">
        <f>IF(obp!J57="","",obp!J57)</f>
        <v/>
      </c>
      <c r="K90" s="392"/>
      <c r="L90" s="1078">
        <f>IF(obp!L57="","",obp!L57)</f>
        <v>0</v>
      </c>
      <c r="M90" s="1078">
        <f>IF(obp!M57="","",obp!M57)</f>
        <v>0</v>
      </c>
      <c r="N90" s="1077" t="str">
        <f t="shared" si="30"/>
        <v/>
      </c>
      <c r="O90" s="1077"/>
      <c r="P90" s="1172" t="str">
        <f t="shared" si="31"/>
        <v/>
      </c>
      <c r="Q90" s="91"/>
      <c r="R90" s="936" t="str">
        <f t="shared" si="41"/>
        <v/>
      </c>
      <c r="S90" s="936" t="str">
        <f t="shared" si="32"/>
        <v/>
      </c>
      <c r="T90" s="937" t="str">
        <f t="shared" si="33"/>
        <v/>
      </c>
      <c r="U90" s="361"/>
      <c r="V90" s="375"/>
      <c r="W90" s="375"/>
      <c r="X90" s="375"/>
      <c r="Y90" s="1120" t="e">
        <f>VLOOKUP(H90,tab!$A$73:$V$114,I90+2,FALSE)</f>
        <v>#VALUE!</v>
      </c>
      <c r="Z90" s="1211">
        <f>tab!$E$64</f>
        <v>0.62</v>
      </c>
      <c r="AA90" s="1163" t="e">
        <f t="shared" si="34"/>
        <v>#VALUE!</v>
      </c>
      <c r="AB90" s="1163" t="e">
        <f t="shared" si="35"/>
        <v>#VALUE!</v>
      </c>
      <c r="AC90" s="1163" t="e">
        <f t="shared" si="36"/>
        <v>#VALUE!</v>
      </c>
      <c r="AD90" s="1162" t="e">
        <f t="shared" si="37"/>
        <v>#VALUE!</v>
      </c>
      <c r="AE90" s="1162">
        <f t="shared" si="38"/>
        <v>0</v>
      </c>
      <c r="AF90" s="1129">
        <f>IF(H90&gt;8,tab!$D$65,tab!$D$67)</f>
        <v>0.5</v>
      </c>
      <c r="AG90" s="1143">
        <f t="shared" si="39"/>
        <v>0</v>
      </c>
      <c r="AH90" s="1159">
        <f t="shared" si="40"/>
        <v>0</v>
      </c>
      <c r="AM90" s="403"/>
    </row>
    <row r="91" spans="3:39" ht="12.75" customHeight="1" x14ac:dyDescent="0.2">
      <c r="C91" s="90"/>
      <c r="D91" s="97" t="str">
        <f>IF(obp!D58="","",obp!D58)</f>
        <v/>
      </c>
      <c r="E91" s="97" t="str">
        <f>IF(obp!E58=0,"",obp!E58)</f>
        <v/>
      </c>
      <c r="F91" s="114" t="str">
        <f>IF(obp!F58="","",obp!F58+1)</f>
        <v/>
      </c>
      <c r="G91" s="377" t="str">
        <f>IF(obp!G58="","",obp!G58)</f>
        <v/>
      </c>
      <c r="H91" s="114" t="str">
        <f>IF(obp!H58=0,"",obp!H58)</f>
        <v/>
      </c>
      <c r="I91" s="129" t="str">
        <f>IF(J91="","",(IF(obp!I58+1&gt;LOOKUP(H91,schaal2011,regels2011),obp!I58,obp!I58+1)))</f>
        <v/>
      </c>
      <c r="J91" s="378" t="str">
        <f>IF(obp!J58="","",obp!J58)</f>
        <v/>
      </c>
      <c r="K91" s="392"/>
      <c r="L91" s="1078">
        <f>IF(obp!L58="","",obp!L58)</f>
        <v>0</v>
      </c>
      <c r="M91" s="1078">
        <f>IF(obp!M58="","",obp!M58)</f>
        <v>0</v>
      </c>
      <c r="N91" s="1077" t="str">
        <f t="shared" si="30"/>
        <v/>
      </c>
      <c r="O91" s="1077"/>
      <c r="P91" s="1172" t="str">
        <f t="shared" si="31"/>
        <v/>
      </c>
      <c r="Q91" s="91"/>
      <c r="R91" s="936" t="str">
        <f t="shared" si="41"/>
        <v/>
      </c>
      <c r="S91" s="936" t="str">
        <f t="shared" si="32"/>
        <v/>
      </c>
      <c r="T91" s="937" t="str">
        <f t="shared" si="33"/>
        <v/>
      </c>
      <c r="U91" s="361"/>
      <c r="V91" s="375"/>
      <c r="W91" s="375"/>
      <c r="X91" s="375"/>
      <c r="Y91" s="1120" t="e">
        <f>VLOOKUP(H91,tab!$A$73:$V$114,I91+2,FALSE)</f>
        <v>#VALUE!</v>
      </c>
      <c r="Z91" s="1211">
        <f>tab!$E$64</f>
        <v>0.62</v>
      </c>
      <c r="AA91" s="1163" t="e">
        <f t="shared" si="34"/>
        <v>#VALUE!</v>
      </c>
      <c r="AB91" s="1163" t="e">
        <f t="shared" si="35"/>
        <v>#VALUE!</v>
      </c>
      <c r="AC91" s="1163" t="e">
        <f t="shared" si="36"/>
        <v>#VALUE!</v>
      </c>
      <c r="AD91" s="1162" t="e">
        <f t="shared" si="37"/>
        <v>#VALUE!</v>
      </c>
      <c r="AE91" s="1162">
        <f t="shared" si="38"/>
        <v>0</v>
      </c>
      <c r="AF91" s="1129">
        <f>IF(H91&gt;8,tab!$D$65,tab!$D$67)</f>
        <v>0.5</v>
      </c>
      <c r="AG91" s="1143">
        <f t="shared" si="39"/>
        <v>0</v>
      </c>
      <c r="AH91" s="1159">
        <f t="shared" si="40"/>
        <v>0</v>
      </c>
      <c r="AM91" s="403"/>
    </row>
    <row r="92" spans="3:39" ht="12.75" customHeight="1" x14ac:dyDescent="0.2">
      <c r="C92" s="90"/>
      <c r="D92" s="97" t="str">
        <f>IF(obp!D59="","",obp!D59)</f>
        <v/>
      </c>
      <c r="E92" s="97" t="str">
        <f>IF(obp!E59=0,"",obp!E59)</f>
        <v/>
      </c>
      <c r="F92" s="114" t="str">
        <f>IF(obp!F59="","",obp!F59+1)</f>
        <v/>
      </c>
      <c r="G92" s="377" t="str">
        <f>IF(obp!G59="","",obp!G59)</f>
        <v/>
      </c>
      <c r="H92" s="114" t="str">
        <f>IF(obp!H59=0,"",obp!H59)</f>
        <v/>
      </c>
      <c r="I92" s="129" t="str">
        <f>IF(J92="","",(IF(obp!I59+1&gt;LOOKUP(H92,schaal2011,regels2011),obp!I59,obp!I59+1)))</f>
        <v/>
      </c>
      <c r="J92" s="378" t="str">
        <f>IF(obp!J59="","",obp!J59)</f>
        <v/>
      </c>
      <c r="K92" s="392"/>
      <c r="L92" s="1078">
        <f>IF(obp!L59="","",obp!L59)</f>
        <v>0</v>
      </c>
      <c r="M92" s="1078">
        <f>IF(obp!M59="","",obp!M59)</f>
        <v>0</v>
      </c>
      <c r="N92" s="1077" t="str">
        <f t="shared" si="30"/>
        <v/>
      </c>
      <c r="O92" s="1077"/>
      <c r="P92" s="1172" t="str">
        <f t="shared" si="31"/>
        <v/>
      </c>
      <c r="Q92" s="91"/>
      <c r="R92" s="936" t="str">
        <f t="shared" si="41"/>
        <v/>
      </c>
      <c r="S92" s="936" t="str">
        <f t="shared" si="32"/>
        <v/>
      </c>
      <c r="T92" s="937" t="str">
        <f t="shared" si="33"/>
        <v/>
      </c>
      <c r="U92" s="361"/>
      <c r="V92" s="375"/>
      <c r="W92" s="375"/>
      <c r="X92" s="375"/>
      <c r="Y92" s="1120" t="e">
        <f>VLOOKUP(H92,tab!$A$73:$V$114,I92+2,FALSE)</f>
        <v>#VALUE!</v>
      </c>
      <c r="Z92" s="1211">
        <f>tab!$E$64</f>
        <v>0.62</v>
      </c>
      <c r="AA92" s="1163" t="e">
        <f t="shared" si="34"/>
        <v>#VALUE!</v>
      </c>
      <c r="AB92" s="1163" t="e">
        <f t="shared" si="35"/>
        <v>#VALUE!</v>
      </c>
      <c r="AC92" s="1163" t="e">
        <f t="shared" si="36"/>
        <v>#VALUE!</v>
      </c>
      <c r="AD92" s="1162" t="e">
        <f t="shared" si="37"/>
        <v>#VALUE!</v>
      </c>
      <c r="AE92" s="1162">
        <f t="shared" si="38"/>
        <v>0</v>
      </c>
      <c r="AF92" s="1129">
        <f>IF(H92&gt;8,tab!$D$65,tab!$D$67)</f>
        <v>0.5</v>
      </c>
      <c r="AG92" s="1143">
        <f t="shared" si="39"/>
        <v>0</v>
      </c>
      <c r="AH92" s="1159">
        <f t="shared" si="40"/>
        <v>0</v>
      </c>
      <c r="AM92" s="403"/>
    </row>
    <row r="93" spans="3:39" ht="12.75" customHeight="1" x14ac:dyDescent="0.2">
      <c r="C93" s="90"/>
      <c r="D93" s="97" t="str">
        <f>IF(obp!D60="","",obp!D60)</f>
        <v/>
      </c>
      <c r="E93" s="97" t="str">
        <f>IF(obp!E60=0,"",obp!E60)</f>
        <v/>
      </c>
      <c r="F93" s="114" t="str">
        <f>IF(obp!F60="","",obp!F60+1)</f>
        <v/>
      </c>
      <c r="G93" s="377" t="str">
        <f>IF(obp!G60="","",obp!G60)</f>
        <v/>
      </c>
      <c r="H93" s="114" t="str">
        <f>IF(obp!H60=0,"",obp!H60)</f>
        <v/>
      </c>
      <c r="I93" s="129" t="str">
        <f>IF(J93="","",(IF(obp!I60+1&gt;LOOKUP(H93,schaal2011,regels2011),obp!I60,obp!I60+1)))</f>
        <v/>
      </c>
      <c r="J93" s="378" t="str">
        <f>IF(obp!J60="","",obp!J60)</f>
        <v/>
      </c>
      <c r="K93" s="392"/>
      <c r="L93" s="1078">
        <f>IF(obp!L60="","",obp!L60)</f>
        <v>0</v>
      </c>
      <c r="M93" s="1078">
        <f>IF(obp!M60="","",obp!M60)</f>
        <v>0</v>
      </c>
      <c r="N93" s="1077" t="str">
        <f t="shared" si="30"/>
        <v/>
      </c>
      <c r="O93" s="1077"/>
      <c r="P93" s="1172" t="str">
        <f t="shared" si="31"/>
        <v/>
      </c>
      <c r="Q93" s="91"/>
      <c r="R93" s="936" t="str">
        <f t="shared" si="41"/>
        <v/>
      </c>
      <c r="S93" s="936" t="str">
        <f t="shared" si="32"/>
        <v/>
      </c>
      <c r="T93" s="937" t="str">
        <f t="shared" si="33"/>
        <v/>
      </c>
      <c r="U93" s="361"/>
      <c r="V93" s="375"/>
      <c r="W93" s="375"/>
      <c r="X93" s="375"/>
      <c r="Y93" s="1120" t="e">
        <f>VLOOKUP(H93,tab!$A$73:$V$114,I93+2,FALSE)</f>
        <v>#VALUE!</v>
      </c>
      <c r="Z93" s="1211">
        <f>tab!$E$64</f>
        <v>0.62</v>
      </c>
      <c r="AA93" s="1163" t="e">
        <f t="shared" si="34"/>
        <v>#VALUE!</v>
      </c>
      <c r="AB93" s="1163" t="e">
        <f t="shared" si="35"/>
        <v>#VALUE!</v>
      </c>
      <c r="AC93" s="1163" t="e">
        <f t="shared" si="36"/>
        <v>#VALUE!</v>
      </c>
      <c r="AD93" s="1162" t="e">
        <f t="shared" si="37"/>
        <v>#VALUE!</v>
      </c>
      <c r="AE93" s="1162">
        <f t="shared" si="38"/>
        <v>0</v>
      </c>
      <c r="AF93" s="1129">
        <f>IF(H93&gt;8,tab!$D$65,tab!$D$67)</f>
        <v>0.5</v>
      </c>
      <c r="AG93" s="1143">
        <f t="shared" si="39"/>
        <v>0</v>
      </c>
      <c r="AH93" s="1159">
        <f t="shared" si="40"/>
        <v>0</v>
      </c>
      <c r="AM93" s="403"/>
    </row>
    <row r="94" spans="3:39" ht="12.75" customHeight="1" x14ac:dyDescent="0.2">
      <c r="C94" s="90"/>
      <c r="D94" s="97" t="str">
        <f>IF(obp!D61="","",obp!D61)</f>
        <v/>
      </c>
      <c r="E94" s="97" t="str">
        <f>IF(obp!E61=0,"",obp!E61)</f>
        <v/>
      </c>
      <c r="F94" s="114" t="str">
        <f>IF(obp!F61="","",obp!F61+1)</f>
        <v/>
      </c>
      <c r="G94" s="377" t="str">
        <f>IF(obp!G61="","",obp!G61)</f>
        <v/>
      </c>
      <c r="H94" s="114" t="str">
        <f>IF(obp!H61=0,"",obp!H61)</f>
        <v/>
      </c>
      <c r="I94" s="129" t="str">
        <f>IF(J94="","",(IF(obp!I61+1&gt;LOOKUP(H94,schaal2011,regels2011),obp!I61,obp!I61+1)))</f>
        <v/>
      </c>
      <c r="J94" s="378" t="str">
        <f>IF(obp!J61="","",obp!J61)</f>
        <v/>
      </c>
      <c r="K94" s="392"/>
      <c r="L94" s="1078">
        <f>IF(obp!L61="","",obp!L61)</f>
        <v>0</v>
      </c>
      <c r="M94" s="1078">
        <f>IF(obp!M61="","",obp!M61)</f>
        <v>0</v>
      </c>
      <c r="N94" s="1077" t="str">
        <f t="shared" si="30"/>
        <v/>
      </c>
      <c r="O94" s="1077"/>
      <c r="P94" s="1172" t="str">
        <f t="shared" si="31"/>
        <v/>
      </c>
      <c r="Q94" s="91"/>
      <c r="R94" s="936" t="str">
        <f t="shared" si="41"/>
        <v/>
      </c>
      <c r="S94" s="936" t="str">
        <f t="shared" si="32"/>
        <v/>
      </c>
      <c r="T94" s="937" t="str">
        <f t="shared" si="33"/>
        <v/>
      </c>
      <c r="U94" s="361"/>
      <c r="V94" s="375"/>
      <c r="W94" s="375"/>
      <c r="X94" s="375"/>
      <c r="Y94" s="1120" t="e">
        <f>VLOOKUP(H94,tab!$A$73:$V$114,I94+2,FALSE)</f>
        <v>#VALUE!</v>
      </c>
      <c r="Z94" s="1211">
        <f>tab!$E$64</f>
        <v>0.62</v>
      </c>
      <c r="AA94" s="1163" t="e">
        <f t="shared" si="34"/>
        <v>#VALUE!</v>
      </c>
      <c r="AB94" s="1163" t="e">
        <f t="shared" si="35"/>
        <v>#VALUE!</v>
      </c>
      <c r="AC94" s="1163" t="e">
        <f t="shared" si="36"/>
        <v>#VALUE!</v>
      </c>
      <c r="AD94" s="1162" t="e">
        <f t="shared" si="37"/>
        <v>#VALUE!</v>
      </c>
      <c r="AE94" s="1162">
        <f t="shared" si="38"/>
        <v>0</v>
      </c>
      <c r="AF94" s="1129">
        <f>IF(H94&gt;8,tab!$D$65,tab!$D$67)</f>
        <v>0.5</v>
      </c>
      <c r="AG94" s="1143">
        <f t="shared" si="39"/>
        <v>0</v>
      </c>
      <c r="AH94" s="1159">
        <f t="shared" si="40"/>
        <v>0</v>
      </c>
      <c r="AM94" s="403"/>
    </row>
    <row r="95" spans="3:39" ht="12.75" customHeight="1" x14ac:dyDescent="0.2">
      <c r="C95" s="90"/>
      <c r="D95" s="97" t="str">
        <f>IF(obp!D62="","",obp!D62)</f>
        <v/>
      </c>
      <c r="E95" s="97" t="str">
        <f>IF(obp!E62=0,"",obp!E62)</f>
        <v/>
      </c>
      <c r="F95" s="114" t="str">
        <f>IF(obp!F62="","",obp!F62+1)</f>
        <v/>
      </c>
      <c r="G95" s="377" t="str">
        <f>IF(obp!G62="","",obp!G62)</f>
        <v/>
      </c>
      <c r="H95" s="114" t="str">
        <f>IF(obp!H62=0,"",obp!H62)</f>
        <v/>
      </c>
      <c r="I95" s="129" t="str">
        <f>IF(J95="","",(IF(obp!I62+1&gt;LOOKUP(H95,schaal2011,regels2011),obp!I62,obp!I62+1)))</f>
        <v/>
      </c>
      <c r="J95" s="378" t="str">
        <f>IF(obp!J62="","",obp!J62)</f>
        <v/>
      </c>
      <c r="K95" s="392"/>
      <c r="L95" s="1078">
        <f>IF(obp!L62="","",obp!L62)</f>
        <v>0</v>
      </c>
      <c r="M95" s="1078">
        <f>IF(obp!M62="","",obp!M62)</f>
        <v>0</v>
      </c>
      <c r="N95" s="1077" t="str">
        <f t="shared" si="30"/>
        <v/>
      </c>
      <c r="O95" s="1077"/>
      <c r="P95" s="1172" t="str">
        <f t="shared" si="31"/>
        <v/>
      </c>
      <c r="Q95" s="91"/>
      <c r="R95" s="936" t="str">
        <f t="shared" si="41"/>
        <v/>
      </c>
      <c r="S95" s="936" t="str">
        <f t="shared" si="32"/>
        <v/>
      </c>
      <c r="T95" s="937" t="str">
        <f t="shared" si="33"/>
        <v/>
      </c>
      <c r="U95" s="361"/>
      <c r="V95" s="375"/>
      <c r="W95" s="375"/>
      <c r="X95" s="375"/>
      <c r="Y95" s="1120" t="e">
        <f>VLOOKUP(H95,tab!$A$73:$V$114,I95+2,FALSE)</f>
        <v>#VALUE!</v>
      </c>
      <c r="Z95" s="1211">
        <f>tab!$E$64</f>
        <v>0.62</v>
      </c>
      <c r="AA95" s="1163" t="e">
        <f t="shared" si="34"/>
        <v>#VALUE!</v>
      </c>
      <c r="AB95" s="1163" t="e">
        <f t="shared" si="35"/>
        <v>#VALUE!</v>
      </c>
      <c r="AC95" s="1163" t="e">
        <f t="shared" si="36"/>
        <v>#VALUE!</v>
      </c>
      <c r="AD95" s="1162" t="e">
        <f t="shared" si="37"/>
        <v>#VALUE!</v>
      </c>
      <c r="AE95" s="1162">
        <f t="shared" si="38"/>
        <v>0</v>
      </c>
      <c r="AF95" s="1129">
        <f>IF(H95&gt;8,tab!$D$65,tab!$D$67)</f>
        <v>0.5</v>
      </c>
      <c r="AG95" s="1143">
        <f t="shared" si="39"/>
        <v>0</v>
      </c>
      <c r="AH95" s="1159">
        <f t="shared" si="40"/>
        <v>0</v>
      </c>
      <c r="AM95" s="403"/>
    </row>
    <row r="96" spans="3:39" ht="12.75" customHeight="1" x14ac:dyDescent="0.2">
      <c r="C96" s="90"/>
      <c r="D96" s="97" t="str">
        <f>IF(obp!D63="","",obp!D63)</f>
        <v/>
      </c>
      <c r="E96" s="97" t="str">
        <f>IF(obp!E63=0,"",obp!E63)</f>
        <v/>
      </c>
      <c r="F96" s="114" t="str">
        <f>IF(obp!F63="","",obp!F63+1)</f>
        <v/>
      </c>
      <c r="G96" s="377" t="str">
        <f>IF(obp!G63="","",obp!G63)</f>
        <v/>
      </c>
      <c r="H96" s="114" t="str">
        <f>IF(obp!H63=0,"",obp!H63)</f>
        <v/>
      </c>
      <c r="I96" s="129" t="str">
        <f>IF(J96="","",(IF(obp!I63+1&gt;LOOKUP(H96,schaal2011,regels2011),obp!I63,obp!I63+1)))</f>
        <v/>
      </c>
      <c r="J96" s="378" t="str">
        <f>IF(obp!J63="","",obp!J63)</f>
        <v/>
      </c>
      <c r="K96" s="392"/>
      <c r="L96" s="1078">
        <f>IF(obp!L63="","",obp!L63)</f>
        <v>0</v>
      </c>
      <c r="M96" s="1078">
        <f>IF(obp!M63="","",obp!M63)</f>
        <v>0</v>
      </c>
      <c r="N96" s="1077" t="str">
        <f t="shared" si="30"/>
        <v/>
      </c>
      <c r="O96" s="1077"/>
      <c r="P96" s="1172" t="str">
        <f t="shared" si="31"/>
        <v/>
      </c>
      <c r="Q96" s="91"/>
      <c r="R96" s="936" t="str">
        <f t="shared" si="41"/>
        <v/>
      </c>
      <c r="S96" s="936" t="str">
        <f t="shared" si="32"/>
        <v/>
      </c>
      <c r="T96" s="937" t="str">
        <f t="shared" si="33"/>
        <v/>
      </c>
      <c r="U96" s="361"/>
      <c r="V96" s="375"/>
      <c r="W96" s="375"/>
      <c r="X96" s="375"/>
      <c r="Y96" s="1120" t="e">
        <f>VLOOKUP(H96,tab!$A$73:$V$114,I96+2,FALSE)</f>
        <v>#VALUE!</v>
      </c>
      <c r="Z96" s="1211">
        <f>tab!$E$64</f>
        <v>0.62</v>
      </c>
      <c r="AA96" s="1163" t="e">
        <f t="shared" si="34"/>
        <v>#VALUE!</v>
      </c>
      <c r="AB96" s="1163" t="e">
        <f t="shared" si="35"/>
        <v>#VALUE!</v>
      </c>
      <c r="AC96" s="1163" t="e">
        <f t="shared" si="36"/>
        <v>#VALUE!</v>
      </c>
      <c r="AD96" s="1162" t="e">
        <f t="shared" si="37"/>
        <v>#VALUE!</v>
      </c>
      <c r="AE96" s="1162">
        <f t="shared" si="38"/>
        <v>0</v>
      </c>
      <c r="AF96" s="1129">
        <f>IF(H96&gt;8,tab!$D$65,tab!$D$67)</f>
        <v>0.5</v>
      </c>
      <c r="AG96" s="1143">
        <f t="shared" si="39"/>
        <v>0</v>
      </c>
      <c r="AH96" s="1159">
        <f t="shared" si="40"/>
        <v>0</v>
      </c>
      <c r="AM96" s="403"/>
    </row>
    <row r="97" spans="3:44" ht="12.75" customHeight="1" x14ac:dyDescent="0.2">
      <c r="C97" s="90"/>
      <c r="D97" s="97" t="str">
        <f>IF(obp!D64="","",obp!D64)</f>
        <v/>
      </c>
      <c r="E97" s="97" t="str">
        <f>IF(obp!E64=0,"",obp!E64)</f>
        <v/>
      </c>
      <c r="F97" s="114" t="str">
        <f>IF(obp!F64="","",obp!F64+1)</f>
        <v/>
      </c>
      <c r="G97" s="377" t="str">
        <f>IF(obp!G64="","",obp!G64)</f>
        <v/>
      </c>
      <c r="H97" s="114" t="str">
        <f>IF(obp!H64=0,"",obp!H64)</f>
        <v/>
      </c>
      <c r="I97" s="129" t="str">
        <f>IF(J97="","",(IF(obp!I64+1&gt;LOOKUP(H97,schaal2011,regels2011),obp!I64,obp!I64+1)))</f>
        <v/>
      </c>
      <c r="J97" s="378" t="str">
        <f>IF(obp!J64="","",obp!J64)</f>
        <v/>
      </c>
      <c r="K97" s="392"/>
      <c r="L97" s="1078">
        <f>IF(obp!L64="","",obp!L64)</f>
        <v>0</v>
      </c>
      <c r="M97" s="1078">
        <f>IF(obp!M64="","",obp!M64)</f>
        <v>0</v>
      </c>
      <c r="N97" s="1077" t="str">
        <f t="shared" si="30"/>
        <v/>
      </c>
      <c r="O97" s="1077"/>
      <c r="P97" s="1172" t="str">
        <f t="shared" si="31"/>
        <v/>
      </c>
      <c r="Q97" s="91"/>
      <c r="R97" s="936" t="str">
        <f t="shared" si="41"/>
        <v/>
      </c>
      <c r="S97" s="936" t="str">
        <f t="shared" si="32"/>
        <v/>
      </c>
      <c r="T97" s="937" t="str">
        <f t="shared" si="33"/>
        <v/>
      </c>
      <c r="U97" s="361"/>
      <c r="V97" s="375"/>
      <c r="W97" s="375"/>
      <c r="X97" s="375"/>
      <c r="Y97" s="1120" t="e">
        <f>VLOOKUP(H97,tab!$A$73:$V$114,I97+2,FALSE)</f>
        <v>#VALUE!</v>
      </c>
      <c r="Z97" s="1211">
        <f>tab!$E$64</f>
        <v>0.62</v>
      </c>
      <c r="AA97" s="1163" t="e">
        <f t="shared" si="34"/>
        <v>#VALUE!</v>
      </c>
      <c r="AB97" s="1163" t="e">
        <f t="shared" si="35"/>
        <v>#VALUE!</v>
      </c>
      <c r="AC97" s="1163" t="e">
        <f t="shared" si="36"/>
        <v>#VALUE!</v>
      </c>
      <c r="AD97" s="1162" t="e">
        <f t="shared" si="37"/>
        <v>#VALUE!</v>
      </c>
      <c r="AE97" s="1162">
        <f t="shared" si="38"/>
        <v>0</v>
      </c>
      <c r="AF97" s="1129">
        <f>IF(H97&gt;8,tab!$D$65,tab!$D$67)</f>
        <v>0.5</v>
      </c>
      <c r="AG97" s="1143">
        <f t="shared" si="39"/>
        <v>0</v>
      </c>
      <c r="AH97" s="1159">
        <f t="shared" si="40"/>
        <v>0</v>
      </c>
      <c r="AM97" s="403"/>
    </row>
    <row r="98" spans="3:44" ht="12.75" customHeight="1" x14ac:dyDescent="0.2">
      <c r="C98" s="90"/>
      <c r="D98" s="97" t="str">
        <f>IF(obp!D65="","",obp!D65)</f>
        <v/>
      </c>
      <c r="E98" s="97" t="str">
        <f>IF(obp!E65=0,"",obp!E65)</f>
        <v/>
      </c>
      <c r="F98" s="114" t="str">
        <f>IF(obp!F65="","",obp!F65+1)</f>
        <v/>
      </c>
      <c r="G98" s="377" t="str">
        <f>IF(obp!G65="","",obp!G65)</f>
        <v/>
      </c>
      <c r="H98" s="114" t="str">
        <f>IF(obp!H65=0,"",obp!H65)</f>
        <v/>
      </c>
      <c r="I98" s="129" t="str">
        <f>IF(J98="","",(IF(obp!I65+1&gt;LOOKUP(H98,schaal2011,regels2011),obp!I65,obp!I65+1)))</f>
        <v/>
      </c>
      <c r="J98" s="378" t="str">
        <f>IF(obp!J65="","",obp!J65)</f>
        <v/>
      </c>
      <c r="K98" s="392"/>
      <c r="L98" s="1078">
        <f>IF(obp!L65="","",obp!L65)</f>
        <v>0</v>
      </c>
      <c r="M98" s="1078">
        <f>IF(obp!M65="","",obp!M65)</f>
        <v>0</v>
      </c>
      <c r="N98" s="1077" t="str">
        <f t="shared" si="30"/>
        <v/>
      </c>
      <c r="O98" s="1077"/>
      <c r="P98" s="1172" t="str">
        <f t="shared" si="31"/>
        <v/>
      </c>
      <c r="Q98" s="91"/>
      <c r="R98" s="936" t="str">
        <f t="shared" si="41"/>
        <v/>
      </c>
      <c r="S98" s="936" t="str">
        <f t="shared" si="32"/>
        <v/>
      </c>
      <c r="T98" s="937" t="str">
        <f t="shared" si="33"/>
        <v/>
      </c>
      <c r="U98" s="361"/>
      <c r="V98" s="375"/>
      <c r="W98" s="375"/>
      <c r="X98" s="375"/>
      <c r="Y98" s="1120" t="e">
        <f>VLOOKUP(H98,tab!$A$73:$V$114,I98+2,FALSE)</f>
        <v>#VALUE!</v>
      </c>
      <c r="Z98" s="1211">
        <f>tab!$E$64</f>
        <v>0.62</v>
      </c>
      <c r="AA98" s="1163" t="e">
        <f t="shared" si="34"/>
        <v>#VALUE!</v>
      </c>
      <c r="AB98" s="1163" t="e">
        <f t="shared" si="35"/>
        <v>#VALUE!</v>
      </c>
      <c r="AC98" s="1163" t="e">
        <f t="shared" si="36"/>
        <v>#VALUE!</v>
      </c>
      <c r="AD98" s="1162" t="e">
        <f t="shared" si="37"/>
        <v>#VALUE!</v>
      </c>
      <c r="AE98" s="1162">
        <f t="shared" si="38"/>
        <v>0</v>
      </c>
      <c r="AF98" s="1129">
        <f>IF(H98&gt;8,tab!$D$65,tab!$D$67)</f>
        <v>0.5</v>
      </c>
      <c r="AG98" s="1143">
        <f t="shared" si="39"/>
        <v>0</v>
      </c>
      <c r="AH98" s="1159">
        <f t="shared" si="40"/>
        <v>0</v>
      </c>
      <c r="AM98" s="403"/>
    </row>
    <row r="99" spans="3:44" ht="12.75" customHeight="1" x14ac:dyDescent="0.2">
      <c r="C99" s="90"/>
      <c r="D99" s="97" t="str">
        <f>IF(obp!D66="","",obp!D66)</f>
        <v/>
      </c>
      <c r="E99" s="97" t="str">
        <f>IF(obp!E66=0,"",obp!E66)</f>
        <v/>
      </c>
      <c r="F99" s="114" t="str">
        <f>IF(obp!F66="","",obp!F66+1)</f>
        <v/>
      </c>
      <c r="G99" s="377" t="str">
        <f>IF(obp!G66="","",obp!G66)</f>
        <v/>
      </c>
      <c r="H99" s="114" t="str">
        <f>IF(obp!H66=0,"",obp!H66)</f>
        <v/>
      </c>
      <c r="I99" s="129" t="str">
        <f>IF(J99="","",(IF(obp!I66+1&gt;LOOKUP(H99,schaal2011,regels2011),obp!I66,obp!I66+1)))</f>
        <v/>
      </c>
      <c r="J99" s="378" t="str">
        <f>IF(obp!J66="","",obp!J66)</f>
        <v/>
      </c>
      <c r="K99" s="392"/>
      <c r="L99" s="1078">
        <f>IF(obp!L66="","",obp!L66)</f>
        <v>0</v>
      </c>
      <c r="M99" s="1078">
        <f>IF(obp!M66="","",obp!M66)</f>
        <v>0</v>
      </c>
      <c r="N99" s="1077" t="str">
        <f t="shared" si="30"/>
        <v/>
      </c>
      <c r="O99" s="1077"/>
      <c r="P99" s="1172" t="str">
        <f t="shared" si="31"/>
        <v/>
      </c>
      <c r="Q99" s="91"/>
      <c r="R99" s="936" t="str">
        <f t="shared" si="41"/>
        <v/>
      </c>
      <c r="S99" s="936" t="str">
        <f t="shared" si="32"/>
        <v/>
      </c>
      <c r="T99" s="937" t="str">
        <f t="shared" si="33"/>
        <v/>
      </c>
      <c r="U99" s="361"/>
      <c r="V99" s="375"/>
      <c r="W99" s="375"/>
      <c r="X99" s="375"/>
      <c r="Y99" s="1120" t="e">
        <f>VLOOKUP(H99,tab!$A$73:$V$114,I99+2,FALSE)</f>
        <v>#VALUE!</v>
      </c>
      <c r="Z99" s="1211">
        <f>tab!$E$64</f>
        <v>0.62</v>
      </c>
      <c r="AA99" s="1163" t="e">
        <f t="shared" si="34"/>
        <v>#VALUE!</v>
      </c>
      <c r="AB99" s="1163" t="e">
        <f t="shared" si="35"/>
        <v>#VALUE!</v>
      </c>
      <c r="AC99" s="1163" t="e">
        <f t="shared" si="36"/>
        <v>#VALUE!</v>
      </c>
      <c r="AD99" s="1162" t="e">
        <f t="shared" si="37"/>
        <v>#VALUE!</v>
      </c>
      <c r="AE99" s="1162">
        <f t="shared" si="38"/>
        <v>0</v>
      </c>
      <c r="AF99" s="1129">
        <f>IF(H99&gt;8,tab!$D$65,tab!$D$67)</f>
        <v>0.5</v>
      </c>
      <c r="AG99" s="1143">
        <f t="shared" si="39"/>
        <v>0</v>
      </c>
      <c r="AH99" s="1159">
        <f t="shared" si="40"/>
        <v>0</v>
      </c>
      <c r="AM99" s="403"/>
    </row>
    <row r="100" spans="3:44" ht="12.75" customHeight="1" x14ac:dyDescent="0.2">
      <c r="C100" s="90"/>
      <c r="D100" s="97" t="str">
        <f>IF(obp!D67="","",obp!D67)</f>
        <v/>
      </c>
      <c r="E100" s="97" t="str">
        <f>IF(obp!E67=0,"",obp!E67)</f>
        <v/>
      </c>
      <c r="F100" s="114" t="str">
        <f>IF(obp!F67="","",obp!F67+1)</f>
        <v/>
      </c>
      <c r="G100" s="377" t="str">
        <f>IF(obp!G67="","",obp!G67)</f>
        <v/>
      </c>
      <c r="H100" s="114" t="str">
        <f>IF(obp!H67=0,"",obp!H67)</f>
        <v/>
      </c>
      <c r="I100" s="129" t="str">
        <f>IF(J100="","",(IF(obp!I67+1&gt;LOOKUP(H100,schaal2011,regels2011),obp!I67,obp!I67+1)))</f>
        <v/>
      </c>
      <c r="J100" s="378" t="str">
        <f>IF(obp!J67="","",obp!J67)</f>
        <v/>
      </c>
      <c r="K100" s="392"/>
      <c r="L100" s="1078">
        <f>IF(obp!L67="","",obp!L67)</f>
        <v>0</v>
      </c>
      <c r="M100" s="1078">
        <f>IF(obp!M67="","",obp!M67)</f>
        <v>0</v>
      </c>
      <c r="N100" s="1077" t="str">
        <f t="shared" si="30"/>
        <v/>
      </c>
      <c r="O100" s="1077"/>
      <c r="P100" s="1172" t="str">
        <f t="shared" si="31"/>
        <v/>
      </c>
      <c r="Q100" s="91"/>
      <c r="R100" s="936" t="str">
        <f t="shared" si="41"/>
        <v/>
      </c>
      <c r="S100" s="936" t="str">
        <f t="shared" si="32"/>
        <v/>
      </c>
      <c r="T100" s="937" t="str">
        <f t="shared" si="33"/>
        <v/>
      </c>
      <c r="U100" s="361"/>
      <c r="V100" s="375"/>
      <c r="W100" s="375"/>
      <c r="X100" s="375"/>
      <c r="Y100" s="1120" t="e">
        <f>VLOOKUP(H100,tab!$A$73:$V$114,I100+2,FALSE)</f>
        <v>#VALUE!</v>
      </c>
      <c r="Z100" s="1211">
        <f>tab!$E$64</f>
        <v>0.62</v>
      </c>
      <c r="AA100" s="1163" t="e">
        <f t="shared" si="34"/>
        <v>#VALUE!</v>
      </c>
      <c r="AB100" s="1163" t="e">
        <f t="shared" si="35"/>
        <v>#VALUE!</v>
      </c>
      <c r="AC100" s="1163" t="e">
        <f t="shared" si="36"/>
        <v>#VALUE!</v>
      </c>
      <c r="AD100" s="1162" t="e">
        <f t="shared" si="37"/>
        <v>#VALUE!</v>
      </c>
      <c r="AE100" s="1162">
        <f t="shared" si="38"/>
        <v>0</v>
      </c>
      <c r="AF100" s="1129">
        <f>IF(H100&gt;8,tab!$D$65,tab!$D$67)</f>
        <v>0.5</v>
      </c>
      <c r="AG100" s="1143">
        <f t="shared" si="39"/>
        <v>0</v>
      </c>
      <c r="AH100" s="1159">
        <f t="shared" si="40"/>
        <v>0</v>
      </c>
      <c r="AM100" s="403"/>
    </row>
    <row r="101" spans="3:44" x14ac:dyDescent="0.2">
      <c r="C101" s="90"/>
      <c r="D101" s="116"/>
      <c r="E101" s="116"/>
      <c r="F101" s="128"/>
      <c r="G101" s="387"/>
      <c r="H101" s="128"/>
      <c r="I101" s="464"/>
      <c r="J101" s="939">
        <f>SUM(J81:J100)</f>
        <v>1</v>
      </c>
      <c r="K101" s="380"/>
      <c r="L101" s="1079">
        <f t="shared" ref="L101" si="42">SUM(L81:L100)</f>
        <v>0</v>
      </c>
      <c r="M101" s="1079">
        <f t="shared" ref="M101" si="43">SUM(M81:M100)</f>
        <v>0</v>
      </c>
      <c r="N101" s="1079">
        <f>SUM(N81:N100)</f>
        <v>40</v>
      </c>
      <c r="O101" s="1079"/>
      <c r="P101" s="1079">
        <f>SUM(P81:P100)</f>
        <v>40</v>
      </c>
      <c r="Q101" s="380"/>
      <c r="R101" s="940">
        <f t="shared" ref="R101" si="44">SUM(R81:R100)</f>
        <v>53119.594936708854</v>
      </c>
      <c r="S101" s="940">
        <f t="shared" ref="S101:T101" si="45">SUM(S81:S100)</f>
        <v>1312.405063291139</v>
      </c>
      <c r="T101" s="940">
        <f t="shared" si="45"/>
        <v>54431.999999999993</v>
      </c>
      <c r="U101" s="143"/>
      <c r="Y101" s="1121" t="e">
        <f>SUM(Y81:Y100)</f>
        <v>#VALUE!</v>
      </c>
      <c r="Z101" s="1207"/>
      <c r="AA101" s="1207"/>
      <c r="AB101" s="1207"/>
      <c r="AC101" s="1207"/>
      <c r="AD101" s="1130" t="e">
        <f>SUM(AD81:AD100)</f>
        <v>#VALUE!</v>
      </c>
      <c r="AE101" s="1130">
        <f>SUM(AE81:AE100)</f>
        <v>0</v>
      </c>
      <c r="AF101" s="1121"/>
      <c r="AG101" s="1146">
        <f>SUM(AG81:AG100)</f>
        <v>0</v>
      </c>
      <c r="AH101" s="1155">
        <f>SUM(AH81:AH100)</f>
        <v>0</v>
      </c>
    </row>
    <row r="102" spans="3:44" x14ac:dyDescent="0.2">
      <c r="C102" s="98"/>
      <c r="D102" s="144"/>
      <c r="E102" s="144"/>
      <c r="F102" s="191"/>
      <c r="G102" s="391"/>
      <c r="H102" s="191"/>
      <c r="I102" s="392"/>
      <c r="J102" s="393"/>
      <c r="K102" s="392"/>
      <c r="L102" s="392"/>
      <c r="M102" s="392"/>
      <c r="N102" s="392"/>
      <c r="O102" s="392"/>
      <c r="P102" s="392"/>
      <c r="Q102" s="392"/>
      <c r="R102" s="466"/>
      <c r="S102" s="388"/>
      <c r="T102" s="388"/>
      <c r="U102" s="467"/>
      <c r="Y102" s="1093"/>
      <c r="Z102" s="1207"/>
      <c r="AA102" s="1207"/>
      <c r="AB102" s="1207"/>
      <c r="AC102" s="1207"/>
      <c r="AF102" s="1121"/>
      <c r="AG102" s="1146"/>
      <c r="AH102" s="1155"/>
    </row>
    <row r="103" spans="3:44" ht="12.75" customHeight="1" x14ac:dyDescent="0.2">
      <c r="H103" s="174"/>
      <c r="J103" s="382"/>
      <c r="R103" s="474"/>
      <c r="S103" s="375"/>
      <c r="T103" s="780"/>
      <c r="Y103" s="1120"/>
      <c r="Z103" s="473"/>
      <c r="AA103" s="473"/>
      <c r="AB103" s="473"/>
      <c r="AC103" s="473"/>
      <c r="AF103" s="1117"/>
      <c r="AG103" s="1143"/>
      <c r="AH103" s="1159"/>
    </row>
    <row r="104" spans="3:44" ht="12.75" customHeight="1" x14ac:dyDescent="0.2">
      <c r="H104" s="174"/>
      <c r="J104" s="382"/>
      <c r="R104" s="474"/>
      <c r="S104" s="375"/>
      <c r="T104" s="780"/>
      <c r="Y104" s="1120"/>
      <c r="Z104" s="473"/>
      <c r="AA104" s="473"/>
      <c r="AB104" s="473"/>
      <c r="AC104" s="473"/>
      <c r="AF104" s="1117"/>
      <c r="AG104" s="1143"/>
      <c r="AH104" s="1159"/>
    </row>
    <row r="105" spans="3:44" ht="12.75" customHeight="1" x14ac:dyDescent="0.2">
      <c r="C105" s="68" t="s">
        <v>195</v>
      </c>
      <c r="E105" s="415" t="str">
        <f>dir!E77</f>
        <v>2018/19</v>
      </c>
      <c r="H105" s="174"/>
      <c r="J105" s="382"/>
      <c r="R105" s="474"/>
      <c r="S105" s="375"/>
      <c r="T105" s="780"/>
      <c r="Y105" s="1120"/>
      <c r="Z105" s="473"/>
      <c r="AA105" s="473"/>
      <c r="AB105" s="473"/>
      <c r="AC105" s="473"/>
      <c r="AF105" s="1117"/>
      <c r="AG105" s="1143"/>
      <c r="AH105" s="1159"/>
    </row>
    <row r="106" spans="3:44" ht="12.75" customHeight="1" x14ac:dyDescent="0.2">
      <c r="C106" s="68" t="s">
        <v>217</v>
      </c>
      <c r="E106" s="415">
        <f>dir!E78</f>
        <v>43374</v>
      </c>
      <c r="H106" s="174"/>
      <c r="J106" s="382"/>
      <c r="R106" s="474"/>
      <c r="S106" s="375"/>
      <c r="T106" s="780"/>
      <c r="Y106" s="1120"/>
      <c r="Z106" s="473"/>
      <c r="AA106" s="473"/>
      <c r="AB106" s="473"/>
      <c r="AC106" s="473"/>
      <c r="AF106" s="1117"/>
      <c r="AG106" s="1143"/>
      <c r="AH106" s="1159"/>
    </row>
    <row r="107" spans="3:44" ht="12.75" customHeight="1" x14ac:dyDescent="0.2">
      <c r="H107" s="174"/>
      <c r="J107" s="382"/>
      <c r="R107" s="474"/>
      <c r="S107" s="375"/>
      <c r="T107" s="780"/>
      <c r="Y107" s="1120"/>
      <c r="Z107" s="473"/>
      <c r="AA107" s="473"/>
      <c r="AB107" s="473"/>
      <c r="AC107" s="473"/>
      <c r="AF107" s="1117"/>
      <c r="AG107" s="1143"/>
      <c r="AH107" s="1159"/>
    </row>
    <row r="108" spans="3:44" ht="12.75" customHeight="1" x14ac:dyDescent="0.2">
      <c r="C108" s="955"/>
      <c r="D108" s="921"/>
      <c r="E108" s="920"/>
      <c r="F108" s="900"/>
      <c r="G108" s="922"/>
      <c r="H108" s="923"/>
      <c r="I108" s="923"/>
      <c r="J108" s="924"/>
      <c r="K108" s="925"/>
      <c r="L108" s="923"/>
      <c r="M108" s="923"/>
      <c r="N108" s="923"/>
      <c r="O108" s="923"/>
      <c r="P108" s="923"/>
      <c r="Q108" s="925"/>
      <c r="R108" s="925"/>
      <c r="S108" s="925"/>
      <c r="T108" s="778"/>
      <c r="U108" s="161"/>
      <c r="Z108" s="905"/>
      <c r="AA108" s="905"/>
      <c r="AB108" s="905"/>
      <c r="AC108" s="905"/>
      <c r="AI108" s="333"/>
      <c r="AJ108" s="333"/>
      <c r="AK108" s="333"/>
      <c r="AL108" s="284"/>
      <c r="AM108" s="283"/>
      <c r="AN108" s="285"/>
      <c r="AO108" s="334"/>
      <c r="AP108" s="284"/>
    </row>
    <row r="109" spans="3:44" ht="12.75" customHeight="1" x14ac:dyDescent="0.2">
      <c r="C109" s="956"/>
      <c r="D109" s="1074" t="s">
        <v>335</v>
      </c>
      <c r="E109" s="1075"/>
      <c r="F109" s="1075"/>
      <c r="G109" s="1075"/>
      <c r="H109" s="1076"/>
      <c r="I109" s="1076"/>
      <c r="J109" s="1076"/>
      <c r="K109" s="1191"/>
      <c r="L109" s="1074" t="s">
        <v>561</v>
      </c>
      <c r="M109" s="1064"/>
      <c r="N109" s="1074"/>
      <c r="O109" s="1074"/>
      <c r="P109" s="1170"/>
      <c r="Q109" s="927"/>
      <c r="R109" s="1074" t="s">
        <v>563</v>
      </c>
      <c r="S109" s="1076"/>
      <c r="T109" s="1153"/>
      <c r="U109" s="944"/>
      <c r="V109" s="365"/>
      <c r="W109" s="365"/>
      <c r="X109" s="365"/>
      <c r="Y109" s="1094"/>
      <c r="Z109" s="1126"/>
      <c r="AA109" s="1094"/>
      <c r="AB109" s="1094"/>
      <c r="AC109" s="1094"/>
      <c r="AD109" s="1125"/>
      <c r="AE109" s="1125"/>
      <c r="AF109" s="1126"/>
      <c r="AG109" s="1151"/>
      <c r="AH109" s="1160"/>
      <c r="AI109" s="1141"/>
      <c r="AJ109" s="1141"/>
      <c r="AK109" s="1141"/>
      <c r="AL109" s="1141"/>
      <c r="AM109" s="1141"/>
      <c r="AO109" s="68"/>
      <c r="AP109" s="68"/>
      <c r="AQ109" s="469"/>
      <c r="AR109" s="469"/>
    </row>
    <row r="110" spans="3:44" ht="12.75" customHeight="1" x14ac:dyDescent="0.2">
      <c r="C110" s="956"/>
      <c r="D110" s="886" t="s">
        <v>549</v>
      </c>
      <c r="E110" s="886" t="s">
        <v>201</v>
      </c>
      <c r="F110" s="929" t="s">
        <v>147</v>
      </c>
      <c r="G110" s="930" t="s">
        <v>325</v>
      </c>
      <c r="H110" s="929" t="s">
        <v>231</v>
      </c>
      <c r="I110" s="929" t="s">
        <v>262</v>
      </c>
      <c r="J110" s="931" t="s">
        <v>150</v>
      </c>
      <c r="K110" s="1192"/>
      <c r="L110" s="932" t="s">
        <v>544</v>
      </c>
      <c r="M110" s="932" t="s">
        <v>537</v>
      </c>
      <c r="N110" s="932" t="s">
        <v>551</v>
      </c>
      <c r="O110" s="932" t="s">
        <v>544</v>
      </c>
      <c r="P110" s="1171" t="s">
        <v>556</v>
      </c>
      <c r="Q110" s="898"/>
      <c r="R110" s="1073" t="s">
        <v>216</v>
      </c>
      <c r="S110" s="934" t="s">
        <v>562</v>
      </c>
      <c r="T110" s="935" t="s">
        <v>216</v>
      </c>
      <c r="U110" s="945"/>
      <c r="V110" s="369"/>
      <c r="W110" s="369"/>
      <c r="X110" s="369"/>
      <c r="Y110" s="1127" t="s">
        <v>361</v>
      </c>
      <c r="Z110" s="1182" t="s">
        <v>548</v>
      </c>
      <c r="AA110" s="1115" t="s">
        <v>557</v>
      </c>
      <c r="AB110" s="1115" t="s">
        <v>557</v>
      </c>
      <c r="AC110" s="1115" t="s">
        <v>560</v>
      </c>
      <c r="AD110" s="1128" t="s">
        <v>542</v>
      </c>
      <c r="AE110" s="1128" t="s">
        <v>543</v>
      </c>
      <c r="AF110" s="1114" t="s">
        <v>539</v>
      </c>
      <c r="AG110" s="1152" t="s">
        <v>343</v>
      </c>
      <c r="AH110" s="1160" t="s">
        <v>468</v>
      </c>
      <c r="AI110" s="1114" t="s">
        <v>328</v>
      </c>
      <c r="AJ110" s="1114" t="s">
        <v>329</v>
      </c>
      <c r="AK110" s="1114" t="s">
        <v>149</v>
      </c>
      <c r="AL110" s="1114" t="s">
        <v>228</v>
      </c>
      <c r="AM110" s="1128" t="s">
        <v>203</v>
      </c>
      <c r="AO110" s="68"/>
      <c r="AP110" s="68"/>
      <c r="AQ110" s="469"/>
      <c r="AR110" s="471"/>
    </row>
    <row r="111" spans="3:44" ht="12.75" customHeight="1" x14ac:dyDescent="0.2">
      <c r="C111" s="956"/>
      <c r="D111" s="1075"/>
      <c r="E111" s="886"/>
      <c r="F111" s="929" t="s">
        <v>148</v>
      </c>
      <c r="G111" s="930" t="s">
        <v>326</v>
      </c>
      <c r="H111" s="929"/>
      <c r="I111" s="929"/>
      <c r="J111" s="931"/>
      <c r="K111" s="1192"/>
      <c r="L111" s="932" t="s">
        <v>545</v>
      </c>
      <c r="M111" s="932" t="s">
        <v>547</v>
      </c>
      <c r="N111" s="932" t="s">
        <v>552</v>
      </c>
      <c r="O111" s="932" t="s">
        <v>546</v>
      </c>
      <c r="P111" s="1171" t="s">
        <v>320</v>
      </c>
      <c r="Q111" s="898"/>
      <c r="R111" s="902" t="s">
        <v>554</v>
      </c>
      <c r="S111" s="934" t="s">
        <v>538</v>
      </c>
      <c r="T111" s="935" t="s">
        <v>320</v>
      </c>
      <c r="U111" s="906"/>
      <c r="V111" s="106"/>
      <c r="W111" s="106"/>
      <c r="X111" s="106"/>
      <c r="Y111" s="1127" t="s">
        <v>223</v>
      </c>
      <c r="Z111" s="1183">
        <f>tab!$E$64</f>
        <v>0.62</v>
      </c>
      <c r="AA111" s="1115" t="s">
        <v>558</v>
      </c>
      <c r="AB111" s="1115" t="s">
        <v>559</v>
      </c>
      <c r="AC111" s="1115" t="s">
        <v>555</v>
      </c>
      <c r="AD111" s="1128" t="s">
        <v>541</v>
      </c>
      <c r="AE111" s="1128" t="s">
        <v>541</v>
      </c>
      <c r="AF111" s="1114" t="s">
        <v>540</v>
      </c>
      <c r="AG111" s="1152"/>
      <c r="AH111" s="1159" t="s">
        <v>261</v>
      </c>
      <c r="AI111" s="1128" t="s">
        <v>327</v>
      </c>
      <c r="AJ111" s="1128" t="s">
        <v>327</v>
      </c>
      <c r="AK111" s="1114"/>
      <c r="AL111" s="1114" t="s">
        <v>203</v>
      </c>
      <c r="AM111" s="1128"/>
      <c r="AO111" s="68"/>
      <c r="AP111" s="68"/>
      <c r="AR111" s="375"/>
    </row>
    <row r="112" spans="3:44" ht="12.75" customHeight="1" x14ac:dyDescent="0.2">
      <c r="C112" s="956"/>
      <c r="D112" s="1075"/>
      <c r="E112" s="1075"/>
      <c r="F112" s="899"/>
      <c r="G112" s="946"/>
      <c r="H112" s="929"/>
      <c r="I112" s="929"/>
      <c r="J112" s="931"/>
      <c r="K112" s="933"/>
      <c r="L112" s="932"/>
      <c r="M112" s="932"/>
      <c r="N112" s="932"/>
      <c r="O112" s="932"/>
      <c r="P112" s="932"/>
      <c r="Q112" s="933"/>
      <c r="R112" s="947"/>
      <c r="S112" s="947"/>
      <c r="T112" s="465"/>
      <c r="U112" s="435"/>
      <c r="Y112" s="1127"/>
      <c r="Z112" s="1206"/>
      <c r="AA112" s="1206"/>
      <c r="AB112" s="1206"/>
      <c r="AC112" s="1206"/>
      <c r="AD112" s="1128"/>
      <c r="AE112" s="1128"/>
      <c r="AF112" s="1113"/>
      <c r="AG112" s="1152"/>
      <c r="AH112" s="1159"/>
      <c r="AO112" s="68"/>
      <c r="AP112" s="68"/>
      <c r="AR112" s="375"/>
    </row>
    <row r="113" spans="3:39" ht="12.75" customHeight="1" x14ac:dyDescent="0.2">
      <c r="C113" s="90"/>
      <c r="D113" s="97" t="str">
        <f>IF(obp!D81=0,"",obp!D81)</f>
        <v/>
      </c>
      <c r="E113" s="97" t="str">
        <f>IF(obp!E81=0,"",obp!E81)</f>
        <v>piet</v>
      </c>
      <c r="F113" s="114">
        <f>IF(obp!F81="","",obp!F81+1)</f>
        <v>43</v>
      </c>
      <c r="G113" s="377" t="str">
        <f>IF(obp!G81="","",obp!G81)</f>
        <v/>
      </c>
      <c r="H113" s="114">
        <f>IF(obp!H81=0,"",obp!H81)</f>
        <v>8</v>
      </c>
      <c r="I113" s="129">
        <f>IF(J113="","",(IF(obp!I81+1&gt;LOOKUP(H113,schaal2011,regels2011),obp!I81,obp!I81+1)))</f>
        <v>11</v>
      </c>
      <c r="J113" s="378">
        <f>IF(obp!J81="","",obp!J81)</f>
        <v>1</v>
      </c>
      <c r="K113" s="392"/>
      <c r="L113" s="1078">
        <f>IF(obp!L81="","",obp!L81)</f>
        <v>0</v>
      </c>
      <c r="M113" s="1078">
        <f>IF(obp!M81="","",obp!M81)</f>
        <v>0</v>
      </c>
      <c r="N113" s="1077">
        <f t="shared" ref="N113:N132" si="46">IF(J113="","",IF((J113*40)&gt;40,40,((J113*40))))</f>
        <v>40</v>
      </c>
      <c r="O113" s="1077"/>
      <c r="P113" s="1172">
        <f t="shared" ref="P113:P132" si="47">IF(J113="","",(SUM(L113:O113)))</f>
        <v>40</v>
      </c>
      <c r="Q113" s="91"/>
      <c r="R113" s="936">
        <f>IF(J113="","",(((1659*J113)-P113)*AB113))</f>
        <v>54257.87197106691</v>
      </c>
      <c r="S113" s="936">
        <f t="shared" ref="S113:S132" si="48">IF(J113="","",(P113*AC113)+(AA113*AD113)+((AE113*AA113*(1-AF113))))</f>
        <v>1340.5280289330924</v>
      </c>
      <c r="T113" s="937">
        <f t="shared" ref="T113:T132" si="49">IF(J113="","",(R113+S113))</f>
        <v>55598.400000000001</v>
      </c>
      <c r="U113" s="361"/>
      <c r="V113" s="375"/>
      <c r="W113" s="375"/>
      <c r="X113" s="375"/>
      <c r="Y113" s="1120">
        <f>VLOOKUP(H113,tab!$A$73:$V$114,I113+2,FALSE)</f>
        <v>2860</v>
      </c>
      <c r="Z113" s="1211">
        <f>tab!$E$64</f>
        <v>0.62</v>
      </c>
      <c r="AA113" s="1163">
        <f t="shared" ref="AA113:AA132" si="50">(Y113*12/1659)</f>
        <v>20.687160940325498</v>
      </c>
      <c r="AB113" s="1163">
        <f t="shared" ref="AB113:AB132" si="51">(Y113*12*(1+Z113))/1659</f>
        <v>33.513200723327309</v>
      </c>
      <c r="AC113" s="1163">
        <f t="shared" ref="AC113:AC132" si="52">AB113-AA113</f>
        <v>12.826039783001811</v>
      </c>
      <c r="AD113" s="1162">
        <f t="shared" ref="AD113:AD132" si="53">(N113+O113)</f>
        <v>40</v>
      </c>
      <c r="AE113" s="1162">
        <f t="shared" ref="AE113:AE132" si="54">(L113+M113)</f>
        <v>0</v>
      </c>
      <c r="AF113" s="1129">
        <f>IF(H113&gt;8,tab!$D$65,tab!$D$67)</f>
        <v>0.4</v>
      </c>
      <c r="AG113" s="1143">
        <f t="shared" ref="AG113:AG132" si="55">IF(F113&lt;25,0,IF(F113=25,25,IF(F113&lt;40,0,IF(F113=40,40,IF(F113&gt;=40,0)))))</f>
        <v>0</v>
      </c>
      <c r="AH113" s="1159">
        <f t="shared" ref="AH113:AH132" si="56">IF(AG113=25,(Y113*1.08*(J113)/2),IF(AG113=40,(Y113*1.08*(J113)),IF(AG113=0,0)))</f>
        <v>0</v>
      </c>
      <c r="AM113" s="403"/>
    </row>
    <row r="114" spans="3:39" ht="12.75" customHeight="1" x14ac:dyDescent="0.2">
      <c r="C114" s="90"/>
      <c r="D114" s="97" t="str">
        <f>IF(obp!D82=0,"",obp!D82)</f>
        <v/>
      </c>
      <c r="E114" s="97" t="str">
        <f>IF(obp!E82=0,"",obp!E82)</f>
        <v/>
      </c>
      <c r="F114" s="114" t="str">
        <f>IF(obp!F82="","",obp!F82+1)</f>
        <v/>
      </c>
      <c r="G114" s="377" t="str">
        <f>IF(obp!G82="","",obp!G82)</f>
        <v/>
      </c>
      <c r="H114" s="114" t="str">
        <f>IF(obp!H82=0,"",obp!H82)</f>
        <v/>
      </c>
      <c r="I114" s="129" t="str">
        <f>IF(J114="","",(IF(obp!I82+1&gt;LOOKUP(H114,schaal2011,regels2011),obp!I82,obp!I82+1)))</f>
        <v/>
      </c>
      <c r="J114" s="378" t="str">
        <f>IF(obp!J82="","",obp!J82)</f>
        <v/>
      </c>
      <c r="K114" s="392"/>
      <c r="L114" s="1078">
        <f>IF(obp!L82="","",obp!L82)</f>
        <v>0</v>
      </c>
      <c r="M114" s="1078">
        <f>IF(obp!M82="","",obp!M82)</f>
        <v>0</v>
      </c>
      <c r="N114" s="1077" t="str">
        <f t="shared" si="46"/>
        <v/>
      </c>
      <c r="O114" s="1077"/>
      <c r="P114" s="1172" t="str">
        <f t="shared" si="47"/>
        <v/>
      </c>
      <c r="Q114" s="91"/>
      <c r="R114" s="936" t="str">
        <f t="shared" ref="R114:R132" si="57">IF(J114="","",(((1659*J114)-P114)*AB114))</f>
        <v/>
      </c>
      <c r="S114" s="936" t="str">
        <f t="shared" si="48"/>
        <v/>
      </c>
      <c r="T114" s="937" t="str">
        <f t="shared" si="49"/>
        <v/>
      </c>
      <c r="U114" s="361"/>
      <c r="V114" s="375"/>
      <c r="W114" s="375"/>
      <c r="X114" s="375"/>
      <c r="Y114" s="1120" t="e">
        <f>VLOOKUP(H114,tab!$A$73:$V$114,I114+2,FALSE)</f>
        <v>#VALUE!</v>
      </c>
      <c r="Z114" s="1211">
        <f>tab!$E$64</f>
        <v>0.62</v>
      </c>
      <c r="AA114" s="1163" t="e">
        <f t="shared" si="50"/>
        <v>#VALUE!</v>
      </c>
      <c r="AB114" s="1163" t="e">
        <f t="shared" si="51"/>
        <v>#VALUE!</v>
      </c>
      <c r="AC114" s="1163" t="e">
        <f t="shared" si="52"/>
        <v>#VALUE!</v>
      </c>
      <c r="AD114" s="1162" t="e">
        <f t="shared" si="53"/>
        <v>#VALUE!</v>
      </c>
      <c r="AE114" s="1162">
        <f t="shared" si="54"/>
        <v>0</v>
      </c>
      <c r="AF114" s="1129">
        <f>IF(H114&gt;8,tab!$D$65,tab!$D$67)</f>
        <v>0.5</v>
      </c>
      <c r="AG114" s="1143">
        <f t="shared" si="55"/>
        <v>0</v>
      </c>
      <c r="AH114" s="1159">
        <f t="shared" si="56"/>
        <v>0</v>
      </c>
      <c r="AM114" s="403"/>
    </row>
    <row r="115" spans="3:39" ht="12.75" customHeight="1" x14ac:dyDescent="0.2">
      <c r="C115" s="90"/>
      <c r="D115" s="97" t="str">
        <f>IF(obp!D83=0,"",obp!D83)</f>
        <v/>
      </c>
      <c r="E115" s="97" t="str">
        <f>IF(obp!E83=0,"",obp!E83)</f>
        <v/>
      </c>
      <c r="F115" s="114" t="str">
        <f>IF(obp!F83="","",obp!F83+1)</f>
        <v/>
      </c>
      <c r="G115" s="377" t="str">
        <f>IF(obp!G83="","",obp!G83)</f>
        <v/>
      </c>
      <c r="H115" s="114" t="str">
        <f>IF(obp!H83=0,"",obp!H83)</f>
        <v/>
      </c>
      <c r="I115" s="129" t="str">
        <f>IF(J115="","",(IF(obp!I83+1&gt;LOOKUP(H115,schaal2011,regels2011),obp!I83,obp!I83+1)))</f>
        <v/>
      </c>
      <c r="J115" s="378" t="str">
        <f>IF(obp!J83="","",obp!J83)</f>
        <v/>
      </c>
      <c r="K115" s="392"/>
      <c r="L115" s="1078">
        <f>IF(obp!L83="","",obp!L83)</f>
        <v>0</v>
      </c>
      <c r="M115" s="1078">
        <f>IF(obp!M83="","",obp!M83)</f>
        <v>0</v>
      </c>
      <c r="N115" s="1077" t="str">
        <f t="shared" si="46"/>
        <v/>
      </c>
      <c r="O115" s="1077"/>
      <c r="P115" s="1172" t="str">
        <f t="shared" si="47"/>
        <v/>
      </c>
      <c r="Q115" s="91"/>
      <c r="R115" s="936" t="str">
        <f t="shared" si="57"/>
        <v/>
      </c>
      <c r="S115" s="936" t="str">
        <f t="shared" si="48"/>
        <v/>
      </c>
      <c r="T115" s="937" t="str">
        <f t="shared" si="49"/>
        <v/>
      </c>
      <c r="U115" s="361"/>
      <c r="V115" s="375"/>
      <c r="W115" s="375"/>
      <c r="X115" s="375"/>
      <c r="Y115" s="1120" t="e">
        <f>VLOOKUP(H115,tab!$A$73:$V$114,I115+2,FALSE)</f>
        <v>#VALUE!</v>
      </c>
      <c r="Z115" s="1211">
        <f>tab!$E$64</f>
        <v>0.62</v>
      </c>
      <c r="AA115" s="1163" t="e">
        <f t="shared" si="50"/>
        <v>#VALUE!</v>
      </c>
      <c r="AB115" s="1163" t="e">
        <f t="shared" si="51"/>
        <v>#VALUE!</v>
      </c>
      <c r="AC115" s="1163" t="e">
        <f t="shared" si="52"/>
        <v>#VALUE!</v>
      </c>
      <c r="AD115" s="1162" t="e">
        <f t="shared" si="53"/>
        <v>#VALUE!</v>
      </c>
      <c r="AE115" s="1162">
        <f t="shared" si="54"/>
        <v>0</v>
      </c>
      <c r="AF115" s="1129">
        <f>IF(H115&gt;8,tab!$D$65,tab!$D$67)</f>
        <v>0.5</v>
      </c>
      <c r="AG115" s="1143">
        <f t="shared" si="55"/>
        <v>0</v>
      </c>
      <c r="AH115" s="1159">
        <f t="shared" si="56"/>
        <v>0</v>
      </c>
      <c r="AM115" s="403"/>
    </row>
    <row r="116" spans="3:39" ht="12.75" customHeight="1" x14ac:dyDescent="0.2">
      <c r="C116" s="90"/>
      <c r="D116" s="97" t="str">
        <f>IF(obp!D84=0,"",obp!D84)</f>
        <v/>
      </c>
      <c r="E116" s="97" t="str">
        <f>IF(obp!E84=0,"",obp!E84)</f>
        <v/>
      </c>
      <c r="F116" s="114" t="str">
        <f>IF(obp!F84="","",obp!F84+1)</f>
        <v/>
      </c>
      <c r="G116" s="377" t="str">
        <f>IF(obp!G84="","",obp!G84)</f>
        <v/>
      </c>
      <c r="H116" s="114" t="str">
        <f>IF(obp!H84=0,"",obp!H84)</f>
        <v/>
      </c>
      <c r="I116" s="129" t="str">
        <f>IF(J116="","",(IF(obp!I84+1&gt;LOOKUP(H116,schaal2011,regels2011),obp!I84,obp!I84+1)))</f>
        <v/>
      </c>
      <c r="J116" s="378" t="str">
        <f>IF(obp!J84="","",obp!J84)</f>
        <v/>
      </c>
      <c r="K116" s="392"/>
      <c r="L116" s="1078">
        <f>IF(obp!L84="","",obp!L84)</f>
        <v>0</v>
      </c>
      <c r="M116" s="1078">
        <f>IF(obp!M84="","",obp!M84)</f>
        <v>0</v>
      </c>
      <c r="N116" s="1077" t="str">
        <f t="shared" si="46"/>
        <v/>
      </c>
      <c r="O116" s="1077"/>
      <c r="P116" s="1172" t="str">
        <f t="shared" si="47"/>
        <v/>
      </c>
      <c r="Q116" s="91"/>
      <c r="R116" s="936" t="str">
        <f t="shared" si="57"/>
        <v/>
      </c>
      <c r="S116" s="936" t="str">
        <f t="shared" si="48"/>
        <v/>
      </c>
      <c r="T116" s="937" t="str">
        <f t="shared" si="49"/>
        <v/>
      </c>
      <c r="U116" s="361"/>
      <c r="V116" s="375"/>
      <c r="W116" s="375"/>
      <c r="X116" s="375"/>
      <c r="Y116" s="1120" t="e">
        <f>VLOOKUP(H116,tab!$A$73:$V$114,I116+2,FALSE)</f>
        <v>#VALUE!</v>
      </c>
      <c r="Z116" s="1211">
        <f>tab!$E$64</f>
        <v>0.62</v>
      </c>
      <c r="AA116" s="1163" t="e">
        <f t="shared" si="50"/>
        <v>#VALUE!</v>
      </c>
      <c r="AB116" s="1163" t="e">
        <f t="shared" si="51"/>
        <v>#VALUE!</v>
      </c>
      <c r="AC116" s="1163" t="e">
        <f t="shared" si="52"/>
        <v>#VALUE!</v>
      </c>
      <c r="AD116" s="1162" t="e">
        <f t="shared" si="53"/>
        <v>#VALUE!</v>
      </c>
      <c r="AE116" s="1162">
        <f t="shared" si="54"/>
        <v>0</v>
      </c>
      <c r="AF116" s="1129">
        <f>IF(H116&gt;8,tab!$D$65,tab!$D$67)</f>
        <v>0.5</v>
      </c>
      <c r="AG116" s="1143">
        <f t="shared" si="55"/>
        <v>0</v>
      </c>
      <c r="AH116" s="1159">
        <f t="shared" si="56"/>
        <v>0</v>
      </c>
      <c r="AM116" s="403"/>
    </row>
    <row r="117" spans="3:39" ht="12.75" customHeight="1" x14ac:dyDescent="0.2">
      <c r="C117" s="90"/>
      <c r="D117" s="97" t="str">
        <f>IF(obp!D85=0,"",obp!D85)</f>
        <v/>
      </c>
      <c r="E117" s="97" t="str">
        <f>IF(obp!E85=0,"",obp!E85)</f>
        <v/>
      </c>
      <c r="F117" s="114" t="str">
        <f>IF(obp!F85="","",obp!F85+1)</f>
        <v/>
      </c>
      <c r="G117" s="377" t="str">
        <f>IF(obp!G85="","",obp!G85)</f>
        <v/>
      </c>
      <c r="H117" s="114" t="str">
        <f>IF(obp!H85=0,"",obp!H85)</f>
        <v/>
      </c>
      <c r="I117" s="129" t="str">
        <f>IF(J117="","",(IF(obp!I85+1&gt;LOOKUP(H117,schaal2011,regels2011),obp!I85,obp!I85+1)))</f>
        <v/>
      </c>
      <c r="J117" s="378" t="str">
        <f>IF(obp!J85="","",obp!J85)</f>
        <v/>
      </c>
      <c r="K117" s="392"/>
      <c r="L117" s="1078">
        <f>IF(obp!L85="","",obp!L85)</f>
        <v>0</v>
      </c>
      <c r="M117" s="1078">
        <f>IF(obp!M85="","",obp!M85)</f>
        <v>0</v>
      </c>
      <c r="N117" s="1077" t="str">
        <f t="shared" si="46"/>
        <v/>
      </c>
      <c r="O117" s="1077"/>
      <c r="P117" s="1172" t="str">
        <f t="shared" si="47"/>
        <v/>
      </c>
      <c r="Q117" s="91"/>
      <c r="R117" s="936" t="str">
        <f t="shared" si="57"/>
        <v/>
      </c>
      <c r="S117" s="936" t="str">
        <f t="shared" si="48"/>
        <v/>
      </c>
      <c r="T117" s="937" t="str">
        <f t="shared" si="49"/>
        <v/>
      </c>
      <c r="U117" s="361"/>
      <c r="V117" s="375"/>
      <c r="W117" s="375"/>
      <c r="X117" s="375"/>
      <c r="Y117" s="1120" t="e">
        <f>VLOOKUP(H117,tab!$A$73:$V$114,I117+2,FALSE)</f>
        <v>#VALUE!</v>
      </c>
      <c r="Z117" s="1211">
        <f>tab!$E$64</f>
        <v>0.62</v>
      </c>
      <c r="AA117" s="1163" t="e">
        <f t="shared" si="50"/>
        <v>#VALUE!</v>
      </c>
      <c r="AB117" s="1163" t="e">
        <f t="shared" si="51"/>
        <v>#VALUE!</v>
      </c>
      <c r="AC117" s="1163" t="e">
        <f t="shared" si="52"/>
        <v>#VALUE!</v>
      </c>
      <c r="AD117" s="1162" t="e">
        <f t="shared" si="53"/>
        <v>#VALUE!</v>
      </c>
      <c r="AE117" s="1162">
        <f t="shared" si="54"/>
        <v>0</v>
      </c>
      <c r="AF117" s="1129">
        <f>IF(H117&gt;8,tab!$D$65,tab!$D$67)</f>
        <v>0.5</v>
      </c>
      <c r="AG117" s="1143">
        <f t="shared" si="55"/>
        <v>0</v>
      </c>
      <c r="AH117" s="1159">
        <f t="shared" si="56"/>
        <v>0</v>
      </c>
      <c r="AM117" s="403"/>
    </row>
    <row r="118" spans="3:39" ht="12.75" customHeight="1" x14ac:dyDescent="0.2">
      <c r="C118" s="90"/>
      <c r="D118" s="97" t="str">
        <f>IF(obp!D86=0,"",obp!D86)</f>
        <v/>
      </c>
      <c r="E118" s="97" t="str">
        <f>IF(obp!E86=0,"",obp!E86)</f>
        <v/>
      </c>
      <c r="F118" s="114" t="str">
        <f>IF(obp!F86="","",obp!F86+1)</f>
        <v/>
      </c>
      <c r="G118" s="377" t="str">
        <f>IF(obp!G86="","",obp!G86)</f>
        <v/>
      </c>
      <c r="H118" s="114" t="str">
        <f>IF(obp!H86=0,"",obp!H86)</f>
        <v/>
      </c>
      <c r="I118" s="129" t="str">
        <f>IF(J118="","",(IF(obp!I86+1&gt;LOOKUP(H118,schaal2011,regels2011),obp!I86,obp!I86+1)))</f>
        <v/>
      </c>
      <c r="J118" s="378" t="str">
        <f>IF(obp!J86="","",obp!J86)</f>
        <v/>
      </c>
      <c r="K118" s="392"/>
      <c r="L118" s="1078">
        <f>IF(obp!L86="","",obp!L86)</f>
        <v>0</v>
      </c>
      <c r="M118" s="1078">
        <f>IF(obp!M86="","",obp!M86)</f>
        <v>0</v>
      </c>
      <c r="N118" s="1077" t="str">
        <f t="shared" si="46"/>
        <v/>
      </c>
      <c r="O118" s="1077"/>
      <c r="P118" s="1172" t="str">
        <f t="shared" si="47"/>
        <v/>
      </c>
      <c r="Q118" s="91"/>
      <c r="R118" s="936" t="str">
        <f t="shared" si="57"/>
        <v/>
      </c>
      <c r="S118" s="936" t="str">
        <f t="shared" si="48"/>
        <v/>
      </c>
      <c r="T118" s="937" t="str">
        <f t="shared" si="49"/>
        <v/>
      </c>
      <c r="U118" s="361"/>
      <c r="V118" s="375"/>
      <c r="W118" s="375"/>
      <c r="X118" s="375"/>
      <c r="Y118" s="1120" t="e">
        <f>VLOOKUP(H118,tab!$A$73:$V$114,I118+2,FALSE)</f>
        <v>#VALUE!</v>
      </c>
      <c r="Z118" s="1211">
        <f>tab!$E$64</f>
        <v>0.62</v>
      </c>
      <c r="AA118" s="1163" t="e">
        <f t="shared" si="50"/>
        <v>#VALUE!</v>
      </c>
      <c r="AB118" s="1163" t="e">
        <f t="shared" si="51"/>
        <v>#VALUE!</v>
      </c>
      <c r="AC118" s="1163" t="e">
        <f t="shared" si="52"/>
        <v>#VALUE!</v>
      </c>
      <c r="AD118" s="1162" t="e">
        <f t="shared" si="53"/>
        <v>#VALUE!</v>
      </c>
      <c r="AE118" s="1162">
        <f t="shared" si="54"/>
        <v>0</v>
      </c>
      <c r="AF118" s="1129">
        <f>IF(H118&gt;8,tab!$D$65,tab!$D$67)</f>
        <v>0.5</v>
      </c>
      <c r="AG118" s="1143">
        <f t="shared" si="55"/>
        <v>0</v>
      </c>
      <c r="AH118" s="1159">
        <f t="shared" si="56"/>
        <v>0</v>
      </c>
      <c r="AM118" s="403"/>
    </row>
    <row r="119" spans="3:39" ht="12.75" customHeight="1" x14ac:dyDescent="0.2">
      <c r="C119" s="90"/>
      <c r="D119" s="97" t="str">
        <f>IF(obp!D87=0,"",obp!D87)</f>
        <v/>
      </c>
      <c r="E119" s="97" t="str">
        <f>IF(obp!E87=0,"",obp!E87)</f>
        <v/>
      </c>
      <c r="F119" s="114" t="str">
        <f>IF(obp!F87="","",obp!F87+1)</f>
        <v/>
      </c>
      <c r="G119" s="377" t="str">
        <f>IF(obp!G87="","",obp!G87)</f>
        <v/>
      </c>
      <c r="H119" s="114" t="str">
        <f>IF(obp!H87=0,"",obp!H87)</f>
        <v/>
      </c>
      <c r="I119" s="129" t="str">
        <f>IF(J119="","",(IF(obp!I87+1&gt;LOOKUP(H119,schaal2011,regels2011),obp!I87,obp!I87+1)))</f>
        <v/>
      </c>
      <c r="J119" s="378" t="str">
        <f>IF(obp!J87="","",obp!J87)</f>
        <v/>
      </c>
      <c r="K119" s="392"/>
      <c r="L119" s="1078">
        <f>IF(obp!L87="","",obp!L87)</f>
        <v>0</v>
      </c>
      <c r="M119" s="1078">
        <f>IF(obp!M87="","",obp!M87)</f>
        <v>0</v>
      </c>
      <c r="N119" s="1077" t="str">
        <f t="shared" si="46"/>
        <v/>
      </c>
      <c r="O119" s="1077"/>
      <c r="P119" s="1172" t="str">
        <f t="shared" si="47"/>
        <v/>
      </c>
      <c r="Q119" s="91"/>
      <c r="R119" s="936" t="str">
        <f t="shared" si="57"/>
        <v/>
      </c>
      <c r="S119" s="936" t="str">
        <f t="shared" si="48"/>
        <v/>
      </c>
      <c r="T119" s="937" t="str">
        <f t="shared" si="49"/>
        <v/>
      </c>
      <c r="U119" s="361"/>
      <c r="V119" s="375"/>
      <c r="W119" s="375"/>
      <c r="X119" s="375"/>
      <c r="Y119" s="1120" t="e">
        <f>VLOOKUP(H119,tab!$A$73:$V$114,I119+2,FALSE)</f>
        <v>#VALUE!</v>
      </c>
      <c r="Z119" s="1211">
        <f>tab!$E$64</f>
        <v>0.62</v>
      </c>
      <c r="AA119" s="1163" t="e">
        <f t="shared" si="50"/>
        <v>#VALUE!</v>
      </c>
      <c r="AB119" s="1163" t="e">
        <f t="shared" si="51"/>
        <v>#VALUE!</v>
      </c>
      <c r="AC119" s="1163" t="e">
        <f t="shared" si="52"/>
        <v>#VALUE!</v>
      </c>
      <c r="AD119" s="1162" t="e">
        <f t="shared" si="53"/>
        <v>#VALUE!</v>
      </c>
      <c r="AE119" s="1162">
        <f t="shared" si="54"/>
        <v>0</v>
      </c>
      <c r="AF119" s="1129">
        <f>IF(H119&gt;8,tab!$D$65,tab!$D$67)</f>
        <v>0.5</v>
      </c>
      <c r="AG119" s="1143">
        <f t="shared" si="55"/>
        <v>0</v>
      </c>
      <c r="AH119" s="1159">
        <f t="shared" si="56"/>
        <v>0</v>
      </c>
      <c r="AM119" s="403"/>
    </row>
    <row r="120" spans="3:39" ht="12.75" customHeight="1" x14ac:dyDescent="0.2">
      <c r="C120" s="90"/>
      <c r="D120" s="97" t="str">
        <f>IF(obp!D88=0,"",obp!D88)</f>
        <v/>
      </c>
      <c r="E120" s="97" t="str">
        <f>IF(obp!E88=0,"",obp!E88)</f>
        <v/>
      </c>
      <c r="F120" s="114" t="str">
        <f>IF(obp!F88="","",obp!F88+1)</f>
        <v/>
      </c>
      <c r="G120" s="377" t="str">
        <f>IF(obp!G88="","",obp!G88)</f>
        <v/>
      </c>
      <c r="H120" s="114" t="str">
        <f>IF(obp!H88=0,"",obp!H88)</f>
        <v/>
      </c>
      <c r="I120" s="129" t="str">
        <f>IF(J120="","",(IF(obp!I88+1&gt;LOOKUP(H120,schaal2011,regels2011),obp!I88,obp!I88+1)))</f>
        <v/>
      </c>
      <c r="J120" s="378" t="str">
        <f>IF(obp!J88="","",obp!J88)</f>
        <v/>
      </c>
      <c r="K120" s="392"/>
      <c r="L120" s="1078">
        <f>IF(obp!L88="","",obp!L88)</f>
        <v>0</v>
      </c>
      <c r="M120" s="1078">
        <f>IF(obp!M88="","",obp!M88)</f>
        <v>0</v>
      </c>
      <c r="N120" s="1077" t="str">
        <f t="shared" si="46"/>
        <v/>
      </c>
      <c r="O120" s="1077"/>
      <c r="P120" s="1172" t="str">
        <f t="shared" si="47"/>
        <v/>
      </c>
      <c r="Q120" s="91"/>
      <c r="R120" s="936" t="str">
        <f t="shared" si="57"/>
        <v/>
      </c>
      <c r="S120" s="936" t="str">
        <f t="shared" si="48"/>
        <v/>
      </c>
      <c r="T120" s="937" t="str">
        <f t="shared" si="49"/>
        <v/>
      </c>
      <c r="U120" s="361"/>
      <c r="V120" s="375"/>
      <c r="W120" s="375"/>
      <c r="X120" s="375"/>
      <c r="Y120" s="1120" t="e">
        <f>VLOOKUP(H120,tab!$A$73:$V$114,I120+2,FALSE)</f>
        <v>#VALUE!</v>
      </c>
      <c r="Z120" s="1211">
        <f>tab!$E$64</f>
        <v>0.62</v>
      </c>
      <c r="AA120" s="1163" t="e">
        <f t="shared" si="50"/>
        <v>#VALUE!</v>
      </c>
      <c r="AB120" s="1163" t="e">
        <f t="shared" si="51"/>
        <v>#VALUE!</v>
      </c>
      <c r="AC120" s="1163" t="e">
        <f t="shared" si="52"/>
        <v>#VALUE!</v>
      </c>
      <c r="AD120" s="1162" t="e">
        <f t="shared" si="53"/>
        <v>#VALUE!</v>
      </c>
      <c r="AE120" s="1162">
        <f t="shared" si="54"/>
        <v>0</v>
      </c>
      <c r="AF120" s="1129">
        <f>IF(H120&gt;8,tab!$D$65,tab!$D$67)</f>
        <v>0.5</v>
      </c>
      <c r="AG120" s="1143">
        <f t="shared" si="55"/>
        <v>0</v>
      </c>
      <c r="AH120" s="1159">
        <f t="shared" si="56"/>
        <v>0</v>
      </c>
      <c r="AM120" s="403"/>
    </row>
    <row r="121" spans="3:39" ht="12.75" customHeight="1" x14ac:dyDescent="0.2">
      <c r="C121" s="90"/>
      <c r="D121" s="97" t="str">
        <f>IF(obp!D89=0,"",obp!D89)</f>
        <v/>
      </c>
      <c r="E121" s="97" t="str">
        <f>IF(obp!E89=0,"",obp!E89)</f>
        <v/>
      </c>
      <c r="F121" s="114" t="str">
        <f>IF(obp!F89="","",obp!F89+1)</f>
        <v/>
      </c>
      <c r="G121" s="377" t="str">
        <f>IF(obp!G89="","",obp!G89)</f>
        <v/>
      </c>
      <c r="H121" s="114" t="str">
        <f>IF(obp!H89=0,"",obp!H89)</f>
        <v/>
      </c>
      <c r="I121" s="129" t="str">
        <f>IF(J121="","",(IF(obp!I89+1&gt;LOOKUP(H121,schaal2011,regels2011),obp!I89,obp!I89+1)))</f>
        <v/>
      </c>
      <c r="J121" s="378" t="str">
        <f>IF(obp!J89="","",obp!J89)</f>
        <v/>
      </c>
      <c r="K121" s="392"/>
      <c r="L121" s="1078">
        <f>IF(obp!L89="","",obp!L89)</f>
        <v>0</v>
      </c>
      <c r="M121" s="1078">
        <f>IF(obp!M89="","",obp!M89)</f>
        <v>0</v>
      </c>
      <c r="N121" s="1077" t="str">
        <f t="shared" si="46"/>
        <v/>
      </c>
      <c r="O121" s="1077"/>
      <c r="P121" s="1172" t="str">
        <f t="shared" si="47"/>
        <v/>
      </c>
      <c r="Q121" s="91"/>
      <c r="R121" s="936" t="str">
        <f t="shared" si="57"/>
        <v/>
      </c>
      <c r="S121" s="936" t="str">
        <f t="shared" si="48"/>
        <v/>
      </c>
      <c r="T121" s="937" t="str">
        <f t="shared" si="49"/>
        <v/>
      </c>
      <c r="U121" s="361"/>
      <c r="V121" s="375"/>
      <c r="W121" s="375"/>
      <c r="X121" s="375"/>
      <c r="Y121" s="1120" t="e">
        <f>VLOOKUP(H121,tab!$A$73:$V$114,I121+2,FALSE)</f>
        <v>#VALUE!</v>
      </c>
      <c r="Z121" s="1211">
        <f>tab!$E$64</f>
        <v>0.62</v>
      </c>
      <c r="AA121" s="1163" t="e">
        <f t="shared" si="50"/>
        <v>#VALUE!</v>
      </c>
      <c r="AB121" s="1163" t="e">
        <f t="shared" si="51"/>
        <v>#VALUE!</v>
      </c>
      <c r="AC121" s="1163" t="e">
        <f t="shared" si="52"/>
        <v>#VALUE!</v>
      </c>
      <c r="AD121" s="1162" t="e">
        <f t="shared" si="53"/>
        <v>#VALUE!</v>
      </c>
      <c r="AE121" s="1162">
        <f t="shared" si="54"/>
        <v>0</v>
      </c>
      <c r="AF121" s="1129">
        <f>IF(H121&gt;8,tab!$D$65,tab!$D$67)</f>
        <v>0.5</v>
      </c>
      <c r="AG121" s="1143">
        <f t="shared" si="55"/>
        <v>0</v>
      </c>
      <c r="AH121" s="1159">
        <f t="shared" si="56"/>
        <v>0</v>
      </c>
      <c r="AM121" s="403"/>
    </row>
    <row r="122" spans="3:39" ht="12.75" customHeight="1" x14ac:dyDescent="0.2">
      <c r="C122" s="90"/>
      <c r="D122" s="97" t="str">
        <f>IF(obp!D90=0,"",obp!D90)</f>
        <v/>
      </c>
      <c r="E122" s="97" t="str">
        <f>IF(obp!E90=0,"",obp!E90)</f>
        <v/>
      </c>
      <c r="F122" s="114" t="str">
        <f>IF(obp!F90="","",obp!F90+1)</f>
        <v/>
      </c>
      <c r="G122" s="377" t="str">
        <f>IF(obp!G90="","",obp!G90)</f>
        <v/>
      </c>
      <c r="H122" s="114" t="str">
        <f>IF(obp!H90=0,"",obp!H90)</f>
        <v/>
      </c>
      <c r="I122" s="129" t="str">
        <f>IF(J122="","",(IF(obp!I90+1&gt;LOOKUP(H122,schaal2011,regels2011),obp!I90,obp!I90+1)))</f>
        <v/>
      </c>
      <c r="J122" s="378" t="str">
        <f>IF(obp!J90="","",obp!J90)</f>
        <v/>
      </c>
      <c r="K122" s="392"/>
      <c r="L122" s="1078">
        <f>IF(obp!L90="","",obp!L90)</f>
        <v>0</v>
      </c>
      <c r="M122" s="1078">
        <f>IF(obp!M90="","",obp!M90)</f>
        <v>0</v>
      </c>
      <c r="N122" s="1077" t="str">
        <f t="shared" si="46"/>
        <v/>
      </c>
      <c r="O122" s="1077"/>
      <c r="P122" s="1172" t="str">
        <f t="shared" si="47"/>
        <v/>
      </c>
      <c r="Q122" s="91"/>
      <c r="R122" s="936" t="str">
        <f t="shared" si="57"/>
        <v/>
      </c>
      <c r="S122" s="936" t="str">
        <f t="shared" si="48"/>
        <v/>
      </c>
      <c r="T122" s="937" t="str">
        <f t="shared" si="49"/>
        <v/>
      </c>
      <c r="U122" s="361"/>
      <c r="V122" s="375"/>
      <c r="W122" s="375"/>
      <c r="X122" s="375"/>
      <c r="Y122" s="1120" t="e">
        <f>VLOOKUP(H122,tab!$A$73:$V$114,I122+2,FALSE)</f>
        <v>#VALUE!</v>
      </c>
      <c r="Z122" s="1211">
        <f>tab!$E$64</f>
        <v>0.62</v>
      </c>
      <c r="AA122" s="1163" t="e">
        <f t="shared" si="50"/>
        <v>#VALUE!</v>
      </c>
      <c r="AB122" s="1163" t="e">
        <f t="shared" si="51"/>
        <v>#VALUE!</v>
      </c>
      <c r="AC122" s="1163" t="e">
        <f t="shared" si="52"/>
        <v>#VALUE!</v>
      </c>
      <c r="AD122" s="1162" t="e">
        <f t="shared" si="53"/>
        <v>#VALUE!</v>
      </c>
      <c r="AE122" s="1162">
        <f t="shared" si="54"/>
        <v>0</v>
      </c>
      <c r="AF122" s="1129">
        <f>IF(H122&gt;8,tab!$D$65,tab!$D$67)</f>
        <v>0.5</v>
      </c>
      <c r="AG122" s="1143">
        <f t="shared" si="55"/>
        <v>0</v>
      </c>
      <c r="AH122" s="1159">
        <f t="shared" si="56"/>
        <v>0</v>
      </c>
      <c r="AM122" s="403"/>
    </row>
    <row r="123" spans="3:39" ht="12.75" customHeight="1" x14ac:dyDescent="0.2">
      <c r="C123" s="90"/>
      <c r="D123" s="97" t="str">
        <f>IF(obp!D91=0,"",obp!D91)</f>
        <v/>
      </c>
      <c r="E123" s="97" t="str">
        <f>IF(obp!E91=0,"",obp!E91)</f>
        <v/>
      </c>
      <c r="F123" s="114" t="str">
        <f>IF(obp!F91="","",obp!F91+1)</f>
        <v/>
      </c>
      <c r="G123" s="377" t="str">
        <f>IF(obp!G91="","",obp!G91)</f>
        <v/>
      </c>
      <c r="H123" s="114" t="str">
        <f>IF(obp!H91=0,"",obp!H91)</f>
        <v/>
      </c>
      <c r="I123" s="129" t="str">
        <f>IF(J123="","",(IF(obp!I91+1&gt;LOOKUP(H123,schaal2011,regels2011),obp!I91,obp!I91+1)))</f>
        <v/>
      </c>
      <c r="J123" s="378" t="str">
        <f>IF(obp!J91="","",obp!J91)</f>
        <v/>
      </c>
      <c r="K123" s="392"/>
      <c r="L123" s="1078">
        <f>IF(obp!L91="","",obp!L91)</f>
        <v>0</v>
      </c>
      <c r="M123" s="1078">
        <f>IF(obp!M91="","",obp!M91)</f>
        <v>0</v>
      </c>
      <c r="N123" s="1077" t="str">
        <f t="shared" si="46"/>
        <v/>
      </c>
      <c r="O123" s="1077"/>
      <c r="P123" s="1172" t="str">
        <f t="shared" si="47"/>
        <v/>
      </c>
      <c r="Q123" s="91"/>
      <c r="R123" s="936" t="str">
        <f t="shared" si="57"/>
        <v/>
      </c>
      <c r="S123" s="936" t="str">
        <f t="shared" si="48"/>
        <v/>
      </c>
      <c r="T123" s="937" t="str">
        <f t="shared" si="49"/>
        <v/>
      </c>
      <c r="U123" s="361"/>
      <c r="V123" s="375"/>
      <c r="W123" s="375"/>
      <c r="X123" s="375"/>
      <c r="Y123" s="1120" t="e">
        <f>VLOOKUP(H123,tab!$A$73:$V$114,I123+2,FALSE)</f>
        <v>#VALUE!</v>
      </c>
      <c r="Z123" s="1211">
        <f>tab!$E$64</f>
        <v>0.62</v>
      </c>
      <c r="AA123" s="1163" t="e">
        <f t="shared" si="50"/>
        <v>#VALUE!</v>
      </c>
      <c r="AB123" s="1163" t="e">
        <f t="shared" si="51"/>
        <v>#VALUE!</v>
      </c>
      <c r="AC123" s="1163" t="e">
        <f t="shared" si="52"/>
        <v>#VALUE!</v>
      </c>
      <c r="AD123" s="1162" t="e">
        <f t="shared" si="53"/>
        <v>#VALUE!</v>
      </c>
      <c r="AE123" s="1162">
        <f t="shared" si="54"/>
        <v>0</v>
      </c>
      <c r="AF123" s="1129">
        <f>IF(H123&gt;8,tab!$D$65,tab!$D$67)</f>
        <v>0.5</v>
      </c>
      <c r="AG123" s="1143">
        <f t="shared" si="55"/>
        <v>0</v>
      </c>
      <c r="AH123" s="1159">
        <f t="shared" si="56"/>
        <v>0</v>
      </c>
      <c r="AM123" s="403"/>
    </row>
    <row r="124" spans="3:39" ht="12.75" customHeight="1" x14ac:dyDescent="0.2">
      <c r="C124" s="90"/>
      <c r="D124" s="97" t="str">
        <f>IF(obp!D92=0,"",obp!D92)</f>
        <v/>
      </c>
      <c r="E124" s="97" t="str">
        <f>IF(obp!E92=0,"",obp!E92)</f>
        <v/>
      </c>
      <c r="F124" s="114" t="str">
        <f>IF(obp!F92="","",obp!F92+1)</f>
        <v/>
      </c>
      <c r="G124" s="377" t="str">
        <f>IF(obp!G92="","",obp!G92)</f>
        <v/>
      </c>
      <c r="H124" s="114" t="str">
        <f>IF(obp!H92=0,"",obp!H92)</f>
        <v/>
      </c>
      <c r="I124" s="129" t="str">
        <f>IF(J124="","",(IF(obp!I92+1&gt;LOOKUP(H124,schaal2011,regels2011),obp!I92,obp!I92+1)))</f>
        <v/>
      </c>
      <c r="J124" s="378" t="str">
        <f>IF(obp!J92="","",obp!J92)</f>
        <v/>
      </c>
      <c r="K124" s="392"/>
      <c r="L124" s="1078">
        <f>IF(obp!L92="","",obp!L92)</f>
        <v>0</v>
      </c>
      <c r="M124" s="1078">
        <f>IF(obp!M92="","",obp!M92)</f>
        <v>0</v>
      </c>
      <c r="N124" s="1077" t="str">
        <f t="shared" si="46"/>
        <v/>
      </c>
      <c r="O124" s="1077"/>
      <c r="P124" s="1172" t="str">
        <f t="shared" si="47"/>
        <v/>
      </c>
      <c r="Q124" s="91"/>
      <c r="R124" s="936" t="str">
        <f t="shared" si="57"/>
        <v/>
      </c>
      <c r="S124" s="936" t="str">
        <f t="shared" si="48"/>
        <v/>
      </c>
      <c r="T124" s="937" t="str">
        <f t="shared" si="49"/>
        <v/>
      </c>
      <c r="U124" s="361"/>
      <c r="V124" s="375"/>
      <c r="W124" s="375"/>
      <c r="X124" s="375"/>
      <c r="Y124" s="1120" t="e">
        <f>VLOOKUP(H124,tab!$A$73:$V$114,I124+2,FALSE)</f>
        <v>#VALUE!</v>
      </c>
      <c r="Z124" s="1211">
        <f>tab!$E$64</f>
        <v>0.62</v>
      </c>
      <c r="AA124" s="1163" t="e">
        <f t="shared" si="50"/>
        <v>#VALUE!</v>
      </c>
      <c r="AB124" s="1163" t="e">
        <f t="shared" si="51"/>
        <v>#VALUE!</v>
      </c>
      <c r="AC124" s="1163" t="e">
        <f t="shared" si="52"/>
        <v>#VALUE!</v>
      </c>
      <c r="AD124" s="1162" t="e">
        <f t="shared" si="53"/>
        <v>#VALUE!</v>
      </c>
      <c r="AE124" s="1162">
        <f t="shared" si="54"/>
        <v>0</v>
      </c>
      <c r="AF124" s="1129">
        <f>IF(H124&gt;8,tab!$D$65,tab!$D$67)</f>
        <v>0.5</v>
      </c>
      <c r="AG124" s="1143">
        <f t="shared" si="55"/>
        <v>0</v>
      </c>
      <c r="AH124" s="1159">
        <f t="shared" si="56"/>
        <v>0</v>
      </c>
      <c r="AM124" s="403"/>
    </row>
    <row r="125" spans="3:39" ht="12.75" customHeight="1" x14ac:dyDescent="0.2">
      <c r="C125" s="90"/>
      <c r="D125" s="97" t="str">
        <f>IF(obp!D93=0,"",obp!D93)</f>
        <v/>
      </c>
      <c r="E125" s="97" t="str">
        <f>IF(obp!E93=0,"",obp!E93)</f>
        <v/>
      </c>
      <c r="F125" s="114" t="str">
        <f>IF(obp!F93="","",obp!F93+1)</f>
        <v/>
      </c>
      <c r="G125" s="377" t="str">
        <f>IF(obp!G93="","",obp!G93)</f>
        <v/>
      </c>
      <c r="H125" s="114" t="str">
        <f>IF(obp!H93=0,"",obp!H93)</f>
        <v/>
      </c>
      <c r="I125" s="129" t="str">
        <f>IF(J125="","",(IF(obp!I93+1&gt;LOOKUP(H125,schaal2011,regels2011),obp!I93,obp!I93+1)))</f>
        <v/>
      </c>
      <c r="J125" s="378" t="str">
        <f>IF(obp!J93="","",obp!J93)</f>
        <v/>
      </c>
      <c r="K125" s="392"/>
      <c r="L125" s="1078">
        <f>IF(obp!L93="","",obp!L93)</f>
        <v>0</v>
      </c>
      <c r="M125" s="1078">
        <f>IF(obp!M93="","",obp!M93)</f>
        <v>0</v>
      </c>
      <c r="N125" s="1077" t="str">
        <f t="shared" si="46"/>
        <v/>
      </c>
      <c r="O125" s="1077"/>
      <c r="P125" s="1172" t="str">
        <f t="shared" si="47"/>
        <v/>
      </c>
      <c r="Q125" s="91"/>
      <c r="R125" s="936" t="str">
        <f t="shared" si="57"/>
        <v/>
      </c>
      <c r="S125" s="936" t="str">
        <f t="shared" si="48"/>
        <v/>
      </c>
      <c r="T125" s="937" t="str">
        <f t="shared" si="49"/>
        <v/>
      </c>
      <c r="U125" s="361"/>
      <c r="V125" s="375"/>
      <c r="W125" s="375"/>
      <c r="X125" s="375"/>
      <c r="Y125" s="1120" t="e">
        <f>VLOOKUP(H125,tab!$A$73:$V$114,I125+2,FALSE)</f>
        <v>#VALUE!</v>
      </c>
      <c r="Z125" s="1211">
        <f>tab!$E$64</f>
        <v>0.62</v>
      </c>
      <c r="AA125" s="1163" t="e">
        <f t="shared" si="50"/>
        <v>#VALUE!</v>
      </c>
      <c r="AB125" s="1163" t="e">
        <f t="shared" si="51"/>
        <v>#VALUE!</v>
      </c>
      <c r="AC125" s="1163" t="e">
        <f t="shared" si="52"/>
        <v>#VALUE!</v>
      </c>
      <c r="AD125" s="1162" t="e">
        <f t="shared" si="53"/>
        <v>#VALUE!</v>
      </c>
      <c r="AE125" s="1162">
        <f t="shared" si="54"/>
        <v>0</v>
      </c>
      <c r="AF125" s="1129">
        <f>IF(H125&gt;8,tab!$D$65,tab!$D$67)</f>
        <v>0.5</v>
      </c>
      <c r="AG125" s="1143">
        <f t="shared" si="55"/>
        <v>0</v>
      </c>
      <c r="AH125" s="1159">
        <f t="shared" si="56"/>
        <v>0</v>
      </c>
      <c r="AM125" s="403"/>
    </row>
    <row r="126" spans="3:39" ht="12.75" customHeight="1" x14ac:dyDescent="0.2">
      <c r="C126" s="90"/>
      <c r="D126" s="97" t="str">
        <f>IF(obp!D94=0,"",obp!D94)</f>
        <v/>
      </c>
      <c r="E126" s="97" t="str">
        <f>IF(obp!E94=0,"",obp!E94)</f>
        <v/>
      </c>
      <c r="F126" s="114" t="str">
        <f>IF(obp!F94="","",obp!F94+1)</f>
        <v/>
      </c>
      <c r="G126" s="377" t="str">
        <f>IF(obp!G94="","",obp!G94)</f>
        <v/>
      </c>
      <c r="H126" s="114" t="str">
        <f>IF(obp!H94=0,"",obp!H94)</f>
        <v/>
      </c>
      <c r="I126" s="129" t="str">
        <f>IF(J126="","",(IF(obp!I94+1&gt;LOOKUP(H126,schaal2011,regels2011),obp!I94,obp!I94+1)))</f>
        <v/>
      </c>
      <c r="J126" s="378" t="str">
        <f>IF(obp!J94="","",obp!J94)</f>
        <v/>
      </c>
      <c r="K126" s="392"/>
      <c r="L126" s="1078">
        <f>IF(obp!L94="","",obp!L94)</f>
        <v>0</v>
      </c>
      <c r="M126" s="1078">
        <f>IF(obp!M94="","",obp!M94)</f>
        <v>0</v>
      </c>
      <c r="N126" s="1077" t="str">
        <f t="shared" si="46"/>
        <v/>
      </c>
      <c r="O126" s="1077"/>
      <c r="P126" s="1172" t="str">
        <f t="shared" si="47"/>
        <v/>
      </c>
      <c r="Q126" s="91"/>
      <c r="R126" s="936" t="str">
        <f t="shared" si="57"/>
        <v/>
      </c>
      <c r="S126" s="936" t="str">
        <f t="shared" si="48"/>
        <v/>
      </c>
      <c r="T126" s="937" t="str">
        <f t="shared" si="49"/>
        <v/>
      </c>
      <c r="U126" s="361"/>
      <c r="V126" s="375"/>
      <c r="W126" s="375"/>
      <c r="X126" s="375"/>
      <c r="Y126" s="1120" t="e">
        <f>VLOOKUP(H126,tab!$A$73:$V$114,I126+2,FALSE)</f>
        <v>#VALUE!</v>
      </c>
      <c r="Z126" s="1211">
        <f>tab!$E$64</f>
        <v>0.62</v>
      </c>
      <c r="AA126" s="1163" t="e">
        <f t="shared" si="50"/>
        <v>#VALUE!</v>
      </c>
      <c r="AB126" s="1163" t="e">
        <f t="shared" si="51"/>
        <v>#VALUE!</v>
      </c>
      <c r="AC126" s="1163" t="e">
        <f t="shared" si="52"/>
        <v>#VALUE!</v>
      </c>
      <c r="AD126" s="1162" t="e">
        <f t="shared" si="53"/>
        <v>#VALUE!</v>
      </c>
      <c r="AE126" s="1162">
        <f t="shared" si="54"/>
        <v>0</v>
      </c>
      <c r="AF126" s="1129">
        <f>IF(H126&gt;8,tab!$D$65,tab!$D$67)</f>
        <v>0.5</v>
      </c>
      <c r="AG126" s="1143">
        <f t="shared" si="55"/>
        <v>0</v>
      </c>
      <c r="AH126" s="1159">
        <f t="shared" si="56"/>
        <v>0</v>
      </c>
      <c r="AM126" s="403"/>
    </row>
    <row r="127" spans="3:39" ht="12.75" customHeight="1" x14ac:dyDescent="0.2">
      <c r="C127" s="90"/>
      <c r="D127" s="97" t="str">
        <f>IF(obp!D95=0,"",obp!D95)</f>
        <v/>
      </c>
      <c r="E127" s="97" t="str">
        <f>IF(obp!E95=0,"",obp!E95)</f>
        <v/>
      </c>
      <c r="F127" s="114" t="str">
        <f>IF(obp!F95="","",obp!F95+1)</f>
        <v/>
      </c>
      <c r="G127" s="377" t="str">
        <f>IF(obp!G95="","",obp!G95)</f>
        <v/>
      </c>
      <c r="H127" s="114" t="str">
        <f>IF(obp!H95=0,"",obp!H95)</f>
        <v/>
      </c>
      <c r="I127" s="129" t="str">
        <f>IF(J127="","",(IF(obp!I95+1&gt;LOOKUP(H127,schaal2011,regels2011),obp!I95,obp!I95+1)))</f>
        <v/>
      </c>
      <c r="J127" s="378" t="str">
        <f>IF(obp!J95="","",obp!J95)</f>
        <v/>
      </c>
      <c r="K127" s="392"/>
      <c r="L127" s="1078">
        <f>IF(obp!L95="","",obp!L95)</f>
        <v>0</v>
      </c>
      <c r="M127" s="1078">
        <f>IF(obp!M95="","",obp!M95)</f>
        <v>0</v>
      </c>
      <c r="N127" s="1077" t="str">
        <f t="shared" si="46"/>
        <v/>
      </c>
      <c r="O127" s="1077"/>
      <c r="P127" s="1172" t="str">
        <f t="shared" si="47"/>
        <v/>
      </c>
      <c r="Q127" s="91"/>
      <c r="R127" s="936" t="str">
        <f t="shared" si="57"/>
        <v/>
      </c>
      <c r="S127" s="936" t="str">
        <f t="shared" si="48"/>
        <v/>
      </c>
      <c r="T127" s="937" t="str">
        <f t="shared" si="49"/>
        <v/>
      </c>
      <c r="U127" s="361"/>
      <c r="V127" s="375"/>
      <c r="W127" s="375"/>
      <c r="X127" s="375"/>
      <c r="Y127" s="1120" t="e">
        <f>VLOOKUP(H127,tab!$A$73:$V$114,I127+2,FALSE)</f>
        <v>#VALUE!</v>
      </c>
      <c r="Z127" s="1211">
        <f>tab!$E$64</f>
        <v>0.62</v>
      </c>
      <c r="AA127" s="1163" t="e">
        <f t="shared" si="50"/>
        <v>#VALUE!</v>
      </c>
      <c r="AB127" s="1163" t="e">
        <f t="shared" si="51"/>
        <v>#VALUE!</v>
      </c>
      <c r="AC127" s="1163" t="e">
        <f t="shared" si="52"/>
        <v>#VALUE!</v>
      </c>
      <c r="AD127" s="1162" t="e">
        <f t="shared" si="53"/>
        <v>#VALUE!</v>
      </c>
      <c r="AE127" s="1162">
        <f t="shared" si="54"/>
        <v>0</v>
      </c>
      <c r="AF127" s="1129">
        <f>IF(H127&gt;8,tab!$D$65,tab!$D$67)</f>
        <v>0.5</v>
      </c>
      <c r="AG127" s="1143">
        <f t="shared" si="55"/>
        <v>0</v>
      </c>
      <c r="AH127" s="1159">
        <f t="shared" si="56"/>
        <v>0</v>
      </c>
      <c r="AM127" s="403"/>
    </row>
    <row r="128" spans="3:39" ht="12.75" customHeight="1" x14ac:dyDescent="0.2">
      <c r="C128" s="90"/>
      <c r="D128" s="97" t="str">
        <f>IF(obp!D96=0,"",obp!D96)</f>
        <v/>
      </c>
      <c r="E128" s="97" t="str">
        <f>IF(obp!E96=0,"",obp!E96)</f>
        <v/>
      </c>
      <c r="F128" s="114" t="str">
        <f>IF(obp!F96="","",obp!F96+1)</f>
        <v/>
      </c>
      <c r="G128" s="377" t="str">
        <f>IF(obp!G96="","",obp!G96)</f>
        <v/>
      </c>
      <c r="H128" s="114" t="str">
        <f>IF(obp!H96=0,"",obp!H96)</f>
        <v/>
      </c>
      <c r="I128" s="129" t="str">
        <f>IF(J128="","",(IF(obp!I96+1&gt;LOOKUP(H128,schaal2011,regels2011),obp!I96,obp!I96+1)))</f>
        <v/>
      </c>
      <c r="J128" s="378" t="str">
        <f>IF(obp!J96="","",obp!J96)</f>
        <v/>
      </c>
      <c r="K128" s="392"/>
      <c r="L128" s="1078">
        <f>IF(obp!L96="","",obp!L96)</f>
        <v>0</v>
      </c>
      <c r="M128" s="1078">
        <f>IF(obp!M96="","",obp!M96)</f>
        <v>0</v>
      </c>
      <c r="N128" s="1077" t="str">
        <f t="shared" si="46"/>
        <v/>
      </c>
      <c r="O128" s="1077"/>
      <c r="P128" s="1172" t="str">
        <f t="shared" si="47"/>
        <v/>
      </c>
      <c r="Q128" s="91"/>
      <c r="R128" s="936" t="str">
        <f t="shared" si="57"/>
        <v/>
      </c>
      <c r="S128" s="936" t="str">
        <f t="shared" si="48"/>
        <v/>
      </c>
      <c r="T128" s="937" t="str">
        <f t="shared" si="49"/>
        <v/>
      </c>
      <c r="U128" s="361"/>
      <c r="V128" s="375"/>
      <c r="W128" s="375"/>
      <c r="X128" s="375"/>
      <c r="Y128" s="1120" t="e">
        <f>VLOOKUP(H128,tab!$A$73:$V$114,I128+2,FALSE)</f>
        <v>#VALUE!</v>
      </c>
      <c r="Z128" s="1211">
        <f>tab!$E$64</f>
        <v>0.62</v>
      </c>
      <c r="AA128" s="1163" t="e">
        <f t="shared" si="50"/>
        <v>#VALUE!</v>
      </c>
      <c r="AB128" s="1163" t="e">
        <f t="shared" si="51"/>
        <v>#VALUE!</v>
      </c>
      <c r="AC128" s="1163" t="e">
        <f t="shared" si="52"/>
        <v>#VALUE!</v>
      </c>
      <c r="AD128" s="1162" t="e">
        <f t="shared" si="53"/>
        <v>#VALUE!</v>
      </c>
      <c r="AE128" s="1162">
        <f t="shared" si="54"/>
        <v>0</v>
      </c>
      <c r="AF128" s="1129">
        <f>IF(H128&gt;8,tab!$D$65,tab!$D$67)</f>
        <v>0.5</v>
      </c>
      <c r="AG128" s="1143">
        <f t="shared" si="55"/>
        <v>0</v>
      </c>
      <c r="AH128" s="1159">
        <f t="shared" si="56"/>
        <v>0</v>
      </c>
      <c r="AM128" s="403"/>
    </row>
    <row r="129" spans="3:44" ht="12.75" customHeight="1" x14ac:dyDescent="0.2">
      <c r="C129" s="90"/>
      <c r="D129" s="97" t="str">
        <f>IF(obp!D97=0,"",obp!D97)</f>
        <v/>
      </c>
      <c r="E129" s="97" t="str">
        <f>IF(obp!E97=0,"",obp!E97)</f>
        <v/>
      </c>
      <c r="F129" s="114" t="str">
        <f>IF(obp!F97="","",obp!F97+1)</f>
        <v/>
      </c>
      <c r="G129" s="377" t="str">
        <f>IF(obp!G97="","",obp!G97)</f>
        <v/>
      </c>
      <c r="H129" s="114" t="str">
        <f>IF(obp!H97=0,"",obp!H97)</f>
        <v/>
      </c>
      <c r="I129" s="129" t="str">
        <f>IF(J129="","",(IF(obp!I97+1&gt;LOOKUP(H129,schaal2011,regels2011),obp!I97,obp!I97+1)))</f>
        <v/>
      </c>
      <c r="J129" s="378" t="str">
        <f>IF(obp!J97="","",obp!J97)</f>
        <v/>
      </c>
      <c r="K129" s="392"/>
      <c r="L129" s="1078">
        <f>IF(obp!L97="","",obp!L97)</f>
        <v>0</v>
      </c>
      <c r="M129" s="1078">
        <f>IF(obp!M97="","",obp!M97)</f>
        <v>0</v>
      </c>
      <c r="N129" s="1077" t="str">
        <f t="shared" si="46"/>
        <v/>
      </c>
      <c r="O129" s="1077"/>
      <c r="P129" s="1172" t="str">
        <f t="shared" si="47"/>
        <v/>
      </c>
      <c r="Q129" s="91"/>
      <c r="R129" s="936" t="str">
        <f t="shared" si="57"/>
        <v/>
      </c>
      <c r="S129" s="936" t="str">
        <f t="shared" si="48"/>
        <v/>
      </c>
      <c r="T129" s="937" t="str">
        <f t="shared" si="49"/>
        <v/>
      </c>
      <c r="U129" s="361"/>
      <c r="V129" s="375"/>
      <c r="W129" s="375"/>
      <c r="X129" s="375"/>
      <c r="Y129" s="1120" t="e">
        <f>VLOOKUP(H129,tab!$A$73:$V$114,I129+2,FALSE)</f>
        <v>#VALUE!</v>
      </c>
      <c r="Z129" s="1211">
        <f>tab!$E$64</f>
        <v>0.62</v>
      </c>
      <c r="AA129" s="1163" t="e">
        <f t="shared" si="50"/>
        <v>#VALUE!</v>
      </c>
      <c r="AB129" s="1163" t="e">
        <f t="shared" si="51"/>
        <v>#VALUE!</v>
      </c>
      <c r="AC129" s="1163" t="e">
        <f t="shared" si="52"/>
        <v>#VALUE!</v>
      </c>
      <c r="AD129" s="1162" t="e">
        <f t="shared" si="53"/>
        <v>#VALUE!</v>
      </c>
      <c r="AE129" s="1162">
        <f t="shared" si="54"/>
        <v>0</v>
      </c>
      <c r="AF129" s="1129">
        <f>IF(H129&gt;8,tab!$D$65,tab!$D$67)</f>
        <v>0.5</v>
      </c>
      <c r="AG129" s="1143">
        <f t="shared" si="55"/>
        <v>0</v>
      </c>
      <c r="AH129" s="1159">
        <f t="shared" si="56"/>
        <v>0</v>
      </c>
      <c r="AM129" s="403"/>
    </row>
    <row r="130" spans="3:44" ht="12.75" customHeight="1" x14ac:dyDescent="0.2">
      <c r="C130" s="90"/>
      <c r="D130" s="97" t="str">
        <f>IF(obp!D98=0,"",obp!D98)</f>
        <v/>
      </c>
      <c r="E130" s="97" t="str">
        <f>IF(obp!E98=0,"",obp!E98)</f>
        <v/>
      </c>
      <c r="F130" s="114" t="str">
        <f>IF(obp!F98="","",obp!F98+1)</f>
        <v/>
      </c>
      <c r="G130" s="377" t="str">
        <f>IF(obp!G98="","",obp!G98)</f>
        <v/>
      </c>
      <c r="H130" s="114" t="str">
        <f>IF(obp!H98=0,"",obp!H98)</f>
        <v/>
      </c>
      <c r="I130" s="129" t="str">
        <f>IF(J130="","",(IF(obp!I98+1&gt;LOOKUP(H130,schaal2011,regels2011),obp!I98,obp!I98+1)))</f>
        <v/>
      </c>
      <c r="J130" s="378" t="str">
        <f>IF(obp!J98="","",obp!J98)</f>
        <v/>
      </c>
      <c r="K130" s="392"/>
      <c r="L130" s="1078">
        <f>IF(obp!L98="","",obp!L98)</f>
        <v>0</v>
      </c>
      <c r="M130" s="1078">
        <f>IF(obp!M98="","",obp!M98)</f>
        <v>0</v>
      </c>
      <c r="N130" s="1077" t="str">
        <f t="shared" si="46"/>
        <v/>
      </c>
      <c r="O130" s="1077"/>
      <c r="P130" s="1172" t="str">
        <f t="shared" si="47"/>
        <v/>
      </c>
      <c r="Q130" s="91"/>
      <c r="R130" s="936" t="str">
        <f t="shared" si="57"/>
        <v/>
      </c>
      <c r="S130" s="936" t="str">
        <f t="shared" si="48"/>
        <v/>
      </c>
      <c r="T130" s="937" t="str">
        <f t="shared" si="49"/>
        <v/>
      </c>
      <c r="U130" s="361"/>
      <c r="V130" s="375"/>
      <c r="W130" s="375"/>
      <c r="X130" s="375"/>
      <c r="Y130" s="1120" t="e">
        <f>VLOOKUP(H130,tab!$A$73:$V$114,I130+2,FALSE)</f>
        <v>#VALUE!</v>
      </c>
      <c r="Z130" s="1211">
        <f>tab!$E$64</f>
        <v>0.62</v>
      </c>
      <c r="AA130" s="1163" t="e">
        <f t="shared" si="50"/>
        <v>#VALUE!</v>
      </c>
      <c r="AB130" s="1163" t="e">
        <f t="shared" si="51"/>
        <v>#VALUE!</v>
      </c>
      <c r="AC130" s="1163" t="e">
        <f t="shared" si="52"/>
        <v>#VALUE!</v>
      </c>
      <c r="AD130" s="1162" t="e">
        <f t="shared" si="53"/>
        <v>#VALUE!</v>
      </c>
      <c r="AE130" s="1162">
        <f t="shared" si="54"/>
        <v>0</v>
      </c>
      <c r="AF130" s="1129">
        <f>IF(H130&gt;8,tab!$D$65,tab!$D$67)</f>
        <v>0.5</v>
      </c>
      <c r="AG130" s="1143">
        <f t="shared" si="55"/>
        <v>0</v>
      </c>
      <c r="AH130" s="1159">
        <f t="shared" si="56"/>
        <v>0</v>
      </c>
      <c r="AM130" s="403"/>
    </row>
    <row r="131" spans="3:44" ht="12.75" customHeight="1" x14ac:dyDescent="0.2">
      <c r="C131" s="90"/>
      <c r="D131" s="97" t="str">
        <f>IF(obp!D99=0,"",obp!D99)</f>
        <v/>
      </c>
      <c r="E131" s="97" t="str">
        <f>IF(obp!E99=0,"",obp!E99)</f>
        <v/>
      </c>
      <c r="F131" s="114" t="str">
        <f>IF(obp!F99="","",obp!F99+1)</f>
        <v/>
      </c>
      <c r="G131" s="377" t="str">
        <f>IF(obp!G99="","",obp!G99)</f>
        <v/>
      </c>
      <c r="H131" s="114" t="str">
        <f>IF(obp!H99=0,"",obp!H99)</f>
        <v/>
      </c>
      <c r="I131" s="129" t="str">
        <f>IF(J131="","",(IF(obp!I99+1&gt;LOOKUP(H131,schaal2011,regels2011),obp!I99,obp!I99+1)))</f>
        <v/>
      </c>
      <c r="J131" s="378" t="str">
        <f>IF(obp!J99="","",obp!J99)</f>
        <v/>
      </c>
      <c r="K131" s="392"/>
      <c r="L131" s="1078">
        <f>IF(obp!L99="","",obp!L99)</f>
        <v>0</v>
      </c>
      <c r="M131" s="1078">
        <f>IF(obp!M99="","",obp!M99)</f>
        <v>0</v>
      </c>
      <c r="N131" s="1077" t="str">
        <f t="shared" si="46"/>
        <v/>
      </c>
      <c r="O131" s="1077"/>
      <c r="P131" s="1172" t="str">
        <f t="shared" si="47"/>
        <v/>
      </c>
      <c r="Q131" s="91"/>
      <c r="R131" s="936" t="str">
        <f t="shared" si="57"/>
        <v/>
      </c>
      <c r="S131" s="936" t="str">
        <f t="shared" si="48"/>
        <v/>
      </c>
      <c r="T131" s="937" t="str">
        <f t="shared" si="49"/>
        <v/>
      </c>
      <c r="U131" s="361"/>
      <c r="V131" s="375"/>
      <c r="W131" s="375"/>
      <c r="X131" s="375"/>
      <c r="Y131" s="1120" t="e">
        <f>VLOOKUP(H131,tab!$A$73:$V$114,I131+2,FALSE)</f>
        <v>#VALUE!</v>
      </c>
      <c r="Z131" s="1211">
        <f>tab!$E$64</f>
        <v>0.62</v>
      </c>
      <c r="AA131" s="1163" t="e">
        <f t="shared" si="50"/>
        <v>#VALUE!</v>
      </c>
      <c r="AB131" s="1163" t="e">
        <f t="shared" si="51"/>
        <v>#VALUE!</v>
      </c>
      <c r="AC131" s="1163" t="e">
        <f t="shared" si="52"/>
        <v>#VALUE!</v>
      </c>
      <c r="AD131" s="1162" t="e">
        <f t="shared" si="53"/>
        <v>#VALUE!</v>
      </c>
      <c r="AE131" s="1162">
        <f t="shared" si="54"/>
        <v>0</v>
      </c>
      <c r="AF131" s="1129">
        <f>IF(H131&gt;8,tab!$D$65,tab!$D$67)</f>
        <v>0.5</v>
      </c>
      <c r="AG131" s="1143">
        <f t="shared" si="55"/>
        <v>0</v>
      </c>
      <c r="AH131" s="1159">
        <f t="shared" si="56"/>
        <v>0</v>
      </c>
      <c r="AM131" s="403"/>
    </row>
    <row r="132" spans="3:44" ht="12.75" customHeight="1" x14ac:dyDescent="0.2">
      <c r="C132" s="90"/>
      <c r="D132" s="97" t="str">
        <f>IF(obp!D100=0,"",obp!D100)</f>
        <v/>
      </c>
      <c r="E132" s="97" t="str">
        <f>IF(obp!E100=0,"",obp!E100)</f>
        <v/>
      </c>
      <c r="F132" s="114" t="str">
        <f>IF(obp!F100="","",obp!F100+1)</f>
        <v/>
      </c>
      <c r="G132" s="377" t="str">
        <f>IF(obp!G100="","",obp!G100)</f>
        <v/>
      </c>
      <c r="H132" s="114" t="str">
        <f>IF(obp!H100=0,"",obp!H100)</f>
        <v/>
      </c>
      <c r="I132" s="129" t="str">
        <f>IF(J132="","",(IF(obp!I100+1&gt;LOOKUP(H132,schaal2011,regels2011),obp!I100,obp!I100+1)))</f>
        <v/>
      </c>
      <c r="J132" s="378" t="str">
        <f>IF(obp!J100="","",obp!J100)</f>
        <v/>
      </c>
      <c r="K132" s="392"/>
      <c r="L132" s="1078">
        <f>IF(obp!L100="","",obp!L100)</f>
        <v>0</v>
      </c>
      <c r="M132" s="1078">
        <f>IF(obp!M100="","",obp!M100)</f>
        <v>0</v>
      </c>
      <c r="N132" s="1077" t="str">
        <f t="shared" si="46"/>
        <v/>
      </c>
      <c r="O132" s="1077"/>
      <c r="P132" s="1172" t="str">
        <f t="shared" si="47"/>
        <v/>
      </c>
      <c r="Q132" s="91"/>
      <c r="R132" s="936" t="str">
        <f t="shared" si="57"/>
        <v/>
      </c>
      <c r="S132" s="936" t="str">
        <f t="shared" si="48"/>
        <v/>
      </c>
      <c r="T132" s="937" t="str">
        <f t="shared" si="49"/>
        <v/>
      </c>
      <c r="U132" s="361"/>
      <c r="V132" s="375"/>
      <c r="W132" s="375"/>
      <c r="X132" s="375"/>
      <c r="Y132" s="1120" t="e">
        <f>VLOOKUP(H132,tab!$A$73:$V$114,I132+2,FALSE)</f>
        <v>#VALUE!</v>
      </c>
      <c r="Z132" s="1211">
        <f>tab!$E$64</f>
        <v>0.62</v>
      </c>
      <c r="AA132" s="1163" t="e">
        <f t="shared" si="50"/>
        <v>#VALUE!</v>
      </c>
      <c r="AB132" s="1163" t="e">
        <f t="shared" si="51"/>
        <v>#VALUE!</v>
      </c>
      <c r="AC132" s="1163" t="e">
        <f t="shared" si="52"/>
        <v>#VALUE!</v>
      </c>
      <c r="AD132" s="1162" t="e">
        <f t="shared" si="53"/>
        <v>#VALUE!</v>
      </c>
      <c r="AE132" s="1162">
        <f t="shared" si="54"/>
        <v>0</v>
      </c>
      <c r="AF132" s="1129">
        <f>IF(H132&gt;8,tab!$D$65,tab!$D$67)</f>
        <v>0.5</v>
      </c>
      <c r="AG132" s="1143">
        <f t="shared" si="55"/>
        <v>0</v>
      </c>
      <c r="AH132" s="1159">
        <f t="shared" si="56"/>
        <v>0</v>
      </c>
      <c r="AM132" s="403"/>
    </row>
    <row r="133" spans="3:44" x14ac:dyDescent="0.2">
      <c r="C133" s="90"/>
      <c r="D133" s="116"/>
      <c r="E133" s="116"/>
      <c r="F133" s="128"/>
      <c r="G133" s="387"/>
      <c r="H133" s="128"/>
      <c r="I133" s="464"/>
      <c r="J133" s="939">
        <f>SUM(J113:J132)</f>
        <v>1</v>
      </c>
      <c r="K133" s="380"/>
      <c r="L133" s="1079">
        <f t="shared" ref="L133" si="58">SUM(L113:L132)</f>
        <v>0</v>
      </c>
      <c r="M133" s="1079">
        <f t="shared" ref="M133" si="59">SUM(M113:M132)</f>
        <v>0</v>
      </c>
      <c r="N133" s="1079">
        <f>SUM(N113:N132)</f>
        <v>40</v>
      </c>
      <c r="O133" s="1079"/>
      <c r="P133" s="1079">
        <f>SUM(P113:P132)</f>
        <v>40</v>
      </c>
      <c r="Q133" s="380"/>
      <c r="R133" s="940">
        <f t="shared" ref="R133" si="60">SUM(R113:R132)</f>
        <v>54257.87197106691</v>
      </c>
      <c r="S133" s="940">
        <f t="shared" ref="S133:T133" si="61">SUM(S113:S132)</f>
        <v>1340.5280289330924</v>
      </c>
      <c r="T133" s="940">
        <f t="shared" si="61"/>
        <v>55598.400000000001</v>
      </c>
      <c r="U133" s="143"/>
      <c r="Y133" s="1121" t="e">
        <f>SUM(Y113:Y132)</f>
        <v>#VALUE!</v>
      </c>
      <c r="Z133" s="1207"/>
      <c r="AA133" s="1207"/>
      <c r="AB133" s="1207"/>
      <c r="AC133" s="1207"/>
      <c r="AD133" s="1130" t="e">
        <f>SUM(AD113:AD132)</f>
        <v>#VALUE!</v>
      </c>
      <c r="AE133" s="1130">
        <f>SUM(AE113:AE132)</f>
        <v>0</v>
      </c>
      <c r="AF133" s="1121"/>
      <c r="AG133" s="1146">
        <f>SUM(AG113:AG132)</f>
        <v>0</v>
      </c>
      <c r="AH133" s="1155">
        <f>SUM(AH113:AH132)</f>
        <v>0</v>
      </c>
    </row>
    <row r="134" spans="3:44" x14ac:dyDescent="0.2">
      <c r="C134" s="98"/>
      <c r="D134" s="144"/>
      <c r="E134" s="144"/>
      <c r="F134" s="191"/>
      <c r="G134" s="391"/>
      <c r="H134" s="191"/>
      <c r="I134" s="392"/>
      <c r="J134" s="393"/>
      <c r="K134" s="392"/>
      <c r="L134" s="392"/>
      <c r="M134" s="392"/>
      <c r="N134" s="392"/>
      <c r="O134" s="392"/>
      <c r="P134" s="392"/>
      <c r="Q134" s="392"/>
      <c r="R134" s="466"/>
      <c r="S134" s="388"/>
      <c r="T134" s="388"/>
      <c r="U134" s="467"/>
      <c r="Y134" s="1093"/>
      <c r="Z134" s="1207"/>
      <c r="AA134" s="1207"/>
      <c r="AB134" s="1207"/>
      <c r="AC134" s="1207"/>
      <c r="AF134" s="1121"/>
      <c r="AG134" s="1146"/>
      <c r="AH134" s="1155"/>
    </row>
    <row r="137" spans="3:44" x14ac:dyDescent="0.2">
      <c r="C137" s="68" t="s">
        <v>195</v>
      </c>
      <c r="E137" s="415" t="str">
        <f>dir!E99</f>
        <v>2019/20</v>
      </c>
    </row>
    <row r="138" spans="3:44" x14ac:dyDescent="0.2">
      <c r="C138" s="68" t="s">
        <v>217</v>
      </c>
      <c r="E138" s="415">
        <f>dir!E100</f>
        <v>43739</v>
      </c>
    </row>
    <row r="140" spans="3:44" ht="12.75" customHeight="1" x14ac:dyDescent="0.2">
      <c r="C140" s="955"/>
      <c r="D140" s="921"/>
      <c r="E140" s="920"/>
      <c r="F140" s="900"/>
      <c r="G140" s="922"/>
      <c r="H140" s="923"/>
      <c r="I140" s="923"/>
      <c r="J140" s="924"/>
      <c r="K140" s="925"/>
      <c r="L140" s="923"/>
      <c r="M140" s="923"/>
      <c r="N140" s="923"/>
      <c r="O140" s="923"/>
      <c r="P140" s="923"/>
      <c r="Q140" s="925"/>
      <c r="R140" s="925"/>
      <c r="S140" s="925"/>
      <c r="T140" s="778"/>
      <c r="U140" s="161"/>
      <c r="Z140" s="905"/>
      <c r="AA140" s="905"/>
      <c r="AB140" s="905"/>
      <c r="AC140" s="905"/>
      <c r="AI140" s="333"/>
      <c r="AJ140" s="333"/>
      <c r="AK140" s="333"/>
      <c r="AL140" s="284"/>
      <c r="AM140" s="283"/>
      <c r="AN140" s="285"/>
      <c r="AO140" s="334"/>
      <c r="AP140" s="284"/>
    </row>
    <row r="141" spans="3:44" ht="12.75" customHeight="1" x14ac:dyDescent="0.2">
      <c r="C141" s="956"/>
      <c r="D141" s="1074" t="s">
        <v>335</v>
      </c>
      <c r="E141" s="1075"/>
      <c r="F141" s="1075"/>
      <c r="G141" s="1075"/>
      <c r="H141" s="1076"/>
      <c r="I141" s="1076"/>
      <c r="J141" s="1076"/>
      <c r="K141" s="1191"/>
      <c r="L141" s="1074" t="s">
        <v>561</v>
      </c>
      <c r="M141" s="1064"/>
      <c r="N141" s="1074"/>
      <c r="O141" s="1074"/>
      <c r="P141" s="1170"/>
      <c r="Q141" s="927"/>
      <c r="R141" s="1074" t="s">
        <v>563</v>
      </c>
      <c r="S141" s="1076"/>
      <c r="T141" s="1153"/>
      <c r="U141" s="944"/>
      <c r="V141" s="365"/>
      <c r="W141" s="365"/>
      <c r="X141" s="365"/>
      <c r="Y141" s="1094"/>
      <c r="Z141" s="1126"/>
      <c r="AA141" s="1094"/>
      <c r="AB141" s="1094"/>
      <c r="AC141" s="1094"/>
      <c r="AD141" s="1125"/>
      <c r="AE141" s="1125"/>
      <c r="AF141" s="1126"/>
      <c r="AG141" s="1151"/>
      <c r="AH141" s="1160"/>
      <c r="AI141" s="1141"/>
      <c r="AJ141" s="1141"/>
      <c r="AK141" s="1141"/>
      <c r="AL141" s="1141"/>
      <c r="AM141" s="1141"/>
      <c r="AO141" s="68"/>
      <c r="AP141" s="68"/>
      <c r="AQ141" s="469"/>
      <c r="AR141" s="469"/>
    </row>
    <row r="142" spans="3:44" ht="12.75" customHeight="1" x14ac:dyDescent="0.2">
      <c r="C142" s="956"/>
      <c r="D142" s="886" t="s">
        <v>549</v>
      </c>
      <c r="E142" s="886" t="s">
        <v>201</v>
      </c>
      <c r="F142" s="929" t="s">
        <v>147</v>
      </c>
      <c r="G142" s="930" t="s">
        <v>325</v>
      </c>
      <c r="H142" s="929" t="s">
        <v>231</v>
      </c>
      <c r="I142" s="929" t="s">
        <v>262</v>
      </c>
      <c r="J142" s="931" t="s">
        <v>150</v>
      </c>
      <c r="K142" s="1192"/>
      <c r="L142" s="932" t="s">
        <v>544</v>
      </c>
      <c r="M142" s="932" t="s">
        <v>537</v>
      </c>
      <c r="N142" s="932" t="s">
        <v>551</v>
      </c>
      <c r="O142" s="932" t="s">
        <v>544</v>
      </c>
      <c r="P142" s="1171" t="s">
        <v>556</v>
      </c>
      <c r="Q142" s="898"/>
      <c r="R142" s="1073" t="s">
        <v>216</v>
      </c>
      <c r="S142" s="934" t="s">
        <v>562</v>
      </c>
      <c r="T142" s="935" t="s">
        <v>216</v>
      </c>
      <c r="U142" s="945"/>
      <c r="V142" s="369"/>
      <c r="W142" s="369"/>
      <c r="X142" s="369"/>
      <c r="Y142" s="1127" t="s">
        <v>361</v>
      </c>
      <c r="Z142" s="1182" t="s">
        <v>548</v>
      </c>
      <c r="AA142" s="1115" t="s">
        <v>557</v>
      </c>
      <c r="AB142" s="1115" t="s">
        <v>557</v>
      </c>
      <c r="AC142" s="1115" t="s">
        <v>560</v>
      </c>
      <c r="AD142" s="1128" t="s">
        <v>542</v>
      </c>
      <c r="AE142" s="1128" t="s">
        <v>543</v>
      </c>
      <c r="AF142" s="1114" t="s">
        <v>539</v>
      </c>
      <c r="AG142" s="1152" t="s">
        <v>343</v>
      </c>
      <c r="AH142" s="1160" t="s">
        <v>468</v>
      </c>
      <c r="AI142" s="1114" t="s">
        <v>328</v>
      </c>
      <c r="AJ142" s="1114" t="s">
        <v>329</v>
      </c>
      <c r="AK142" s="1114" t="s">
        <v>149</v>
      </c>
      <c r="AL142" s="1114" t="s">
        <v>228</v>
      </c>
      <c r="AM142" s="1128" t="s">
        <v>203</v>
      </c>
      <c r="AO142" s="68"/>
      <c r="AP142" s="68"/>
      <c r="AQ142" s="469"/>
      <c r="AR142" s="471"/>
    </row>
    <row r="143" spans="3:44" ht="12.75" customHeight="1" x14ac:dyDescent="0.2">
      <c r="C143" s="956"/>
      <c r="D143" s="1075"/>
      <c r="E143" s="886"/>
      <c r="F143" s="929" t="s">
        <v>148</v>
      </c>
      <c r="G143" s="930" t="s">
        <v>326</v>
      </c>
      <c r="H143" s="929"/>
      <c r="I143" s="929"/>
      <c r="J143" s="931"/>
      <c r="K143" s="1192"/>
      <c r="L143" s="932" t="s">
        <v>545</v>
      </c>
      <c r="M143" s="932" t="s">
        <v>547</v>
      </c>
      <c r="N143" s="932" t="s">
        <v>552</v>
      </c>
      <c r="O143" s="932" t="s">
        <v>546</v>
      </c>
      <c r="P143" s="1171" t="s">
        <v>320</v>
      </c>
      <c r="Q143" s="898"/>
      <c r="R143" s="902" t="s">
        <v>554</v>
      </c>
      <c r="S143" s="934" t="s">
        <v>538</v>
      </c>
      <c r="T143" s="935" t="s">
        <v>320</v>
      </c>
      <c r="U143" s="906"/>
      <c r="V143" s="106"/>
      <c r="W143" s="106"/>
      <c r="X143" s="106"/>
      <c r="Y143" s="1127" t="s">
        <v>223</v>
      </c>
      <c r="Z143" s="1183">
        <f>tab!$E$64</f>
        <v>0.62</v>
      </c>
      <c r="AA143" s="1115" t="s">
        <v>558</v>
      </c>
      <c r="AB143" s="1115" t="s">
        <v>559</v>
      </c>
      <c r="AC143" s="1115" t="s">
        <v>555</v>
      </c>
      <c r="AD143" s="1128" t="s">
        <v>541</v>
      </c>
      <c r="AE143" s="1128" t="s">
        <v>541</v>
      </c>
      <c r="AF143" s="1114" t="s">
        <v>540</v>
      </c>
      <c r="AG143" s="1152"/>
      <c r="AH143" s="1159" t="s">
        <v>261</v>
      </c>
      <c r="AI143" s="1128" t="s">
        <v>327</v>
      </c>
      <c r="AJ143" s="1128" t="s">
        <v>327</v>
      </c>
      <c r="AK143" s="1114"/>
      <c r="AL143" s="1114" t="s">
        <v>203</v>
      </c>
      <c r="AM143" s="1128"/>
      <c r="AO143" s="68"/>
      <c r="AP143" s="68"/>
      <c r="AR143" s="375"/>
    </row>
    <row r="144" spans="3:44" ht="12.75" customHeight="1" x14ac:dyDescent="0.2">
      <c r="C144" s="956"/>
      <c r="D144" s="1075"/>
      <c r="E144" s="1075"/>
      <c r="F144" s="899"/>
      <c r="G144" s="946"/>
      <c r="H144" s="929"/>
      <c r="I144" s="929"/>
      <c r="J144" s="931"/>
      <c r="K144" s="933"/>
      <c r="L144" s="932"/>
      <c r="M144" s="932"/>
      <c r="N144" s="932"/>
      <c r="O144" s="932"/>
      <c r="P144" s="932"/>
      <c r="Q144" s="933"/>
      <c r="R144" s="947"/>
      <c r="S144" s="947"/>
      <c r="T144" s="465"/>
      <c r="U144" s="435"/>
      <c r="Y144" s="1127"/>
      <c r="Z144" s="1206"/>
      <c r="AA144" s="1206"/>
      <c r="AB144" s="1206"/>
      <c r="AC144" s="1206"/>
      <c r="AD144" s="1128"/>
      <c r="AE144" s="1128"/>
      <c r="AF144" s="1113"/>
      <c r="AG144" s="1152"/>
      <c r="AH144" s="1159"/>
      <c r="AO144" s="68"/>
      <c r="AP144" s="68"/>
      <c r="AR144" s="375"/>
    </row>
    <row r="145" spans="3:39" ht="12.75" customHeight="1" x14ac:dyDescent="0.2">
      <c r="C145" s="90"/>
      <c r="D145" s="97" t="str">
        <f>IF(obp!D113=0,"",obp!D113)</f>
        <v/>
      </c>
      <c r="E145" s="97" t="str">
        <f>IF(obp!E113=0,"-",obp!E113)</f>
        <v>piet</v>
      </c>
      <c r="F145" s="114">
        <f>IF(obp!F113="","",obp!F113+1)</f>
        <v>44</v>
      </c>
      <c r="G145" s="377" t="str">
        <f>IF(obp!G113="","",obp!G113)</f>
        <v/>
      </c>
      <c r="H145" s="114">
        <f>IF(obp!H113=0,"",obp!H113)</f>
        <v>8</v>
      </c>
      <c r="I145" s="129">
        <f>IF(J145="","",(IF(obp!I113+1&gt;LOOKUP(H145,schaal2011,regels2011),obp!I113,obp!I113+1)))</f>
        <v>12</v>
      </c>
      <c r="J145" s="378">
        <f>IF(obp!J113="","",obp!J113)</f>
        <v>1</v>
      </c>
      <c r="K145" s="392"/>
      <c r="L145" s="1078">
        <f>IF(obp!L113="","",obp!L113)</f>
        <v>0</v>
      </c>
      <c r="M145" s="1078">
        <f>IF(obp!M113="","",obp!M113)</f>
        <v>0</v>
      </c>
      <c r="N145" s="1077">
        <f t="shared" ref="N145:N164" si="62">IF(J145="","",IF((J145*40)&gt;40,40,((J145*40))))</f>
        <v>40</v>
      </c>
      <c r="O145" s="1077"/>
      <c r="P145" s="1172">
        <f t="shared" ref="P145:P164" si="63">IF(J145="","",(SUM(L145:O145)))</f>
        <v>40</v>
      </c>
      <c r="Q145" s="91"/>
      <c r="R145" s="936">
        <f>IF(J145="","",(((1659*J145)-P145)*AB145))</f>
        <v>55301.292585895128</v>
      </c>
      <c r="S145" s="936">
        <f t="shared" ref="S145:S164" si="64">IF(J145="","",(P145*AC145)+(AA145*AD145)+((AE145*AA145*(1-AF145))))</f>
        <v>1366.3074141048828</v>
      </c>
      <c r="T145" s="937">
        <f t="shared" ref="T145:T164" si="65">IF(J145="","",(R145+S145))</f>
        <v>56667.600000000013</v>
      </c>
      <c r="U145" s="361"/>
      <c r="V145" s="375"/>
      <c r="W145" s="375"/>
      <c r="X145" s="375"/>
      <c r="Y145" s="1120">
        <f>VLOOKUP(H145,tab!$A$73:$V$114,I145+2,FALSE)</f>
        <v>2915</v>
      </c>
      <c r="Z145" s="1211">
        <f>tab!$E$64</f>
        <v>0.62</v>
      </c>
      <c r="AA145" s="1163">
        <f t="shared" ref="AA145:AA164" si="66">(Y145*12/1659)</f>
        <v>21.084990958408682</v>
      </c>
      <c r="AB145" s="1163">
        <f t="shared" ref="AB145:AB164" si="67">(Y145*12*(1+Z145))/1659</f>
        <v>34.157685352622067</v>
      </c>
      <c r="AC145" s="1163">
        <f t="shared" ref="AC145:AC164" si="68">AB145-AA145</f>
        <v>13.072694394213386</v>
      </c>
      <c r="AD145" s="1162">
        <f t="shared" ref="AD145:AD164" si="69">(N145+O145)</f>
        <v>40</v>
      </c>
      <c r="AE145" s="1162">
        <f t="shared" ref="AE145:AE164" si="70">(L145+M145)</f>
        <v>0</v>
      </c>
      <c r="AF145" s="1129">
        <f>IF(H145&gt;8,tab!$D$65,tab!$D$67)</f>
        <v>0.4</v>
      </c>
      <c r="AG145" s="1143">
        <f t="shared" ref="AG145:AG164" si="71">IF(F145&lt;25,0,IF(F145=25,25,IF(F145&lt;40,0,IF(F145=40,40,IF(F145&gt;=40,0)))))</f>
        <v>0</v>
      </c>
      <c r="AH145" s="1159">
        <f t="shared" ref="AH145:AH164" si="72">IF(AG145=25,(Y145*1.08*(J145)/2),IF(AG145=40,(Y145*1.08*(J145)),IF(AG145=0,0)))</f>
        <v>0</v>
      </c>
      <c r="AM145" s="403"/>
    </row>
    <row r="146" spans="3:39" ht="12.75" customHeight="1" x14ac:dyDescent="0.2">
      <c r="C146" s="90"/>
      <c r="D146" s="97" t="str">
        <f>IF(obp!D114=0,"",obp!D114)</f>
        <v/>
      </c>
      <c r="E146" s="97" t="str">
        <f>IF(obp!E114=0,"-",obp!E114)</f>
        <v/>
      </c>
      <c r="F146" s="114" t="str">
        <f>IF(obp!F114="","",obp!F114+1)</f>
        <v/>
      </c>
      <c r="G146" s="377" t="str">
        <f>IF(obp!G114="","",obp!G114)</f>
        <v/>
      </c>
      <c r="H146" s="114" t="str">
        <f>IF(obp!H114=0,"",obp!H114)</f>
        <v/>
      </c>
      <c r="I146" s="129" t="str">
        <f>IF(J146="","",(IF(obp!I114+1&gt;LOOKUP(H146,schaal2011,regels2011),obp!I114,obp!I114+1)))</f>
        <v/>
      </c>
      <c r="J146" s="378" t="str">
        <f>IF(obp!J114="","",obp!J114)</f>
        <v/>
      </c>
      <c r="K146" s="392"/>
      <c r="L146" s="1078">
        <f>IF(obp!L114="","",obp!L114)</f>
        <v>0</v>
      </c>
      <c r="M146" s="1078">
        <f>IF(obp!M114="","",obp!M114)</f>
        <v>0</v>
      </c>
      <c r="N146" s="1077" t="str">
        <f t="shared" si="62"/>
        <v/>
      </c>
      <c r="O146" s="1077"/>
      <c r="P146" s="1172" t="str">
        <f t="shared" si="63"/>
        <v/>
      </c>
      <c r="Q146" s="91"/>
      <c r="R146" s="936" t="str">
        <f t="shared" ref="R146:R164" si="73">IF(J146="","",(((1659*J146)-P146)*AB146))</f>
        <v/>
      </c>
      <c r="S146" s="936" t="str">
        <f t="shared" si="64"/>
        <v/>
      </c>
      <c r="T146" s="937" t="str">
        <f t="shared" si="65"/>
        <v/>
      </c>
      <c r="U146" s="361"/>
      <c r="V146" s="375"/>
      <c r="W146" s="375"/>
      <c r="X146" s="375"/>
      <c r="Y146" s="1120" t="e">
        <f>VLOOKUP(H146,tab!$A$73:$V$114,I146+2,FALSE)</f>
        <v>#VALUE!</v>
      </c>
      <c r="Z146" s="1211">
        <f>tab!$E$64</f>
        <v>0.62</v>
      </c>
      <c r="AA146" s="1163" t="e">
        <f t="shared" si="66"/>
        <v>#VALUE!</v>
      </c>
      <c r="AB146" s="1163" t="e">
        <f t="shared" si="67"/>
        <v>#VALUE!</v>
      </c>
      <c r="AC146" s="1163" t="e">
        <f t="shared" si="68"/>
        <v>#VALUE!</v>
      </c>
      <c r="AD146" s="1162" t="e">
        <f t="shared" si="69"/>
        <v>#VALUE!</v>
      </c>
      <c r="AE146" s="1162">
        <f t="shared" si="70"/>
        <v>0</v>
      </c>
      <c r="AF146" s="1129">
        <f>IF(H146&gt;8,tab!$D$65,tab!$D$67)</f>
        <v>0.5</v>
      </c>
      <c r="AG146" s="1143">
        <f t="shared" si="71"/>
        <v>0</v>
      </c>
      <c r="AH146" s="1159">
        <f t="shared" si="72"/>
        <v>0</v>
      </c>
      <c r="AM146" s="403"/>
    </row>
    <row r="147" spans="3:39" ht="12.75" customHeight="1" x14ac:dyDescent="0.2">
      <c r="C147" s="90"/>
      <c r="D147" s="97" t="str">
        <f>IF(obp!D115=0,"",obp!D115)</f>
        <v/>
      </c>
      <c r="E147" s="97" t="str">
        <f>IF(obp!E115=0,"-",obp!E115)</f>
        <v/>
      </c>
      <c r="F147" s="114" t="str">
        <f>IF(obp!F115="","",obp!F115+1)</f>
        <v/>
      </c>
      <c r="G147" s="377" t="str">
        <f>IF(obp!G115="","",obp!G115)</f>
        <v/>
      </c>
      <c r="H147" s="114" t="str">
        <f>IF(obp!H115=0,"",obp!H115)</f>
        <v/>
      </c>
      <c r="I147" s="129" t="str">
        <f>IF(J147="","",(IF(obp!I115+1&gt;LOOKUP(H147,schaal2011,regels2011),obp!I115,obp!I115+1)))</f>
        <v/>
      </c>
      <c r="J147" s="378" t="str">
        <f>IF(obp!J115="","",obp!J115)</f>
        <v/>
      </c>
      <c r="K147" s="392"/>
      <c r="L147" s="1078">
        <f>IF(obp!L115="","",obp!L115)</f>
        <v>0</v>
      </c>
      <c r="M147" s="1078">
        <f>IF(obp!M115="","",obp!M115)</f>
        <v>0</v>
      </c>
      <c r="N147" s="1077" t="str">
        <f t="shared" si="62"/>
        <v/>
      </c>
      <c r="O147" s="1077"/>
      <c r="P147" s="1172" t="str">
        <f t="shared" si="63"/>
        <v/>
      </c>
      <c r="Q147" s="91"/>
      <c r="R147" s="936" t="str">
        <f t="shared" si="73"/>
        <v/>
      </c>
      <c r="S147" s="936" t="str">
        <f t="shared" si="64"/>
        <v/>
      </c>
      <c r="T147" s="937" t="str">
        <f t="shared" si="65"/>
        <v/>
      </c>
      <c r="U147" s="361"/>
      <c r="V147" s="375"/>
      <c r="W147" s="375"/>
      <c r="X147" s="375"/>
      <c r="Y147" s="1120" t="e">
        <f>VLOOKUP(H147,tab!$A$73:$V$114,I147+2,FALSE)</f>
        <v>#VALUE!</v>
      </c>
      <c r="Z147" s="1211">
        <f>tab!$E$64</f>
        <v>0.62</v>
      </c>
      <c r="AA147" s="1163" t="e">
        <f t="shared" si="66"/>
        <v>#VALUE!</v>
      </c>
      <c r="AB147" s="1163" t="e">
        <f t="shared" si="67"/>
        <v>#VALUE!</v>
      </c>
      <c r="AC147" s="1163" t="e">
        <f t="shared" si="68"/>
        <v>#VALUE!</v>
      </c>
      <c r="AD147" s="1162" t="e">
        <f t="shared" si="69"/>
        <v>#VALUE!</v>
      </c>
      <c r="AE147" s="1162">
        <f t="shared" si="70"/>
        <v>0</v>
      </c>
      <c r="AF147" s="1129">
        <f>IF(H147&gt;8,tab!$D$65,tab!$D$67)</f>
        <v>0.5</v>
      </c>
      <c r="AG147" s="1143">
        <f t="shared" si="71"/>
        <v>0</v>
      </c>
      <c r="AH147" s="1159">
        <f t="shared" si="72"/>
        <v>0</v>
      </c>
      <c r="AM147" s="403"/>
    </row>
    <row r="148" spans="3:39" ht="12.75" customHeight="1" x14ac:dyDescent="0.2">
      <c r="C148" s="90"/>
      <c r="D148" s="97" t="str">
        <f>IF(obp!D116=0,"",obp!D116)</f>
        <v/>
      </c>
      <c r="E148" s="97" t="str">
        <f>IF(obp!E116=0,"-",obp!E116)</f>
        <v/>
      </c>
      <c r="F148" s="114" t="str">
        <f>IF(obp!F116="","",obp!F116+1)</f>
        <v/>
      </c>
      <c r="G148" s="377" t="str">
        <f>IF(obp!G116="","",obp!G116)</f>
        <v/>
      </c>
      <c r="H148" s="114" t="str">
        <f>IF(obp!H116=0,"",obp!H116)</f>
        <v/>
      </c>
      <c r="I148" s="129" t="str">
        <f>IF(J148="","",(IF(obp!I116+1&gt;LOOKUP(H148,schaal2011,regels2011),obp!I116,obp!I116+1)))</f>
        <v/>
      </c>
      <c r="J148" s="378" t="str">
        <f>IF(obp!J116="","",obp!J116)</f>
        <v/>
      </c>
      <c r="K148" s="392"/>
      <c r="L148" s="1078">
        <f>IF(obp!L116="","",obp!L116)</f>
        <v>0</v>
      </c>
      <c r="M148" s="1078">
        <f>IF(obp!M116="","",obp!M116)</f>
        <v>0</v>
      </c>
      <c r="N148" s="1077" t="str">
        <f t="shared" si="62"/>
        <v/>
      </c>
      <c r="O148" s="1077"/>
      <c r="P148" s="1172" t="str">
        <f t="shared" si="63"/>
        <v/>
      </c>
      <c r="Q148" s="91"/>
      <c r="R148" s="936" t="str">
        <f t="shared" si="73"/>
        <v/>
      </c>
      <c r="S148" s="936" t="str">
        <f t="shared" si="64"/>
        <v/>
      </c>
      <c r="T148" s="937" t="str">
        <f t="shared" si="65"/>
        <v/>
      </c>
      <c r="U148" s="361"/>
      <c r="V148" s="375"/>
      <c r="W148" s="375"/>
      <c r="X148" s="375"/>
      <c r="Y148" s="1120" t="e">
        <f>VLOOKUP(H148,tab!$A$73:$V$114,I148+2,FALSE)</f>
        <v>#VALUE!</v>
      </c>
      <c r="Z148" s="1211">
        <f>tab!$E$64</f>
        <v>0.62</v>
      </c>
      <c r="AA148" s="1163" t="e">
        <f t="shared" si="66"/>
        <v>#VALUE!</v>
      </c>
      <c r="AB148" s="1163" t="e">
        <f t="shared" si="67"/>
        <v>#VALUE!</v>
      </c>
      <c r="AC148" s="1163" t="e">
        <f t="shared" si="68"/>
        <v>#VALUE!</v>
      </c>
      <c r="AD148" s="1162" t="e">
        <f t="shared" si="69"/>
        <v>#VALUE!</v>
      </c>
      <c r="AE148" s="1162">
        <f t="shared" si="70"/>
        <v>0</v>
      </c>
      <c r="AF148" s="1129">
        <f>IF(H148&gt;8,tab!$D$65,tab!$D$67)</f>
        <v>0.5</v>
      </c>
      <c r="AG148" s="1143">
        <f t="shared" si="71"/>
        <v>0</v>
      </c>
      <c r="AH148" s="1159">
        <f t="shared" si="72"/>
        <v>0</v>
      </c>
      <c r="AM148" s="403"/>
    </row>
    <row r="149" spans="3:39" ht="12.75" customHeight="1" x14ac:dyDescent="0.2">
      <c r="C149" s="90"/>
      <c r="D149" s="97" t="str">
        <f>IF(obp!D117=0,"",obp!D117)</f>
        <v/>
      </c>
      <c r="E149" s="97" t="str">
        <f>IF(obp!E117=0,"-",obp!E117)</f>
        <v/>
      </c>
      <c r="F149" s="114" t="str">
        <f>IF(obp!F117="","",obp!F117+1)</f>
        <v/>
      </c>
      <c r="G149" s="377" t="str">
        <f>IF(obp!G117="","",obp!G117)</f>
        <v/>
      </c>
      <c r="H149" s="114" t="str">
        <f>IF(obp!H117=0,"",obp!H117)</f>
        <v/>
      </c>
      <c r="I149" s="129" t="str">
        <f>IF(J149="","",(IF(obp!I117+1&gt;LOOKUP(H149,schaal2011,regels2011),obp!I117,obp!I117+1)))</f>
        <v/>
      </c>
      <c r="J149" s="378" t="str">
        <f>IF(obp!J117="","",obp!J117)</f>
        <v/>
      </c>
      <c r="K149" s="392"/>
      <c r="L149" s="1078">
        <f>IF(obp!L117="","",obp!L117)</f>
        <v>0</v>
      </c>
      <c r="M149" s="1078">
        <f>IF(obp!M117="","",obp!M117)</f>
        <v>0</v>
      </c>
      <c r="N149" s="1077" t="str">
        <f t="shared" si="62"/>
        <v/>
      </c>
      <c r="O149" s="1077"/>
      <c r="P149" s="1172" t="str">
        <f t="shared" si="63"/>
        <v/>
      </c>
      <c r="Q149" s="91"/>
      <c r="R149" s="936" t="str">
        <f t="shared" si="73"/>
        <v/>
      </c>
      <c r="S149" s="936" t="str">
        <f t="shared" si="64"/>
        <v/>
      </c>
      <c r="T149" s="937" t="str">
        <f t="shared" si="65"/>
        <v/>
      </c>
      <c r="U149" s="361"/>
      <c r="V149" s="375"/>
      <c r="W149" s="375"/>
      <c r="X149" s="375"/>
      <c r="Y149" s="1120" t="e">
        <f>VLOOKUP(H149,tab!$A$73:$V$114,I149+2,FALSE)</f>
        <v>#VALUE!</v>
      </c>
      <c r="Z149" s="1211">
        <f>tab!$E$64</f>
        <v>0.62</v>
      </c>
      <c r="AA149" s="1163" t="e">
        <f t="shared" si="66"/>
        <v>#VALUE!</v>
      </c>
      <c r="AB149" s="1163" t="e">
        <f t="shared" si="67"/>
        <v>#VALUE!</v>
      </c>
      <c r="AC149" s="1163" t="e">
        <f t="shared" si="68"/>
        <v>#VALUE!</v>
      </c>
      <c r="AD149" s="1162" t="e">
        <f t="shared" si="69"/>
        <v>#VALUE!</v>
      </c>
      <c r="AE149" s="1162">
        <f t="shared" si="70"/>
        <v>0</v>
      </c>
      <c r="AF149" s="1129">
        <f>IF(H149&gt;8,tab!$D$65,tab!$D$67)</f>
        <v>0.5</v>
      </c>
      <c r="AG149" s="1143">
        <f t="shared" si="71"/>
        <v>0</v>
      </c>
      <c r="AH149" s="1159">
        <f t="shared" si="72"/>
        <v>0</v>
      </c>
      <c r="AM149" s="403"/>
    </row>
    <row r="150" spans="3:39" ht="12.75" customHeight="1" x14ac:dyDescent="0.2">
      <c r="C150" s="90"/>
      <c r="D150" s="97" t="str">
        <f>IF(obp!D118=0,"",obp!D118)</f>
        <v/>
      </c>
      <c r="E150" s="97" t="str">
        <f>IF(obp!E118=0,"-",obp!E118)</f>
        <v/>
      </c>
      <c r="F150" s="114" t="str">
        <f>IF(obp!F118="","",obp!F118+1)</f>
        <v/>
      </c>
      <c r="G150" s="377" t="str">
        <f>IF(obp!G118="","",obp!G118)</f>
        <v/>
      </c>
      <c r="H150" s="114" t="str">
        <f>IF(obp!H118=0,"",obp!H118)</f>
        <v/>
      </c>
      <c r="I150" s="129" t="str">
        <f>IF(J150="","",(IF(obp!I118+1&gt;LOOKUP(H150,schaal2011,regels2011),obp!I118,obp!I118+1)))</f>
        <v/>
      </c>
      <c r="J150" s="378" t="str">
        <f>IF(obp!J118="","",obp!J118)</f>
        <v/>
      </c>
      <c r="K150" s="392"/>
      <c r="L150" s="1078">
        <f>IF(obp!L118="","",obp!L118)</f>
        <v>0</v>
      </c>
      <c r="M150" s="1078">
        <f>IF(obp!M118="","",obp!M118)</f>
        <v>0</v>
      </c>
      <c r="N150" s="1077" t="str">
        <f t="shared" si="62"/>
        <v/>
      </c>
      <c r="O150" s="1077"/>
      <c r="P150" s="1172" t="str">
        <f t="shared" si="63"/>
        <v/>
      </c>
      <c r="Q150" s="91"/>
      <c r="R150" s="936" t="str">
        <f t="shared" si="73"/>
        <v/>
      </c>
      <c r="S150" s="936" t="str">
        <f t="shared" si="64"/>
        <v/>
      </c>
      <c r="T150" s="937" t="str">
        <f t="shared" si="65"/>
        <v/>
      </c>
      <c r="U150" s="361"/>
      <c r="V150" s="375"/>
      <c r="W150" s="375"/>
      <c r="X150" s="375"/>
      <c r="Y150" s="1120" t="e">
        <f>VLOOKUP(H150,tab!$A$73:$V$114,I150+2,FALSE)</f>
        <v>#VALUE!</v>
      </c>
      <c r="Z150" s="1211">
        <f>tab!$E$64</f>
        <v>0.62</v>
      </c>
      <c r="AA150" s="1163" t="e">
        <f t="shared" si="66"/>
        <v>#VALUE!</v>
      </c>
      <c r="AB150" s="1163" t="e">
        <f t="shared" si="67"/>
        <v>#VALUE!</v>
      </c>
      <c r="AC150" s="1163" t="e">
        <f t="shared" si="68"/>
        <v>#VALUE!</v>
      </c>
      <c r="AD150" s="1162" t="e">
        <f t="shared" si="69"/>
        <v>#VALUE!</v>
      </c>
      <c r="AE150" s="1162">
        <f t="shared" si="70"/>
        <v>0</v>
      </c>
      <c r="AF150" s="1129">
        <f>IF(H150&gt;8,tab!$D$65,tab!$D$67)</f>
        <v>0.5</v>
      </c>
      <c r="AG150" s="1143">
        <f t="shared" si="71"/>
        <v>0</v>
      </c>
      <c r="AH150" s="1159">
        <f t="shared" si="72"/>
        <v>0</v>
      </c>
      <c r="AM150" s="403"/>
    </row>
    <row r="151" spans="3:39" ht="12.75" customHeight="1" x14ac:dyDescent="0.2">
      <c r="C151" s="90"/>
      <c r="D151" s="97" t="str">
        <f>IF(obp!D119=0,"",obp!D119)</f>
        <v/>
      </c>
      <c r="E151" s="97" t="str">
        <f>IF(obp!E119=0,"-",obp!E119)</f>
        <v/>
      </c>
      <c r="F151" s="114" t="str">
        <f>IF(obp!F119="","",obp!F119+1)</f>
        <v/>
      </c>
      <c r="G151" s="377" t="str">
        <f>IF(obp!G119="","",obp!G119)</f>
        <v/>
      </c>
      <c r="H151" s="114" t="str">
        <f>IF(obp!H119=0,"",obp!H119)</f>
        <v/>
      </c>
      <c r="I151" s="129" t="str">
        <f>IF(J151="","",(IF(obp!I119+1&gt;LOOKUP(H151,schaal2011,regels2011),obp!I119,obp!I119+1)))</f>
        <v/>
      </c>
      <c r="J151" s="378" t="str">
        <f>IF(obp!J119="","",obp!J119)</f>
        <v/>
      </c>
      <c r="K151" s="392"/>
      <c r="L151" s="1078">
        <f>IF(obp!L119="","",obp!L119)</f>
        <v>0</v>
      </c>
      <c r="M151" s="1078">
        <f>IF(obp!M119="","",obp!M119)</f>
        <v>0</v>
      </c>
      <c r="N151" s="1077" t="str">
        <f t="shared" si="62"/>
        <v/>
      </c>
      <c r="O151" s="1077"/>
      <c r="P151" s="1172" t="str">
        <f t="shared" si="63"/>
        <v/>
      </c>
      <c r="Q151" s="91"/>
      <c r="R151" s="936" t="str">
        <f t="shared" si="73"/>
        <v/>
      </c>
      <c r="S151" s="936" t="str">
        <f t="shared" si="64"/>
        <v/>
      </c>
      <c r="T151" s="937" t="str">
        <f t="shared" si="65"/>
        <v/>
      </c>
      <c r="U151" s="361"/>
      <c r="V151" s="375"/>
      <c r="W151" s="375"/>
      <c r="X151" s="375"/>
      <c r="Y151" s="1120" t="e">
        <f>VLOOKUP(H151,tab!$A$73:$V$114,I151+2,FALSE)</f>
        <v>#VALUE!</v>
      </c>
      <c r="Z151" s="1211">
        <f>tab!$E$64</f>
        <v>0.62</v>
      </c>
      <c r="AA151" s="1163" t="e">
        <f t="shared" si="66"/>
        <v>#VALUE!</v>
      </c>
      <c r="AB151" s="1163" t="e">
        <f t="shared" si="67"/>
        <v>#VALUE!</v>
      </c>
      <c r="AC151" s="1163" t="e">
        <f t="shared" si="68"/>
        <v>#VALUE!</v>
      </c>
      <c r="AD151" s="1162" t="e">
        <f t="shared" si="69"/>
        <v>#VALUE!</v>
      </c>
      <c r="AE151" s="1162">
        <f t="shared" si="70"/>
        <v>0</v>
      </c>
      <c r="AF151" s="1129">
        <f>IF(H151&gt;8,tab!$D$65,tab!$D$67)</f>
        <v>0.5</v>
      </c>
      <c r="AG151" s="1143">
        <f t="shared" si="71"/>
        <v>0</v>
      </c>
      <c r="AH151" s="1159">
        <f t="shared" si="72"/>
        <v>0</v>
      </c>
      <c r="AM151" s="403"/>
    </row>
    <row r="152" spans="3:39" ht="12.75" customHeight="1" x14ac:dyDescent="0.2">
      <c r="C152" s="90"/>
      <c r="D152" s="97" t="str">
        <f>IF(obp!D120=0,"",obp!D120)</f>
        <v/>
      </c>
      <c r="E152" s="97" t="str">
        <f>IF(obp!E120=0,"-",obp!E120)</f>
        <v/>
      </c>
      <c r="F152" s="114" t="str">
        <f>IF(obp!F120="","",obp!F120+1)</f>
        <v/>
      </c>
      <c r="G152" s="377" t="str">
        <f>IF(obp!G120="","",obp!G120)</f>
        <v/>
      </c>
      <c r="H152" s="114" t="str">
        <f>IF(obp!H120=0,"",obp!H120)</f>
        <v/>
      </c>
      <c r="I152" s="129" t="str">
        <f>IF(J152="","",(IF(obp!I120+1&gt;LOOKUP(H152,schaal2011,regels2011),obp!I120,obp!I120+1)))</f>
        <v/>
      </c>
      <c r="J152" s="378" t="str">
        <f>IF(obp!J120="","",obp!J120)</f>
        <v/>
      </c>
      <c r="K152" s="392"/>
      <c r="L152" s="1078">
        <f>IF(obp!L120="","",obp!L120)</f>
        <v>0</v>
      </c>
      <c r="M152" s="1078">
        <f>IF(obp!M120="","",obp!M120)</f>
        <v>0</v>
      </c>
      <c r="N152" s="1077" t="str">
        <f t="shared" si="62"/>
        <v/>
      </c>
      <c r="O152" s="1077"/>
      <c r="P152" s="1172" t="str">
        <f t="shared" si="63"/>
        <v/>
      </c>
      <c r="Q152" s="91"/>
      <c r="R152" s="936" t="str">
        <f t="shared" si="73"/>
        <v/>
      </c>
      <c r="S152" s="936" t="str">
        <f t="shared" si="64"/>
        <v/>
      </c>
      <c r="T152" s="937" t="str">
        <f t="shared" si="65"/>
        <v/>
      </c>
      <c r="U152" s="361"/>
      <c r="V152" s="375"/>
      <c r="W152" s="375"/>
      <c r="X152" s="375"/>
      <c r="Y152" s="1120" t="e">
        <f>VLOOKUP(H152,tab!$A$73:$V$114,I152+2,FALSE)</f>
        <v>#VALUE!</v>
      </c>
      <c r="Z152" s="1211">
        <f>tab!$E$64</f>
        <v>0.62</v>
      </c>
      <c r="AA152" s="1163" t="e">
        <f t="shared" si="66"/>
        <v>#VALUE!</v>
      </c>
      <c r="AB152" s="1163" t="e">
        <f t="shared" si="67"/>
        <v>#VALUE!</v>
      </c>
      <c r="AC152" s="1163" t="e">
        <f t="shared" si="68"/>
        <v>#VALUE!</v>
      </c>
      <c r="AD152" s="1162" t="e">
        <f t="shared" si="69"/>
        <v>#VALUE!</v>
      </c>
      <c r="AE152" s="1162">
        <f t="shared" si="70"/>
        <v>0</v>
      </c>
      <c r="AF152" s="1129">
        <f>IF(H152&gt;8,tab!$D$65,tab!$D$67)</f>
        <v>0.5</v>
      </c>
      <c r="AG152" s="1143">
        <f t="shared" si="71"/>
        <v>0</v>
      </c>
      <c r="AH152" s="1159">
        <f t="shared" si="72"/>
        <v>0</v>
      </c>
      <c r="AM152" s="403"/>
    </row>
    <row r="153" spans="3:39" ht="12.75" customHeight="1" x14ac:dyDescent="0.2">
      <c r="C153" s="90"/>
      <c r="D153" s="97" t="str">
        <f>IF(obp!D121=0,"",obp!D121)</f>
        <v/>
      </c>
      <c r="E153" s="97" t="str">
        <f>IF(obp!E121=0,"-",obp!E121)</f>
        <v/>
      </c>
      <c r="F153" s="114" t="str">
        <f>IF(obp!F121="","",obp!F121+1)</f>
        <v/>
      </c>
      <c r="G153" s="377" t="str">
        <f>IF(obp!G121="","",obp!G121)</f>
        <v/>
      </c>
      <c r="H153" s="114" t="str">
        <f>IF(obp!H121=0,"",obp!H121)</f>
        <v/>
      </c>
      <c r="I153" s="129" t="str">
        <f>IF(J153="","",(IF(obp!I121+1&gt;LOOKUP(H153,schaal2011,regels2011),obp!I121,obp!I121+1)))</f>
        <v/>
      </c>
      <c r="J153" s="378" t="str">
        <f>IF(obp!J121="","",obp!J121)</f>
        <v/>
      </c>
      <c r="K153" s="392"/>
      <c r="L153" s="1078">
        <f>IF(obp!L121="","",obp!L121)</f>
        <v>0</v>
      </c>
      <c r="M153" s="1078">
        <f>IF(obp!M121="","",obp!M121)</f>
        <v>0</v>
      </c>
      <c r="N153" s="1077" t="str">
        <f t="shared" si="62"/>
        <v/>
      </c>
      <c r="O153" s="1077"/>
      <c r="P153" s="1172" t="str">
        <f t="shared" si="63"/>
        <v/>
      </c>
      <c r="Q153" s="91"/>
      <c r="R153" s="936" t="str">
        <f t="shared" si="73"/>
        <v/>
      </c>
      <c r="S153" s="936" t="str">
        <f t="shared" si="64"/>
        <v/>
      </c>
      <c r="T153" s="937" t="str">
        <f t="shared" si="65"/>
        <v/>
      </c>
      <c r="U153" s="361"/>
      <c r="V153" s="375"/>
      <c r="W153" s="375"/>
      <c r="X153" s="375"/>
      <c r="Y153" s="1120" t="e">
        <f>VLOOKUP(H153,tab!$A$73:$V$114,I153+2,FALSE)</f>
        <v>#VALUE!</v>
      </c>
      <c r="Z153" s="1211">
        <f>tab!$E$64</f>
        <v>0.62</v>
      </c>
      <c r="AA153" s="1163" t="e">
        <f t="shared" si="66"/>
        <v>#VALUE!</v>
      </c>
      <c r="AB153" s="1163" t="e">
        <f t="shared" si="67"/>
        <v>#VALUE!</v>
      </c>
      <c r="AC153" s="1163" t="e">
        <f t="shared" si="68"/>
        <v>#VALUE!</v>
      </c>
      <c r="AD153" s="1162" t="e">
        <f t="shared" si="69"/>
        <v>#VALUE!</v>
      </c>
      <c r="AE153" s="1162">
        <f t="shared" si="70"/>
        <v>0</v>
      </c>
      <c r="AF153" s="1129">
        <f>IF(H153&gt;8,tab!$D$65,tab!$D$67)</f>
        <v>0.5</v>
      </c>
      <c r="AG153" s="1143">
        <f t="shared" si="71"/>
        <v>0</v>
      </c>
      <c r="AH153" s="1159">
        <f t="shared" si="72"/>
        <v>0</v>
      </c>
      <c r="AM153" s="403"/>
    </row>
    <row r="154" spans="3:39" ht="12.75" customHeight="1" x14ac:dyDescent="0.2">
      <c r="C154" s="90"/>
      <c r="D154" s="97" t="str">
        <f>IF(obp!D122=0,"",obp!D122)</f>
        <v/>
      </c>
      <c r="E154" s="97" t="str">
        <f>IF(obp!E122=0,"-",obp!E122)</f>
        <v/>
      </c>
      <c r="F154" s="114" t="str">
        <f>IF(obp!F122="","",obp!F122+1)</f>
        <v/>
      </c>
      <c r="G154" s="377" t="str">
        <f>IF(obp!G122="","",obp!G122)</f>
        <v/>
      </c>
      <c r="H154" s="114" t="str">
        <f>IF(obp!H122=0,"",obp!H122)</f>
        <v/>
      </c>
      <c r="I154" s="129" t="str">
        <f>IF(J154="","",(IF(obp!I122+1&gt;LOOKUP(H154,schaal2011,regels2011),obp!I122,obp!I122+1)))</f>
        <v/>
      </c>
      <c r="J154" s="378" t="str">
        <f>IF(obp!J122="","",obp!J122)</f>
        <v/>
      </c>
      <c r="K154" s="392"/>
      <c r="L154" s="1078">
        <f>IF(obp!L122="","",obp!L122)</f>
        <v>0</v>
      </c>
      <c r="M154" s="1078">
        <f>IF(obp!M122="","",obp!M122)</f>
        <v>0</v>
      </c>
      <c r="N154" s="1077" t="str">
        <f t="shared" si="62"/>
        <v/>
      </c>
      <c r="O154" s="1077"/>
      <c r="P154" s="1172" t="str">
        <f t="shared" si="63"/>
        <v/>
      </c>
      <c r="Q154" s="91"/>
      <c r="R154" s="936" t="str">
        <f t="shared" si="73"/>
        <v/>
      </c>
      <c r="S154" s="936" t="str">
        <f t="shared" si="64"/>
        <v/>
      </c>
      <c r="T154" s="937" t="str">
        <f t="shared" si="65"/>
        <v/>
      </c>
      <c r="U154" s="361"/>
      <c r="V154" s="375"/>
      <c r="W154" s="375"/>
      <c r="X154" s="375"/>
      <c r="Y154" s="1120" t="e">
        <f>VLOOKUP(H154,tab!$A$73:$V$114,I154+2,FALSE)</f>
        <v>#VALUE!</v>
      </c>
      <c r="Z154" s="1211">
        <f>tab!$E$64</f>
        <v>0.62</v>
      </c>
      <c r="AA154" s="1163" t="e">
        <f t="shared" si="66"/>
        <v>#VALUE!</v>
      </c>
      <c r="AB154" s="1163" t="e">
        <f t="shared" si="67"/>
        <v>#VALUE!</v>
      </c>
      <c r="AC154" s="1163" t="e">
        <f t="shared" si="68"/>
        <v>#VALUE!</v>
      </c>
      <c r="AD154" s="1162" t="e">
        <f t="shared" si="69"/>
        <v>#VALUE!</v>
      </c>
      <c r="AE154" s="1162">
        <f t="shared" si="70"/>
        <v>0</v>
      </c>
      <c r="AF154" s="1129">
        <f>IF(H154&gt;8,tab!$D$65,tab!$D$67)</f>
        <v>0.5</v>
      </c>
      <c r="AG154" s="1143">
        <f t="shared" si="71"/>
        <v>0</v>
      </c>
      <c r="AH154" s="1159">
        <f t="shared" si="72"/>
        <v>0</v>
      </c>
      <c r="AM154" s="403"/>
    </row>
    <row r="155" spans="3:39" ht="12.75" customHeight="1" x14ac:dyDescent="0.2">
      <c r="C155" s="90"/>
      <c r="D155" s="97" t="str">
        <f>IF(obp!D123=0,"",obp!D123)</f>
        <v/>
      </c>
      <c r="E155" s="97" t="str">
        <f>IF(obp!E123=0,"-",obp!E123)</f>
        <v/>
      </c>
      <c r="F155" s="114" t="str">
        <f>IF(obp!F123="","",obp!F123+1)</f>
        <v/>
      </c>
      <c r="G155" s="377" t="str">
        <f>IF(obp!G123="","",obp!G123)</f>
        <v/>
      </c>
      <c r="H155" s="114" t="str">
        <f>IF(obp!H123=0,"",obp!H123)</f>
        <v/>
      </c>
      <c r="I155" s="129" t="str">
        <f>IF(J155="","",(IF(obp!I123+1&gt;LOOKUP(H155,schaal2011,regels2011),obp!I123,obp!I123+1)))</f>
        <v/>
      </c>
      <c r="J155" s="378" t="str">
        <f>IF(obp!J123="","",obp!J123)</f>
        <v/>
      </c>
      <c r="K155" s="392"/>
      <c r="L155" s="1078">
        <f>IF(obp!L123="","",obp!L123)</f>
        <v>0</v>
      </c>
      <c r="M155" s="1078">
        <f>IF(obp!M123="","",obp!M123)</f>
        <v>0</v>
      </c>
      <c r="N155" s="1077" t="str">
        <f t="shared" si="62"/>
        <v/>
      </c>
      <c r="O155" s="1077"/>
      <c r="P155" s="1172" t="str">
        <f t="shared" si="63"/>
        <v/>
      </c>
      <c r="Q155" s="91"/>
      <c r="R155" s="936" t="str">
        <f t="shared" si="73"/>
        <v/>
      </c>
      <c r="S155" s="936" t="str">
        <f t="shared" si="64"/>
        <v/>
      </c>
      <c r="T155" s="937" t="str">
        <f t="shared" si="65"/>
        <v/>
      </c>
      <c r="U155" s="361"/>
      <c r="V155" s="375"/>
      <c r="W155" s="375"/>
      <c r="X155" s="375"/>
      <c r="Y155" s="1120" t="e">
        <f>VLOOKUP(H155,tab!$A$73:$V$114,I155+2,FALSE)</f>
        <v>#VALUE!</v>
      </c>
      <c r="Z155" s="1211">
        <f>tab!$E$64</f>
        <v>0.62</v>
      </c>
      <c r="AA155" s="1163" t="e">
        <f t="shared" si="66"/>
        <v>#VALUE!</v>
      </c>
      <c r="AB155" s="1163" t="e">
        <f t="shared" si="67"/>
        <v>#VALUE!</v>
      </c>
      <c r="AC155" s="1163" t="e">
        <f t="shared" si="68"/>
        <v>#VALUE!</v>
      </c>
      <c r="AD155" s="1162" t="e">
        <f t="shared" si="69"/>
        <v>#VALUE!</v>
      </c>
      <c r="AE155" s="1162">
        <f t="shared" si="70"/>
        <v>0</v>
      </c>
      <c r="AF155" s="1129">
        <f>IF(H155&gt;8,tab!$D$65,tab!$D$67)</f>
        <v>0.5</v>
      </c>
      <c r="AG155" s="1143">
        <f t="shared" si="71"/>
        <v>0</v>
      </c>
      <c r="AH155" s="1159">
        <f t="shared" si="72"/>
        <v>0</v>
      </c>
      <c r="AM155" s="403"/>
    </row>
    <row r="156" spans="3:39" ht="12.75" customHeight="1" x14ac:dyDescent="0.2">
      <c r="C156" s="90"/>
      <c r="D156" s="97" t="str">
        <f>IF(obp!D124=0,"",obp!D124)</f>
        <v/>
      </c>
      <c r="E156" s="97" t="str">
        <f>IF(obp!E124=0,"-",obp!E124)</f>
        <v/>
      </c>
      <c r="F156" s="114" t="str">
        <f>IF(obp!F124="","",obp!F124+1)</f>
        <v/>
      </c>
      <c r="G156" s="377" t="str">
        <f>IF(obp!G124="","",obp!G124)</f>
        <v/>
      </c>
      <c r="H156" s="114" t="str">
        <f>IF(obp!H124=0,"",obp!H124)</f>
        <v/>
      </c>
      <c r="I156" s="129" t="str">
        <f>IF(J156="","",(IF(obp!I124+1&gt;LOOKUP(H156,schaal2011,regels2011),obp!I124,obp!I124+1)))</f>
        <v/>
      </c>
      <c r="J156" s="378" t="str">
        <f>IF(obp!J124="","",obp!J124)</f>
        <v/>
      </c>
      <c r="K156" s="392"/>
      <c r="L156" s="1078">
        <f>IF(obp!L124="","",obp!L124)</f>
        <v>0</v>
      </c>
      <c r="M156" s="1078">
        <f>IF(obp!M124="","",obp!M124)</f>
        <v>0</v>
      </c>
      <c r="N156" s="1077" t="str">
        <f t="shared" si="62"/>
        <v/>
      </c>
      <c r="O156" s="1077"/>
      <c r="P156" s="1172" t="str">
        <f t="shared" si="63"/>
        <v/>
      </c>
      <c r="Q156" s="91"/>
      <c r="R156" s="936" t="str">
        <f t="shared" si="73"/>
        <v/>
      </c>
      <c r="S156" s="936" t="str">
        <f t="shared" si="64"/>
        <v/>
      </c>
      <c r="T156" s="937" t="str">
        <f t="shared" si="65"/>
        <v/>
      </c>
      <c r="U156" s="361"/>
      <c r="V156" s="375"/>
      <c r="W156" s="375"/>
      <c r="X156" s="375"/>
      <c r="Y156" s="1120" t="e">
        <f>VLOOKUP(H156,tab!$A$73:$V$114,I156+2,FALSE)</f>
        <v>#VALUE!</v>
      </c>
      <c r="Z156" s="1211">
        <f>tab!$E$64</f>
        <v>0.62</v>
      </c>
      <c r="AA156" s="1163" t="e">
        <f t="shared" si="66"/>
        <v>#VALUE!</v>
      </c>
      <c r="AB156" s="1163" t="e">
        <f t="shared" si="67"/>
        <v>#VALUE!</v>
      </c>
      <c r="AC156" s="1163" t="e">
        <f t="shared" si="68"/>
        <v>#VALUE!</v>
      </c>
      <c r="AD156" s="1162" t="e">
        <f t="shared" si="69"/>
        <v>#VALUE!</v>
      </c>
      <c r="AE156" s="1162">
        <f t="shared" si="70"/>
        <v>0</v>
      </c>
      <c r="AF156" s="1129">
        <f>IF(H156&gt;8,tab!$D$65,tab!$D$67)</f>
        <v>0.5</v>
      </c>
      <c r="AG156" s="1143">
        <f t="shared" si="71"/>
        <v>0</v>
      </c>
      <c r="AH156" s="1159">
        <f t="shared" si="72"/>
        <v>0</v>
      </c>
      <c r="AM156" s="403"/>
    </row>
    <row r="157" spans="3:39" ht="12.75" customHeight="1" x14ac:dyDescent="0.2">
      <c r="C157" s="90"/>
      <c r="D157" s="97" t="str">
        <f>IF(obp!D125=0,"",obp!D125)</f>
        <v/>
      </c>
      <c r="E157" s="97" t="str">
        <f>IF(obp!E125=0,"-",obp!E125)</f>
        <v/>
      </c>
      <c r="F157" s="114" t="str">
        <f>IF(obp!F125="","",obp!F125+1)</f>
        <v/>
      </c>
      <c r="G157" s="377" t="str">
        <f>IF(obp!G125="","",obp!G125)</f>
        <v/>
      </c>
      <c r="H157" s="114" t="str">
        <f>IF(obp!H125=0,"",obp!H125)</f>
        <v/>
      </c>
      <c r="I157" s="129" t="str">
        <f>IF(J157="","",(IF(obp!I125+1&gt;LOOKUP(H157,schaal2011,regels2011),obp!I125,obp!I125+1)))</f>
        <v/>
      </c>
      <c r="J157" s="378" t="str">
        <f>IF(obp!J125="","",obp!J125)</f>
        <v/>
      </c>
      <c r="K157" s="392"/>
      <c r="L157" s="1078">
        <f>IF(obp!L125="","",obp!L125)</f>
        <v>0</v>
      </c>
      <c r="M157" s="1078">
        <f>IF(obp!M125="","",obp!M125)</f>
        <v>0</v>
      </c>
      <c r="N157" s="1077" t="str">
        <f t="shared" si="62"/>
        <v/>
      </c>
      <c r="O157" s="1077"/>
      <c r="P157" s="1172" t="str">
        <f t="shared" si="63"/>
        <v/>
      </c>
      <c r="Q157" s="91"/>
      <c r="R157" s="936" t="str">
        <f t="shared" si="73"/>
        <v/>
      </c>
      <c r="S157" s="936" t="str">
        <f t="shared" si="64"/>
        <v/>
      </c>
      <c r="T157" s="937" t="str">
        <f t="shared" si="65"/>
        <v/>
      </c>
      <c r="U157" s="361"/>
      <c r="V157" s="375"/>
      <c r="W157" s="375"/>
      <c r="X157" s="375"/>
      <c r="Y157" s="1120" t="e">
        <f>VLOOKUP(H157,tab!$A$73:$V$114,I157+2,FALSE)</f>
        <v>#VALUE!</v>
      </c>
      <c r="Z157" s="1211">
        <f>tab!$E$64</f>
        <v>0.62</v>
      </c>
      <c r="AA157" s="1163" t="e">
        <f t="shared" si="66"/>
        <v>#VALUE!</v>
      </c>
      <c r="AB157" s="1163" t="e">
        <f t="shared" si="67"/>
        <v>#VALUE!</v>
      </c>
      <c r="AC157" s="1163" t="e">
        <f t="shared" si="68"/>
        <v>#VALUE!</v>
      </c>
      <c r="AD157" s="1162" t="e">
        <f t="shared" si="69"/>
        <v>#VALUE!</v>
      </c>
      <c r="AE157" s="1162">
        <f t="shared" si="70"/>
        <v>0</v>
      </c>
      <c r="AF157" s="1129">
        <f>IF(H157&gt;8,tab!$D$65,tab!$D$67)</f>
        <v>0.5</v>
      </c>
      <c r="AG157" s="1143">
        <f t="shared" si="71"/>
        <v>0</v>
      </c>
      <c r="AH157" s="1159">
        <f t="shared" si="72"/>
        <v>0</v>
      </c>
      <c r="AM157" s="403"/>
    </row>
    <row r="158" spans="3:39" ht="12.75" customHeight="1" x14ac:dyDescent="0.2">
      <c r="C158" s="90"/>
      <c r="D158" s="97" t="str">
        <f>IF(obp!D126=0,"",obp!D126)</f>
        <v/>
      </c>
      <c r="E158" s="97" t="str">
        <f>IF(obp!E126=0,"-",obp!E126)</f>
        <v/>
      </c>
      <c r="F158" s="114" t="str">
        <f>IF(obp!F126="","",obp!F126+1)</f>
        <v/>
      </c>
      <c r="G158" s="377" t="str">
        <f>IF(obp!G126="","",obp!G126)</f>
        <v/>
      </c>
      <c r="H158" s="114" t="str">
        <f>IF(obp!H126=0,"",obp!H126)</f>
        <v/>
      </c>
      <c r="I158" s="129" t="str">
        <f>IF(J158="","",(IF(obp!I126+1&gt;LOOKUP(H158,schaal2011,regels2011),obp!I126,obp!I126+1)))</f>
        <v/>
      </c>
      <c r="J158" s="378" t="str">
        <f>IF(obp!J126="","",obp!J126)</f>
        <v/>
      </c>
      <c r="K158" s="392"/>
      <c r="L158" s="1078">
        <f>IF(obp!L126="","",obp!L126)</f>
        <v>0</v>
      </c>
      <c r="M158" s="1078">
        <f>IF(obp!M126="","",obp!M126)</f>
        <v>0</v>
      </c>
      <c r="N158" s="1077" t="str">
        <f t="shared" si="62"/>
        <v/>
      </c>
      <c r="O158" s="1077"/>
      <c r="P158" s="1172" t="str">
        <f t="shared" si="63"/>
        <v/>
      </c>
      <c r="Q158" s="91"/>
      <c r="R158" s="936" t="str">
        <f t="shared" si="73"/>
        <v/>
      </c>
      <c r="S158" s="936" t="str">
        <f t="shared" si="64"/>
        <v/>
      </c>
      <c r="T158" s="937" t="str">
        <f t="shared" si="65"/>
        <v/>
      </c>
      <c r="U158" s="361"/>
      <c r="V158" s="375"/>
      <c r="W158" s="375"/>
      <c r="X158" s="375"/>
      <c r="Y158" s="1120" t="e">
        <f>VLOOKUP(H158,tab!$A$73:$V$114,I158+2,FALSE)</f>
        <v>#VALUE!</v>
      </c>
      <c r="Z158" s="1211">
        <f>tab!$E$64</f>
        <v>0.62</v>
      </c>
      <c r="AA158" s="1163" t="e">
        <f t="shared" si="66"/>
        <v>#VALUE!</v>
      </c>
      <c r="AB158" s="1163" t="e">
        <f t="shared" si="67"/>
        <v>#VALUE!</v>
      </c>
      <c r="AC158" s="1163" t="e">
        <f t="shared" si="68"/>
        <v>#VALUE!</v>
      </c>
      <c r="AD158" s="1162" t="e">
        <f t="shared" si="69"/>
        <v>#VALUE!</v>
      </c>
      <c r="AE158" s="1162">
        <f t="shared" si="70"/>
        <v>0</v>
      </c>
      <c r="AF158" s="1129">
        <f>IF(H158&gt;8,tab!$D$65,tab!$D$67)</f>
        <v>0.5</v>
      </c>
      <c r="AG158" s="1143">
        <f t="shared" si="71"/>
        <v>0</v>
      </c>
      <c r="AH158" s="1159">
        <f t="shared" si="72"/>
        <v>0</v>
      </c>
      <c r="AM158" s="403"/>
    </row>
    <row r="159" spans="3:39" ht="12.75" customHeight="1" x14ac:dyDescent="0.2">
      <c r="C159" s="90"/>
      <c r="D159" s="97" t="str">
        <f>IF(obp!D127=0,"",obp!D127)</f>
        <v/>
      </c>
      <c r="E159" s="97" t="str">
        <f>IF(obp!E127=0,"-",obp!E127)</f>
        <v/>
      </c>
      <c r="F159" s="114" t="str">
        <f>IF(obp!F127="","",obp!F127+1)</f>
        <v/>
      </c>
      <c r="G159" s="377" t="str">
        <f>IF(obp!G127="","",obp!G127)</f>
        <v/>
      </c>
      <c r="H159" s="114" t="str">
        <f>IF(obp!H127=0,"",obp!H127)</f>
        <v/>
      </c>
      <c r="I159" s="129" t="str">
        <f>IF(J159="","",(IF(obp!I127+1&gt;LOOKUP(H159,schaal2011,regels2011),obp!I127,obp!I127+1)))</f>
        <v/>
      </c>
      <c r="J159" s="378" t="str">
        <f>IF(obp!J127="","",obp!J127)</f>
        <v/>
      </c>
      <c r="K159" s="392"/>
      <c r="L159" s="1078">
        <f>IF(obp!L127="","",obp!L127)</f>
        <v>0</v>
      </c>
      <c r="M159" s="1078">
        <f>IF(obp!M127="","",obp!M127)</f>
        <v>0</v>
      </c>
      <c r="N159" s="1077" t="str">
        <f t="shared" si="62"/>
        <v/>
      </c>
      <c r="O159" s="1077"/>
      <c r="P159" s="1172" t="str">
        <f t="shared" si="63"/>
        <v/>
      </c>
      <c r="Q159" s="91"/>
      <c r="R159" s="936" t="str">
        <f t="shared" si="73"/>
        <v/>
      </c>
      <c r="S159" s="936" t="str">
        <f t="shared" si="64"/>
        <v/>
      </c>
      <c r="T159" s="937" t="str">
        <f t="shared" si="65"/>
        <v/>
      </c>
      <c r="U159" s="361"/>
      <c r="V159" s="375"/>
      <c r="W159" s="375"/>
      <c r="X159" s="375"/>
      <c r="Y159" s="1120" t="e">
        <f>VLOOKUP(H159,tab!$A$73:$V$114,I159+2,FALSE)</f>
        <v>#VALUE!</v>
      </c>
      <c r="Z159" s="1211">
        <f>tab!$E$64</f>
        <v>0.62</v>
      </c>
      <c r="AA159" s="1163" t="e">
        <f t="shared" si="66"/>
        <v>#VALUE!</v>
      </c>
      <c r="AB159" s="1163" t="e">
        <f t="shared" si="67"/>
        <v>#VALUE!</v>
      </c>
      <c r="AC159" s="1163" t="e">
        <f t="shared" si="68"/>
        <v>#VALUE!</v>
      </c>
      <c r="AD159" s="1162" t="e">
        <f t="shared" si="69"/>
        <v>#VALUE!</v>
      </c>
      <c r="AE159" s="1162">
        <f t="shared" si="70"/>
        <v>0</v>
      </c>
      <c r="AF159" s="1129">
        <f>IF(H159&gt;8,tab!$D$65,tab!$D$67)</f>
        <v>0.5</v>
      </c>
      <c r="AG159" s="1143">
        <f t="shared" si="71"/>
        <v>0</v>
      </c>
      <c r="AH159" s="1159">
        <f t="shared" si="72"/>
        <v>0</v>
      </c>
      <c r="AM159" s="403"/>
    </row>
    <row r="160" spans="3:39" ht="12.75" customHeight="1" x14ac:dyDescent="0.2">
      <c r="C160" s="90"/>
      <c r="D160" s="97" t="str">
        <f>IF(obp!D128=0,"",obp!D128)</f>
        <v/>
      </c>
      <c r="E160" s="97" t="str">
        <f>IF(obp!E128=0,"-",obp!E128)</f>
        <v/>
      </c>
      <c r="F160" s="114" t="str">
        <f>IF(obp!F128="","",obp!F128+1)</f>
        <v/>
      </c>
      <c r="G160" s="377" t="str">
        <f>IF(obp!G128="","",obp!G128)</f>
        <v/>
      </c>
      <c r="H160" s="114" t="str">
        <f>IF(obp!H128=0,"",obp!H128)</f>
        <v/>
      </c>
      <c r="I160" s="129" t="str">
        <f>IF(J160="","",(IF(obp!I128+1&gt;LOOKUP(H160,schaal2011,regels2011),obp!I128,obp!I128+1)))</f>
        <v/>
      </c>
      <c r="J160" s="378" t="str">
        <f>IF(obp!J128="","",obp!J128)</f>
        <v/>
      </c>
      <c r="K160" s="392"/>
      <c r="L160" s="1078">
        <f>IF(obp!L128="","",obp!L128)</f>
        <v>0</v>
      </c>
      <c r="M160" s="1078">
        <f>IF(obp!M128="","",obp!M128)</f>
        <v>0</v>
      </c>
      <c r="N160" s="1077" t="str">
        <f t="shared" si="62"/>
        <v/>
      </c>
      <c r="O160" s="1077"/>
      <c r="P160" s="1172" t="str">
        <f t="shared" si="63"/>
        <v/>
      </c>
      <c r="Q160" s="91"/>
      <c r="R160" s="936" t="str">
        <f t="shared" si="73"/>
        <v/>
      </c>
      <c r="S160" s="936" t="str">
        <f t="shared" si="64"/>
        <v/>
      </c>
      <c r="T160" s="937" t="str">
        <f t="shared" si="65"/>
        <v/>
      </c>
      <c r="U160" s="361"/>
      <c r="V160" s="375"/>
      <c r="W160" s="375"/>
      <c r="X160" s="375"/>
      <c r="Y160" s="1120" t="e">
        <f>VLOOKUP(H160,tab!$A$73:$V$114,I160+2,FALSE)</f>
        <v>#VALUE!</v>
      </c>
      <c r="Z160" s="1211">
        <f>tab!$E$64</f>
        <v>0.62</v>
      </c>
      <c r="AA160" s="1163" t="e">
        <f t="shared" si="66"/>
        <v>#VALUE!</v>
      </c>
      <c r="AB160" s="1163" t="e">
        <f t="shared" si="67"/>
        <v>#VALUE!</v>
      </c>
      <c r="AC160" s="1163" t="e">
        <f t="shared" si="68"/>
        <v>#VALUE!</v>
      </c>
      <c r="AD160" s="1162" t="e">
        <f t="shared" si="69"/>
        <v>#VALUE!</v>
      </c>
      <c r="AE160" s="1162">
        <f t="shared" si="70"/>
        <v>0</v>
      </c>
      <c r="AF160" s="1129">
        <f>IF(H160&gt;8,tab!$D$65,tab!$D$67)</f>
        <v>0.5</v>
      </c>
      <c r="AG160" s="1143">
        <f t="shared" si="71"/>
        <v>0</v>
      </c>
      <c r="AH160" s="1159">
        <f t="shared" si="72"/>
        <v>0</v>
      </c>
      <c r="AM160" s="403"/>
    </row>
    <row r="161" spans="3:39" ht="12.75" customHeight="1" x14ac:dyDescent="0.2">
      <c r="C161" s="90"/>
      <c r="D161" s="97" t="str">
        <f>IF(obp!D129=0,"",obp!D129)</f>
        <v/>
      </c>
      <c r="E161" s="97" t="str">
        <f>IF(obp!E129=0,"-",obp!E129)</f>
        <v/>
      </c>
      <c r="F161" s="114" t="str">
        <f>IF(obp!F129="","",obp!F129+1)</f>
        <v/>
      </c>
      <c r="G161" s="377" t="str">
        <f>IF(obp!G129="","",obp!G129)</f>
        <v/>
      </c>
      <c r="H161" s="114" t="str">
        <f>IF(obp!H129=0,"",obp!H129)</f>
        <v/>
      </c>
      <c r="I161" s="129" t="str">
        <f>IF(J161="","",(IF(obp!I129+1&gt;LOOKUP(H161,schaal2011,regels2011),obp!I129,obp!I129+1)))</f>
        <v/>
      </c>
      <c r="J161" s="378" t="str">
        <f>IF(obp!J129="","",obp!J129)</f>
        <v/>
      </c>
      <c r="K161" s="392"/>
      <c r="L161" s="1078">
        <f>IF(obp!L129="","",obp!L129)</f>
        <v>0</v>
      </c>
      <c r="M161" s="1078">
        <f>IF(obp!M129="","",obp!M129)</f>
        <v>0</v>
      </c>
      <c r="N161" s="1077" t="str">
        <f t="shared" si="62"/>
        <v/>
      </c>
      <c r="O161" s="1077"/>
      <c r="P161" s="1172" t="str">
        <f t="shared" si="63"/>
        <v/>
      </c>
      <c r="Q161" s="91"/>
      <c r="R161" s="936" t="str">
        <f t="shared" si="73"/>
        <v/>
      </c>
      <c r="S161" s="936" t="str">
        <f t="shared" si="64"/>
        <v/>
      </c>
      <c r="T161" s="937" t="str">
        <f t="shared" si="65"/>
        <v/>
      </c>
      <c r="U161" s="361"/>
      <c r="V161" s="375"/>
      <c r="W161" s="375"/>
      <c r="X161" s="375"/>
      <c r="Y161" s="1120" t="e">
        <f>VLOOKUP(H161,tab!$A$73:$V$114,I161+2,FALSE)</f>
        <v>#VALUE!</v>
      </c>
      <c r="Z161" s="1211">
        <f>tab!$E$64</f>
        <v>0.62</v>
      </c>
      <c r="AA161" s="1163" t="e">
        <f t="shared" si="66"/>
        <v>#VALUE!</v>
      </c>
      <c r="AB161" s="1163" t="e">
        <f t="shared" si="67"/>
        <v>#VALUE!</v>
      </c>
      <c r="AC161" s="1163" t="e">
        <f t="shared" si="68"/>
        <v>#VALUE!</v>
      </c>
      <c r="AD161" s="1162" t="e">
        <f t="shared" si="69"/>
        <v>#VALUE!</v>
      </c>
      <c r="AE161" s="1162">
        <f t="shared" si="70"/>
        <v>0</v>
      </c>
      <c r="AF161" s="1129">
        <f>IF(H161&gt;8,tab!$D$65,tab!$D$67)</f>
        <v>0.5</v>
      </c>
      <c r="AG161" s="1143">
        <f t="shared" si="71"/>
        <v>0</v>
      </c>
      <c r="AH161" s="1159">
        <f t="shared" si="72"/>
        <v>0</v>
      </c>
      <c r="AM161" s="403"/>
    </row>
    <row r="162" spans="3:39" ht="12.75" customHeight="1" x14ac:dyDescent="0.2">
      <c r="C162" s="90"/>
      <c r="D162" s="97" t="str">
        <f>IF(obp!D130=0,"",obp!D130)</f>
        <v/>
      </c>
      <c r="E162" s="97" t="str">
        <f>IF(obp!E130=0,"-",obp!E130)</f>
        <v/>
      </c>
      <c r="F162" s="114" t="str">
        <f>IF(obp!F130="","",obp!F130+1)</f>
        <v/>
      </c>
      <c r="G162" s="377" t="str">
        <f>IF(obp!G130="","",obp!G130)</f>
        <v/>
      </c>
      <c r="H162" s="114" t="str">
        <f>IF(obp!H130=0,"",obp!H130)</f>
        <v/>
      </c>
      <c r="I162" s="129" t="str">
        <f>IF(J162="","",(IF(obp!I130+1&gt;LOOKUP(H162,schaal2011,regels2011),obp!I130,obp!I130+1)))</f>
        <v/>
      </c>
      <c r="J162" s="378" t="str">
        <f>IF(obp!J130="","",obp!J130)</f>
        <v/>
      </c>
      <c r="K162" s="392"/>
      <c r="L162" s="1078">
        <f>IF(obp!L130="","",obp!L130)</f>
        <v>0</v>
      </c>
      <c r="M162" s="1078">
        <f>IF(obp!M130="","",obp!M130)</f>
        <v>0</v>
      </c>
      <c r="N162" s="1077" t="str">
        <f t="shared" si="62"/>
        <v/>
      </c>
      <c r="O162" s="1077"/>
      <c r="P162" s="1172" t="str">
        <f t="shared" si="63"/>
        <v/>
      </c>
      <c r="Q162" s="91"/>
      <c r="R162" s="936" t="str">
        <f t="shared" si="73"/>
        <v/>
      </c>
      <c r="S162" s="936" t="str">
        <f t="shared" si="64"/>
        <v/>
      </c>
      <c r="T162" s="937" t="str">
        <f t="shared" si="65"/>
        <v/>
      </c>
      <c r="U162" s="361"/>
      <c r="V162" s="375"/>
      <c r="W162" s="375"/>
      <c r="X162" s="375"/>
      <c r="Y162" s="1120" t="e">
        <f>VLOOKUP(H162,tab!$A$73:$V$114,I162+2,FALSE)</f>
        <v>#VALUE!</v>
      </c>
      <c r="Z162" s="1211">
        <f>tab!$E$64</f>
        <v>0.62</v>
      </c>
      <c r="AA162" s="1163" t="e">
        <f t="shared" si="66"/>
        <v>#VALUE!</v>
      </c>
      <c r="AB162" s="1163" t="e">
        <f t="shared" si="67"/>
        <v>#VALUE!</v>
      </c>
      <c r="AC162" s="1163" t="e">
        <f t="shared" si="68"/>
        <v>#VALUE!</v>
      </c>
      <c r="AD162" s="1162" t="e">
        <f t="shared" si="69"/>
        <v>#VALUE!</v>
      </c>
      <c r="AE162" s="1162">
        <f t="shared" si="70"/>
        <v>0</v>
      </c>
      <c r="AF162" s="1129">
        <f>IF(H162&gt;8,tab!$D$65,tab!$D$67)</f>
        <v>0.5</v>
      </c>
      <c r="AG162" s="1143">
        <f t="shared" si="71"/>
        <v>0</v>
      </c>
      <c r="AH162" s="1159">
        <f t="shared" si="72"/>
        <v>0</v>
      </c>
      <c r="AM162" s="403"/>
    </row>
    <row r="163" spans="3:39" ht="12.75" customHeight="1" x14ac:dyDescent="0.2">
      <c r="C163" s="90"/>
      <c r="D163" s="97" t="str">
        <f>IF(obp!D131=0,"",obp!D131)</f>
        <v/>
      </c>
      <c r="E163" s="97" t="str">
        <f>IF(obp!E131=0,"-",obp!E131)</f>
        <v/>
      </c>
      <c r="F163" s="114" t="str">
        <f>IF(obp!F131="","",obp!F131+1)</f>
        <v/>
      </c>
      <c r="G163" s="377" t="str">
        <f>IF(obp!G131="","",obp!G131)</f>
        <v/>
      </c>
      <c r="H163" s="114" t="str">
        <f>IF(obp!H131=0,"",obp!H131)</f>
        <v/>
      </c>
      <c r="I163" s="129" t="str">
        <f>IF(J163="","",(IF(obp!I131+1&gt;LOOKUP(H163,schaal2011,regels2011),obp!I131,obp!I131+1)))</f>
        <v/>
      </c>
      <c r="J163" s="378" t="str">
        <f>IF(obp!J131="","",obp!J131)</f>
        <v/>
      </c>
      <c r="K163" s="392"/>
      <c r="L163" s="1078">
        <f>IF(obp!L131="","",obp!L131)</f>
        <v>0</v>
      </c>
      <c r="M163" s="1078">
        <f>IF(obp!M131="","",obp!M131)</f>
        <v>0</v>
      </c>
      <c r="N163" s="1077" t="str">
        <f t="shared" si="62"/>
        <v/>
      </c>
      <c r="O163" s="1077"/>
      <c r="P163" s="1172" t="str">
        <f t="shared" si="63"/>
        <v/>
      </c>
      <c r="Q163" s="91"/>
      <c r="R163" s="936" t="str">
        <f t="shared" si="73"/>
        <v/>
      </c>
      <c r="S163" s="936" t="str">
        <f t="shared" si="64"/>
        <v/>
      </c>
      <c r="T163" s="937" t="str">
        <f t="shared" si="65"/>
        <v/>
      </c>
      <c r="U163" s="361"/>
      <c r="V163" s="375"/>
      <c r="W163" s="375"/>
      <c r="X163" s="375"/>
      <c r="Y163" s="1120" t="e">
        <f>VLOOKUP(H163,tab!$A$73:$V$114,I163+2,FALSE)</f>
        <v>#VALUE!</v>
      </c>
      <c r="Z163" s="1211">
        <f>tab!$E$64</f>
        <v>0.62</v>
      </c>
      <c r="AA163" s="1163" t="e">
        <f t="shared" si="66"/>
        <v>#VALUE!</v>
      </c>
      <c r="AB163" s="1163" t="e">
        <f t="shared" si="67"/>
        <v>#VALUE!</v>
      </c>
      <c r="AC163" s="1163" t="e">
        <f t="shared" si="68"/>
        <v>#VALUE!</v>
      </c>
      <c r="AD163" s="1162" t="e">
        <f t="shared" si="69"/>
        <v>#VALUE!</v>
      </c>
      <c r="AE163" s="1162">
        <f t="shared" si="70"/>
        <v>0</v>
      </c>
      <c r="AF163" s="1129">
        <f>IF(H163&gt;8,tab!$D$65,tab!$D$67)</f>
        <v>0.5</v>
      </c>
      <c r="AG163" s="1143">
        <f t="shared" si="71"/>
        <v>0</v>
      </c>
      <c r="AH163" s="1159">
        <f t="shared" si="72"/>
        <v>0</v>
      </c>
      <c r="AM163" s="403"/>
    </row>
    <row r="164" spans="3:39" ht="12.75" customHeight="1" x14ac:dyDescent="0.2">
      <c r="C164" s="90"/>
      <c r="D164" s="97" t="str">
        <f>IF(obp!D132=0,"",obp!D132)</f>
        <v/>
      </c>
      <c r="E164" s="97" t="str">
        <f>IF(obp!E132=0,"-",obp!E132)</f>
        <v/>
      </c>
      <c r="F164" s="114" t="str">
        <f>IF(obp!F132="","",obp!F132+1)</f>
        <v/>
      </c>
      <c r="G164" s="377" t="str">
        <f>IF(obp!G132="","",obp!G132)</f>
        <v/>
      </c>
      <c r="H164" s="114" t="str">
        <f>IF(obp!H132=0,"",obp!H132)</f>
        <v/>
      </c>
      <c r="I164" s="129" t="str">
        <f>IF(J164="","",(IF(obp!I132+1&gt;LOOKUP(H164,schaal2011,regels2011),obp!I132,obp!I132+1)))</f>
        <v/>
      </c>
      <c r="J164" s="378" t="str">
        <f>IF(obp!J132="","",obp!J132)</f>
        <v/>
      </c>
      <c r="K164" s="392"/>
      <c r="L164" s="1078">
        <f>IF(obp!L132="","",obp!L132)</f>
        <v>0</v>
      </c>
      <c r="M164" s="1078">
        <f>IF(obp!M132="","",obp!M132)</f>
        <v>0</v>
      </c>
      <c r="N164" s="1077" t="str">
        <f t="shared" si="62"/>
        <v/>
      </c>
      <c r="O164" s="1077"/>
      <c r="P164" s="1172" t="str">
        <f t="shared" si="63"/>
        <v/>
      </c>
      <c r="Q164" s="91"/>
      <c r="R164" s="936" t="str">
        <f t="shared" si="73"/>
        <v/>
      </c>
      <c r="S164" s="936" t="str">
        <f t="shared" si="64"/>
        <v/>
      </c>
      <c r="T164" s="937" t="str">
        <f t="shared" si="65"/>
        <v/>
      </c>
      <c r="U164" s="361"/>
      <c r="V164" s="375"/>
      <c r="W164" s="375"/>
      <c r="X164" s="375"/>
      <c r="Y164" s="1120" t="e">
        <f>VLOOKUP(H164,tab!$A$73:$V$114,I164+2,FALSE)</f>
        <v>#VALUE!</v>
      </c>
      <c r="Z164" s="1211">
        <f>tab!$E$64</f>
        <v>0.62</v>
      </c>
      <c r="AA164" s="1163" t="e">
        <f t="shared" si="66"/>
        <v>#VALUE!</v>
      </c>
      <c r="AB164" s="1163" t="e">
        <f t="shared" si="67"/>
        <v>#VALUE!</v>
      </c>
      <c r="AC164" s="1163" t="e">
        <f t="shared" si="68"/>
        <v>#VALUE!</v>
      </c>
      <c r="AD164" s="1162" t="e">
        <f t="shared" si="69"/>
        <v>#VALUE!</v>
      </c>
      <c r="AE164" s="1162">
        <f t="shared" si="70"/>
        <v>0</v>
      </c>
      <c r="AF164" s="1129">
        <f>IF(H164&gt;8,tab!$D$65,tab!$D$67)</f>
        <v>0.5</v>
      </c>
      <c r="AG164" s="1143">
        <f t="shared" si="71"/>
        <v>0</v>
      </c>
      <c r="AH164" s="1159">
        <f t="shared" si="72"/>
        <v>0</v>
      </c>
      <c r="AM164" s="403"/>
    </row>
    <row r="165" spans="3:39" x14ac:dyDescent="0.2">
      <c r="C165" s="90"/>
      <c r="D165" s="116"/>
      <c r="E165" s="116"/>
      <c r="F165" s="128"/>
      <c r="G165" s="387"/>
      <c r="H165" s="128"/>
      <c r="I165" s="464"/>
      <c r="J165" s="939">
        <f>SUM(J145:J164)</f>
        <v>1</v>
      </c>
      <c r="K165" s="380"/>
      <c r="L165" s="1079">
        <f t="shared" ref="L165" si="74">SUM(L145:L164)</f>
        <v>0</v>
      </c>
      <c r="M165" s="1079">
        <f t="shared" ref="M165" si="75">SUM(M145:M164)</f>
        <v>0</v>
      </c>
      <c r="N165" s="1079">
        <f>SUM(N145:N164)</f>
        <v>40</v>
      </c>
      <c r="O165" s="1079"/>
      <c r="P165" s="1079">
        <f>SUM(P145:P164)</f>
        <v>40</v>
      </c>
      <c r="Q165" s="380"/>
      <c r="R165" s="940">
        <f t="shared" ref="R165" si="76">SUM(R145:R164)</f>
        <v>55301.292585895128</v>
      </c>
      <c r="S165" s="940">
        <f t="shared" ref="S165:T165" si="77">SUM(S145:S164)</f>
        <v>1366.3074141048828</v>
      </c>
      <c r="T165" s="940">
        <f t="shared" si="77"/>
        <v>56667.600000000013</v>
      </c>
      <c r="U165" s="143"/>
      <c r="Y165" s="1121" t="e">
        <f>SUM(Y145:Y164)</f>
        <v>#VALUE!</v>
      </c>
      <c r="Z165" s="1207"/>
      <c r="AA165" s="1207"/>
      <c r="AB165" s="1207"/>
      <c r="AC165" s="1207"/>
      <c r="AD165" s="1130" t="e">
        <f>SUM(AD145:AD164)</f>
        <v>#VALUE!</v>
      </c>
      <c r="AE165" s="1130">
        <f>SUM(AE145:AE164)</f>
        <v>0</v>
      </c>
      <c r="AF165" s="1121"/>
      <c r="AG165" s="1146">
        <f>SUM(AG145:AG164)</f>
        <v>0</v>
      </c>
      <c r="AH165" s="1155">
        <f>SUM(AH145:AH164)</f>
        <v>0</v>
      </c>
    </row>
    <row r="166" spans="3:39" x14ac:dyDescent="0.2">
      <c r="C166" s="98"/>
      <c r="D166" s="144"/>
      <c r="E166" s="144"/>
      <c r="F166" s="191"/>
      <c r="G166" s="391"/>
      <c r="H166" s="191"/>
      <c r="I166" s="392"/>
      <c r="J166" s="393"/>
      <c r="K166" s="392"/>
      <c r="L166" s="392"/>
      <c r="M166" s="392"/>
      <c r="N166" s="392"/>
      <c r="O166" s="392"/>
      <c r="P166" s="392"/>
      <c r="Q166" s="392"/>
      <c r="R166" s="466"/>
      <c r="S166" s="388"/>
      <c r="T166" s="388"/>
      <c r="U166" s="467"/>
      <c r="Y166" s="1093"/>
      <c r="Z166" s="1207"/>
      <c r="AA166" s="1207"/>
      <c r="AB166" s="1207"/>
      <c r="AC166" s="1207"/>
      <c r="AF166" s="1121"/>
      <c r="AG166" s="1146"/>
      <c r="AH166" s="1155"/>
    </row>
  </sheetData>
  <sheetProtection algorithmName="SHA-512" hashValue="V7gKEphf1I8u9tapJ6tugpQdgjHWi/mk0usivr8BWk9eKtUKIV6aBZXJcFByxHtnnuOicdNtD2CtQpNwurdoLA==" saltValue="7NDBJFeLQ1dW44a3Ofc8VQ==" spinCount="100000" sheet="1" objects="1" scenarios="1"/>
  <phoneticPr fontId="0" type="noConversion"/>
  <dataValidations count="4">
    <dataValidation type="list" allowBlank="1" showInputMessage="1" showErrorMessage="1" sqref="H103:H107">
      <formula1>"LIOa,LIOb,J1,J2,J3,J4,J5,J6,1,2,3,4,5,6,7,8,9,10,11,12,13,14,15,LA,LB,LC,LD,LE,ID1,ID2,ID3"</formula1>
    </dataValidation>
    <dataValidation type="list" allowBlank="1" showInputMessage="1" showErrorMessage="1" sqref="H70:H75 H38:H42">
      <formula1>"LA,LB,LC,LD,LE"</formula1>
    </dataValidation>
    <dataValidation type="list" allowBlank="1" showInputMessage="1" showErrorMessage="1" sqref="H145:H164 H113:H132 H81:H100 H48:H67">
      <formula1>"LIOa,LIOb,1,2,3,4,5,6,7,8,9,10,11,12,13,14,ID1,ID2,ID3"</formula1>
    </dataValidation>
    <dataValidation type="list" allowBlank="1" showInputMessage="1" showErrorMessage="1" sqref="H16:H35">
      <formula1>"LIOa,LIOb,1,2,3,4,5,6,7,8,9,10,11,12,13,14,15,16,ID1,ID2,ID3"</formula1>
    </dataValidation>
  </dataValidations>
  <pageMargins left="0.74803149606299213" right="0.74803149606299213" top="0.98425196850393704" bottom="0.98425196850393704" header="0.51181102362204722" footer="0.51181102362204722"/>
  <pageSetup paperSize="9" scale="49" orientation="portrait" r:id="rId1"/>
  <headerFooter alignWithMargins="0">
    <oddHeader>&amp;L&amp;"Arial,Vet"&amp;F&amp;R&amp;"Arial,Vet"&amp;A</oddHeader>
    <oddFooter>&amp;L&amp;"Arial,Vet"PO-Raad&amp;C&amp;"Arial,Vet"&amp;D&amp;R&amp;"Arial,Vet"pagina &amp;P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4"/>
  <dimension ref="B1:Q1560"/>
  <sheetViews>
    <sheetView showGridLines="0" zoomScale="85" zoomScaleNormal="85" zoomScaleSheetLayoutView="85" workbookViewId="0">
      <pane ySplit="10" topLeftCell="A11" activePane="bottomLeft" state="frozen"/>
      <selection activeCell="B2" sqref="B2"/>
      <selection pane="bottomLeft" activeCell="B2" sqref="B2"/>
    </sheetView>
  </sheetViews>
  <sheetFormatPr defaultColWidth="9.140625" defaultRowHeight="12.75" x14ac:dyDescent="0.2"/>
  <cols>
    <col min="1" max="1" width="3.7109375" style="68" customWidth="1"/>
    <col min="2" max="3" width="2.7109375" style="68" customWidth="1"/>
    <col min="4" max="4" width="45.7109375" style="68" customWidth="1"/>
    <col min="5" max="5" width="1.7109375" style="68" customWidth="1"/>
    <col min="6" max="6" width="8.7109375" style="174" customWidth="1"/>
    <col min="7" max="7" width="2.7109375" style="68" customWidth="1"/>
    <col min="8" max="11" width="12.85546875" style="286" customWidth="1"/>
    <col min="12" max="12" width="12.85546875" style="68" customWidth="1"/>
    <col min="13" max="15" width="2.7109375" style="68" customWidth="1"/>
    <col min="16" max="24" width="11.7109375" style="68" customWidth="1"/>
    <col min="25" max="16384" width="9.140625" style="68"/>
  </cols>
  <sheetData>
    <row r="1" spans="2:15" ht="12.75" customHeight="1" x14ac:dyDescent="0.2"/>
    <row r="2" spans="2:15" x14ac:dyDescent="0.2">
      <c r="B2" s="63"/>
      <c r="C2" s="64"/>
      <c r="D2" s="64"/>
      <c r="E2" s="64"/>
      <c r="F2" s="175"/>
      <c r="G2" s="64"/>
      <c r="H2" s="294"/>
      <c r="I2" s="294"/>
      <c r="J2" s="294"/>
      <c r="K2" s="294"/>
      <c r="L2" s="64"/>
      <c r="M2" s="64"/>
      <c r="N2" s="67"/>
    </row>
    <row r="3" spans="2:15" x14ac:dyDescent="0.2">
      <c r="B3" s="69"/>
      <c r="C3" s="70"/>
      <c r="D3" s="70"/>
      <c r="E3" s="70"/>
      <c r="F3" s="176"/>
      <c r="G3" s="70"/>
      <c r="H3" s="300"/>
      <c r="I3" s="300"/>
      <c r="J3" s="300"/>
      <c r="K3" s="300"/>
      <c r="L3" s="70"/>
      <c r="M3" s="70"/>
      <c r="N3" s="73"/>
    </row>
    <row r="4" spans="2:15" s="177" customFormat="1" ht="18.75" x14ac:dyDescent="0.3">
      <c r="B4" s="80"/>
      <c r="C4" s="857" t="s">
        <v>403</v>
      </c>
      <c r="D4" s="82"/>
      <c r="E4" s="82"/>
      <c r="F4" s="178"/>
      <c r="G4" s="82"/>
      <c r="H4" s="475"/>
      <c r="I4" s="475"/>
      <c r="J4" s="475"/>
      <c r="K4" s="475"/>
      <c r="L4" s="82"/>
      <c r="M4" s="82"/>
      <c r="N4" s="112"/>
      <c r="O4" s="476"/>
    </row>
    <row r="5" spans="2:15" s="177" customFormat="1" ht="18.75" x14ac:dyDescent="0.3">
      <c r="B5" s="80"/>
      <c r="C5" s="81" t="str">
        <f>geg!G12</f>
        <v>Basisschool</v>
      </c>
      <c r="D5" s="82"/>
      <c r="E5" s="82"/>
      <c r="F5" s="178"/>
      <c r="G5" s="82"/>
      <c r="H5" s="475"/>
      <c r="I5" s="475"/>
      <c r="J5" s="475"/>
      <c r="K5" s="475"/>
      <c r="L5" s="82"/>
      <c r="M5" s="82"/>
      <c r="N5" s="112"/>
      <c r="O5" s="476"/>
    </row>
    <row r="6" spans="2:15" s="177" customFormat="1" ht="12.75" customHeight="1" x14ac:dyDescent="0.2">
      <c r="B6" s="83"/>
      <c r="C6" s="82"/>
      <c r="D6" s="82"/>
      <c r="E6" s="82"/>
      <c r="F6" s="178"/>
      <c r="G6" s="82"/>
      <c r="H6" s="475"/>
      <c r="I6" s="475"/>
      <c r="J6" s="475"/>
      <c r="K6" s="475"/>
      <c r="L6" s="82"/>
      <c r="M6" s="82"/>
      <c r="N6" s="112"/>
    </row>
    <row r="7" spans="2:15" s="177" customFormat="1" ht="12.75" customHeight="1" x14ac:dyDescent="0.2">
      <c r="B7" s="83"/>
      <c r="C7" s="82"/>
      <c r="D7" s="82"/>
      <c r="E7" s="82"/>
      <c r="F7" s="178"/>
      <c r="G7" s="82"/>
      <c r="H7" s="475"/>
      <c r="I7" s="475"/>
      <c r="J7" s="475"/>
      <c r="K7" s="475"/>
      <c r="L7" s="82"/>
      <c r="M7" s="82"/>
      <c r="N7" s="112"/>
    </row>
    <row r="8" spans="2:15" s="106" customFormat="1" ht="12.75" customHeight="1" x14ac:dyDescent="0.2">
      <c r="B8" s="102"/>
      <c r="C8" s="77"/>
      <c r="D8" s="477"/>
      <c r="E8" s="478"/>
      <c r="F8" s="1007" t="s">
        <v>281</v>
      </c>
      <c r="G8" s="1008"/>
      <c r="H8" s="880">
        <f>tab!D4</f>
        <v>2015</v>
      </c>
      <c r="I8" s="880">
        <f t="shared" ref="I8:L9" si="0">H8+1</f>
        <v>2016</v>
      </c>
      <c r="J8" s="880">
        <f t="shared" si="0"/>
        <v>2017</v>
      </c>
      <c r="K8" s="880">
        <f t="shared" si="0"/>
        <v>2018</v>
      </c>
      <c r="L8" s="1009">
        <f>K8+1</f>
        <v>2019</v>
      </c>
      <c r="M8" s="957"/>
      <c r="N8" s="958"/>
    </row>
    <row r="9" spans="2:15" s="106" customFormat="1" ht="12.75" customHeight="1" x14ac:dyDescent="0.2">
      <c r="B9" s="102"/>
      <c r="C9" s="77"/>
      <c r="D9" s="104"/>
      <c r="E9" s="77"/>
      <c r="F9" s="882" t="s">
        <v>377</v>
      </c>
      <c r="G9" s="879"/>
      <c r="H9" s="880">
        <f>H8-1</f>
        <v>2014</v>
      </c>
      <c r="I9" s="880">
        <f t="shared" si="0"/>
        <v>2015</v>
      </c>
      <c r="J9" s="880">
        <f t="shared" si="0"/>
        <v>2016</v>
      </c>
      <c r="K9" s="880">
        <f t="shared" si="0"/>
        <v>2017</v>
      </c>
      <c r="L9" s="880">
        <f t="shared" si="0"/>
        <v>2018</v>
      </c>
      <c r="M9" s="887"/>
      <c r="N9" s="959"/>
    </row>
    <row r="10" spans="2:15" ht="12.75" customHeight="1" x14ac:dyDescent="0.2">
      <c r="B10" s="69"/>
      <c r="C10" s="70"/>
      <c r="D10" s="71"/>
      <c r="E10" s="479"/>
      <c r="F10" s="72"/>
      <c r="G10" s="479"/>
      <c r="H10" s="480"/>
      <c r="I10" s="480"/>
      <c r="J10" s="480"/>
      <c r="K10" s="480"/>
      <c r="L10" s="481"/>
      <c r="M10" s="481"/>
      <c r="N10" s="482"/>
    </row>
    <row r="11" spans="2:15" ht="12.75" customHeight="1" x14ac:dyDescent="0.2">
      <c r="B11" s="158"/>
      <c r="C11" s="159"/>
      <c r="D11" s="483"/>
      <c r="E11" s="134"/>
      <c r="F11" s="179"/>
      <c r="G11" s="134"/>
      <c r="H11" s="359"/>
      <c r="I11" s="484"/>
      <c r="J11" s="484"/>
      <c r="K11" s="484"/>
      <c r="L11" s="87"/>
      <c r="M11" s="161"/>
      <c r="N11" s="73"/>
      <c r="O11" s="182"/>
    </row>
    <row r="12" spans="2:15" s="106" customFormat="1" ht="12.75" customHeight="1" x14ac:dyDescent="0.2">
      <c r="B12" s="485"/>
      <c r="C12" s="486"/>
      <c r="D12" s="883" t="s">
        <v>286</v>
      </c>
      <c r="E12" s="941"/>
      <c r="F12" s="895"/>
      <c r="G12" s="433"/>
      <c r="H12" s="487"/>
      <c r="I12" s="488"/>
      <c r="J12" s="488"/>
      <c r="K12" s="488"/>
      <c r="L12" s="259"/>
      <c r="M12" s="261"/>
      <c r="N12" s="78"/>
      <c r="O12" s="489"/>
    </row>
    <row r="13" spans="2:15" ht="12.75" customHeight="1" x14ac:dyDescent="0.2">
      <c r="B13" s="158"/>
      <c r="C13" s="163"/>
      <c r="D13" s="888"/>
      <c r="E13" s="941"/>
      <c r="F13" s="898" t="s">
        <v>144</v>
      </c>
      <c r="G13" s="91"/>
      <c r="H13" s="490"/>
      <c r="I13" s="491"/>
      <c r="J13" s="491"/>
      <c r="K13" s="491"/>
      <c r="L13" s="92"/>
      <c r="M13" s="162"/>
      <c r="N13" s="73"/>
      <c r="O13" s="182"/>
    </row>
    <row r="14" spans="2:15" ht="12.75" customHeight="1" x14ac:dyDescent="0.2">
      <c r="B14" s="158"/>
      <c r="C14" s="163"/>
      <c r="D14" s="508" t="s">
        <v>38</v>
      </c>
      <c r="E14" s="941"/>
      <c r="F14" s="895"/>
      <c r="G14" s="91"/>
      <c r="H14" s="490"/>
      <c r="I14" s="491"/>
      <c r="J14" s="491"/>
      <c r="K14" s="491"/>
      <c r="L14" s="92"/>
      <c r="M14" s="162"/>
      <c r="N14" s="73"/>
      <c r="O14" s="182"/>
    </row>
    <row r="15" spans="2:15" s="185" customFormat="1" ht="12.75" customHeight="1" x14ac:dyDescent="0.2">
      <c r="B15" s="186"/>
      <c r="C15" s="187"/>
      <c r="D15" s="1039" t="s">
        <v>172</v>
      </c>
      <c r="E15" s="188"/>
      <c r="F15" s="113"/>
      <c r="G15" s="188"/>
      <c r="H15" s="974">
        <f>IF(geg!G27=0,0,IF(geg!G81=0,(VLOOKUP(geg!G52,tab!D178:E227,2,FALSE)),(VLOOKUP(geg!G53,tab!D178:E227,2,FALSE)+(VLOOKUP(geg!G54,tab!D178:E227,2,FALSE)+(VLOOKUP(geg!G55,tab!D178:E227,2,FALSE)+(VLOOKUP(geg!G56,tab!D178:E227,2,FALSE)))))))</f>
        <v>71612</v>
      </c>
      <c r="I15" s="974">
        <f>IF(geg!H27=0,0,IF(geg!H81=0,(VLOOKUP(geg!H52,tab!I178:J227,2,FALSE)),(VLOOKUP(geg!H53,tab!I178:J227,2,FALSE)+(VLOOKUP(geg!H54,tab!I178:J227,2,FALSE)+(VLOOKUP(geg!H55,tab!I178:J227,2,FALSE)+(VLOOKUP(geg!H56,tab!I178:J227,2,FALSE)))))))</f>
        <v>74422</v>
      </c>
      <c r="J15" s="974">
        <f>IF(geg!I27=0,0,IF(geg!I81=0,(VLOOKUP(geg!I52,tab!I178:J227,2,FALSE)),(VLOOKUP(geg!I53,tab!I178:J227,2,FALSE)+(VLOOKUP(geg!I54,tab!I178:J227,2,FALSE)+(VLOOKUP(geg!I55,tab!I178:J227,2,FALSE)+(VLOOKUP(geg!I56,tab!I178:J227,2,FALSE)))))))</f>
        <v>74422</v>
      </c>
      <c r="K15" s="974">
        <f>IF(geg!J27=0,0,IF(geg!J81=0,(VLOOKUP(geg!J52,tab!I178:J227,2,FALSE)),(VLOOKUP(geg!J53,tab!I178:J227,2,FALSE)+(VLOOKUP(geg!J54,tab!I178:J227,2,FALSE)+(VLOOKUP(geg!J55,tab!I178:J227,2,FALSE)+(VLOOKUP(geg!J56,tab!I178:J227,2,FALSE)))))))</f>
        <v>74422</v>
      </c>
      <c r="L15" s="974">
        <f>IF(geg!K27=0,0,IF(geg!K81=0,(VLOOKUP(geg!K52,tab!I178:J227,2,FALSE)),(VLOOKUP(geg!K53,tab!I178:J227,2,FALSE)+(VLOOKUP(geg!K54,tab!I178:J227,2,FALSE)+(VLOOKUP(geg!K55,tab!I178:J227,2,FALSE)+(VLOOKUP(geg!K56,tab!I178:J227,2,FALSE)))))))</f>
        <v>74422</v>
      </c>
      <c r="M15" s="492"/>
      <c r="N15" s="493"/>
    </row>
    <row r="16" spans="2:15" ht="12.75" customHeight="1" x14ac:dyDescent="0.2">
      <c r="B16" s="69"/>
      <c r="C16" s="90"/>
      <c r="D16" s="1039" t="s">
        <v>173</v>
      </c>
      <c r="E16" s="92"/>
      <c r="F16" s="95"/>
      <c r="G16" s="92"/>
      <c r="H16" s="974">
        <f>IF(geg!G36=0,0,(tab!$D164+(tab!$E164*geg!G36)))</f>
        <v>84168.74</v>
      </c>
      <c r="I16" s="974">
        <f>IF(geg!H36=0,0,(tab!$I164+(tab!$J164*geg!H36)))</f>
        <v>85488.25</v>
      </c>
      <c r="J16" s="974">
        <f>IF(geg!I36=0,0,(tab!$I164+(tab!$J164*geg!I36)))</f>
        <v>85488.25</v>
      </c>
      <c r="K16" s="974">
        <f>IF(geg!J36=0,0,(tab!$I164+(tab!$J164*geg!J36)))</f>
        <v>85488.25</v>
      </c>
      <c r="L16" s="974">
        <f>IF(geg!K36=0,0,(tab!$I164+(tab!$J164*geg!K36)))</f>
        <v>85488.25</v>
      </c>
      <c r="M16" s="494"/>
      <c r="N16" s="495"/>
    </row>
    <row r="17" spans="2:17" ht="12.75" customHeight="1" x14ac:dyDescent="0.2">
      <c r="B17" s="69"/>
      <c r="C17" s="90"/>
      <c r="D17" s="1039" t="s">
        <v>376</v>
      </c>
      <c r="E17" s="204"/>
      <c r="F17" s="95"/>
      <c r="G17" s="204"/>
      <c r="H17" s="974">
        <f>IF(geg!G47=0,0,(+tab!$D165+(tab!$E165*geg!G47)))</f>
        <v>0</v>
      </c>
      <c r="I17" s="974">
        <f>IF(geg!H47=0,0,(+tab!$I165+(tab!$J165*geg!H47)))</f>
        <v>0</v>
      </c>
      <c r="J17" s="974">
        <f>IF(geg!I47=0,0,(+tab!$I165+(tab!$J165*geg!I47)))</f>
        <v>0</v>
      </c>
      <c r="K17" s="974">
        <f>IF(geg!J47=0,0,(+tab!$I165+(tab!$J165*geg!J47)))</f>
        <v>0</v>
      </c>
      <c r="L17" s="974">
        <f>IF(geg!K47=0,0,(+tab!$I165+(tab!$J165*geg!K47)))</f>
        <v>0</v>
      </c>
      <c r="M17" s="494"/>
      <c r="N17" s="495"/>
    </row>
    <row r="18" spans="2:17" s="276" customFormat="1" ht="12.75" customHeight="1" x14ac:dyDescent="0.2">
      <c r="B18" s="124"/>
      <c r="C18" s="125"/>
      <c r="D18" s="1047"/>
      <c r="E18" s="92"/>
      <c r="F18" s="201">
        <v>0</v>
      </c>
      <c r="G18" s="92"/>
      <c r="H18" s="973">
        <f>SUM(H15:H17)</f>
        <v>155780.74</v>
      </c>
      <c r="I18" s="973">
        <f>SUM(I15:I17)</f>
        <v>159910.25</v>
      </c>
      <c r="J18" s="973">
        <f>SUM(J15:J17)</f>
        <v>159910.25</v>
      </c>
      <c r="K18" s="973">
        <f>SUM(K15:K17)</f>
        <v>159910.25</v>
      </c>
      <c r="L18" s="973">
        <f>SUM(L15:L17)</f>
        <v>159910.25</v>
      </c>
      <c r="M18" s="492"/>
      <c r="N18" s="496"/>
    </row>
    <row r="19" spans="2:17" s="276" customFormat="1" ht="12.75" customHeight="1" x14ac:dyDescent="0.2">
      <c r="B19" s="124"/>
      <c r="C19" s="125"/>
      <c r="D19" s="1038" t="s">
        <v>580</v>
      </c>
      <c r="E19" s="92"/>
      <c r="F19" s="95"/>
      <c r="G19" s="92"/>
      <c r="H19" s="497"/>
      <c r="I19" s="497"/>
      <c r="J19" s="497"/>
      <c r="K19" s="497"/>
      <c r="L19" s="498"/>
      <c r="M19" s="499"/>
      <c r="N19" s="496"/>
      <c r="Q19" s="417"/>
    </row>
    <row r="20" spans="2:17" s="276" customFormat="1" ht="12.75" customHeight="1" x14ac:dyDescent="0.2">
      <c r="B20" s="124"/>
      <c r="C20" s="125"/>
      <c r="D20" s="1054"/>
      <c r="E20" s="92"/>
      <c r="F20" s="201">
        <v>0</v>
      </c>
      <c r="G20" s="92"/>
      <c r="H20" s="501">
        <v>0</v>
      </c>
      <c r="I20" s="501">
        <v>0</v>
      </c>
      <c r="J20" s="501">
        <f t="shared" ref="J20" si="1">I20</f>
        <v>0</v>
      </c>
      <c r="K20" s="501">
        <f t="shared" ref="K20" si="2">J20</f>
        <v>0</v>
      </c>
      <c r="L20" s="501">
        <f t="shared" ref="L20" si="3">K20</f>
        <v>0</v>
      </c>
      <c r="M20" s="500"/>
      <c r="N20" s="496"/>
    </row>
    <row r="21" spans="2:17" s="276" customFormat="1" ht="12.75" customHeight="1" x14ac:dyDescent="0.2">
      <c r="B21" s="124"/>
      <c r="C21" s="125"/>
      <c r="D21" s="1054"/>
      <c r="E21" s="92"/>
      <c r="F21" s="201">
        <v>0</v>
      </c>
      <c r="G21" s="92"/>
      <c r="H21" s="501">
        <v>0</v>
      </c>
      <c r="I21" s="501">
        <v>0</v>
      </c>
      <c r="J21" s="501">
        <f t="shared" ref="J21" si="4">I21</f>
        <v>0</v>
      </c>
      <c r="K21" s="501">
        <f t="shared" ref="K21" si="5">J21</f>
        <v>0</v>
      </c>
      <c r="L21" s="501">
        <f t="shared" ref="L21" si="6">K21</f>
        <v>0</v>
      </c>
      <c r="M21" s="500"/>
      <c r="N21" s="496"/>
    </row>
    <row r="22" spans="2:17" s="276" customFormat="1" ht="12.75" customHeight="1" x14ac:dyDescent="0.2">
      <c r="B22" s="124"/>
      <c r="C22" s="125"/>
      <c r="D22" s="1054"/>
      <c r="E22" s="92"/>
      <c r="F22" s="201">
        <v>0</v>
      </c>
      <c r="G22" s="92"/>
      <c r="H22" s="501">
        <v>0</v>
      </c>
      <c r="I22" s="501">
        <v>0</v>
      </c>
      <c r="J22" s="501">
        <v>0</v>
      </c>
      <c r="K22" s="501">
        <v>0</v>
      </c>
      <c r="L22" s="501">
        <v>0</v>
      </c>
      <c r="M22" s="500"/>
      <c r="N22" s="496"/>
    </row>
    <row r="23" spans="2:17" s="276" customFormat="1" ht="12.75" customHeight="1" x14ac:dyDescent="0.2">
      <c r="B23" s="124"/>
      <c r="C23" s="125"/>
      <c r="D23" s="1053"/>
      <c r="E23" s="92"/>
      <c r="F23" s="201">
        <v>0</v>
      </c>
      <c r="G23" s="92"/>
      <c r="H23" s="501">
        <v>0</v>
      </c>
      <c r="I23" s="501">
        <v>0</v>
      </c>
      <c r="J23" s="501">
        <f t="shared" ref="J23:L23" si="7">I23</f>
        <v>0</v>
      </c>
      <c r="K23" s="501">
        <f t="shared" si="7"/>
        <v>0</v>
      </c>
      <c r="L23" s="501">
        <f t="shared" si="7"/>
        <v>0</v>
      </c>
      <c r="M23" s="500"/>
      <c r="N23" s="496"/>
    </row>
    <row r="24" spans="2:17" s="276" customFormat="1" ht="12.75" customHeight="1" x14ac:dyDescent="0.2">
      <c r="B24" s="124"/>
      <c r="C24" s="125"/>
      <c r="D24" s="1047"/>
      <c r="E24" s="92"/>
      <c r="F24" s="95"/>
      <c r="G24" s="92"/>
      <c r="H24" s="973">
        <f>SUM(H20:H23)</f>
        <v>0</v>
      </c>
      <c r="I24" s="973">
        <f>SUM(I20:I23)</f>
        <v>0</v>
      </c>
      <c r="J24" s="973">
        <f>SUM(J20:J23)</f>
        <v>0</v>
      </c>
      <c r="K24" s="973">
        <f>SUM(K20:K23)</f>
        <v>0</v>
      </c>
      <c r="L24" s="973">
        <f>SUM(L20:L23)</f>
        <v>0</v>
      </c>
      <c r="M24" s="492"/>
      <c r="N24" s="496"/>
    </row>
    <row r="25" spans="2:17" s="276" customFormat="1" ht="12.75" customHeight="1" x14ac:dyDescent="0.2">
      <c r="B25" s="124"/>
      <c r="C25" s="125"/>
      <c r="D25" s="508" t="s">
        <v>534</v>
      </c>
      <c r="E25" s="92"/>
      <c r="F25" s="95"/>
      <c r="G25" s="92"/>
      <c r="H25" s="497"/>
      <c r="I25" s="497"/>
      <c r="J25" s="497"/>
      <c r="K25" s="497"/>
      <c r="L25" s="498"/>
      <c r="M25" s="492"/>
      <c r="N25" s="496"/>
    </row>
    <row r="26" spans="2:17" s="276" customFormat="1" ht="12.75" customHeight="1" x14ac:dyDescent="0.2">
      <c r="B26" s="124"/>
      <c r="C26" s="125"/>
      <c r="D26" s="1054"/>
      <c r="E26" s="92"/>
      <c r="F26" s="128"/>
      <c r="G26" s="92"/>
      <c r="H26" s="501">
        <v>0</v>
      </c>
      <c r="I26" s="501">
        <v>0</v>
      </c>
      <c r="J26" s="501">
        <f t="shared" ref="J26:J27" si="8">I26</f>
        <v>0</v>
      </c>
      <c r="K26" s="501">
        <f t="shared" ref="K26:K27" si="9">J26</f>
        <v>0</v>
      </c>
      <c r="L26" s="501">
        <f t="shared" ref="L26:L27" si="10">K26</f>
        <v>0</v>
      </c>
      <c r="M26" s="492"/>
      <c r="N26" s="496"/>
    </row>
    <row r="27" spans="2:17" s="276" customFormat="1" ht="12.75" customHeight="1" x14ac:dyDescent="0.2">
      <c r="B27" s="124"/>
      <c r="C27" s="125"/>
      <c r="D27" s="1054"/>
      <c r="E27" s="92"/>
      <c r="F27" s="95"/>
      <c r="G27" s="92"/>
      <c r="H27" s="501">
        <v>0</v>
      </c>
      <c r="I27" s="501">
        <v>0</v>
      </c>
      <c r="J27" s="501">
        <f t="shared" si="8"/>
        <v>0</v>
      </c>
      <c r="K27" s="501">
        <f t="shared" si="9"/>
        <v>0</v>
      </c>
      <c r="L27" s="501">
        <f t="shared" si="10"/>
        <v>0</v>
      </c>
      <c r="M27" s="492"/>
      <c r="N27" s="496"/>
    </row>
    <row r="28" spans="2:17" s="276" customFormat="1" ht="12.75" customHeight="1" x14ac:dyDescent="0.2">
      <c r="B28" s="124"/>
      <c r="C28" s="125"/>
      <c r="D28" s="1054"/>
      <c r="E28" s="92"/>
      <c r="F28" s="95"/>
      <c r="G28" s="92"/>
      <c r="H28" s="501">
        <v>0</v>
      </c>
      <c r="I28" s="501">
        <v>0</v>
      </c>
      <c r="J28" s="501">
        <v>0</v>
      </c>
      <c r="K28" s="501">
        <v>0</v>
      </c>
      <c r="L28" s="501">
        <v>0</v>
      </c>
      <c r="M28" s="492"/>
      <c r="N28" s="496"/>
    </row>
    <row r="29" spans="2:17" s="276" customFormat="1" ht="12.75" customHeight="1" x14ac:dyDescent="0.2">
      <c r="B29" s="124"/>
      <c r="C29" s="125"/>
      <c r="D29" s="1053"/>
      <c r="E29" s="92"/>
      <c r="F29" s="95"/>
      <c r="G29" s="92"/>
      <c r="H29" s="501">
        <v>0</v>
      </c>
      <c r="I29" s="501">
        <v>0</v>
      </c>
      <c r="J29" s="501">
        <f t="shared" ref="J29" si="11">I29</f>
        <v>0</v>
      </c>
      <c r="K29" s="501">
        <f t="shared" ref="K29" si="12">J29</f>
        <v>0</v>
      </c>
      <c r="L29" s="501">
        <f t="shared" ref="L29" si="13">K29</f>
        <v>0</v>
      </c>
      <c r="M29" s="492"/>
      <c r="N29" s="496"/>
    </row>
    <row r="30" spans="2:17" s="276" customFormat="1" ht="12.75" customHeight="1" x14ac:dyDescent="0.2">
      <c r="B30" s="124"/>
      <c r="C30" s="125"/>
      <c r="D30" s="1047"/>
      <c r="E30" s="92"/>
      <c r="F30" s="95"/>
      <c r="G30" s="92"/>
      <c r="H30" s="1023">
        <f>SUM(H26:H29)</f>
        <v>0</v>
      </c>
      <c r="I30" s="1023">
        <f>SUM(I26:I29)</f>
        <v>0</v>
      </c>
      <c r="J30" s="1023">
        <f>SUM(J26:J29)</f>
        <v>0</v>
      </c>
      <c r="K30" s="1023">
        <f>SUM(K26:K29)</f>
        <v>0</v>
      </c>
      <c r="L30" s="1023">
        <f>SUM(L26:L29)</f>
        <v>0</v>
      </c>
      <c r="M30" s="492"/>
      <c r="N30" s="496"/>
    </row>
    <row r="31" spans="2:17" s="276" customFormat="1" ht="12.75" customHeight="1" x14ac:dyDescent="0.2">
      <c r="B31" s="124"/>
      <c r="C31" s="125"/>
      <c r="D31" s="508" t="s">
        <v>17</v>
      </c>
      <c r="E31" s="126"/>
      <c r="G31" s="92"/>
      <c r="H31" s="126"/>
      <c r="I31" s="126"/>
      <c r="J31" s="126"/>
      <c r="K31" s="490"/>
      <c r="L31" s="498"/>
      <c r="M31" s="499"/>
      <c r="N31" s="496"/>
    </row>
    <row r="32" spans="2:17" s="276" customFormat="1" ht="12.75" customHeight="1" x14ac:dyDescent="0.2">
      <c r="B32" s="124"/>
      <c r="C32" s="125"/>
      <c r="D32" s="1038" t="s">
        <v>18</v>
      </c>
      <c r="E32" s="126"/>
      <c r="F32" s="95"/>
      <c r="G32" s="92"/>
      <c r="H32" s="502"/>
      <c r="I32" s="502"/>
      <c r="J32" s="502"/>
      <c r="K32" s="490"/>
      <c r="L32" s="498"/>
      <c r="M32" s="499"/>
      <c r="N32" s="496"/>
    </row>
    <row r="33" spans="2:14" s="276" customFormat="1" ht="12.75" customHeight="1" x14ac:dyDescent="0.2">
      <c r="B33" s="124"/>
      <c r="C33" s="125"/>
      <c r="D33" s="1037" t="s">
        <v>535</v>
      </c>
      <c r="E33" s="126"/>
      <c r="G33" s="92"/>
      <c r="H33" s="878">
        <f>$F$18*H18+$F$20*H20+$F$21*H21+$F$22*H22+$F$23*H23</f>
        <v>0</v>
      </c>
      <c r="I33" s="878">
        <f>$F$18*I18+$F$20*I20+$F$21*I21+$F$22*I22+$F$23*I23</f>
        <v>0</v>
      </c>
      <c r="J33" s="878">
        <f>$F$18*J18+$F$20*J20+$F$21*J21+$F$22*J22+$F$23*J23</f>
        <v>0</v>
      </c>
      <c r="K33" s="878">
        <f>$F$18*K18+$F$20*K20+$F$21*K21+$F$22*K22+$F$23*K23</f>
        <v>0</v>
      </c>
      <c r="L33" s="878">
        <f>$F$18*L18+$F$20*L20+$F$21*L21+$F$22*L22+$F$23*L23</f>
        <v>0</v>
      </c>
      <c r="M33" s="207"/>
      <c r="N33" s="496"/>
    </row>
    <row r="34" spans="2:14" s="276" customFormat="1" ht="12.75" customHeight="1" x14ac:dyDescent="0.2">
      <c r="B34" s="124"/>
      <c r="C34" s="125"/>
      <c r="D34" s="1049"/>
      <c r="E34" s="92"/>
      <c r="F34" s="95"/>
      <c r="G34" s="92"/>
      <c r="H34" s="219">
        <v>0</v>
      </c>
      <c r="I34" s="219">
        <v>0</v>
      </c>
      <c r="J34" s="219">
        <v>0</v>
      </c>
      <c r="K34" s="219">
        <v>0</v>
      </c>
      <c r="L34" s="219">
        <v>0</v>
      </c>
      <c r="M34" s="207"/>
      <c r="N34" s="496"/>
    </row>
    <row r="35" spans="2:14" s="276" customFormat="1" ht="12.75" customHeight="1" x14ac:dyDescent="0.2">
      <c r="B35" s="124"/>
      <c r="C35" s="125"/>
      <c r="D35" s="1049"/>
      <c r="E35" s="92"/>
      <c r="F35" s="95"/>
      <c r="G35" s="92"/>
      <c r="H35" s="219">
        <v>0</v>
      </c>
      <c r="I35" s="219">
        <v>0</v>
      </c>
      <c r="J35" s="219">
        <v>0</v>
      </c>
      <c r="K35" s="219">
        <v>0</v>
      </c>
      <c r="L35" s="219">
        <v>0</v>
      </c>
      <c r="M35" s="207"/>
      <c r="N35" s="496"/>
    </row>
    <row r="36" spans="2:14" s="276" customFormat="1" ht="12.75" customHeight="1" x14ac:dyDescent="0.2">
      <c r="B36" s="124"/>
      <c r="C36" s="125"/>
      <c r="D36" s="1049"/>
      <c r="E36" s="92"/>
      <c r="F36" s="95"/>
      <c r="G36" s="92"/>
      <c r="H36" s="219">
        <v>0</v>
      </c>
      <c r="I36" s="219">
        <v>0</v>
      </c>
      <c r="J36" s="219">
        <v>0</v>
      </c>
      <c r="K36" s="219">
        <v>0</v>
      </c>
      <c r="L36" s="219">
        <v>0</v>
      </c>
      <c r="M36" s="207"/>
      <c r="N36" s="496"/>
    </row>
    <row r="37" spans="2:14" s="276" customFormat="1" ht="12.75" customHeight="1" x14ac:dyDescent="0.2">
      <c r="B37" s="124"/>
      <c r="C37" s="125"/>
      <c r="D37" s="1049"/>
      <c r="E37" s="92"/>
      <c r="F37" s="95"/>
      <c r="G37" s="92"/>
      <c r="H37" s="219">
        <v>0</v>
      </c>
      <c r="I37" s="219">
        <v>0</v>
      </c>
      <c r="J37" s="219">
        <v>0</v>
      </c>
      <c r="K37" s="219">
        <v>0</v>
      </c>
      <c r="L37" s="219">
        <v>0</v>
      </c>
      <c r="M37" s="207"/>
      <c r="N37" s="496"/>
    </row>
    <row r="38" spans="2:14" s="276" customFormat="1" ht="12.75" customHeight="1" x14ac:dyDescent="0.2">
      <c r="B38" s="124"/>
      <c r="C38" s="125"/>
      <c r="D38" s="1039"/>
      <c r="E38" s="92"/>
      <c r="F38" s="95"/>
      <c r="G38" s="92"/>
      <c r="H38" s="972">
        <f>SUM(H33:H37)</f>
        <v>0</v>
      </c>
      <c r="I38" s="972">
        <f>SUM(I33:I37)</f>
        <v>0</v>
      </c>
      <c r="J38" s="972">
        <f>SUM(J33:J37)</f>
        <v>0</v>
      </c>
      <c r="K38" s="972">
        <f>SUM(K33:K37)</f>
        <v>0</v>
      </c>
      <c r="L38" s="972">
        <f>SUM(L33:L37)</f>
        <v>0</v>
      </c>
      <c r="M38" s="499"/>
      <c r="N38" s="496"/>
    </row>
    <row r="39" spans="2:14" s="276" customFormat="1" ht="12.75" customHeight="1" x14ac:dyDescent="0.2">
      <c r="B39" s="124"/>
      <c r="C39" s="125"/>
      <c r="D39" s="508" t="s">
        <v>20</v>
      </c>
      <c r="E39" s="92"/>
      <c r="F39" s="95"/>
      <c r="G39" s="92"/>
      <c r="H39" s="222"/>
      <c r="I39" s="503"/>
      <c r="J39" s="503"/>
      <c r="K39" s="503"/>
      <c r="L39" s="503"/>
      <c r="M39" s="504"/>
      <c r="N39" s="496"/>
    </row>
    <row r="40" spans="2:14" s="276" customFormat="1" ht="12.75" customHeight="1" x14ac:dyDescent="0.2">
      <c r="B40" s="124"/>
      <c r="C40" s="125"/>
      <c r="D40" s="1049"/>
      <c r="E40" s="92"/>
      <c r="F40" s="95"/>
      <c r="G40" s="92"/>
      <c r="H40" s="219">
        <v>0</v>
      </c>
      <c r="I40" s="219">
        <v>0</v>
      </c>
      <c r="J40" s="219">
        <v>0</v>
      </c>
      <c r="K40" s="219">
        <v>0</v>
      </c>
      <c r="L40" s="219">
        <v>0</v>
      </c>
      <c r="M40" s="207"/>
      <c r="N40" s="496"/>
    </row>
    <row r="41" spans="2:14" s="276" customFormat="1" ht="12.75" customHeight="1" x14ac:dyDescent="0.2">
      <c r="B41" s="124"/>
      <c r="C41" s="125"/>
      <c r="D41" s="1049"/>
      <c r="E41" s="92"/>
      <c r="F41" s="95"/>
      <c r="G41" s="92"/>
      <c r="H41" s="219">
        <v>0</v>
      </c>
      <c r="I41" s="219">
        <v>0</v>
      </c>
      <c r="J41" s="219">
        <v>0</v>
      </c>
      <c r="K41" s="219">
        <v>0</v>
      </c>
      <c r="L41" s="219">
        <v>0</v>
      </c>
      <c r="M41" s="207"/>
      <c r="N41" s="496"/>
    </row>
    <row r="42" spans="2:14" s="276" customFormat="1" ht="12.75" customHeight="1" x14ac:dyDescent="0.2">
      <c r="B42" s="124"/>
      <c r="C42" s="125"/>
      <c r="D42" s="1049"/>
      <c r="E42" s="92"/>
      <c r="F42" s="95"/>
      <c r="G42" s="92"/>
      <c r="H42" s="219">
        <v>0</v>
      </c>
      <c r="I42" s="219">
        <v>0</v>
      </c>
      <c r="J42" s="219">
        <v>0</v>
      </c>
      <c r="K42" s="219">
        <v>0</v>
      </c>
      <c r="L42" s="219">
        <v>0</v>
      </c>
      <c r="M42" s="207"/>
      <c r="N42" s="496"/>
    </row>
    <row r="43" spans="2:14" s="276" customFormat="1" ht="12.75" customHeight="1" x14ac:dyDescent="0.2">
      <c r="B43" s="124"/>
      <c r="C43" s="125"/>
      <c r="D43" s="1049"/>
      <c r="E43" s="92"/>
      <c r="F43" s="95"/>
      <c r="G43" s="92"/>
      <c r="H43" s="219">
        <v>0</v>
      </c>
      <c r="I43" s="219">
        <v>0</v>
      </c>
      <c r="J43" s="219">
        <v>0</v>
      </c>
      <c r="K43" s="219">
        <v>0</v>
      </c>
      <c r="L43" s="219">
        <v>0</v>
      </c>
      <c r="M43" s="207"/>
      <c r="N43" s="496"/>
    </row>
    <row r="44" spans="2:14" s="276" customFormat="1" ht="12.75" customHeight="1" x14ac:dyDescent="0.2">
      <c r="B44" s="124"/>
      <c r="C44" s="125"/>
      <c r="D44" s="1049"/>
      <c r="E44" s="92"/>
      <c r="F44" s="95"/>
      <c r="G44" s="92"/>
      <c r="H44" s="219">
        <v>0</v>
      </c>
      <c r="I44" s="219">
        <v>0</v>
      </c>
      <c r="J44" s="219">
        <v>0</v>
      </c>
      <c r="K44" s="219">
        <v>0</v>
      </c>
      <c r="L44" s="219">
        <v>0</v>
      </c>
      <c r="M44" s="207"/>
      <c r="N44" s="496"/>
    </row>
    <row r="45" spans="2:14" s="276" customFormat="1" ht="12.75" customHeight="1" x14ac:dyDescent="0.2">
      <c r="B45" s="124"/>
      <c r="C45" s="125"/>
      <c r="D45" s="1039"/>
      <c r="E45" s="505"/>
      <c r="F45" s="128"/>
      <c r="G45" s="92"/>
      <c r="H45" s="972">
        <f>SUM(H40:H44)</f>
        <v>0</v>
      </c>
      <c r="I45" s="972">
        <f>SUM(I40:I44)</f>
        <v>0</v>
      </c>
      <c r="J45" s="972">
        <f>SUM(J40:J44)</f>
        <v>0</v>
      </c>
      <c r="K45" s="972">
        <f>SUM(K40:K44)</f>
        <v>0</v>
      </c>
      <c r="L45" s="972">
        <f>SUM(L40:L44)</f>
        <v>0</v>
      </c>
      <c r="M45" s="499"/>
      <c r="N45" s="496"/>
    </row>
    <row r="46" spans="2:14" s="276" customFormat="1" ht="12.75" customHeight="1" x14ac:dyDescent="0.2">
      <c r="B46" s="124"/>
      <c r="C46" s="125"/>
      <c r="D46" s="1039"/>
      <c r="E46" s="126"/>
      <c r="F46" s="128"/>
      <c r="G46" s="92"/>
      <c r="H46" s="506"/>
      <c r="I46" s="506"/>
      <c r="J46" s="506"/>
      <c r="K46" s="506"/>
      <c r="L46" s="506"/>
      <c r="M46" s="507"/>
      <c r="N46" s="496"/>
    </row>
    <row r="47" spans="2:14" s="276" customFormat="1" ht="12.75" customHeight="1" x14ac:dyDescent="0.2">
      <c r="B47" s="124"/>
      <c r="C47" s="125"/>
      <c r="D47" s="508" t="s">
        <v>21</v>
      </c>
      <c r="E47" s="188"/>
      <c r="F47" s="113"/>
      <c r="G47" s="204"/>
      <c r="H47" s="971">
        <f>H38-H45</f>
        <v>0</v>
      </c>
      <c r="I47" s="971">
        <f>I38-I45</f>
        <v>0</v>
      </c>
      <c r="J47" s="971">
        <f>J38-J45</f>
        <v>0</v>
      </c>
      <c r="K47" s="971">
        <f>K38-K45</f>
        <v>0</v>
      </c>
      <c r="L47" s="971">
        <f>L38-L45</f>
        <v>0</v>
      </c>
      <c r="M47" s="507"/>
      <c r="N47" s="496"/>
    </row>
    <row r="48" spans="2:14" s="276" customFormat="1" ht="12.75" customHeight="1" x14ac:dyDescent="0.2">
      <c r="B48" s="124"/>
      <c r="C48" s="125"/>
      <c r="D48" s="1039"/>
      <c r="E48" s="92"/>
      <c r="F48" s="95"/>
      <c r="G48" s="92"/>
      <c r="H48" s="509"/>
      <c r="I48" s="509"/>
      <c r="J48" s="509"/>
      <c r="K48" s="509"/>
      <c r="L48" s="509"/>
      <c r="M48" s="510"/>
      <c r="N48" s="496"/>
    </row>
    <row r="49" spans="2:14" s="276" customFormat="1" ht="12.75" customHeight="1" x14ac:dyDescent="0.2">
      <c r="B49" s="124"/>
      <c r="C49" s="125"/>
      <c r="D49" s="1039"/>
      <c r="E49" s="92"/>
      <c r="F49" s="95"/>
      <c r="G49" s="92"/>
      <c r="H49" s="509"/>
      <c r="I49" s="509"/>
      <c r="J49" s="509"/>
      <c r="K49" s="509"/>
      <c r="L49" s="509"/>
      <c r="M49" s="510"/>
      <c r="N49" s="496"/>
    </row>
    <row r="50" spans="2:14" s="182" customFormat="1" ht="12.75" customHeight="1" x14ac:dyDescent="0.2">
      <c r="B50" s="158"/>
      <c r="C50" s="163"/>
      <c r="D50" s="1042" t="s">
        <v>193</v>
      </c>
      <c r="E50" s="126"/>
      <c r="F50" s="128"/>
      <c r="G50" s="126"/>
      <c r="H50" s="970">
        <f>H18+H24+H30-H47</f>
        <v>155780.74</v>
      </c>
      <c r="I50" s="970">
        <f>I18+I24+I30-I47</f>
        <v>159910.25</v>
      </c>
      <c r="J50" s="970">
        <f>J18+J24+J30-J47</f>
        <v>159910.25</v>
      </c>
      <c r="K50" s="970">
        <f>K18+K24+K30-K47</f>
        <v>159910.25</v>
      </c>
      <c r="L50" s="970">
        <f>L18+L24+L30-L47</f>
        <v>159910.25</v>
      </c>
      <c r="M50" s="511"/>
      <c r="N50" s="512"/>
    </row>
    <row r="51" spans="2:14" s="182" customFormat="1" ht="12.75" customHeight="1" x14ac:dyDescent="0.2">
      <c r="B51" s="158"/>
      <c r="C51" s="226"/>
      <c r="D51" s="1055"/>
      <c r="E51" s="190"/>
      <c r="F51" s="436"/>
      <c r="G51" s="190"/>
      <c r="H51" s="227"/>
      <c r="I51" s="227"/>
      <c r="J51" s="227"/>
      <c r="K51" s="227"/>
      <c r="L51" s="513"/>
      <c r="M51" s="514"/>
      <c r="N51" s="512"/>
    </row>
    <row r="52" spans="2:14" s="182" customFormat="1" ht="12.75" customHeight="1" x14ac:dyDescent="0.2">
      <c r="B52" s="158"/>
      <c r="C52" s="515"/>
      <c r="D52" s="516"/>
      <c r="E52" s="515"/>
      <c r="F52" s="517"/>
      <c r="G52" s="515"/>
      <c r="H52" s="516"/>
      <c r="I52" s="516"/>
      <c r="J52" s="516"/>
      <c r="K52" s="516"/>
      <c r="L52" s="518"/>
      <c r="M52" s="518"/>
      <c r="N52" s="512"/>
    </row>
    <row r="53" spans="2:14" s="182" customFormat="1" ht="12.75" customHeight="1" x14ac:dyDescent="0.2">
      <c r="B53" s="158"/>
      <c r="C53" s="159"/>
      <c r="D53" s="230"/>
      <c r="E53" s="160"/>
      <c r="F53" s="180"/>
      <c r="G53" s="160"/>
      <c r="H53" s="230"/>
      <c r="I53" s="230"/>
      <c r="J53" s="230"/>
      <c r="K53" s="230"/>
      <c r="L53" s="519"/>
      <c r="M53" s="520"/>
      <c r="N53" s="512"/>
    </row>
    <row r="54" spans="2:14" s="521" customFormat="1" ht="12.75" customHeight="1" x14ac:dyDescent="0.2">
      <c r="B54" s="522"/>
      <c r="C54" s="523"/>
      <c r="D54" s="883" t="s">
        <v>411</v>
      </c>
      <c r="E54" s="524"/>
      <c r="F54" s="525"/>
      <c r="G54" s="524"/>
      <c r="H54" s="526"/>
      <c r="I54" s="526"/>
      <c r="J54" s="526"/>
      <c r="K54" s="526"/>
      <c r="L54" s="527"/>
      <c r="M54" s="528"/>
      <c r="N54" s="529"/>
    </row>
    <row r="55" spans="2:14" s="182" customFormat="1" ht="12.75" customHeight="1" x14ac:dyDescent="0.2">
      <c r="B55" s="158"/>
      <c r="C55" s="163"/>
      <c r="D55" s="204"/>
      <c r="E55" s="126"/>
      <c r="F55" s="128"/>
      <c r="G55" s="126"/>
      <c r="H55" s="116"/>
      <c r="I55" s="116"/>
      <c r="J55" s="116"/>
      <c r="K55" s="116"/>
      <c r="L55" s="502"/>
      <c r="M55" s="530"/>
      <c r="N55" s="512"/>
    </row>
    <row r="56" spans="2:14" s="182" customFormat="1" ht="12.75" customHeight="1" x14ac:dyDescent="0.2">
      <c r="B56" s="158"/>
      <c r="C56" s="163"/>
      <c r="D56" s="218"/>
      <c r="E56" s="126"/>
      <c r="F56" s="128"/>
      <c r="G56" s="126"/>
      <c r="H56" s="501">
        <v>0</v>
      </c>
      <c r="I56" s="501">
        <f t="shared" ref="I56:K60" si="14">H56</f>
        <v>0</v>
      </c>
      <c r="J56" s="501">
        <f t="shared" si="14"/>
        <v>0</v>
      </c>
      <c r="K56" s="501">
        <f t="shared" si="14"/>
        <v>0</v>
      </c>
      <c r="L56" s="501">
        <f>K56</f>
        <v>0</v>
      </c>
      <c r="M56" s="500"/>
      <c r="N56" s="512"/>
    </row>
    <row r="57" spans="2:14" s="182" customFormat="1" ht="12.75" customHeight="1" x14ac:dyDescent="0.2">
      <c r="B57" s="158"/>
      <c r="C57" s="163"/>
      <c r="D57" s="218"/>
      <c r="E57" s="126"/>
      <c r="F57" s="128"/>
      <c r="G57" s="126"/>
      <c r="H57" s="501">
        <v>0</v>
      </c>
      <c r="I57" s="501">
        <f t="shared" si="14"/>
        <v>0</v>
      </c>
      <c r="J57" s="501">
        <f t="shared" si="14"/>
        <v>0</v>
      </c>
      <c r="K57" s="501">
        <f t="shared" si="14"/>
        <v>0</v>
      </c>
      <c r="L57" s="501">
        <f>K57</f>
        <v>0</v>
      </c>
      <c r="M57" s="500"/>
      <c r="N57" s="512"/>
    </row>
    <row r="58" spans="2:14" s="182" customFormat="1" ht="12.75" customHeight="1" x14ac:dyDescent="0.2">
      <c r="B58" s="158"/>
      <c r="C58" s="163"/>
      <c r="D58" s="218"/>
      <c r="E58" s="126"/>
      <c r="F58" s="128"/>
      <c r="G58" s="126"/>
      <c r="H58" s="501">
        <v>0</v>
      </c>
      <c r="I58" s="501">
        <f t="shared" si="14"/>
        <v>0</v>
      </c>
      <c r="J58" s="501">
        <f t="shared" si="14"/>
        <v>0</v>
      </c>
      <c r="K58" s="501">
        <f t="shared" si="14"/>
        <v>0</v>
      </c>
      <c r="L58" s="501">
        <f>K58</f>
        <v>0</v>
      </c>
      <c r="M58" s="500"/>
      <c r="N58" s="512"/>
    </row>
    <row r="59" spans="2:14" s="182" customFormat="1" ht="12.75" customHeight="1" x14ac:dyDescent="0.2">
      <c r="B59" s="158"/>
      <c r="C59" s="163"/>
      <c r="D59" s="218"/>
      <c r="E59" s="126"/>
      <c r="F59" s="128"/>
      <c r="G59" s="126"/>
      <c r="H59" s="501">
        <v>0</v>
      </c>
      <c r="I59" s="501">
        <f t="shared" si="14"/>
        <v>0</v>
      </c>
      <c r="J59" s="501">
        <f t="shared" si="14"/>
        <v>0</v>
      </c>
      <c r="K59" s="501">
        <f t="shared" si="14"/>
        <v>0</v>
      </c>
      <c r="L59" s="501">
        <f>K59</f>
        <v>0</v>
      </c>
      <c r="M59" s="500"/>
      <c r="N59" s="512"/>
    </row>
    <row r="60" spans="2:14" s="182" customFormat="1" ht="12.75" customHeight="1" x14ac:dyDescent="0.2">
      <c r="B60" s="158"/>
      <c r="C60" s="163"/>
      <c r="D60" s="218"/>
      <c r="E60" s="126"/>
      <c r="F60" s="128"/>
      <c r="G60" s="126"/>
      <c r="H60" s="501">
        <v>0</v>
      </c>
      <c r="I60" s="501">
        <f t="shared" si="14"/>
        <v>0</v>
      </c>
      <c r="J60" s="501">
        <f t="shared" si="14"/>
        <v>0</v>
      </c>
      <c r="K60" s="501">
        <f t="shared" si="14"/>
        <v>0</v>
      </c>
      <c r="L60" s="501">
        <f>K60</f>
        <v>0</v>
      </c>
      <c r="M60" s="500"/>
      <c r="N60" s="512"/>
    </row>
    <row r="61" spans="2:14" s="182" customFormat="1" ht="12.75" customHeight="1" x14ac:dyDescent="0.2">
      <c r="B61" s="158"/>
      <c r="C61" s="163"/>
      <c r="D61" s="92"/>
      <c r="E61" s="126"/>
      <c r="F61" s="128"/>
      <c r="G61" s="126"/>
      <c r="H61" s="531"/>
      <c r="I61" s="531"/>
      <c r="J61" s="531"/>
      <c r="K61" s="531"/>
      <c r="L61" s="531"/>
      <c r="M61" s="500"/>
      <c r="N61" s="512"/>
    </row>
    <row r="62" spans="2:14" s="182" customFormat="1" ht="12.75" customHeight="1" x14ac:dyDescent="0.2">
      <c r="B62" s="158"/>
      <c r="C62" s="163"/>
      <c r="D62" s="116" t="s">
        <v>320</v>
      </c>
      <c r="E62" s="126"/>
      <c r="F62" s="128"/>
      <c r="G62" s="126"/>
      <c r="H62" s="970">
        <f>SUM(H56:H60)</f>
        <v>0</v>
      </c>
      <c r="I62" s="970">
        <f>SUM(I56:I60)</f>
        <v>0</v>
      </c>
      <c r="J62" s="970">
        <f>SUM(J56:J60)</f>
        <v>0</v>
      </c>
      <c r="K62" s="970">
        <f>SUM(K56:K60)</f>
        <v>0</v>
      </c>
      <c r="L62" s="970">
        <f>SUM(L56:L60)</f>
        <v>0</v>
      </c>
      <c r="M62" s="511"/>
      <c r="N62" s="512"/>
    </row>
    <row r="63" spans="2:14" s="182" customFormat="1" ht="12.75" customHeight="1" x14ac:dyDescent="0.2">
      <c r="B63" s="158"/>
      <c r="C63" s="226"/>
      <c r="D63" s="144"/>
      <c r="E63" s="227"/>
      <c r="F63" s="436"/>
      <c r="G63" s="227"/>
      <c r="H63" s="227"/>
      <c r="I63" s="227"/>
      <c r="J63" s="227"/>
      <c r="K63" s="227"/>
      <c r="L63" s="513"/>
      <c r="M63" s="514"/>
      <c r="N63" s="512"/>
    </row>
    <row r="64" spans="2:14" s="182" customFormat="1" ht="12.75" customHeight="1" x14ac:dyDescent="0.2">
      <c r="B64" s="158"/>
      <c r="C64" s="193"/>
      <c r="D64" s="234"/>
      <c r="E64" s="398"/>
      <c r="F64" s="532"/>
      <c r="G64" s="398"/>
      <c r="H64" s="398"/>
      <c r="I64" s="398"/>
      <c r="J64" s="398"/>
      <c r="K64" s="398"/>
      <c r="L64" s="533"/>
      <c r="M64" s="533"/>
      <c r="N64" s="512"/>
    </row>
    <row r="65" spans="2:14" s="182" customFormat="1" ht="12.75" customHeight="1" x14ac:dyDescent="0.2">
      <c r="B65" s="158"/>
      <c r="C65" s="159"/>
      <c r="D65" s="134"/>
      <c r="E65" s="160"/>
      <c r="F65" s="180"/>
      <c r="G65" s="160"/>
      <c r="H65" s="134"/>
      <c r="I65" s="134"/>
      <c r="J65" s="134"/>
      <c r="K65" s="134"/>
      <c r="L65" s="519"/>
      <c r="M65" s="520"/>
      <c r="N65" s="512"/>
    </row>
    <row r="66" spans="2:14" s="521" customFormat="1" ht="12.75" customHeight="1" x14ac:dyDescent="0.2">
      <c r="B66" s="522"/>
      <c r="C66" s="523"/>
      <c r="D66" s="883" t="s">
        <v>412</v>
      </c>
      <c r="E66" s="524"/>
      <c r="F66" s="525"/>
      <c r="G66" s="524"/>
      <c r="H66" s="534"/>
      <c r="I66" s="534"/>
      <c r="J66" s="534"/>
      <c r="K66" s="534"/>
      <c r="L66" s="527"/>
      <c r="M66" s="528"/>
      <c r="N66" s="529"/>
    </row>
    <row r="67" spans="2:14" s="182" customFormat="1" ht="12.75" customHeight="1" x14ac:dyDescent="0.2">
      <c r="B67" s="158"/>
      <c r="C67" s="163"/>
      <c r="D67" s="204"/>
      <c r="E67" s="126"/>
      <c r="F67" s="128"/>
      <c r="G67" s="126"/>
      <c r="H67" s="91"/>
      <c r="I67" s="91"/>
      <c r="J67" s="91"/>
      <c r="K67" s="91"/>
      <c r="L67" s="502"/>
      <c r="M67" s="530"/>
      <c r="N67" s="512"/>
    </row>
    <row r="68" spans="2:14" s="182" customFormat="1" ht="12.75" customHeight="1" x14ac:dyDescent="0.2">
      <c r="B68" s="158"/>
      <c r="C68" s="163"/>
      <c r="D68" s="92" t="s">
        <v>16</v>
      </c>
      <c r="E68" s="126"/>
      <c r="F68" s="128"/>
      <c r="G68" s="126"/>
      <c r="H68" s="501">
        <v>0</v>
      </c>
      <c r="I68" s="501">
        <f t="shared" ref="I68:K75" si="15">H68</f>
        <v>0</v>
      </c>
      <c r="J68" s="501">
        <f t="shared" si="15"/>
        <v>0</v>
      </c>
      <c r="K68" s="501">
        <f t="shared" si="15"/>
        <v>0</v>
      </c>
      <c r="L68" s="501">
        <f t="shared" ref="L68:L75" si="16">K68</f>
        <v>0</v>
      </c>
      <c r="M68" s="500"/>
      <c r="N68" s="512"/>
    </row>
    <row r="69" spans="2:14" s="182" customFormat="1" ht="12.75" customHeight="1" x14ac:dyDescent="0.2">
      <c r="B69" s="158"/>
      <c r="C69" s="163"/>
      <c r="D69" s="92" t="s">
        <v>353</v>
      </c>
      <c r="E69" s="126"/>
      <c r="F69" s="128"/>
      <c r="G69" s="126"/>
      <c r="H69" s="501">
        <v>0</v>
      </c>
      <c r="I69" s="501">
        <f t="shared" ref="I69:K71" si="17">H69</f>
        <v>0</v>
      </c>
      <c r="J69" s="501">
        <f t="shared" si="17"/>
        <v>0</v>
      </c>
      <c r="K69" s="501">
        <f t="shared" si="17"/>
        <v>0</v>
      </c>
      <c r="L69" s="501">
        <f t="shared" si="16"/>
        <v>0</v>
      </c>
      <c r="M69" s="500"/>
      <c r="N69" s="512"/>
    </row>
    <row r="70" spans="2:14" s="182" customFormat="1" ht="12.75" customHeight="1" x14ac:dyDescent="0.2">
      <c r="B70" s="158"/>
      <c r="C70" s="163"/>
      <c r="D70" s="92" t="s">
        <v>400</v>
      </c>
      <c r="E70" s="126"/>
      <c r="F70" s="128"/>
      <c r="G70" s="126"/>
      <c r="H70" s="501">
        <v>0</v>
      </c>
      <c r="I70" s="501">
        <f t="shared" si="17"/>
        <v>0</v>
      </c>
      <c r="J70" s="501">
        <f t="shared" si="17"/>
        <v>0</v>
      </c>
      <c r="K70" s="501">
        <f t="shared" si="17"/>
        <v>0</v>
      </c>
      <c r="L70" s="501">
        <f t="shared" si="16"/>
        <v>0</v>
      </c>
      <c r="M70" s="500"/>
      <c r="N70" s="512"/>
    </row>
    <row r="71" spans="2:14" s="182" customFormat="1" ht="12.75" customHeight="1" x14ac:dyDescent="0.2">
      <c r="B71" s="158"/>
      <c r="C71" s="163"/>
      <c r="D71" s="850"/>
      <c r="E71" s="126"/>
      <c r="F71" s="128"/>
      <c r="G71" s="126"/>
      <c r="H71" s="501">
        <v>0</v>
      </c>
      <c r="I71" s="501">
        <f t="shared" si="17"/>
        <v>0</v>
      </c>
      <c r="J71" s="501">
        <f t="shared" si="15"/>
        <v>0</v>
      </c>
      <c r="K71" s="501">
        <f t="shared" si="15"/>
        <v>0</v>
      </c>
      <c r="L71" s="501">
        <f t="shared" si="16"/>
        <v>0</v>
      </c>
      <c r="M71" s="500"/>
      <c r="N71" s="512"/>
    </row>
    <row r="72" spans="2:14" s="182" customFormat="1" ht="12.75" customHeight="1" x14ac:dyDescent="0.2">
      <c r="B72" s="158"/>
      <c r="C72" s="163"/>
      <c r="D72" s="218"/>
      <c r="E72" s="126"/>
      <c r="F72" s="128"/>
      <c r="G72" s="126"/>
      <c r="H72" s="501">
        <v>0</v>
      </c>
      <c r="I72" s="501">
        <f t="shared" ref="I72:L73" si="18">H72</f>
        <v>0</v>
      </c>
      <c r="J72" s="501">
        <f t="shared" si="18"/>
        <v>0</v>
      </c>
      <c r="K72" s="501">
        <f t="shared" si="18"/>
        <v>0</v>
      </c>
      <c r="L72" s="501">
        <f t="shared" si="18"/>
        <v>0</v>
      </c>
      <c r="M72" s="500"/>
      <c r="N72" s="512"/>
    </row>
    <row r="73" spans="2:14" s="182" customFormat="1" ht="12.75" customHeight="1" x14ac:dyDescent="0.2">
      <c r="B73" s="158"/>
      <c r="C73" s="163"/>
      <c r="D73" s="218"/>
      <c r="E73" s="126"/>
      <c r="F73" s="128"/>
      <c r="G73" s="126"/>
      <c r="H73" s="501">
        <v>0</v>
      </c>
      <c r="I73" s="501">
        <f t="shared" si="18"/>
        <v>0</v>
      </c>
      <c r="J73" s="501">
        <f t="shared" si="18"/>
        <v>0</v>
      </c>
      <c r="K73" s="501">
        <f t="shared" si="18"/>
        <v>0</v>
      </c>
      <c r="L73" s="501">
        <f t="shared" si="18"/>
        <v>0</v>
      </c>
      <c r="M73" s="500"/>
      <c r="N73" s="512"/>
    </row>
    <row r="74" spans="2:14" s="182" customFormat="1" ht="12.75" customHeight="1" x14ac:dyDescent="0.2">
      <c r="B74" s="158"/>
      <c r="C74" s="163"/>
      <c r="D74" s="218"/>
      <c r="E74" s="126"/>
      <c r="F74" s="128"/>
      <c r="G74" s="126"/>
      <c r="H74" s="501">
        <v>0</v>
      </c>
      <c r="I74" s="501">
        <f t="shared" si="15"/>
        <v>0</v>
      </c>
      <c r="J74" s="501">
        <f t="shared" si="15"/>
        <v>0</v>
      </c>
      <c r="K74" s="501">
        <f t="shared" si="15"/>
        <v>0</v>
      </c>
      <c r="L74" s="501">
        <f t="shared" si="16"/>
        <v>0</v>
      </c>
      <c r="M74" s="500"/>
      <c r="N74" s="512"/>
    </row>
    <row r="75" spans="2:14" s="182" customFormat="1" ht="12.75" customHeight="1" x14ac:dyDescent="0.2">
      <c r="B75" s="158"/>
      <c r="C75" s="163"/>
      <c r="D75" s="218"/>
      <c r="E75" s="126"/>
      <c r="F75" s="128"/>
      <c r="G75" s="126"/>
      <c r="H75" s="501">
        <v>0</v>
      </c>
      <c r="I75" s="501">
        <f t="shared" si="15"/>
        <v>0</v>
      </c>
      <c r="J75" s="501">
        <f t="shared" si="15"/>
        <v>0</v>
      </c>
      <c r="K75" s="501">
        <f t="shared" si="15"/>
        <v>0</v>
      </c>
      <c r="L75" s="501">
        <f t="shared" si="16"/>
        <v>0</v>
      </c>
      <c r="M75" s="500"/>
      <c r="N75" s="512"/>
    </row>
    <row r="76" spans="2:14" s="182" customFormat="1" ht="12.75" customHeight="1" x14ac:dyDescent="0.2">
      <c r="B76" s="158"/>
      <c r="C76" s="163"/>
      <c r="D76" s="92"/>
      <c r="E76" s="126"/>
      <c r="F76" s="128"/>
      <c r="G76" s="126"/>
      <c r="H76" s="531"/>
      <c r="I76" s="531"/>
      <c r="J76" s="531"/>
      <c r="K76" s="531"/>
      <c r="L76" s="531"/>
      <c r="M76" s="500"/>
      <c r="N76" s="512"/>
    </row>
    <row r="77" spans="2:14" s="182" customFormat="1" ht="12.75" customHeight="1" x14ac:dyDescent="0.2">
      <c r="B77" s="158"/>
      <c r="C77" s="163"/>
      <c r="D77" s="116" t="s">
        <v>320</v>
      </c>
      <c r="E77" s="126"/>
      <c r="F77" s="128"/>
      <c r="G77" s="126"/>
      <c r="H77" s="970">
        <f>SUM(H68:H75)</f>
        <v>0</v>
      </c>
      <c r="I77" s="970">
        <f>SUM(I68:I75)</f>
        <v>0</v>
      </c>
      <c r="J77" s="970">
        <f>SUM(J68:J75)</f>
        <v>0</v>
      </c>
      <c r="K77" s="970">
        <f>SUM(K68:K75)</f>
        <v>0</v>
      </c>
      <c r="L77" s="970">
        <f>SUM(L68:L75)</f>
        <v>0</v>
      </c>
      <c r="M77" s="511"/>
      <c r="N77" s="512"/>
    </row>
    <row r="78" spans="2:14" s="276" customFormat="1" ht="12.75" customHeight="1" x14ac:dyDescent="0.2">
      <c r="B78" s="124"/>
      <c r="C78" s="237"/>
      <c r="D78" s="99"/>
      <c r="E78" s="99"/>
      <c r="F78" s="191"/>
      <c r="G78" s="99"/>
      <c r="H78" s="535"/>
      <c r="I78" s="535"/>
      <c r="J78" s="535"/>
      <c r="K78" s="535"/>
      <c r="L78" s="536"/>
      <c r="M78" s="537"/>
      <c r="N78" s="496"/>
    </row>
    <row r="79" spans="2:14" s="276" customFormat="1" ht="12.75" customHeight="1" x14ac:dyDescent="0.2">
      <c r="B79" s="124"/>
      <c r="C79" s="145"/>
      <c r="D79" s="70"/>
      <c r="E79" s="70"/>
      <c r="F79" s="176"/>
      <c r="G79" s="70"/>
      <c r="H79" s="538"/>
      <c r="I79" s="538"/>
      <c r="J79" s="538"/>
      <c r="K79" s="538"/>
      <c r="L79" s="539"/>
      <c r="M79" s="539"/>
      <c r="N79" s="496"/>
    </row>
    <row r="80" spans="2:14" s="276" customFormat="1" ht="12.75" customHeight="1" x14ac:dyDescent="0.2">
      <c r="B80" s="124"/>
      <c r="C80" s="243"/>
      <c r="D80" s="87"/>
      <c r="E80" s="87"/>
      <c r="F80" s="179"/>
      <c r="G80" s="87"/>
      <c r="H80" s="540"/>
      <c r="I80" s="540"/>
      <c r="J80" s="540"/>
      <c r="K80" s="540"/>
      <c r="L80" s="541"/>
      <c r="M80" s="542"/>
      <c r="N80" s="496"/>
    </row>
    <row r="81" spans="2:14" s="276" customFormat="1" ht="12.75" customHeight="1" x14ac:dyDescent="0.2">
      <c r="B81" s="124"/>
      <c r="C81" s="125"/>
      <c r="D81" s="116" t="s">
        <v>406</v>
      </c>
      <c r="E81" s="92"/>
      <c r="F81" s="95"/>
      <c r="G81" s="92"/>
      <c r="H81" s="970">
        <f>H50+H62+H77</f>
        <v>155780.74</v>
      </c>
      <c r="I81" s="970">
        <f>I50+I62+I77</f>
        <v>159910.25</v>
      </c>
      <c r="J81" s="970">
        <f>J50+J62+J77</f>
        <v>159910.25</v>
      </c>
      <c r="K81" s="970">
        <f>K50+K62+K77</f>
        <v>159910.25</v>
      </c>
      <c r="L81" s="970">
        <f>L50+L62+L77</f>
        <v>159910.25</v>
      </c>
      <c r="M81" s="511"/>
      <c r="N81" s="496"/>
    </row>
    <row r="82" spans="2:14" s="276" customFormat="1" ht="12.75" customHeight="1" x14ac:dyDescent="0.2">
      <c r="B82" s="124"/>
      <c r="C82" s="237"/>
      <c r="D82" s="99"/>
      <c r="E82" s="99"/>
      <c r="F82" s="191"/>
      <c r="G82" s="99"/>
      <c r="H82" s="535"/>
      <c r="I82" s="535"/>
      <c r="J82" s="535"/>
      <c r="K82" s="535"/>
      <c r="L82" s="536"/>
      <c r="M82" s="537"/>
      <c r="N82" s="496"/>
    </row>
    <row r="83" spans="2:14" ht="12.75" customHeight="1" x14ac:dyDescent="0.2">
      <c r="B83" s="69"/>
      <c r="C83" s="70"/>
      <c r="D83" s="479"/>
      <c r="E83" s="543"/>
      <c r="F83" s="147"/>
      <c r="G83" s="543"/>
      <c r="H83" s="544"/>
      <c r="I83" s="544"/>
      <c r="J83" s="544"/>
      <c r="K83" s="544"/>
      <c r="L83" s="545"/>
      <c r="M83" s="545"/>
      <c r="N83" s="546"/>
    </row>
    <row r="84" spans="2:14" ht="12.75" customHeight="1" x14ac:dyDescent="0.25">
      <c r="B84" s="171"/>
      <c r="C84" s="172"/>
      <c r="D84" s="172"/>
      <c r="E84" s="172"/>
      <c r="F84" s="406"/>
      <c r="G84" s="172"/>
      <c r="H84" s="547"/>
      <c r="I84" s="547"/>
      <c r="J84" s="547"/>
      <c r="K84" s="547"/>
      <c r="L84" s="172"/>
      <c r="M84" s="152" t="s">
        <v>435</v>
      </c>
      <c r="N84" s="173"/>
    </row>
    <row r="85" spans="2:14" x14ac:dyDescent="0.2">
      <c r="B85" s="63"/>
      <c r="C85" s="64"/>
      <c r="D85" s="64"/>
      <c r="E85" s="64"/>
      <c r="F85" s="175"/>
      <c r="G85" s="64"/>
      <c r="H85" s="294"/>
      <c r="I85" s="294"/>
      <c r="J85" s="294"/>
      <c r="K85" s="294"/>
      <c r="L85" s="64"/>
      <c r="M85" s="64"/>
      <c r="N85" s="67"/>
    </row>
    <row r="86" spans="2:14" x14ac:dyDescent="0.2">
      <c r="B86" s="69"/>
      <c r="C86" s="70"/>
      <c r="D86" s="879"/>
      <c r="E86" s="879"/>
      <c r="F86" s="1010"/>
      <c r="G86" s="879"/>
      <c r="H86" s="1011"/>
      <c r="I86" s="1011"/>
      <c r="J86" s="1011"/>
      <c r="K86" s="1011"/>
      <c r="L86" s="879"/>
      <c r="M86" s="70"/>
      <c r="N86" s="73"/>
    </row>
    <row r="87" spans="2:14" ht="12.75" customHeight="1" x14ac:dyDescent="0.2">
      <c r="B87" s="69"/>
      <c r="C87" s="70"/>
      <c r="D87" s="1007"/>
      <c r="E87" s="1008"/>
      <c r="F87" s="1012"/>
      <c r="G87" s="1008"/>
      <c r="H87" s="1009">
        <f>H8</f>
        <v>2015</v>
      </c>
      <c r="I87" s="1009">
        <f>H87+1</f>
        <v>2016</v>
      </c>
      <c r="J87" s="1009">
        <f>I87+1</f>
        <v>2017</v>
      </c>
      <c r="K87" s="1009">
        <f>J87+1</f>
        <v>2018</v>
      </c>
      <c r="L87" s="1009">
        <f>K87+1</f>
        <v>2019</v>
      </c>
      <c r="M87" s="548"/>
      <c r="N87" s="112"/>
    </row>
    <row r="88" spans="2:14" ht="12.75" customHeight="1" x14ac:dyDescent="0.2">
      <c r="B88" s="69"/>
      <c r="C88" s="70"/>
      <c r="D88" s="882"/>
      <c r="E88" s="1013"/>
      <c r="F88" s="880"/>
      <c r="G88" s="1013"/>
      <c r="H88" s="1014"/>
      <c r="I88" s="1014"/>
      <c r="J88" s="1014"/>
      <c r="K88" s="1014"/>
      <c r="L88" s="1009"/>
      <c r="M88" s="481"/>
      <c r="N88" s="482"/>
    </row>
    <row r="89" spans="2:14" ht="12.75" customHeight="1" x14ac:dyDescent="0.2">
      <c r="B89" s="69"/>
      <c r="C89" s="86"/>
      <c r="D89" s="1015"/>
      <c r="E89" s="1015"/>
      <c r="F89" s="1016"/>
      <c r="G89" s="1015"/>
      <c r="H89" s="1017"/>
      <c r="I89" s="1017"/>
      <c r="J89" s="1017"/>
      <c r="K89" s="1017"/>
      <c r="L89" s="1018"/>
      <c r="M89" s="553"/>
      <c r="N89" s="482"/>
    </row>
    <row r="90" spans="2:14" ht="12.75" customHeight="1" x14ac:dyDescent="0.2">
      <c r="B90" s="69"/>
      <c r="C90" s="90"/>
      <c r="D90" s="1019" t="s">
        <v>284</v>
      </c>
      <c r="E90" s="897"/>
      <c r="F90" s="898" t="s">
        <v>64</v>
      </c>
      <c r="G90" s="897"/>
      <c r="H90" s="1020"/>
      <c r="I90" s="1020"/>
      <c r="J90" s="1020"/>
      <c r="K90" s="1020"/>
      <c r="L90" s="1021"/>
      <c r="M90" s="556"/>
      <c r="N90" s="482"/>
    </row>
    <row r="91" spans="2:14" ht="12.75" customHeight="1" x14ac:dyDescent="0.2">
      <c r="B91" s="69"/>
      <c r="C91" s="90"/>
      <c r="D91" s="92"/>
      <c r="E91" s="92"/>
      <c r="F91" s="95"/>
      <c r="G91" s="92"/>
      <c r="H91" s="554"/>
      <c r="I91" s="554"/>
      <c r="J91" s="554"/>
      <c r="K91" s="554"/>
      <c r="L91" s="555"/>
      <c r="M91" s="556"/>
      <c r="N91" s="482"/>
    </row>
    <row r="92" spans="2:14" ht="12.75" customHeight="1" x14ac:dyDescent="0.2">
      <c r="B92" s="69"/>
      <c r="C92" s="90"/>
      <c r="D92" s="91" t="s">
        <v>271</v>
      </c>
      <c r="E92" s="92"/>
      <c r="F92" s="264"/>
      <c r="G92" s="92"/>
      <c r="H92" s="936">
        <f>act!F34+act!F42</f>
        <v>0</v>
      </c>
      <c r="I92" s="936">
        <f>act!G34+act!G42</f>
        <v>0</v>
      </c>
      <c r="J92" s="936">
        <f>act!H34+act!H42</f>
        <v>0</v>
      </c>
      <c r="K92" s="936">
        <f>act!I34+act!I42</f>
        <v>0</v>
      </c>
      <c r="L92" s="936">
        <f>act!J34+act!J42</f>
        <v>0</v>
      </c>
      <c r="M92" s="463"/>
      <c r="N92" s="482"/>
    </row>
    <row r="93" spans="2:14" ht="12.75" customHeight="1" x14ac:dyDescent="0.2">
      <c r="B93" s="69"/>
      <c r="C93" s="90"/>
      <c r="D93" s="91" t="s">
        <v>272</v>
      </c>
      <c r="E93" s="92"/>
      <c r="F93" s="264"/>
      <c r="G93" s="92"/>
      <c r="H93" s="936">
        <f>act!F35+act!F43</f>
        <v>0</v>
      </c>
      <c r="I93" s="936">
        <f>act!G35+act!G43</f>
        <v>0</v>
      </c>
      <c r="J93" s="936">
        <f>act!H35+act!H43</f>
        <v>0</v>
      </c>
      <c r="K93" s="936">
        <f>act!I35+act!I43</f>
        <v>0</v>
      </c>
      <c r="L93" s="936">
        <f>act!J35+act!J43</f>
        <v>0</v>
      </c>
      <c r="M93" s="463"/>
      <c r="N93" s="482"/>
    </row>
    <row r="94" spans="2:14" ht="12.75" customHeight="1" x14ac:dyDescent="0.2">
      <c r="B94" s="69"/>
      <c r="C94" s="90"/>
      <c r="D94" s="214" t="s">
        <v>54</v>
      </c>
      <c r="E94" s="92"/>
      <c r="F94" s="264"/>
      <c r="G94" s="92"/>
      <c r="H94" s="936">
        <f>act!F36+act!F44</f>
        <v>0</v>
      </c>
      <c r="I94" s="936">
        <f>act!G36+act!G44</f>
        <v>0</v>
      </c>
      <c r="J94" s="936">
        <f>act!H36+act!H44</f>
        <v>0</v>
      </c>
      <c r="K94" s="936">
        <f>act!I36+act!I44</f>
        <v>0</v>
      </c>
      <c r="L94" s="936">
        <f>act!J36+act!J44</f>
        <v>0</v>
      </c>
      <c r="M94" s="463"/>
      <c r="N94" s="482"/>
    </row>
    <row r="95" spans="2:14" ht="12.75" customHeight="1" x14ac:dyDescent="0.2">
      <c r="B95" s="69"/>
      <c r="C95" s="90"/>
      <c r="D95" s="214" t="s">
        <v>55</v>
      </c>
      <c r="E95" s="92"/>
      <c r="F95" s="264"/>
      <c r="G95" s="92"/>
      <c r="H95" s="936">
        <f>act!F37+act!F45</f>
        <v>0</v>
      </c>
      <c r="I95" s="936">
        <f>act!G37+act!G45</f>
        <v>0</v>
      </c>
      <c r="J95" s="936">
        <f>act!H37+act!H45</f>
        <v>0</v>
      </c>
      <c r="K95" s="936">
        <f>act!I37+act!I45</f>
        <v>0</v>
      </c>
      <c r="L95" s="936">
        <f>act!J37+act!J45</f>
        <v>0</v>
      </c>
      <c r="M95" s="463"/>
      <c r="N95" s="482"/>
    </row>
    <row r="96" spans="2:14" ht="12.75" customHeight="1" x14ac:dyDescent="0.2">
      <c r="B96" s="69"/>
      <c r="C96" s="90"/>
      <c r="D96" s="91" t="s">
        <v>313</v>
      </c>
      <c r="E96" s="92"/>
      <c r="F96" s="264"/>
      <c r="G96" s="92"/>
      <c r="H96" s="936">
        <f>act!F38+act!F46</f>
        <v>0</v>
      </c>
      <c r="I96" s="936">
        <f>act!G38+act!G46</f>
        <v>0</v>
      </c>
      <c r="J96" s="936">
        <f>act!H38+act!H46</f>
        <v>0</v>
      </c>
      <c r="K96" s="936">
        <f>act!I38+act!I46</f>
        <v>0</v>
      </c>
      <c r="L96" s="936">
        <f>act!J38+act!J46</f>
        <v>0</v>
      </c>
      <c r="M96" s="463"/>
      <c r="N96" s="482"/>
    </row>
    <row r="97" spans="2:17" ht="12.75" customHeight="1" x14ac:dyDescent="0.2">
      <c r="B97" s="69"/>
      <c r="C97" s="90"/>
      <c r="D97" s="91" t="s">
        <v>273</v>
      </c>
      <c r="E97" s="92"/>
      <c r="F97" s="264"/>
      <c r="G97" s="92"/>
      <c r="H97" s="936">
        <f>act!F39+act!F47</f>
        <v>0</v>
      </c>
      <c r="I97" s="936">
        <f>act!G39+act!G47</f>
        <v>0</v>
      </c>
      <c r="J97" s="936">
        <f>act!H39+act!H47</f>
        <v>0</v>
      </c>
      <c r="K97" s="936">
        <f>act!I39+act!I47</f>
        <v>0</v>
      </c>
      <c r="L97" s="936">
        <f>act!J39+act!J47</f>
        <v>0</v>
      </c>
      <c r="M97" s="463"/>
      <c r="N97" s="482"/>
    </row>
    <row r="98" spans="2:17" ht="12.75" customHeight="1" x14ac:dyDescent="0.2">
      <c r="B98" s="69"/>
      <c r="C98" s="90"/>
      <c r="D98" s="92"/>
      <c r="E98" s="92"/>
      <c r="F98" s="123"/>
      <c r="G98" s="557"/>
      <c r="H98" s="554"/>
      <c r="I98" s="554"/>
      <c r="J98" s="554"/>
      <c r="K98" s="554"/>
      <c r="L98" s="555"/>
      <c r="M98" s="556"/>
      <c r="N98" s="482"/>
    </row>
    <row r="99" spans="2:17" ht="12.75" customHeight="1" x14ac:dyDescent="0.2">
      <c r="B99" s="69"/>
      <c r="C99" s="90"/>
      <c r="D99" s="126" t="s">
        <v>320</v>
      </c>
      <c r="E99" s="92"/>
      <c r="F99" s="95"/>
      <c r="G99" s="92"/>
      <c r="H99" s="969">
        <f>SUM(H92:H97)</f>
        <v>0</v>
      </c>
      <c r="I99" s="969">
        <f>SUM(I92:I97)</f>
        <v>0</v>
      </c>
      <c r="J99" s="969">
        <f>SUM(J92:J97)</f>
        <v>0</v>
      </c>
      <c r="K99" s="969">
        <f>SUM(K92:K97)</f>
        <v>0</v>
      </c>
      <c r="L99" s="969">
        <f>SUM(L92:L97)</f>
        <v>0</v>
      </c>
      <c r="M99" s="558"/>
      <c r="N99" s="482"/>
    </row>
    <row r="100" spans="2:17" ht="12.75" customHeight="1" x14ac:dyDescent="0.2">
      <c r="B100" s="69"/>
      <c r="C100" s="98"/>
      <c r="D100" s="559"/>
      <c r="E100" s="560"/>
      <c r="F100" s="100"/>
      <c r="G100" s="560"/>
      <c r="H100" s="561"/>
      <c r="I100" s="561"/>
      <c r="J100" s="561"/>
      <c r="K100" s="561"/>
      <c r="L100" s="562"/>
      <c r="M100" s="563"/>
      <c r="N100" s="482"/>
    </row>
    <row r="101" spans="2:17" ht="12.75" customHeight="1" x14ac:dyDescent="0.2">
      <c r="B101" s="69"/>
      <c r="C101" s="70"/>
      <c r="D101" s="71"/>
      <c r="E101" s="479"/>
      <c r="F101" s="72"/>
      <c r="G101" s="479"/>
      <c r="H101" s="480"/>
      <c r="I101" s="480"/>
      <c r="J101" s="480"/>
      <c r="K101" s="480"/>
      <c r="L101" s="481"/>
      <c r="M101" s="481"/>
      <c r="N101" s="482"/>
    </row>
    <row r="102" spans="2:17" ht="12.75" customHeight="1" x14ac:dyDescent="0.2">
      <c r="B102" s="69"/>
      <c r="C102" s="86"/>
      <c r="D102" s="87"/>
      <c r="E102" s="87"/>
      <c r="F102" s="179"/>
      <c r="G102" s="87"/>
      <c r="H102" s="564"/>
      <c r="I102" s="564"/>
      <c r="J102" s="564"/>
      <c r="K102" s="564"/>
      <c r="L102" s="565"/>
      <c r="M102" s="566"/>
      <c r="N102" s="567"/>
    </row>
    <row r="103" spans="2:17" ht="12.75" customHeight="1" x14ac:dyDescent="0.2">
      <c r="B103" s="69"/>
      <c r="C103" s="90"/>
      <c r="D103" s="883" t="s">
        <v>285</v>
      </c>
      <c r="E103" s="897"/>
      <c r="F103" s="898"/>
      <c r="G103" s="92"/>
      <c r="H103" s="568"/>
      <c r="I103" s="568"/>
      <c r="J103" s="568"/>
      <c r="K103" s="568"/>
      <c r="L103" s="569"/>
      <c r="M103" s="570"/>
      <c r="N103" s="571"/>
    </row>
    <row r="104" spans="2:17" ht="12.75" customHeight="1" x14ac:dyDescent="0.2">
      <c r="B104" s="69"/>
      <c r="C104" s="90"/>
      <c r="D104" s="1022"/>
      <c r="E104" s="897"/>
      <c r="F104" s="898" t="s">
        <v>64</v>
      </c>
      <c r="G104" s="92"/>
      <c r="H104" s="568"/>
      <c r="I104" s="568"/>
      <c r="J104" s="568"/>
      <c r="K104" s="568"/>
      <c r="L104" s="569"/>
      <c r="M104" s="570"/>
      <c r="N104" s="571"/>
    </row>
    <row r="105" spans="2:17" ht="12.75" customHeight="1" x14ac:dyDescent="0.2">
      <c r="B105" s="69"/>
      <c r="C105" s="90"/>
      <c r="D105" s="557" t="s">
        <v>576</v>
      </c>
      <c r="E105" s="92"/>
      <c r="F105" s="572"/>
      <c r="G105" s="92"/>
      <c r="H105" s="936">
        <f>mop!F17</f>
        <v>0</v>
      </c>
      <c r="I105" s="936">
        <f>mop!G17</f>
        <v>0</v>
      </c>
      <c r="J105" s="936">
        <f>mop!H17</f>
        <v>0</v>
      </c>
      <c r="K105" s="936">
        <f>mop!I17</f>
        <v>0</v>
      </c>
      <c r="L105" s="936">
        <f>mop!J17</f>
        <v>0</v>
      </c>
      <c r="M105" s="463"/>
      <c r="N105" s="573"/>
      <c r="Q105" s="417"/>
    </row>
    <row r="106" spans="2:17" ht="12.75" customHeight="1" x14ac:dyDescent="0.2">
      <c r="B106" s="69"/>
      <c r="C106" s="90"/>
      <c r="D106" s="574"/>
      <c r="E106" s="557"/>
      <c r="F106" s="264"/>
      <c r="G106" s="557"/>
      <c r="H106" s="501">
        <v>0</v>
      </c>
      <c r="I106" s="501">
        <f t="shared" ref="I106:K114" si="19">H106</f>
        <v>0</v>
      </c>
      <c r="J106" s="501">
        <f t="shared" si="19"/>
        <v>0</v>
      </c>
      <c r="K106" s="501">
        <f t="shared" si="19"/>
        <v>0</v>
      </c>
      <c r="L106" s="501">
        <f t="shared" ref="L106:L114" si="20">K106</f>
        <v>0</v>
      </c>
      <c r="M106" s="500"/>
      <c r="N106" s="575"/>
    </row>
    <row r="107" spans="2:17" ht="12.75" customHeight="1" x14ac:dyDescent="0.2">
      <c r="B107" s="69"/>
      <c r="C107" s="90"/>
      <c r="D107" s="218"/>
      <c r="E107" s="557"/>
      <c r="F107" s="264"/>
      <c r="G107" s="557"/>
      <c r="H107" s="501">
        <v>0</v>
      </c>
      <c r="I107" s="501">
        <f t="shared" si="19"/>
        <v>0</v>
      </c>
      <c r="J107" s="501">
        <f t="shared" si="19"/>
        <v>0</v>
      </c>
      <c r="K107" s="501">
        <f t="shared" si="19"/>
        <v>0</v>
      </c>
      <c r="L107" s="501">
        <f t="shared" si="20"/>
        <v>0</v>
      </c>
      <c r="M107" s="500"/>
      <c r="N107" s="575"/>
    </row>
    <row r="108" spans="2:17" ht="12.75" customHeight="1" x14ac:dyDescent="0.2">
      <c r="B108" s="69"/>
      <c r="C108" s="90"/>
      <c r="D108" s="218"/>
      <c r="E108" s="557"/>
      <c r="F108" s="264"/>
      <c r="G108" s="557"/>
      <c r="H108" s="501">
        <v>0</v>
      </c>
      <c r="I108" s="501">
        <f t="shared" si="19"/>
        <v>0</v>
      </c>
      <c r="J108" s="501">
        <f t="shared" si="19"/>
        <v>0</v>
      </c>
      <c r="K108" s="501">
        <f t="shared" si="19"/>
        <v>0</v>
      </c>
      <c r="L108" s="501">
        <f t="shared" si="20"/>
        <v>0</v>
      </c>
      <c r="M108" s="500"/>
      <c r="N108" s="575"/>
    </row>
    <row r="109" spans="2:17" ht="12.75" customHeight="1" x14ac:dyDescent="0.2">
      <c r="B109" s="69"/>
      <c r="C109" s="90"/>
      <c r="D109" s="218"/>
      <c r="E109" s="557"/>
      <c r="F109" s="264"/>
      <c r="G109" s="557"/>
      <c r="H109" s="501">
        <v>0</v>
      </c>
      <c r="I109" s="501">
        <f t="shared" si="19"/>
        <v>0</v>
      </c>
      <c r="J109" s="501">
        <f t="shared" si="19"/>
        <v>0</v>
      </c>
      <c r="K109" s="501">
        <f t="shared" si="19"/>
        <v>0</v>
      </c>
      <c r="L109" s="501">
        <f t="shared" si="20"/>
        <v>0</v>
      </c>
      <c r="M109" s="500"/>
      <c r="N109" s="575"/>
    </row>
    <row r="110" spans="2:17" ht="12.75" customHeight="1" x14ac:dyDescent="0.2">
      <c r="B110" s="69"/>
      <c r="C110" s="90"/>
      <c r="D110" s="218"/>
      <c r="E110" s="557"/>
      <c r="F110" s="264"/>
      <c r="G110" s="557"/>
      <c r="H110" s="501">
        <v>0</v>
      </c>
      <c r="I110" s="501">
        <f t="shared" si="19"/>
        <v>0</v>
      </c>
      <c r="J110" s="501">
        <f t="shared" si="19"/>
        <v>0</v>
      </c>
      <c r="K110" s="501">
        <f t="shared" si="19"/>
        <v>0</v>
      </c>
      <c r="L110" s="501">
        <f t="shared" si="20"/>
        <v>0</v>
      </c>
      <c r="M110" s="500"/>
      <c r="N110" s="575"/>
    </row>
    <row r="111" spans="2:17" ht="12.75" customHeight="1" x14ac:dyDescent="0.2">
      <c r="B111" s="69"/>
      <c r="C111" s="90"/>
      <c r="D111" s="218"/>
      <c r="E111" s="557"/>
      <c r="F111" s="264"/>
      <c r="G111" s="557"/>
      <c r="H111" s="501">
        <v>0</v>
      </c>
      <c r="I111" s="501">
        <f t="shared" si="19"/>
        <v>0</v>
      </c>
      <c r="J111" s="501">
        <f t="shared" si="19"/>
        <v>0</v>
      </c>
      <c r="K111" s="501">
        <f t="shared" si="19"/>
        <v>0</v>
      </c>
      <c r="L111" s="501">
        <f t="shared" si="20"/>
        <v>0</v>
      </c>
      <c r="M111" s="500"/>
      <c r="N111" s="575"/>
    </row>
    <row r="112" spans="2:17" ht="12.75" customHeight="1" x14ac:dyDescent="0.2">
      <c r="B112" s="69"/>
      <c r="C112" s="90"/>
      <c r="D112" s="218"/>
      <c r="E112" s="557"/>
      <c r="F112" s="264"/>
      <c r="G112" s="557"/>
      <c r="H112" s="501">
        <v>0</v>
      </c>
      <c r="I112" s="501">
        <f t="shared" ref="I112:K113" si="21">H112</f>
        <v>0</v>
      </c>
      <c r="J112" s="501">
        <f t="shared" si="21"/>
        <v>0</v>
      </c>
      <c r="K112" s="501">
        <f t="shared" si="21"/>
        <v>0</v>
      </c>
      <c r="L112" s="501">
        <f t="shared" si="20"/>
        <v>0</v>
      </c>
      <c r="M112" s="500"/>
      <c r="N112" s="575"/>
    </row>
    <row r="113" spans="2:14" ht="12.75" customHeight="1" x14ac:dyDescent="0.2">
      <c r="B113" s="69"/>
      <c r="C113" s="90"/>
      <c r="D113" s="218"/>
      <c r="E113" s="557"/>
      <c r="F113" s="264"/>
      <c r="G113" s="557"/>
      <c r="H113" s="501">
        <v>0</v>
      </c>
      <c r="I113" s="501">
        <f t="shared" si="21"/>
        <v>0</v>
      </c>
      <c r="J113" s="501">
        <f t="shared" si="21"/>
        <v>0</v>
      </c>
      <c r="K113" s="501">
        <f t="shared" si="21"/>
        <v>0</v>
      </c>
      <c r="L113" s="501">
        <f t="shared" si="20"/>
        <v>0</v>
      </c>
      <c r="M113" s="500"/>
      <c r="N113" s="575"/>
    </row>
    <row r="114" spans="2:14" ht="12.75" customHeight="1" x14ac:dyDescent="0.2">
      <c r="B114" s="69"/>
      <c r="C114" s="90"/>
      <c r="D114" s="218"/>
      <c r="E114" s="557"/>
      <c r="F114" s="264"/>
      <c r="G114" s="557"/>
      <c r="H114" s="501">
        <v>0</v>
      </c>
      <c r="I114" s="501">
        <f t="shared" si="19"/>
        <v>0</v>
      </c>
      <c r="J114" s="501">
        <f t="shared" si="19"/>
        <v>0</v>
      </c>
      <c r="K114" s="501">
        <f t="shared" si="19"/>
        <v>0</v>
      </c>
      <c r="L114" s="501">
        <f t="shared" si="20"/>
        <v>0</v>
      </c>
      <c r="M114" s="500"/>
      <c r="N114" s="575"/>
    </row>
    <row r="115" spans="2:14" ht="12.75" customHeight="1" x14ac:dyDescent="0.2">
      <c r="B115" s="69"/>
      <c r="C115" s="90"/>
      <c r="D115" s="557"/>
      <c r="E115" s="557"/>
      <c r="F115" s="123"/>
      <c r="G115" s="557"/>
      <c r="H115" s="554"/>
      <c r="I115" s="554"/>
      <c r="J115" s="554"/>
      <c r="K115" s="554"/>
      <c r="L115" s="554"/>
      <c r="M115" s="463"/>
      <c r="N115" s="575"/>
    </row>
    <row r="116" spans="2:14" ht="12.75" customHeight="1" x14ac:dyDescent="0.2">
      <c r="B116" s="69"/>
      <c r="C116" s="90"/>
      <c r="D116" s="126" t="s">
        <v>320</v>
      </c>
      <c r="E116" s="92"/>
      <c r="F116" s="95"/>
      <c r="G116" s="92"/>
      <c r="H116" s="969">
        <f>SUM(H105:H114)</f>
        <v>0</v>
      </c>
      <c r="I116" s="969">
        <f>SUM(I105:I114)</f>
        <v>0</v>
      </c>
      <c r="J116" s="969">
        <f>SUM(J105:J114)</f>
        <v>0</v>
      </c>
      <c r="K116" s="969">
        <f>SUM(K105:K114)</f>
        <v>0</v>
      </c>
      <c r="L116" s="969">
        <f>SUM(L105:L114)</f>
        <v>0</v>
      </c>
      <c r="M116" s="558"/>
      <c r="N116" s="576"/>
    </row>
    <row r="117" spans="2:14" ht="12.75" customHeight="1" x14ac:dyDescent="0.2">
      <c r="B117" s="69"/>
      <c r="C117" s="98"/>
      <c r="D117" s="99"/>
      <c r="E117" s="99"/>
      <c r="F117" s="191"/>
      <c r="G117" s="99"/>
      <c r="H117" s="577"/>
      <c r="I117" s="577"/>
      <c r="J117" s="577"/>
      <c r="K117" s="577"/>
      <c r="L117" s="577"/>
      <c r="M117" s="578"/>
      <c r="N117" s="573"/>
    </row>
    <row r="118" spans="2:14" ht="12.75" customHeight="1" x14ac:dyDescent="0.2">
      <c r="B118" s="69"/>
      <c r="C118" s="70"/>
      <c r="D118" s="70"/>
      <c r="E118" s="70"/>
      <c r="F118" s="176"/>
      <c r="G118" s="70"/>
      <c r="H118" s="446"/>
      <c r="I118" s="446"/>
      <c r="J118" s="446"/>
      <c r="K118" s="446"/>
      <c r="L118" s="446"/>
      <c r="M118" s="446"/>
      <c r="N118" s="573"/>
    </row>
    <row r="119" spans="2:14" ht="12.75" customHeight="1" x14ac:dyDescent="0.2">
      <c r="B119" s="69"/>
      <c r="C119" s="86"/>
      <c r="D119" s="549"/>
      <c r="E119" s="549"/>
      <c r="F119" s="550"/>
      <c r="G119" s="549"/>
      <c r="H119" s="551"/>
      <c r="I119" s="551"/>
      <c r="J119" s="551"/>
      <c r="K119" s="551"/>
      <c r="L119" s="551"/>
      <c r="M119" s="579"/>
      <c r="N119" s="573"/>
    </row>
    <row r="120" spans="2:14" s="182" customFormat="1" ht="12.75" customHeight="1" x14ac:dyDescent="0.2">
      <c r="B120" s="158"/>
      <c r="C120" s="163"/>
      <c r="D120" s="883" t="s">
        <v>404</v>
      </c>
      <c r="E120" s="1019"/>
      <c r="F120" s="898" t="s">
        <v>64</v>
      </c>
      <c r="G120" s="580"/>
      <c r="H120" s="581"/>
      <c r="I120" s="581"/>
      <c r="J120" s="581"/>
      <c r="K120" s="581"/>
      <c r="L120" s="581"/>
      <c r="M120" s="558"/>
      <c r="N120" s="576"/>
    </row>
    <row r="121" spans="2:14" s="182" customFormat="1" ht="12.75" customHeight="1" x14ac:dyDescent="0.2">
      <c r="B121" s="158"/>
      <c r="C121" s="163"/>
      <c r="D121" s="582"/>
      <c r="E121" s="580"/>
      <c r="F121" s="583"/>
      <c r="G121" s="580"/>
      <c r="H121" s="581"/>
      <c r="I121" s="581"/>
      <c r="J121" s="581"/>
      <c r="K121" s="581"/>
      <c r="L121" s="581"/>
      <c r="M121" s="558"/>
      <c r="N121" s="576"/>
    </row>
    <row r="122" spans="2:14" ht="12.75" customHeight="1" x14ac:dyDescent="0.2">
      <c r="B122" s="69"/>
      <c r="C122" s="90"/>
      <c r="D122" s="574"/>
      <c r="E122" s="557"/>
      <c r="F122" s="264"/>
      <c r="G122" s="557"/>
      <c r="H122" s="501">
        <v>0</v>
      </c>
      <c r="I122" s="501">
        <f t="shared" ref="I122:K135" si="22">H122</f>
        <v>0</v>
      </c>
      <c r="J122" s="501">
        <f t="shared" si="22"/>
        <v>0</v>
      </c>
      <c r="K122" s="501">
        <f t="shared" si="22"/>
        <v>0</v>
      </c>
      <c r="L122" s="501">
        <f t="shared" ref="L122:L139" si="23">K122</f>
        <v>0</v>
      </c>
      <c r="M122" s="500"/>
      <c r="N122" s="575"/>
    </row>
    <row r="123" spans="2:14" ht="12.75" customHeight="1" x14ac:dyDescent="0.2">
      <c r="B123" s="69"/>
      <c r="C123" s="90"/>
      <c r="D123" s="574"/>
      <c r="E123" s="557"/>
      <c r="F123" s="264"/>
      <c r="G123" s="557"/>
      <c r="H123" s="501">
        <v>0</v>
      </c>
      <c r="I123" s="501">
        <f t="shared" ref="I123:L125" si="24">H123</f>
        <v>0</v>
      </c>
      <c r="J123" s="501">
        <f t="shared" si="24"/>
        <v>0</v>
      </c>
      <c r="K123" s="501">
        <f t="shared" si="24"/>
        <v>0</v>
      </c>
      <c r="L123" s="501">
        <f t="shared" si="24"/>
        <v>0</v>
      </c>
      <c r="M123" s="500"/>
      <c r="N123" s="575"/>
    </row>
    <row r="124" spans="2:14" ht="12.75" customHeight="1" x14ac:dyDescent="0.2">
      <c r="B124" s="69"/>
      <c r="C124" s="90"/>
      <c r="D124" s="574"/>
      <c r="E124" s="557"/>
      <c r="F124" s="264"/>
      <c r="G124" s="557"/>
      <c r="H124" s="501">
        <v>0</v>
      </c>
      <c r="I124" s="501">
        <f t="shared" si="24"/>
        <v>0</v>
      </c>
      <c r="J124" s="501">
        <f t="shared" si="24"/>
        <v>0</v>
      </c>
      <c r="K124" s="501">
        <f t="shared" si="24"/>
        <v>0</v>
      </c>
      <c r="L124" s="501">
        <f t="shared" si="24"/>
        <v>0</v>
      </c>
      <c r="M124" s="500"/>
      <c r="N124" s="575"/>
    </row>
    <row r="125" spans="2:14" ht="12.75" customHeight="1" x14ac:dyDescent="0.2">
      <c r="B125" s="69"/>
      <c r="C125" s="90"/>
      <c r="D125" s="574"/>
      <c r="E125" s="557"/>
      <c r="F125" s="264"/>
      <c r="G125" s="557"/>
      <c r="H125" s="501">
        <v>0</v>
      </c>
      <c r="I125" s="501">
        <f t="shared" si="24"/>
        <v>0</v>
      </c>
      <c r="J125" s="501">
        <f t="shared" si="24"/>
        <v>0</v>
      </c>
      <c r="K125" s="501">
        <f t="shared" si="24"/>
        <v>0</v>
      </c>
      <c r="L125" s="501">
        <f t="shared" si="24"/>
        <v>0</v>
      </c>
      <c r="M125" s="500"/>
      <c r="N125" s="575"/>
    </row>
    <row r="126" spans="2:14" ht="12.75" customHeight="1" x14ac:dyDescent="0.2">
      <c r="B126" s="69"/>
      <c r="C126" s="90"/>
      <c r="D126" s="574"/>
      <c r="E126" s="557"/>
      <c r="F126" s="264"/>
      <c r="G126" s="557"/>
      <c r="H126" s="501">
        <v>0</v>
      </c>
      <c r="I126" s="501">
        <f t="shared" si="22"/>
        <v>0</v>
      </c>
      <c r="J126" s="501">
        <f t="shared" si="22"/>
        <v>0</v>
      </c>
      <c r="K126" s="501">
        <f t="shared" si="22"/>
        <v>0</v>
      </c>
      <c r="L126" s="501">
        <f t="shared" si="23"/>
        <v>0</v>
      </c>
      <c r="M126" s="500"/>
      <c r="N126" s="575"/>
    </row>
    <row r="127" spans="2:14" ht="12.75" customHeight="1" x14ac:dyDescent="0.2">
      <c r="B127" s="69"/>
      <c r="C127" s="90"/>
      <c r="D127" s="574"/>
      <c r="E127" s="557"/>
      <c r="F127" s="264"/>
      <c r="G127" s="557"/>
      <c r="H127" s="501">
        <v>0</v>
      </c>
      <c r="I127" s="501">
        <f t="shared" si="22"/>
        <v>0</v>
      </c>
      <c r="J127" s="501">
        <f t="shared" si="22"/>
        <v>0</v>
      </c>
      <c r="K127" s="501">
        <f t="shared" si="22"/>
        <v>0</v>
      </c>
      <c r="L127" s="501">
        <f t="shared" si="23"/>
        <v>0</v>
      </c>
      <c r="M127" s="500"/>
      <c r="N127" s="575"/>
    </row>
    <row r="128" spans="2:14" ht="12.75" customHeight="1" x14ac:dyDescent="0.2">
      <c r="B128" s="69"/>
      <c r="C128" s="90"/>
      <c r="D128" s="574"/>
      <c r="E128" s="557"/>
      <c r="F128" s="264"/>
      <c r="G128" s="557"/>
      <c r="H128" s="501">
        <v>0</v>
      </c>
      <c r="I128" s="501">
        <f t="shared" si="22"/>
        <v>0</v>
      </c>
      <c r="J128" s="501">
        <f t="shared" si="22"/>
        <v>0</v>
      </c>
      <c r="K128" s="501">
        <f t="shared" si="22"/>
        <v>0</v>
      </c>
      <c r="L128" s="501">
        <f t="shared" si="23"/>
        <v>0</v>
      </c>
      <c r="M128" s="500"/>
      <c r="N128" s="575"/>
    </row>
    <row r="129" spans="2:14" ht="12.75" customHeight="1" x14ac:dyDescent="0.2">
      <c r="B129" s="69"/>
      <c r="C129" s="90"/>
      <c r="D129" s="574"/>
      <c r="E129" s="557"/>
      <c r="F129" s="264"/>
      <c r="G129" s="557"/>
      <c r="H129" s="501">
        <v>0</v>
      </c>
      <c r="I129" s="501">
        <f t="shared" si="22"/>
        <v>0</v>
      </c>
      <c r="J129" s="501">
        <f t="shared" si="22"/>
        <v>0</v>
      </c>
      <c r="K129" s="501">
        <f t="shared" si="22"/>
        <v>0</v>
      </c>
      <c r="L129" s="501">
        <f t="shared" si="23"/>
        <v>0</v>
      </c>
      <c r="M129" s="500"/>
      <c r="N129" s="575"/>
    </row>
    <row r="130" spans="2:14" ht="12.75" customHeight="1" x14ac:dyDescent="0.2">
      <c r="B130" s="69"/>
      <c r="C130" s="90"/>
      <c r="D130" s="574"/>
      <c r="E130" s="557"/>
      <c r="F130" s="264"/>
      <c r="G130" s="557"/>
      <c r="H130" s="501">
        <v>0</v>
      </c>
      <c r="I130" s="501">
        <f t="shared" si="22"/>
        <v>0</v>
      </c>
      <c r="J130" s="501">
        <f t="shared" si="22"/>
        <v>0</v>
      </c>
      <c r="K130" s="501">
        <f t="shared" si="22"/>
        <v>0</v>
      </c>
      <c r="L130" s="501">
        <f t="shared" si="23"/>
        <v>0</v>
      </c>
      <c r="M130" s="500"/>
      <c r="N130" s="575"/>
    </row>
    <row r="131" spans="2:14" ht="12.75" customHeight="1" x14ac:dyDescent="0.2">
      <c r="B131" s="69"/>
      <c r="C131" s="90"/>
      <c r="D131" s="574"/>
      <c r="E131" s="557"/>
      <c r="F131" s="264"/>
      <c r="G131" s="557"/>
      <c r="H131" s="501">
        <v>0</v>
      </c>
      <c r="I131" s="501">
        <f t="shared" si="22"/>
        <v>0</v>
      </c>
      <c r="J131" s="501">
        <f t="shared" si="22"/>
        <v>0</v>
      </c>
      <c r="K131" s="501">
        <f t="shared" si="22"/>
        <v>0</v>
      </c>
      <c r="L131" s="501">
        <f t="shared" si="23"/>
        <v>0</v>
      </c>
      <c r="M131" s="500"/>
      <c r="N131" s="575"/>
    </row>
    <row r="132" spans="2:14" ht="12.75" customHeight="1" x14ac:dyDescent="0.2">
      <c r="B132" s="69"/>
      <c r="C132" s="90"/>
      <c r="D132" s="574"/>
      <c r="E132" s="557"/>
      <c r="F132" s="264"/>
      <c r="G132" s="557"/>
      <c r="H132" s="501">
        <v>0</v>
      </c>
      <c r="I132" s="501">
        <f t="shared" si="22"/>
        <v>0</v>
      </c>
      <c r="J132" s="501">
        <f t="shared" si="22"/>
        <v>0</v>
      </c>
      <c r="K132" s="501">
        <f t="shared" si="22"/>
        <v>0</v>
      </c>
      <c r="L132" s="501">
        <f t="shared" si="23"/>
        <v>0</v>
      </c>
      <c r="M132" s="500"/>
      <c r="N132" s="575"/>
    </row>
    <row r="133" spans="2:14" ht="12.75" customHeight="1" x14ac:dyDescent="0.2">
      <c r="B133" s="69"/>
      <c r="C133" s="90"/>
      <c r="D133" s="574"/>
      <c r="E133" s="557"/>
      <c r="F133" s="264"/>
      <c r="G133" s="557"/>
      <c r="H133" s="501">
        <v>0</v>
      </c>
      <c r="I133" s="501">
        <f t="shared" si="22"/>
        <v>0</v>
      </c>
      <c r="J133" s="501">
        <f t="shared" si="22"/>
        <v>0</v>
      </c>
      <c r="K133" s="501">
        <f t="shared" si="22"/>
        <v>0</v>
      </c>
      <c r="L133" s="501">
        <f t="shared" si="23"/>
        <v>0</v>
      </c>
      <c r="M133" s="500"/>
      <c r="N133" s="575"/>
    </row>
    <row r="134" spans="2:14" ht="12.75" customHeight="1" x14ac:dyDescent="0.2">
      <c r="B134" s="69"/>
      <c r="C134" s="90"/>
      <c r="D134" s="574"/>
      <c r="E134" s="557"/>
      <c r="F134" s="264"/>
      <c r="G134" s="557"/>
      <c r="H134" s="501">
        <v>0</v>
      </c>
      <c r="I134" s="501">
        <f t="shared" si="22"/>
        <v>0</v>
      </c>
      <c r="J134" s="501">
        <f t="shared" si="22"/>
        <v>0</v>
      </c>
      <c r="K134" s="501">
        <f t="shared" si="22"/>
        <v>0</v>
      </c>
      <c r="L134" s="501">
        <f t="shared" si="23"/>
        <v>0</v>
      </c>
      <c r="M134" s="500"/>
      <c r="N134" s="575"/>
    </row>
    <row r="135" spans="2:14" ht="12.75" customHeight="1" x14ac:dyDescent="0.2">
      <c r="B135" s="69"/>
      <c r="C135" s="90"/>
      <c r="D135" s="574"/>
      <c r="E135" s="557"/>
      <c r="F135" s="264"/>
      <c r="G135" s="557"/>
      <c r="H135" s="501">
        <v>0</v>
      </c>
      <c r="I135" s="501">
        <f t="shared" si="22"/>
        <v>0</v>
      </c>
      <c r="J135" s="501">
        <f t="shared" si="22"/>
        <v>0</v>
      </c>
      <c r="K135" s="501">
        <f t="shared" si="22"/>
        <v>0</v>
      </c>
      <c r="L135" s="501">
        <f t="shared" si="23"/>
        <v>0</v>
      </c>
      <c r="M135" s="500"/>
      <c r="N135" s="575"/>
    </row>
    <row r="136" spans="2:14" ht="12.75" customHeight="1" x14ac:dyDescent="0.2">
      <c r="B136" s="69"/>
      <c r="C136" s="90"/>
      <c r="D136" s="574"/>
      <c r="E136" s="557"/>
      <c r="F136" s="264"/>
      <c r="G136" s="557"/>
      <c r="H136" s="501">
        <v>0</v>
      </c>
      <c r="I136" s="501">
        <f t="shared" ref="I136:K139" si="25">H136</f>
        <v>0</v>
      </c>
      <c r="J136" s="501">
        <f t="shared" si="25"/>
        <v>0</v>
      </c>
      <c r="K136" s="501">
        <f t="shared" si="25"/>
        <v>0</v>
      </c>
      <c r="L136" s="501">
        <f t="shared" si="23"/>
        <v>0</v>
      </c>
      <c r="M136" s="500"/>
      <c r="N136" s="575"/>
    </row>
    <row r="137" spans="2:14" ht="12.75" customHeight="1" x14ac:dyDescent="0.2">
      <c r="B137" s="69"/>
      <c r="C137" s="90"/>
      <c r="D137" s="574"/>
      <c r="E137" s="557"/>
      <c r="F137" s="264"/>
      <c r="G137" s="557"/>
      <c r="H137" s="501">
        <v>0</v>
      </c>
      <c r="I137" s="501">
        <f t="shared" si="25"/>
        <v>0</v>
      </c>
      <c r="J137" s="501">
        <f t="shared" si="25"/>
        <v>0</v>
      </c>
      <c r="K137" s="501">
        <f t="shared" si="25"/>
        <v>0</v>
      </c>
      <c r="L137" s="501">
        <f t="shared" si="23"/>
        <v>0</v>
      </c>
      <c r="M137" s="500"/>
      <c r="N137" s="575"/>
    </row>
    <row r="138" spans="2:14" ht="12.75" customHeight="1" x14ac:dyDescent="0.2">
      <c r="B138" s="69"/>
      <c r="C138" s="90"/>
      <c r="D138" s="574"/>
      <c r="E138" s="557"/>
      <c r="F138" s="264"/>
      <c r="G138" s="557"/>
      <c r="H138" s="501">
        <v>0</v>
      </c>
      <c r="I138" s="501">
        <f t="shared" si="25"/>
        <v>0</v>
      </c>
      <c r="J138" s="501">
        <f t="shared" si="25"/>
        <v>0</v>
      </c>
      <c r="K138" s="501">
        <f t="shared" si="25"/>
        <v>0</v>
      </c>
      <c r="L138" s="501">
        <f t="shared" si="23"/>
        <v>0</v>
      </c>
      <c r="M138" s="500"/>
      <c r="N138" s="575"/>
    </row>
    <row r="139" spans="2:14" ht="12.75" customHeight="1" x14ac:dyDescent="0.2">
      <c r="B139" s="69"/>
      <c r="C139" s="90"/>
      <c r="D139" s="574"/>
      <c r="E139" s="557"/>
      <c r="F139" s="264"/>
      <c r="G139" s="557"/>
      <c r="H139" s="501">
        <v>0</v>
      </c>
      <c r="I139" s="501">
        <f t="shared" si="25"/>
        <v>0</v>
      </c>
      <c r="J139" s="501">
        <f t="shared" si="25"/>
        <v>0</v>
      </c>
      <c r="K139" s="501">
        <f t="shared" si="25"/>
        <v>0</v>
      </c>
      <c r="L139" s="501">
        <f t="shared" si="23"/>
        <v>0</v>
      </c>
      <c r="M139" s="500"/>
      <c r="N139" s="575"/>
    </row>
    <row r="140" spans="2:14" ht="12.75" customHeight="1" x14ac:dyDescent="0.2">
      <c r="B140" s="69"/>
      <c r="C140" s="90"/>
      <c r="D140" s="574"/>
      <c r="E140" s="557"/>
      <c r="F140" s="264"/>
      <c r="G140" s="557"/>
      <c r="H140" s="501">
        <v>0</v>
      </c>
      <c r="I140" s="501">
        <f t="shared" ref="I140:K142" si="26">H140</f>
        <v>0</v>
      </c>
      <c r="J140" s="501">
        <f t="shared" si="26"/>
        <v>0</v>
      </c>
      <c r="K140" s="501">
        <f t="shared" si="26"/>
        <v>0</v>
      </c>
      <c r="L140" s="501">
        <f t="shared" ref="L140:L156" si="27">K140</f>
        <v>0</v>
      </c>
      <c r="M140" s="500"/>
      <c r="N140" s="575"/>
    </row>
    <row r="141" spans="2:14" ht="12.75" customHeight="1" x14ac:dyDescent="0.2">
      <c r="B141" s="69"/>
      <c r="C141" s="90"/>
      <c r="D141" s="574"/>
      <c r="E141" s="557"/>
      <c r="F141" s="264"/>
      <c r="G141" s="557"/>
      <c r="H141" s="501">
        <v>0</v>
      </c>
      <c r="I141" s="501">
        <f t="shared" si="26"/>
        <v>0</v>
      </c>
      <c r="J141" s="501">
        <f t="shared" si="26"/>
        <v>0</v>
      </c>
      <c r="K141" s="501">
        <f t="shared" si="26"/>
        <v>0</v>
      </c>
      <c r="L141" s="501">
        <f t="shared" si="27"/>
        <v>0</v>
      </c>
      <c r="M141" s="500"/>
      <c r="N141" s="575"/>
    </row>
    <row r="142" spans="2:14" ht="12.75" customHeight="1" x14ac:dyDescent="0.2">
      <c r="B142" s="69"/>
      <c r="C142" s="90"/>
      <c r="D142" s="574"/>
      <c r="E142" s="557"/>
      <c r="F142" s="264"/>
      <c r="G142" s="557"/>
      <c r="H142" s="501">
        <v>0</v>
      </c>
      <c r="I142" s="501">
        <f t="shared" si="26"/>
        <v>0</v>
      </c>
      <c r="J142" s="501">
        <f t="shared" si="26"/>
        <v>0</v>
      </c>
      <c r="K142" s="501">
        <f t="shared" si="26"/>
        <v>0</v>
      </c>
      <c r="L142" s="501">
        <f t="shared" si="27"/>
        <v>0</v>
      </c>
      <c r="M142" s="500"/>
      <c r="N142" s="575"/>
    </row>
    <row r="143" spans="2:14" ht="12.75" customHeight="1" x14ac:dyDescent="0.2">
      <c r="B143" s="69"/>
      <c r="C143" s="90"/>
      <c r="D143" s="574"/>
      <c r="E143" s="557"/>
      <c r="F143" s="264"/>
      <c r="G143" s="557"/>
      <c r="H143" s="501">
        <v>0</v>
      </c>
      <c r="I143" s="501">
        <f t="shared" ref="I143:K146" si="28">H143</f>
        <v>0</v>
      </c>
      <c r="J143" s="501">
        <f t="shared" si="28"/>
        <v>0</v>
      </c>
      <c r="K143" s="501">
        <f t="shared" si="28"/>
        <v>0</v>
      </c>
      <c r="L143" s="501">
        <f t="shared" si="27"/>
        <v>0</v>
      </c>
      <c r="M143" s="500"/>
      <c r="N143" s="575"/>
    </row>
    <row r="144" spans="2:14" ht="12.75" customHeight="1" x14ac:dyDescent="0.2">
      <c r="B144" s="69"/>
      <c r="C144" s="90"/>
      <c r="D144" s="574"/>
      <c r="E144" s="557"/>
      <c r="F144" s="264"/>
      <c r="G144" s="557"/>
      <c r="H144" s="501">
        <v>0</v>
      </c>
      <c r="I144" s="501">
        <f t="shared" si="28"/>
        <v>0</v>
      </c>
      <c r="J144" s="501">
        <f t="shared" si="28"/>
        <v>0</v>
      </c>
      <c r="K144" s="501">
        <f t="shared" si="28"/>
        <v>0</v>
      </c>
      <c r="L144" s="501">
        <f t="shared" si="27"/>
        <v>0</v>
      </c>
      <c r="M144" s="500"/>
      <c r="N144" s="575"/>
    </row>
    <row r="145" spans="2:14" ht="12.75" customHeight="1" x14ac:dyDescent="0.2">
      <c r="B145" s="69"/>
      <c r="C145" s="90"/>
      <c r="D145" s="574"/>
      <c r="E145" s="557"/>
      <c r="F145" s="264"/>
      <c r="G145" s="557"/>
      <c r="H145" s="501">
        <v>0</v>
      </c>
      <c r="I145" s="501">
        <f t="shared" si="28"/>
        <v>0</v>
      </c>
      <c r="J145" s="501">
        <f t="shared" si="28"/>
        <v>0</v>
      </c>
      <c r="K145" s="501">
        <f t="shared" si="28"/>
        <v>0</v>
      </c>
      <c r="L145" s="501">
        <f t="shared" si="27"/>
        <v>0</v>
      </c>
      <c r="M145" s="500"/>
      <c r="N145" s="575"/>
    </row>
    <row r="146" spans="2:14" ht="12.75" customHeight="1" x14ac:dyDescent="0.2">
      <c r="B146" s="69"/>
      <c r="C146" s="90"/>
      <c r="D146" s="574"/>
      <c r="E146" s="557"/>
      <c r="F146" s="264"/>
      <c r="G146" s="557"/>
      <c r="H146" s="501">
        <v>0</v>
      </c>
      <c r="I146" s="501">
        <f t="shared" si="28"/>
        <v>0</v>
      </c>
      <c r="J146" s="501">
        <f t="shared" si="28"/>
        <v>0</v>
      </c>
      <c r="K146" s="501">
        <f t="shared" si="28"/>
        <v>0</v>
      </c>
      <c r="L146" s="501">
        <f t="shared" si="27"/>
        <v>0</v>
      </c>
      <c r="M146" s="500"/>
      <c r="N146" s="575"/>
    </row>
    <row r="147" spans="2:14" ht="12.75" customHeight="1" x14ac:dyDescent="0.2">
      <c r="B147" s="69"/>
      <c r="C147" s="90"/>
      <c r="D147" s="574"/>
      <c r="E147" s="557"/>
      <c r="F147" s="264"/>
      <c r="G147" s="557"/>
      <c r="H147" s="501">
        <v>0</v>
      </c>
      <c r="I147" s="501">
        <f t="shared" ref="I147:K156" si="29">H147</f>
        <v>0</v>
      </c>
      <c r="J147" s="501">
        <f t="shared" si="29"/>
        <v>0</v>
      </c>
      <c r="K147" s="501">
        <f t="shared" si="29"/>
        <v>0</v>
      </c>
      <c r="L147" s="501">
        <f t="shared" si="27"/>
        <v>0</v>
      </c>
      <c r="M147" s="500"/>
      <c r="N147" s="575"/>
    </row>
    <row r="148" spans="2:14" ht="12.75" customHeight="1" x14ac:dyDescent="0.2">
      <c r="B148" s="69"/>
      <c r="C148" s="90"/>
      <c r="D148" s="574"/>
      <c r="E148" s="557"/>
      <c r="F148" s="264"/>
      <c r="G148" s="557"/>
      <c r="H148" s="501">
        <v>0</v>
      </c>
      <c r="I148" s="501">
        <f t="shared" si="29"/>
        <v>0</v>
      </c>
      <c r="J148" s="501">
        <f t="shared" si="29"/>
        <v>0</v>
      </c>
      <c r="K148" s="501">
        <f t="shared" si="29"/>
        <v>0</v>
      </c>
      <c r="L148" s="501">
        <f t="shared" si="27"/>
        <v>0</v>
      </c>
      <c r="M148" s="500"/>
      <c r="N148" s="575"/>
    </row>
    <row r="149" spans="2:14" ht="12.75" customHeight="1" x14ac:dyDescent="0.2">
      <c r="B149" s="69"/>
      <c r="C149" s="90"/>
      <c r="D149" s="574"/>
      <c r="E149" s="557"/>
      <c r="F149" s="264"/>
      <c r="G149" s="557"/>
      <c r="H149" s="501">
        <v>0</v>
      </c>
      <c r="I149" s="501">
        <f t="shared" si="29"/>
        <v>0</v>
      </c>
      <c r="J149" s="501">
        <f t="shared" si="29"/>
        <v>0</v>
      </c>
      <c r="K149" s="501">
        <f t="shared" si="29"/>
        <v>0</v>
      </c>
      <c r="L149" s="501">
        <f t="shared" si="27"/>
        <v>0</v>
      </c>
      <c r="M149" s="500"/>
      <c r="N149" s="575"/>
    </row>
    <row r="150" spans="2:14" ht="12.75" customHeight="1" x14ac:dyDescent="0.2">
      <c r="B150" s="69"/>
      <c r="C150" s="90"/>
      <c r="D150" s="574"/>
      <c r="E150" s="557"/>
      <c r="F150" s="264"/>
      <c r="G150" s="557"/>
      <c r="H150" s="501">
        <v>0</v>
      </c>
      <c r="I150" s="501">
        <f t="shared" si="29"/>
        <v>0</v>
      </c>
      <c r="J150" s="501">
        <f t="shared" si="29"/>
        <v>0</v>
      </c>
      <c r="K150" s="501">
        <f t="shared" si="29"/>
        <v>0</v>
      </c>
      <c r="L150" s="501">
        <f t="shared" si="27"/>
        <v>0</v>
      </c>
      <c r="M150" s="500"/>
      <c r="N150" s="575"/>
    </row>
    <row r="151" spans="2:14" ht="12.75" customHeight="1" x14ac:dyDescent="0.2">
      <c r="B151" s="69"/>
      <c r="C151" s="90"/>
      <c r="D151" s="584"/>
      <c r="E151" s="557"/>
      <c r="F151" s="264"/>
      <c r="G151" s="557"/>
      <c r="H151" s="501">
        <v>0</v>
      </c>
      <c r="I151" s="501">
        <f t="shared" si="29"/>
        <v>0</v>
      </c>
      <c r="J151" s="501">
        <f t="shared" si="29"/>
        <v>0</v>
      </c>
      <c r="K151" s="501">
        <f t="shared" si="29"/>
        <v>0</v>
      </c>
      <c r="L151" s="501">
        <f t="shared" si="27"/>
        <v>0</v>
      </c>
      <c r="M151" s="500"/>
      <c r="N151" s="575"/>
    </row>
    <row r="152" spans="2:14" ht="12.75" customHeight="1" x14ac:dyDescent="0.2">
      <c r="B152" s="69"/>
      <c r="C152" s="90"/>
      <c r="D152" s="584"/>
      <c r="E152" s="557"/>
      <c r="F152" s="264"/>
      <c r="G152" s="557"/>
      <c r="H152" s="501">
        <v>0</v>
      </c>
      <c r="I152" s="501">
        <f t="shared" si="29"/>
        <v>0</v>
      </c>
      <c r="J152" s="501">
        <f t="shared" si="29"/>
        <v>0</v>
      </c>
      <c r="K152" s="501">
        <f t="shared" si="29"/>
        <v>0</v>
      </c>
      <c r="L152" s="501">
        <f t="shared" si="27"/>
        <v>0</v>
      </c>
      <c r="M152" s="500"/>
      <c r="N152" s="575"/>
    </row>
    <row r="153" spans="2:14" ht="12.75" customHeight="1" x14ac:dyDescent="0.2">
      <c r="B153" s="69"/>
      <c r="C153" s="90"/>
      <c r="D153" s="584"/>
      <c r="E153" s="557"/>
      <c r="F153" s="264"/>
      <c r="G153" s="557"/>
      <c r="H153" s="501">
        <v>0</v>
      </c>
      <c r="I153" s="501">
        <f t="shared" si="29"/>
        <v>0</v>
      </c>
      <c r="J153" s="501">
        <f t="shared" si="29"/>
        <v>0</v>
      </c>
      <c r="K153" s="501">
        <f t="shared" si="29"/>
        <v>0</v>
      </c>
      <c r="L153" s="501">
        <f t="shared" si="27"/>
        <v>0</v>
      </c>
      <c r="M153" s="500"/>
      <c r="N153" s="575"/>
    </row>
    <row r="154" spans="2:14" ht="12.75" customHeight="1" x14ac:dyDescent="0.2">
      <c r="B154" s="69"/>
      <c r="C154" s="90"/>
      <c r="D154" s="584"/>
      <c r="E154" s="557"/>
      <c r="F154" s="264"/>
      <c r="G154" s="557"/>
      <c r="H154" s="501">
        <v>0</v>
      </c>
      <c r="I154" s="501">
        <f t="shared" si="29"/>
        <v>0</v>
      </c>
      <c r="J154" s="501">
        <f t="shared" si="29"/>
        <v>0</v>
      </c>
      <c r="K154" s="501">
        <f t="shared" si="29"/>
        <v>0</v>
      </c>
      <c r="L154" s="501">
        <f t="shared" si="27"/>
        <v>0</v>
      </c>
      <c r="M154" s="500"/>
      <c r="N154" s="575"/>
    </row>
    <row r="155" spans="2:14" ht="12.75" customHeight="1" x14ac:dyDescent="0.2">
      <c r="B155" s="69"/>
      <c r="C155" s="90"/>
      <c r="D155" s="584"/>
      <c r="E155" s="557"/>
      <c r="F155" s="264"/>
      <c r="G155" s="557"/>
      <c r="H155" s="501">
        <v>0</v>
      </c>
      <c r="I155" s="501">
        <f t="shared" si="29"/>
        <v>0</v>
      </c>
      <c r="J155" s="501">
        <f t="shared" si="29"/>
        <v>0</v>
      </c>
      <c r="K155" s="501">
        <f t="shared" si="29"/>
        <v>0</v>
      </c>
      <c r="L155" s="501">
        <f t="shared" si="27"/>
        <v>0</v>
      </c>
      <c r="M155" s="500"/>
      <c r="N155" s="575"/>
    </row>
    <row r="156" spans="2:14" ht="12.75" customHeight="1" x14ac:dyDescent="0.2">
      <c r="B156" s="69"/>
      <c r="C156" s="90"/>
      <c r="D156" s="584"/>
      <c r="E156" s="557"/>
      <c r="F156" s="264"/>
      <c r="G156" s="557"/>
      <c r="H156" s="501">
        <v>0</v>
      </c>
      <c r="I156" s="501">
        <f t="shared" si="29"/>
        <v>0</v>
      </c>
      <c r="J156" s="501">
        <f t="shared" si="29"/>
        <v>0</v>
      </c>
      <c r="K156" s="501">
        <f t="shared" si="29"/>
        <v>0</v>
      </c>
      <c r="L156" s="501">
        <f t="shared" si="27"/>
        <v>0</v>
      </c>
      <c r="M156" s="500"/>
      <c r="N156" s="575"/>
    </row>
    <row r="157" spans="2:14" ht="12.75" customHeight="1" x14ac:dyDescent="0.2">
      <c r="B157" s="69"/>
      <c r="C157" s="90"/>
      <c r="D157" s="557"/>
      <c r="E157" s="557"/>
      <c r="F157" s="123"/>
      <c r="G157" s="557"/>
      <c r="H157" s="554"/>
      <c r="I157" s="554"/>
      <c r="J157" s="554"/>
      <c r="K157" s="554"/>
      <c r="L157" s="554"/>
      <c r="M157" s="463"/>
      <c r="N157" s="575"/>
    </row>
    <row r="158" spans="2:14" ht="12.75" customHeight="1" x14ac:dyDescent="0.2">
      <c r="B158" s="69"/>
      <c r="C158" s="90"/>
      <c r="D158" s="126" t="s">
        <v>320</v>
      </c>
      <c r="E158" s="557"/>
      <c r="F158" s="123"/>
      <c r="G158" s="557"/>
      <c r="H158" s="969">
        <f>SUM(H122:H156)</f>
        <v>0</v>
      </c>
      <c r="I158" s="969">
        <f>SUM(I122:I156)</f>
        <v>0</v>
      </c>
      <c r="J158" s="969">
        <f>SUM(J122:J156)</f>
        <v>0</v>
      </c>
      <c r="K158" s="969">
        <f>SUM(K122:K156)</f>
        <v>0</v>
      </c>
      <c r="L158" s="969">
        <f>SUM(L122:L156)</f>
        <v>0</v>
      </c>
      <c r="M158" s="558"/>
      <c r="N158" s="576"/>
    </row>
    <row r="159" spans="2:14" ht="12.75" customHeight="1" x14ac:dyDescent="0.2">
      <c r="B159" s="69"/>
      <c r="C159" s="98"/>
      <c r="D159" s="585"/>
      <c r="E159" s="585"/>
      <c r="F159" s="586"/>
      <c r="G159" s="585"/>
      <c r="H159" s="577"/>
      <c r="I159" s="577"/>
      <c r="J159" s="577"/>
      <c r="K159" s="577"/>
      <c r="L159" s="587"/>
      <c r="M159" s="588"/>
      <c r="N159" s="573"/>
    </row>
    <row r="160" spans="2:14" ht="12.75" customHeight="1" x14ac:dyDescent="0.2">
      <c r="B160" s="69"/>
      <c r="C160" s="70"/>
      <c r="D160" s="589"/>
      <c r="E160" s="589"/>
      <c r="F160" s="590"/>
      <c r="G160" s="589"/>
      <c r="H160" s="446"/>
      <c r="I160" s="446"/>
      <c r="J160" s="446"/>
      <c r="K160" s="446"/>
      <c r="L160" s="591"/>
      <c r="M160" s="591"/>
      <c r="N160" s="573"/>
    </row>
    <row r="161" spans="2:16" ht="12.75" customHeight="1" x14ac:dyDescent="0.2">
      <c r="B161" s="69"/>
      <c r="C161" s="86"/>
      <c r="D161" s="592"/>
      <c r="E161" s="592"/>
      <c r="F161" s="244"/>
      <c r="G161" s="592"/>
      <c r="H161" s="551"/>
      <c r="I161" s="551"/>
      <c r="J161" s="551"/>
      <c r="K161" s="551"/>
      <c r="L161" s="552"/>
      <c r="M161" s="553"/>
      <c r="N161" s="573"/>
    </row>
    <row r="162" spans="2:16" ht="12.75" customHeight="1" x14ac:dyDescent="0.2">
      <c r="B162" s="69"/>
      <c r="C162" s="90"/>
      <c r="D162" s="116" t="s">
        <v>405</v>
      </c>
      <c r="E162" s="126"/>
      <c r="F162" s="128"/>
      <c r="G162" s="126"/>
      <c r="H162" s="968">
        <f>H116+H158+H99</f>
        <v>0</v>
      </c>
      <c r="I162" s="968">
        <f>I116+I158+I99</f>
        <v>0</v>
      </c>
      <c r="J162" s="968">
        <f>J116+J158+J99</f>
        <v>0</v>
      </c>
      <c r="K162" s="968">
        <f>K116+K158+K99</f>
        <v>0</v>
      </c>
      <c r="L162" s="968">
        <f>L116+L158+L99</f>
        <v>0</v>
      </c>
      <c r="M162" s="558"/>
      <c r="N162" s="576"/>
    </row>
    <row r="163" spans="2:16" ht="12.75" customHeight="1" x14ac:dyDescent="0.2">
      <c r="B163" s="69"/>
      <c r="C163" s="98"/>
      <c r="D163" s="593"/>
      <c r="E163" s="190"/>
      <c r="F163" s="436"/>
      <c r="G163" s="190"/>
      <c r="H163" s="594"/>
      <c r="I163" s="594"/>
      <c r="J163" s="594"/>
      <c r="K163" s="594"/>
      <c r="L163" s="595"/>
      <c r="M163" s="596"/>
      <c r="N163" s="576"/>
    </row>
    <row r="164" spans="2:16" ht="12.75" customHeight="1" x14ac:dyDescent="0.2">
      <c r="B164" s="69"/>
      <c r="C164" s="70"/>
      <c r="D164" s="597"/>
      <c r="E164" s="193"/>
      <c r="F164" s="532"/>
      <c r="G164" s="193"/>
      <c r="H164" s="598"/>
      <c r="I164" s="598"/>
      <c r="J164" s="598"/>
      <c r="K164" s="598"/>
      <c r="L164" s="599"/>
      <c r="M164" s="599"/>
      <c r="N164" s="576"/>
    </row>
    <row r="165" spans="2:16" ht="12.75" customHeight="1" x14ac:dyDescent="0.2">
      <c r="B165" s="69"/>
      <c r="C165" s="70"/>
      <c r="D165" s="597"/>
      <c r="E165" s="193"/>
      <c r="F165" s="532"/>
      <c r="G165" s="193"/>
      <c r="H165" s="598"/>
      <c r="I165" s="598"/>
      <c r="J165" s="598"/>
      <c r="K165" s="598"/>
      <c r="L165" s="599"/>
      <c r="M165" s="599"/>
      <c r="N165" s="576"/>
    </row>
    <row r="166" spans="2:16" ht="12.75" customHeight="1" x14ac:dyDescent="0.2">
      <c r="B166" s="69"/>
      <c r="C166" s="86"/>
      <c r="D166" s="600"/>
      <c r="E166" s="160"/>
      <c r="F166" s="180"/>
      <c r="G166" s="160"/>
      <c r="H166" s="601"/>
      <c r="I166" s="601"/>
      <c r="J166" s="601"/>
      <c r="K166" s="601"/>
      <c r="L166" s="602"/>
      <c r="M166" s="603"/>
      <c r="N166" s="576"/>
    </row>
    <row r="167" spans="2:16" s="182" customFormat="1" ht="12.75" customHeight="1" x14ac:dyDescent="0.2">
      <c r="B167" s="158"/>
      <c r="C167" s="163"/>
      <c r="D167" s="126" t="s">
        <v>410</v>
      </c>
      <c r="E167" s="126"/>
      <c r="F167" s="128"/>
      <c r="G167" s="126"/>
      <c r="H167" s="968">
        <f>H81-H162</f>
        <v>155780.74</v>
      </c>
      <c r="I167" s="968">
        <f>I81-I162</f>
        <v>159910.25</v>
      </c>
      <c r="J167" s="968">
        <f>J81-J162</f>
        <v>159910.25</v>
      </c>
      <c r="K167" s="968">
        <f>K81-K162</f>
        <v>159910.25</v>
      </c>
      <c r="L167" s="968">
        <f>L81-L162</f>
        <v>159910.25</v>
      </c>
      <c r="M167" s="558"/>
      <c r="N167" s="576"/>
    </row>
    <row r="168" spans="2:16" ht="12.75" customHeight="1" x14ac:dyDescent="0.2">
      <c r="B168" s="69"/>
      <c r="C168" s="98"/>
      <c r="D168" s="593"/>
      <c r="E168" s="190"/>
      <c r="F168" s="436"/>
      <c r="G168" s="190"/>
      <c r="H168" s="594"/>
      <c r="I168" s="594"/>
      <c r="J168" s="594"/>
      <c r="K168" s="594"/>
      <c r="L168" s="595"/>
      <c r="M168" s="596"/>
      <c r="N168" s="576"/>
    </row>
    <row r="169" spans="2:16" ht="12.75" customHeight="1" x14ac:dyDescent="0.2">
      <c r="B169" s="69"/>
      <c r="C169" s="70"/>
      <c r="D169" s="597"/>
      <c r="E169" s="193"/>
      <c r="F169" s="532"/>
      <c r="G169" s="193"/>
      <c r="H169" s="598"/>
      <c r="I169" s="598"/>
      <c r="J169" s="598"/>
      <c r="K169" s="598"/>
      <c r="L169" s="599"/>
      <c r="M169" s="599"/>
      <c r="N169" s="576"/>
    </row>
    <row r="170" spans="2:16" ht="12.75" customHeight="1" x14ac:dyDescent="0.25">
      <c r="B170" s="171"/>
      <c r="C170" s="172"/>
      <c r="D170" s="172"/>
      <c r="E170" s="172"/>
      <c r="F170" s="406"/>
      <c r="G170" s="172"/>
      <c r="H170" s="547"/>
      <c r="I170" s="547"/>
      <c r="J170" s="547"/>
      <c r="K170" s="547"/>
      <c r="L170" s="172"/>
      <c r="M170" s="152" t="s">
        <v>435</v>
      </c>
      <c r="N170" s="173"/>
    </row>
    <row r="171" spans="2:16" ht="12.75" customHeight="1" x14ac:dyDescent="0.2"/>
    <row r="172" spans="2:16" ht="12.75" customHeight="1" x14ac:dyDescent="0.2"/>
    <row r="173" spans="2:16" ht="12.75" customHeight="1" x14ac:dyDescent="0.2"/>
    <row r="174" spans="2:16" ht="12.75" customHeight="1" x14ac:dyDescent="0.2">
      <c r="D174" s="906"/>
      <c r="E174" s="906"/>
      <c r="F174" s="906"/>
      <c r="G174" s="906"/>
      <c r="H174" s="906"/>
      <c r="I174" s="906"/>
      <c r="J174" s="906"/>
      <c r="K174" s="906"/>
      <c r="L174" s="906"/>
      <c r="M174" s="906"/>
      <c r="N174" s="906"/>
      <c r="O174" s="906"/>
      <c r="P174" s="906"/>
    </row>
    <row r="175" spans="2:16" ht="12.75" customHeight="1" x14ac:dyDescent="0.2">
      <c r="D175" s="906"/>
      <c r="E175" s="906"/>
      <c r="F175" s="906"/>
      <c r="G175" s="906"/>
      <c r="H175" s="906"/>
      <c r="I175" s="906"/>
      <c r="J175" s="906"/>
      <c r="K175" s="906"/>
      <c r="L175" s="906"/>
      <c r="M175" s="906"/>
      <c r="N175" s="906"/>
      <c r="O175" s="906"/>
      <c r="P175" s="906"/>
    </row>
    <row r="176" spans="2:16" ht="12.75" customHeight="1" x14ac:dyDescent="0.2">
      <c r="D176" s="960"/>
      <c r="E176" s="961"/>
      <c r="F176" s="903"/>
      <c r="G176" s="903"/>
      <c r="H176" s="903" t="str">
        <f>+tab!D2</f>
        <v>2015/16</v>
      </c>
      <c r="I176" s="903" t="str">
        <f>+tab!E2</f>
        <v>2016/17</v>
      </c>
      <c r="J176" s="903" t="str">
        <f>+tab!F2</f>
        <v>2017/18</v>
      </c>
      <c r="K176" s="903" t="str">
        <f>+tab!G2</f>
        <v>2018/19</v>
      </c>
      <c r="L176" s="903" t="str">
        <f>+tab!H2</f>
        <v>2019/20</v>
      </c>
      <c r="M176" s="903"/>
      <c r="N176" s="903"/>
      <c r="O176" s="906"/>
      <c r="P176" s="906"/>
    </row>
    <row r="177" spans="2:16" ht="12.75" customHeight="1" x14ac:dyDescent="0.2">
      <c r="D177" s="901" t="s">
        <v>415</v>
      </c>
      <c r="E177" s="949"/>
      <c r="F177" s="901"/>
      <c r="G177" s="949"/>
      <c r="H177" s="962"/>
      <c r="I177" s="962"/>
      <c r="J177" s="962"/>
      <c r="K177" s="962"/>
      <c r="L177" s="906"/>
      <c r="M177" s="906"/>
      <c r="N177" s="906"/>
      <c r="O177" s="906"/>
      <c r="P177" s="906"/>
    </row>
    <row r="178" spans="2:16" ht="12.75" customHeight="1" x14ac:dyDescent="0.2">
      <c r="D178" s="909" t="s">
        <v>286</v>
      </c>
      <c r="E178" s="949"/>
      <c r="F178" s="901"/>
      <c r="G178" s="949"/>
      <c r="H178" s="962">
        <f>0.416666666666667*H50+0.583333333333333*I50</f>
        <v>158189.62083333335</v>
      </c>
      <c r="I178" s="962">
        <f>0.416666666666667*I50+0.583333333333333*J50</f>
        <v>159910.25</v>
      </c>
      <c r="J178" s="962">
        <f>0.416666666666667*J50+0.583333333333333*K50</f>
        <v>159910.25</v>
      </c>
      <c r="K178" s="962">
        <f>0.416666666666667*K50+0.583333333333333*L50</f>
        <v>159910.25</v>
      </c>
      <c r="L178" s="962">
        <f>(L50)</f>
        <v>159910.25</v>
      </c>
      <c r="M178" s="962"/>
      <c r="N178" s="906"/>
      <c r="O178" s="906"/>
      <c r="P178" s="906"/>
    </row>
    <row r="179" spans="2:16" ht="12.75" customHeight="1" x14ac:dyDescent="0.2">
      <c r="D179" s="909" t="s">
        <v>413</v>
      </c>
      <c r="E179" s="949"/>
      <c r="F179" s="901"/>
      <c r="G179" s="949"/>
      <c r="H179" s="962">
        <f>5/12*H62+7/12*I62</f>
        <v>0</v>
      </c>
      <c r="I179" s="962">
        <f>5/12*I62+7/12*J62</f>
        <v>0</v>
      </c>
      <c r="J179" s="962">
        <f>5/12*J62+7/12*K62</f>
        <v>0</v>
      </c>
      <c r="K179" s="962">
        <f>5/12*K62+7/12*L62</f>
        <v>0</v>
      </c>
      <c r="L179" s="962">
        <f>L62</f>
        <v>0</v>
      </c>
      <c r="M179" s="962"/>
      <c r="N179" s="906"/>
      <c r="O179" s="906"/>
      <c r="P179" s="906"/>
    </row>
    <row r="180" spans="2:16" ht="12.75" hidden="1" customHeight="1" x14ac:dyDescent="0.2">
      <c r="D180" s="909" t="s">
        <v>419</v>
      </c>
      <c r="E180" s="949"/>
      <c r="F180" s="901"/>
      <c r="G180" s="949"/>
      <c r="H180" s="962"/>
      <c r="I180" s="962"/>
      <c r="J180" s="962"/>
      <c r="K180" s="962"/>
      <c r="L180" s="906"/>
      <c r="M180" s="906"/>
      <c r="N180" s="906"/>
      <c r="O180" s="906"/>
      <c r="P180" s="906"/>
    </row>
    <row r="181" spans="2:16" ht="12.75" customHeight="1" x14ac:dyDescent="0.2">
      <c r="D181" s="909" t="s">
        <v>420</v>
      </c>
      <c r="E181" s="949"/>
      <c r="F181" s="901"/>
      <c r="G181" s="949"/>
      <c r="H181" s="962">
        <f>0.416666666666667*H68+0.583333333333333*I68</f>
        <v>0</v>
      </c>
      <c r="I181" s="962">
        <f>0.416666666666667*I68+0.583333333333333*J68</f>
        <v>0</v>
      </c>
      <c r="J181" s="962">
        <f>0.416666666666667*J68+0.583333333333333*K68</f>
        <v>0</v>
      </c>
      <c r="K181" s="962">
        <f>0.416666666666667*K68+0.583333333333333*L68</f>
        <v>0</v>
      </c>
      <c r="L181" s="962">
        <f>L68</f>
        <v>0</v>
      </c>
      <c r="M181" s="962"/>
      <c r="N181" s="906"/>
      <c r="O181" s="906"/>
      <c r="P181" s="906"/>
    </row>
    <row r="182" spans="2:16" ht="12.75" customHeight="1" x14ac:dyDescent="0.2">
      <c r="D182" s="909" t="s">
        <v>282</v>
      </c>
      <c r="E182" s="949"/>
      <c r="F182" s="901"/>
      <c r="G182" s="949"/>
      <c r="H182" s="962">
        <f>0.416666666666667*(H77-H68)+0.583333333333333*(I77-I68)</f>
        <v>0</v>
      </c>
      <c r="I182" s="962">
        <f>0.416666666666667*(I77-I68)+0.583333333333333*(J77-J68)</f>
        <v>0</v>
      </c>
      <c r="J182" s="962">
        <f>0.416666666666667*(J77-J68)+0.583333333333333*(K77-K68)</f>
        <v>0</v>
      </c>
      <c r="K182" s="962">
        <f>0.416666666666667*(K77-K68)+0.583333333333333*(L77-L68)</f>
        <v>0</v>
      </c>
      <c r="L182" s="962">
        <f>(L77-L68)</f>
        <v>0</v>
      </c>
      <c r="M182" s="962"/>
      <c r="N182" s="906"/>
      <c r="O182" s="906"/>
      <c r="P182" s="906"/>
    </row>
    <row r="183" spans="2:16" ht="12.75" customHeight="1" x14ac:dyDescent="0.2">
      <c r="D183" s="963" t="s">
        <v>320</v>
      </c>
      <c r="E183" s="949"/>
      <c r="F183" s="901"/>
      <c r="G183" s="949"/>
      <c r="H183" s="964">
        <f>SUM(H178:H182)</f>
        <v>158189.62083333335</v>
      </c>
      <c r="I183" s="964">
        <f>SUM(I178:I182)</f>
        <v>159910.25</v>
      </c>
      <c r="J183" s="964">
        <f>SUM(J178:J182)</f>
        <v>159910.25</v>
      </c>
      <c r="K183" s="964">
        <f>SUM(K178:K182)</f>
        <v>159910.25</v>
      </c>
      <c r="L183" s="964">
        <f>SUM(L178:L182)</f>
        <v>159910.25</v>
      </c>
      <c r="M183" s="964"/>
      <c r="N183" s="906"/>
      <c r="O183" s="906"/>
      <c r="P183" s="906"/>
    </row>
    <row r="184" spans="2:16" ht="12.75" customHeight="1" x14ac:dyDescent="0.2">
      <c r="D184" s="965"/>
      <c r="E184" s="949"/>
      <c r="F184" s="901"/>
      <c r="G184" s="949"/>
      <c r="H184" s="962"/>
      <c r="I184" s="962"/>
      <c r="J184" s="962"/>
      <c r="K184" s="962"/>
      <c r="L184" s="906"/>
      <c r="M184" s="906"/>
      <c r="N184" s="906"/>
      <c r="O184" s="906"/>
      <c r="P184" s="906"/>
    </row>
    <row r="185" spans="2:16" ht="12.75" customHeight="1" x14ac:dyDescent="0.2">
      <c r="B185" s="414"/>
      <c r="C185" s="414"/>
      <c r="D185" s="901" t="s">
        <v>99</v>
      </c>
      <c r="E185" s="949"/>
      <c r="F185" s="901"/>
      <c r="G185" s="949"/>
      <c r="H185" s="962"/>
      <c r="I185" s="962"/>
      <c r="J185" s="962"/>
      <c r="K185" s="962"/>
      <c r="L185" s="906"/>
      <c r="M185" s="906"/>
      <c r="N185" s="906"/>
      <c r="O185" s="906"/>
      <c r="P185" s="906"/>
    </row>
    <row r="186" spans="2:16" ht="12.75" customHeight="1" x14ac:dyDescent="0.2">
      <c r="D186" s="906" t="s">
        <v>284</v>
      </c>
      <c r="E186" s="949"/>
      <c r="F186" s="901"/>
      <c r="G186" s="949"/>
      <c r="H186" s="962">
        <f>0.416666666666667*H99+0.583333333333333*I99</f>
        <v>0</v>
      </c>
      <c r="I186" s="962">
        <f>0.416666666666667*I99+0.583333333333333*J99</f>
        <v>0</v>
      </c>
      <c r="J186" s="962">
        <f>0.416666666666667*J99+0.583333333333333*K99</f>
        <v>0</v>
      </c>
      <c r="K186" s="962">
        <f>0.416666666666667*K99+0.583333333333333*L99</f>
        <v>0</v>
      </c>
      <c r="L186" s="962">
        <f>L99</f>
        <v>0</v>
      </c>
      <c r="M186" s="962"/>
      <c r="N186" s="906"/>
      <c r="O186" s="906"/>
      <c r="P186" s="906"/>
    </row>
    <row r="187" spans="2:16" ht="12.75" customHeight="1" x14ac:dyDescent="0.2">
      <c r="D187" s="906" t="s">
        <v>285</v>
      </c>
      <c r="E187" s="949"/>
      <c r="F187" s="901"/>
      <c r="G187" s="949"/>
      <c r="H187" s="962">
        <f>0.416666666666667*H116+0.583333333333333*I116</f>
        <v>0</v>
      </c>
      <c r="I187" s="962">
        <f>0.416666666666667*I116+0.583333333333333*J116</f>
        <v>0</v>
      </c>
      <c r="J187" s="962">
        <f>0.416666666666667*J116+0.583333333333333*K116</f>
        <v>0</v>
      </c>
      <c r="K187" s="962">
        <f>0.416666666666667*K116+0.583333333333333*L116</f>
        <v>0</v>
      </c>
      <c r="L187" s="962">
        <f>L116</f>
        <v>0</v>
      </c>
      <c r="M187" s="962"/>
      <c r="N187" s="906"/>
      <c r="O187" s="906"/>
      <c r="P187" s="906"/>
    </row>
    <row r="188" spans="2:16" ht="12.75" customHeight="1" x14ac:dyDescent="0.2">
      <c r="D188" s="906" t="s">
        <v>416</v>
      </c>
      <c r="E188" s="949"/>
      <c r="F188" s="901"/>
      <c r="G188" s="949"/>
      <c r="H188" s="962">
        <f>0.416666666666667*H158+0.583333333333333*I158</f>
        <v>0</v>
      </c>
      <c r="I188" s="962">
        <f>0.416666666666667*I158+0.583333333333333*J158</f>
        <v>0</v>
      </c>
      <c r="J188" s="962">
        <f>0.416666666666667*J158+0.583333333333333*K158</f>
        <v>0</v>
      </c>
      <c r="K188" s="962">
        <f>0.416666666666667*K158+0.583333333333333*L158</f>
        <v>0</v>
      </c>
      <c r="L188" s="962">
        <f>L158</f>
        <v>0</v>
      </c>
      <c r="M188" s="962"/>
      <c r="N188" s="906"/>
      <c r="O188" s="906"/>
      <c r="P188" s="906"/>
    </row>
    <row r="189" spans="2:16" ht="12.75" customHeight="1" x14ac:dyDescent="0.2">
      <c r="D189" s="963" t="s">
        <v>320</v>
      </c>
      <c r="E189" s="949"/>
      <c r="F189" s="901"/>
      <c r="G189" s="949"/>
      <c r="H189" s="964">
        <f>SUM(H186:H188)</f>
        <v>0</v>
      </c>
      <c r="I189" s="964">
        <f>SUM(I186:I188)</f>
        <v>0</v>
      </c>
      <c r="J189" s="964">
        <f>SUM(J186:J188)</f>
        <v>0</v>
      </c>
      <c r="K189" s="964">
        <f>SUM(K186:K188)</f>
        <v>0</v>
      </c>
      <c r="L189" s="964">
        <f>SUM(L186:L188)</f>
        <v>0</v>
      </c>
      <c r="M189" s="964"/>
      <c r="N189" s="906"/>
      <c r="O189" s="906"/>
      <c r="P189" s="906"/>
    </row>
    <row r="190" spans="2:16" ht="12.75" customHeight="1" x14ac:dyDescent="0.2">
      <c r="D190" s="966"/>
      <c r="E190" s="949"/>
      <c r="F190" s="901"/>
      <c r="G190" s="949"/>
      <c r="H190" s="962"/>
      <c r="I190" s="962"/>
      <c r="J190" s="962"/>
      <c r="K190" s="962"/>
      <c r="L190" s="906"/>
      <c r="M190" s="906"/>
      <c r="N190" s="906"/>
      <c r="O190" s="906"/>
      <c r="P190" s="906"/>
    </row>
    <row r="191" spans="2:16" ht="12.75" customHeight="1" x14ac:dyDescent="0.2">
      <c r="B191" s="182"/>
      <c r="C191" s="182"/>
      <c r="D191" s="963" t="s">
        <v>417</v>
      </c>
      <c r="E191" s="949"/>
      <c r="F191" s="901"/>
      <c r="G191" s="949"/>
      <c r="H191" s="964">
        <f>+H183-H189</f>
        <v>158189.62083333335</v>
      </c>
      <c r="I191" s="964">
        <f>+I183-I189</f>
        <v>159910.25</v>
      </c>
      <c r="J191" s="964">
        <f>+J183-J189</f>
        <v>159910.25</v>
      </c>
      <c r="K191" s="964">
        <f>+K183-K189</f>
        <v>159910.25</v>
      </c>
      <c r="L191" s="964">
        <f>+L183-L189</f>
        <v>159910.25</v>
      </c>
      <c r="M191" s="964"/>
      <c r="N191" s="906"/>
      <c r="O191" s="906"/>
      <c r="P191" s="906"/>
    </row>
    <row r="192" spans="2:16" ht="12.75" customHeight="1" x14ac:dyDescent="0.2">
      <c r="D192" s="966"/>
      <c r="E192" s="949"/>
      <c r="F192" s="901"/>
      <c r="G192" s="949"/>
      <c r="H192" s="962"/>
      <c r="I192" s="962"/>
      <c r="J192" s="962"/>
      <c r="K192" s="962"/>
      <c r="L192" s="906"/>
      <c r="M192" s="906"/>
      <c r="N192" s="906"/>
      <c r="O192" s="906"/>
      <c r="P192" s="906"/>
    </row>
    <row r="193" spans="4:16" ht="12.75" customHeight="1" x14ac:dyDescent="0.2">
      <c r="D193" s="966"/>
      <c r="E193" s="906"/>
      <c r="F193" s="905"/>
      <c r="G193" s="906"/>
      <c r="H193" s="962"/>
      <c r="I193" s="962"/>
      <c r="J193" s="962"/>
      <c r="K193" s="962"/>
      <c r="L193" s="906"/>
      <c r="M193" s="906"/>
      <c r="N193" s="906"/>
      <c r="O193" s="906"/>
      <c r="P193" s="906"/>
    </row>
    <row r="194" spans="4:16" ht="12.75" customHeight="1" x14ac:dyDescent="0.2">
      <c r="D194" s="901" t="s">
        <v>422</v>
      </c>
      <c r="E194" s="949"/>
      <c r="F194" s="901"/>
      <c r="G194" s="949"/>
      <c r="H194" s="962"/>
      <c r="I194" s="962"/>
      <c r="J194" s="962"/>
      <c r="K194" s="962"/>
      <c r="L194" s="906"/>
      <c r="M194" s="906"/>
      <c r="N194" s="906"/>
      <c r="O194" s="906"/>
      <c r="P194" s="906"/>
    </row>
    <row r="195" spans="4:16" ht="12.75" customHeight="1" x14ac:dyDescent="0.2">
      <c r="D195" s="906" t="s">
        <v>424</v>
      </c>
      <c r="E195" s="949"/>
      <c r="F195" s="901"/>
      <c r="G195" s="949"/>
      <c r="H195" s="964">
        <f>0.416666666666667*H47+0.583333333333333*I47</f>
        <v>0</v>
      </c>
      <c r="I195" s="964">
        <f>0.416666666666667*I47+0.583333333333333*J47</f>
        <v>0</v>
      </c>
      <c r="J195" s="964">
        <f>0.416666666666667*J47+0.583333333333333*K47</f>
        <v>0</v>
      </c>
      <c r="K195" s="964">
        <f>0.416666666666667*K47+0.583333333333333*L47</f>
        <v>0</v>
      </c>
      <c r="L195" s="964">
        <f>L47</f>
        <v>0</v>
      </c>
      <c r="M195" s="964"/>
      <c r="N195" s="906"/>
      <c r="O195" s="906"/>
      <c r="P195" s="906"/>
    </row>
    <row r="196" spans="4:16" ht="12.75" customHeight="1" x14ac:dyDescent="0.2">
      <c r="D196" s="906"/>
      <c r="E196" s="949"/>
      <c r="F196" s="901"/>
      <c r="G196" s="949"/>
      <c r="H196" s="962"/>
      <c r="I196" s="962"/>
      <c r="J196" s="962"/>
      <c r="K196" s="962"/>
      <c r="L196" s="906"/>
      <c r="M196" s="906"/>
      <c r="N196" s="906"/>
      <c r="O196" s="906"/>
      <c r="P196" s="906"/>
    </row>
    <row r="197" spans="4:16" ht="12.75" customHeight="1" x14ac:dyDescent="0.2">
      <c r="D197" s="967"/>
      <c r="E197" s="906"/>
      <c r="F197" s="905"/>
      <c r="G197" s="906"/>
      <c r="H197" s="962"/>
      <c r="I197" s="962"/>
      <c r="J197" s="962"/>
      <c r="K197" s="962"/>
      <c r="L197" s="906"/>
      <c r="M197" s="906"/>
      <c r="N197" s="906"/>
      <c r="O197" s="906"/>
      <c r="P197" s="906"/>
    </row>
    <row r="198" spans="4:16" ht="12.75" customHeight="1" x14ac:dyDescent="0.2">
      <c r="D198" s="967"/>
      <c r="E198" s="906"/>
      <c r="F198" s="905"/>
      <c r="G198" s="906"/>
      <c r="H198" s="962"/>
      <c r="I198" s="962"/>
      <c r="J198" s="962"/>
      <c r="K198" s="962"/>
      <c r="L198" s="906"/>
      <c r="M198" s="906"/>
      <c r="N198" s="906"/>
      <c r="O198" s="906"/>
      <c r="P198" s="906"/>
    </row>
    <row r="199" spans="4:16" ht="12.75" customHeight="1" x14ac:dyDescent="0.2">
      <c r="D199" s="967"/>
      <c r="E199" s="906"/>
      <c r="F199" s="905"/>
      <c r="G199" s="906"/>
      <c r="H199" s="962"/>
      <c r="I199" s="962"/>
      <c r="J199" s="962"/>
      <c r="K199" s="962"/>
      <c r="L199" s="906"/>
      <c r="M199" s="906"/>
      <c r="N199" s="906"/>
      <c r="O199" s="906"/>
      <c r="P199" s="906"/>
    </row>
    <row r="200" spans="4:16" ht="12.75" customHeight="1" x14ac:dyDescent="0.2">
      <c r="D200" s="906"/>
      <c r="E200" s="906"/>
      <c r="F200" s="905"/>
      <c r="G200" s="906"/>
      <c r="H200" s="962"/>
      <c r="I200" s="962"/>
      <c r="J200" s="962"/>
      <c r="K200" s="962"/>
      <c r="L200" s="906"/>
      <c r="M200" s="906"/>
      <c r="N200" s="906"/>
      <c r="O200" s="906"/>
      <c r="P200" s="906"/>
    </row>
    <row r="201" spans="4:16" ht="12.75" customHeight="1" x14ac:dyDescent="0.2">
      <c r="D201" s="906"/>
      <c r="E201" s="906"/>
      <c r="F201" s="905"/>
      <c r="G201" s="906"/>
      <c r="H201" s="962"/>
      <c r="I201" s="962"/>
      <c r="J201" s="962"/>
      <c r="K201" s="962"/>
      <c r="L201" s="906"/>
      <c r="M201" s="906"/>
      <c r="N201" s="906"/>
      <c r="O201" s="906"/>
      <c r="P201" s="906"/>
    </row>
    <row r="202" spans="4:16" ht="12.75" customHeight="1" x14ac:dyDescent="0.2">
      <c r="D202" s="906"/>
      <c r="E202" s="906"/>
      <c r="F202" s="905"/>
      <c r="G202" s="906"/>
      <c r="H202" s="962"/>
      <c r="I202" s="962"/>
      <c r="J202" s="962"/>
      <c r="K202" s="962"/>
      <c r="L202" s="906"/>
      <c r="M202" s="906"/>
      <c r="N202" s="906"/>
      <c r="O202" s="906"/>
      <c r="P202" s="906"/>
    </row>
    <row r="203" spans="4:16" ht="12.75" customHeight="1" x14ac:dyDescent="0.2"/>
    <row r="204" spans="4:16" ht="12.75" customHeight="1" x14ac:dyDescent="0.2"/>
    <row r="205" spans="4:16" ht="12.75" customHeight="1" x14ac:dyDescent="0.2"/>
    <row r="206" spans="4:16" ht="12.75" customHeight="1" x14ac:dyDescent="0.2"/>
    <row r="207" spans="4:16" ht="12.75" customHeight="1" x14ac:dyDescent="0.2"/>
    <row r="208" spans="4:16" ht="12.75" customHeight="1" x14ac:dyDescent="0.2"/>
    <row r="209" spans="4:14" ht="12.75" customHeight="1" x14ac:dyDescent="0.2"/>
    <row r="210" spans="4:14" ht="12.75" customHeight="1" x14ac:dyDescent="0.2"/>
    <row r="211" spans="4:14" ht="12.75" customHeight="1" x14ac:dyDescent="0.2"/>
    <row r="212" spans="4:14" ht="12.75" customHeight="1" x14ac:dyDescent="0.2"/>
    <row r="213" spans="4:14" ht="12.75" customHeight="1" x14ac:dyDescent="0.2"/>
    <row r="214" spans="4:14" ht="12.75" customHeight="1" x14ac:dyDescent="0.2"/>
    <row r="215" spans="4:14" ht="12.75" customHeight="1" x14ac:dyDescent="0.2"/>
    <row r="216" spans="4:14" ht="12.75" customHeight="1" x14ac:dyDescent="0.2"/>
    <row r="217" spans="4:14" ht="12.75" customHeight="1" x14ac:dyDescent="0.2"/>
    <row r="218" spans="4:14" ht="12.75" customHeight="1" x14ac:dyDescent="0.2">
      <c r="D218" s="400"/>
      <c r="E218" s="400"/>
      <c r="F218" s="605"/>
      <c r="G218" s="400"/>
      <c r="H218" s="606"/>
      <c r="I218" s="606"/>
      <c r="J218" s="606"/>
      <c r="K218" s="606"/>
      <c r="L218" s="400"/>
      <c r="M218" s="400"/>
      <c r="N218" s="400"/>
    </row>
    <row r="219" spans="4:14" ht="12.75" customHeight="1" x14ac:dyDescent="0.2"/>
    <row r="220" spans="4:14" ht="12.75" customHeight="1" x14ac:dyDescent="0.2"/>
    <row r="221" spans="4:14" ht="12.75" customHeight="1" x14ac:dyDescent="0.2"/>
    <row r="222" spans="4:14" ht="12.75" customHeight="1" x14ac:dyDescent="0.2"/>
    <row r="223" spans="4:14" ht="12.75" customHeight="1" x14ac:dyDescent="0.2"/>
    <row r="224" spans="4:1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row r="1001" ht="12.75" customHeight="1" x14ac:dyDescent="0.2"/>
    <row r="1002" ht="12.75" customHeight="1" x14ac:dyDescent="0.2"/>
    <row r="1003" ht="12.75" customHeight="1" x14ac:dyDescent="0.2"/>
    <row r="1004" ht="12.75" customHeight="1" x14ac:dyDescent="0.2"/>
    <row r="1005" ht="12.75" customHeight="1" x14ac:dyDescent="0.2"/>
    <row r="1006" ht="12.75" customHeight="1" x14ac:dyDescent="0.2"/>
    <row r="1007" ht="12.75" customHeight="1" x14ac:dyDescent="0.2"/>
    <row r="1008" ht="12.75" customHeight="1" x14ac:dyDescent="0.2"/>
    <row r="1009" ht="12.75" customHeight="1" x14ac:dyDescent="0.2"/>
    <row r="1010" ht="12.75" customHeight="1" x14ac:dyDescent="0.2"/>
    <row r="1011" ht="12.75" customHeight="1" x14ac:dyDescent="0.2"/>
    <row r="1012" ht="12.75" customHeight="1" x14ac:dyDescent="0.2"/>
    <row r="1013" ht="12.75" customHeight="1" x14ac:dyDescent="0.2"/>
    <row r="1014" ht="12.75" customHeight="1" x14ac:dyDescent="0.2"/>
    <row r="1015" ht="12.75" customHeight="1" x14ac:dyDescent="0.2"/>
    <row r="1016" ht="12.75" customHeight="1" x14ac:dyDescent="0.2"/>
    <row r="1017" ht="12.75" customHeight="1" x14ac:dyDescent="0.2"/>
    <row r="1018" ht="12.75" customHeight="1" x14ac:dyDescent="0.2"/>
    <row r="1019" ht="12.75" customHeight="1" x14ac:dyDescent="0.2"/>
    <row r="1020" ht="12.75" customHeight="1" x14ac:dyDescent="0.2"/>
    <row r="1021" ht="12.75" customHeight="1" x14ac:dyDescent="0.2"/>
    <row r="1022" ht="12.75" customHeight="1" x14ac:dyDescent="0.2"/>
    <row r="1023" ht="12.75" customHeight="1" x14ac:dyDescent="0.2"/>
    <row r="1024" ht="12.75" customHeight="1" x14ac:dyDescent="0.2"/>
    <row r="1025" ht="12.75" customHeight="1" x14ac:dyDescent="0.2"/>
    <row r="1026" ht="12.75" customHeight="1" x14ac:dyDescent="0.2"/>
    <row r="1027" ht="12.75" customHeight="1" x14ac:dyDescent="0.2"/>
    <row r="1028" ht="12.75" customHeight="1" x14ac:dyDescent="0.2"/>
    <row r="1029" ht="12.75" customHeight="1" x14ac:dyDescent="0.2"/>
    <row r="1030" ht="12.75" customHeight="1" x14ac:dyDescent="0.2"/>
    <row r="1031" ht="12.75" customHeight="1" x14ac:dyDescent="0.2"/>
    <row r="1032" ht="12.75" customHeight="1" x14ac:dyDescent="0.2"/>
    <row r="1033" ht="12.75" customHeight="1" x14ac:dyDescent="0.2"/>
    <row r="1034" ht="12.75" customHeight="1" x14ac:dyDescent="0.2"/>
    <row r="1035" ht="12.75" customHeight="1" x14ac:dyDescent="0.2"/>
    <row r="1036" ht="12.75" customHeight="1" x14ac:dyDescent="0.2"/>
    <row r="1037" ht="12.75" customHeight="1" x14ac:dyDescent="0.2"/>
    <row r="1038" ht="12.75" customHeight="1" x14ac:dyDescent="0.2"/>
    <row r="1039" ht="12.75" customHeight="1" x14ac:dyDescent="0.2"/>
    <row r="1040" ht="12.75" customHeight="1" x14ac:dyDescent="0.2"/>
    <row r="1041" ht="12.75" customHeight="1" x14ac:dyDescent="0.2"/>
    <row r="1042" ht="12.75" customHeight="1" x14ac:dyDescent="0.2"/>
    <row r="1043" ht="12.75" customHeight="1" x14ac:dyDescent="0.2"/>
    <row r="1044" ht="12.75" customHeight="1" x14ac:dyDescent="0.2"/>
    <row r="1045" ht="12.75" customHeight="1" x14ac:dyDescent="0.2"/>
    <row r="1046" ht="12.75" customHeight="1" x14ac:dyDescent="0.2"/>
    <row r="1047" ht="12.75" customHeight="1" x14ac:dyDescent="0.2"/>
    <row r="1048" ht="12.75" customHeight="1" x14ac:dyDescent="0.2"/>
    <row r="1049" ht="12.75" customHeight="1" x14ac:dyDescent="0.2"/>
    <row r="1050" ht="12.75" customHeight="1" x14ac:dyDescent="0.2"/>
    <row r="1051" ht="12.75" customHeight="1" x14ac:dyDescent="0.2"/>
    <row r="1052" ht="12.75" customHeight="1" x14ac:dyDescent="0.2"/>
    <row r="1053" ht="12.75" customHeight="1" x14ac:dyDescent="0.2"/>
    <row r="1054" ht="12.75" customHeight="1" x14ac:dyDescent="0.2"/>
    <row r="1055" ht="12.75" customHeight="1" x14ac:dyDescent="0.2"/>
    <row r="1056" ht="12.75" customHeight="1" x14ac:dyDescent="0.2"/>
    <row r="1057" ht="12.75" customHeight="1" x14ac:dyDescent="0.2"/>
    <row r="1058" ht="12.75" customHeight="1" x14ac:dyDescent="0.2"/>
    <row r="1059" ht="12.75" customHeight="1" x14ac:dyDescent="0.2"/>
    <row r="1060" ht="12.75" customHeight="1" x14ac:dyDescent="0.2"/>
    <row r="1061" ht="12.75" customHeight="1" x14ac:dyDescent="0.2"/>
    <row r="1062" ht="12.75" customHeight="1" x14ac:dyDescent="0.2"/>
    <row r="1063" ht="12.75" customHeight="1" x14ac:dyDescent="0.2"/>
    <row r="1064" ht="12.75" customHeight="1" x14ac:dyDescent="0.2"/>
    <row r="1065" ht="12.75" customHeight="1" x14ac:dyDescent="0.2"/>
    <row r="1066" ht="12.75" customHeight="1" x14ac:dyDescent="0.2"/>
    <row r="1067" ht="12.75" customHeight="1" x14ac:dyDescent="0.2"/>
    <row r="1068" ht="12.75" customHeight="1" x14ac:dyDescent="0.2"/>
    <row r="1069" ht="12.75" customHeight="1" x14ac:dyDescent="0.2"/>
    <row r="1070" ht="12.75" customHeight="1" x14ac:dyDescent="0.2"/>
    <row r="1071" ht="12.75" customHeight="1" x14ac:dyDescent="0.2"/>
    <row r="1072" ht="12.75" customHeight="1" x14ac:dyDescent="0.2"/>
    <row r="1073" ht="12.75" customHeight="1" x14ac:dyDescent="0.2"/>
    <row r="1074" ht="12.75" customHeight="1" x14ac:dyDescent="0.2"/>
    <row r="1075" ht="12.75" customHeight="1" x14ac:dyDescent="0.2"/>
    <row r="1076" ht="12.75" customHeight="1" x14ac:dyDescent="0.2"/>
    <row r="1077" ht="12.75" customHeight="1" x14ac:dyDescent="0.2"/>
    <row r="1078" ht="12.75" customHeight="1" x14ac:dyDescent="0.2"/>
    <row r="1079" ht="12.75" customHeight="1" x14ac:dyDescent="0.2"/>
    <row r="1080" ht="12.75" customHeight="1" x14ac:dyDescent="0.2"/>
    <row r="1081" ht="12.75" customHeight="1" x14ac:dyDescent="0.2"/>
    <row r="1082" ht="12.75" customHeight="1" x14ac:dyDescent="0.2"/>
    <row r="1083" ht="12.75" customHeight="1" x14ac:dyDescent="0.2"/>
    <row r="1084" ht="12.75" customHeight="1" x14ac:dyDescent="0.2"/>
    <row r="1085" ht="12.75" customHeight="1" x14ac:dyDescent="0.2"/>
    <row r="1086" ht="12.75" customHeight="1" x14ac:dyDescent="0.2"/>
    <row r="1087" ht="12.75" customHeight="1" x14ac:dyDescent="0.2"/>
    <row r="1088" ht="12.75" customHeight="1" x14ac:dyDescent="0.2"/>
    <row r="1089" ht="12.75" customHeight="1" x14ac:dyDescent="0.2"/>
    <row r="1090" ht="12.75" customHeight="1" x14ac:dyDescent="0.2"/>
    <row r="1091" ht="12.75" customHeight="1" x14ac:dyDescent="0.2"/>
    <row r="1092" ht="12.75" customHeight="1" x14ac:dyDescent="0.2"/>
    <row r="1093" ht="12.75" customHeight="1" x14ac:dyDescent="0.2"/>
    <row r="1094" ht="12.75" customHeight="1" x14ac:dyDescent="0.2"/>
    <row r="1095" ht="12.75" customHeight="1" x14ac:dyDescent="0.2"/>
    <row r="1096" ht="12.75" customHeight="1" x14ac:dyDescent="0.2"/>
    <row r="1097" ht="12.75" customHeight="1" x14ac:dyDescent="0.2"/>
    <row r="1098" ht="12.75" customHeight="1" x14ac:dyDescent="0.2"/>
    <row r="1099" ht="12.75" customHeight="1" x14ac:dyDescent="0.2"/>
    <row r="1100" ht="12.75" customHeight="1" x14ac:dyDescent="0.2"/>
    <row r="1101" ht="12.75" customHeight="1" x14ac:dyDescent="0.2"/>
    <row r="1102" ht="12.75" customHeight="1" x14ac:dyDescent="0.2"/>
    <row r="1103" ht="12.75" customHeight="1" x14ac:dyDescent="0.2"/>
    <row r="1104" ht="12.75" customHeight="1" x14ac:dyDescent="0.2"/>
    <row r="1105" ht="12.75" customHeight="1" x14ac:dyDescent="0.2"/>
    <row r="1106" ht="12.75" customHeight="1" x14ac:dyDescent="0.2"/>
    <row r="1107" ht="12.75" customHeight="1" x14ac:dyDescent="0.2"/>
    <row r="1108" ht="12.75" customHeight="1" x14ac:dyDescent="0.2"/>
    <row r="1109" ht="12.75" customHeight="1" x14ac:dyDescent="0.2"/>
    <row r="1110" ht="12.75" customHeight="1" x14ac:dyDescent="0.2"/>
    <row r="1111" ht="12.75" customHeight="1" x14ac:dyDescent="0.2"/>
    <row r="1112" ht="12.75" customHeight="1" x14ac:dyDescent="0.2"/>
    <row r="1113" ht="12.75" customHeight="1" x14ac:dyDescent="0.2"/>
    <row r="1114" ht="12.75" customHeight="1" x14ac:dyDescent="0.2"/>
    <row r="1115" ht="12.75" customHeight="1" x14ac:dyDescent="0.2"/>
    <row r="1116" ht="12.75" customHeight="1" x14ac:dyDescent="0.2"/>
    <row r="1117" ht="12.75" customHeight="1" x14ac:dyDescent="0.2"/>
    <row r="1118" ht="12.75" customHeight="1" x14ac:dyDescent="0.2"/>
    <row r="1119" ht="12.75" customHeight="1" x14ac:dyDescent="0.2"/>
    <row r="1120" ht="12.75" customHeight="1" x14ac:dyDescent="0.2"/>
    <row r="1121" ht="12.75" customHeight="1" x14ac:dyDescent="0.2"/>
    <row r="1122" ht="12.75" customHeight="1" x14ac:dyDescent="0.2"/>
    <row r="1123" ht="12.75" customHeight="1" x14ac:dyDescent="0.2"/>
    <row r="1124" ht="12.75" customHeight="1" x14ac:dyDescent="0.2"/>
    <row r="1125" ht="12.75" customHeight="1" x14ac:dyDescent="0.2"/>
    <row r="1126" ht="12.75" customHeight="1" x14ac:dyDescent="0.2"/>
    <row r="1127" ht="12.75" customHeight="1" x14ac:dyDescent="0.2"/>
    <row r="1128" ht="12.75" customHeight="1" x14ac:dyDescent="0.2"/>
    <row r="1129" ht="12.75" customHeight="1" x14ac:dyDescent="0.2"/>
    <row r="1130" ht="12.75" customHeight="1" x14ac:dyDescent="0.2"/>
    <row r="1131" ht="12.75" customHeight="1" x14ac:dyDescent="0.2"/>
    <row r="1132" ht="12.75" customHeight="1" x14ac:dyDescent="0.2"/>
    <row r="1133" ht="12.75" customHeight="1" x14ac:dyDescent="0.2"/>
    <row r="1134" ht="12.75" customHeight="1" x14ac:dyDescent="0.2"/>
    <row r="1135" ht="12.75" customHeight="1" x14ac:dyDescent="0.2"/>
    <row r="1136" ht="12.75" customHeight="1" x14ac:dyDescent="0.2"/>
    <row r="1137" ht="12.75" customHeight="1" x14ac:dyDescent="0.2"/>
    <row r="1138" ht="12.75" customHeight="1" x14ac:dyDescent="0.2"/>
    <row r="1139" ht="12.75" customHeight="1" x14ac:dyDescent="0.2"/>
    <row r="1140" ht="12.75" customHeight="1" x14ac:dyDescent="0.2"/>
    <row r="1141" ht="12.75" customHeight="1" x14ac:dyDescent="0.2"/>
    <row r="1142" ht="12.75" customHeight="1" x14ac:dyDescent="0.2"/>
    <row r="1143" ht="12.75" customHeight="1" x14ac:dyDescent="0.2"/>
    <row r="1144" ht="12.75" customHeight="1" x14ac:dyDescent="0.2"/>
    <row r="1145" ht="12.75" customHeight="1" x14ac:dyDescent="0.2"/>
    <row r="1146" ht="12.75" customHeight="1" x14ac:dyDescent="0.2"/>
    <row r="1147" ht="12.75" customHeight="1" x14ac:dyDescent="0.2"/>
    <row r="1148" ht="12.75" customHeight="1" x14ac:dyDescent="0.2"/>
    <row r="1149" ht="12.75" customHeight="1" x14ac:dyDescent="0.2"/>
    <row r="1150" ht="12.75" customHeight="1" x14ac:dyDescent="0.2"/>
    <row r="1151" ht="12.75" customHeight="1" x14ac:dyDescent="0.2"/>
    <row r="1152" ht="12.75" customHeight="1" x14ac:dyDescent="0.2"/>
    <row r="1153" ht="12.75" customHeight="1" x14ac:dyDescent="0.2"/>
    <row r="1154" ht="12.75" customHeight="1" x14ac:dyDescent="0.2"/>
    <row r="1155" ht="12.75" customHeight="1" x14ac:dyDescent="0.2"/>
    <row r="1156" ht="12.75" customHeight="1" x14ac:dyDescent="0.2"/>
    <row r="1157" ht="12.75" customHeight="1" x14ac:dyDescent="0.2"/>
    <row r="1158" ht="12.75" customHeight="1" x14ac:dyDescent="0.2"/>
    <row r="1159" ht="12.75" customHeight="1" x14ac:dyDescent="0.2"/>
    <row r="1160" ht="12.75" customHeight="1" x14ac:dyDescent="0.2"/>
    <row r="1161" ht="12.75" customHeight="1" x14ac:dyDescent="0.2"/>
    <row r="1162" ht="12.75" customHeight="1" x14ac:dyDescent="0.2"/>
    <row r="1163" ht="12.75" customHeight="1" x14ac:dyDescent="0.2"/>
    <row r="1164" ht="12.75" customHeight="1" x14ac:dyDescent="0.2"/>
    <row r="1165" ht="12.75" customHeight="1" x14ac:dyDescent="0.2"/>
    <row r="1166" ht="12.75" customHeight="1" x14ac:dyDescent="0.2"/>
    <row r="1167" ht="12.75" customHeight="1" x14ac:dyDescent="0.2"/>
    <row r="1168" ht="12.75" customHeight="1" x14ac:dyDescent="0.2"/>
    <row r="1169" ht="12.75" customHeight="1" x14ac:dyDescent="0.2"/>
    <row r="1170" ht="12.75" customHeight="1" x14ac:dyDescent="0.2"/>
    <row r="1171" ht="12.75" customHeight="1" x14ac:dyDescent="0.2"/>
    <row r="1172" ht="12.75" customHeight="1" x14ac:dyDescent="0.2"/>
    <row r="1173" ht="12.75" customHeight="1" x14ac:dyDescent="0.2"/>
    <row r="1174" ht="12.75" customHeight="1" x14ac:dyDescent="0.2"/>
    <row r="1175" ht="12.75" customHeight="1" x14ac:dyDescent="0.2"/>
    <row r="1176" ht="12.75" customHeight="1" x14ac:dyDescent="0.2"/>
    <row r="1177" ht="12.75" customHeight="1" x14ac:dyDescent="0.2"/>
    <row r="1178" ht="12.75" customHeight="1" x14ac:dyDescent="0.2"/>
    <row r="1179" ht="12.75" customHeight="1" x14ac:dyDescent="0.2"/>
    <row r="1180" ht="12.75" customHeight="1" x14ac:dyDescent="0.2"/>
    <row r="1181" ht="12.75" customHeight="1" x14ac:dyDescent="0.2"/>
    <row r="1182" ht="12.75" customHeight="1" x14ac:dyDescent="0.2"/>
    <row r="1183" ht="12.75" customHeight="1" x14ac:dyDescent="0.2"/>
    <row r="1184" ht="12.75" customHeight="1" x14ac:dyDescent="0.2"/>
    <row r="1185" ht="12.75" customHeight="1" x14ac:dyDescent="0.2"/>
    <row r="1186" ht="12.75" customHeight="1" x14ac:dyDescent="0.2"/>
    <row r="1187" ht="12.75" customHeight="1" x14ac:dyDescent="0.2"/>
    <row r="1188" ht="12.75" customHeight="1" x14ac:dyDescent="0.2"/>
    <row r="1189" ht="12.75" customHeight="1" x14ac:dyDescent="0.2"/>
    <row r="1190" ht="12.75" customHeight="1" x14ac:dyDescent="0.2"/>
    <row r="1191" ht="12.75" customHeight="1" x14ac:dyDescent="0.2"/>
    <row r="1192" ht="12.75" customHeight="1" x14ac:dyDescent="0.2"/>
    <row r="1193" ht="12.75" customHeight="1" x14ac:dyDescent="0.2"/>
    <row r="1194" ht="12.75" customHeight="1" x14ac:dyDescent="0.2"/>
    <row r="1195" ht="12.75" customHeight="1" x14ac:dyDescent="0.2"/>
    <row r="1196" ht="12.75" customHeight="1" x14ac:dyDescent="0.2"/>
    <row r="1197" ht="12.75" customHeight="1" x14ac:dyDescent="0.2"/>
    <row r="1198" ht="12.75" customHeight="1" x14ac:dyDescent="0.2"/>
    <row r="1199" ht="12.75" customHeight="1" x14ac:dyDescent="0.2"/>
    <row r="1200" ht="12.75" customHeight="1" x14ac:dyDescent="0.2"/>
    <row r="1201" ht="12.75" customHeight="1" x14ac:dyDescent="0.2"/>
    <row r="1202" ht="12.75" customHeight="1" x14ac:dyDescent="0.2"/>
    <row r="1203" ht="12.75" customHeight="1" x14ac:dyDescent="0.2"/>
    <row r="1204" ht="12.75" customHeight="1" x14ac:dyDescent="0.2"/>
    <row r="1205" ht="12.75" customHeight="1" x14ac:dyDescent="0.2"/>
    <row r="1206" ht="12.75" customHeight="1" x14ac:dyDescent="0.2"/>
    <row r="1207" ht="12.75" customHeight="1" x14ac:dyDescent="0.2"/>
    <row r="1208" ht="12.75" customHeight="1" x14ac:dyDescent="0.2"/>
    <row r="1209" ht="12.75" customHeight="1" x14ac:dyDescent="0.2"/>
    <row r="1210" ht="12.75" customHeight="1" x14ac:dyDescent="0.2"/>
    <row r="1211" ht="12.75" customHeight="1" x14ac:dyDescent="0.2"/>
    <row r="1212" ht="12.75" customHeight="1" x14ac:dyDescent="0.2"/>
    <row r="1213" ht="12.75" customHeight="1" x14ac:dyDescent="0.2"/>
    <row r="1214" ht="12.75" customHeight="1" x14ac:dyDescent="0.2"/>
    <row r="1215" ht="12.75" customHeight="1" x14ac:dyDescent="0.2"/>
    <row r="1216" ht="12.75" customHeight="1" x14ac:dyDescent="0.2"/>
    <row r="1217" ht="12.75" customHeight="1" x14ac:dyDescent="0.2"/>
    <row r="1218" ht="12.75" customHeight="1" x14ac:dyDescent="0.2"/>
    <row r="1219" ht="12.75" customHeight="1" x14ac:dyDescent="0.2"/>
    <row r="1220" ht="12.75" customHeight="1" x14ac:dyDescent="0.2"/>
    <row r="1221" ht="12.75" customHeight="1" x14ac:dyDescent="0.2"/>
    <row r="1222" ht="12.75" customHeight="1" x14ac:dyDescent="0.2"/>
    <row r="1223" ht="12.75" customHeight="1" x14ac:dyDescent="0.2"/>
    <row r="1224" ht="12.75" customHeight="1" x14ac:dyDescent="0.2"/>
    <row r="1225" ht="12.75" customHeight="1" x14ac:dyDescent="0.2"/>
    <row r="1226" ht="12.75" customHeight="1" x14ac:dyDescent="0.2"/>
    <row r="1227" ht="12.75" customHeight="1" x14ac:dyDescent="0.2"/>
    <row r="1228" ht="12.75" customHeight="1" x14ac:dyDescent="0.2"/>
    <row r="1229" ht="12.75" customHeight="1" x14ac:dyDescent="0.2"/>
    <row r="1230" ht="12.75" customHeight="1" x14ac:dyDescent="0.2"/>
    <row r="1231" ht="12.75" customHeight="1" x14ac:dyDescent="0.2"/>
    <row r="1232" ht="12.75" customHeight="1" x14ac:dyDescent="0.2"/>
    <row r="1233" ht="12.75" customHeight="1" x14ac:dyDescent="0.2"/>
    <row r="1234" ht="12.75" customHeight="1" x14ac:dyDescent="0.2"/>
    <row r="1235" ht="12.75" customHeight="1" x14ac:dyDescent="0.2"/>
    <row r="1236" ht="12.75" customHeight="1" x14ac:dyDescent="0.2"/>
    <row r="1237" ht="12.75" customHeight="1" x14ac:dyDescent="0.2"/>
    <row r="1238" ht="12.75" customHeight="1" x14ac:dyDescent="0.2"/>
    <row r="1239" ht="12.75" customHeight="1" x14ac:dyDescent="0.2"/>
    <row r="1240" ht="12.75" customHeight="1" x14ac:dyDescent="0.2"/>
    <row r="1241" ht="12.75" customHeight="1" x14ac:dyDescent="0.2"/>
    <row r="1242" ht="12.75" customHeight="1" x14ac:dyDescent="0.2"/>
    <row r="1243" ht="12.75" customHeight="1" x14ac:dyDescent="0.2"/>
    <row r="1244" ht="12.75" customHeight="1" x14ac:dyDescent="0.2"/>
    <row r="1245" ht="12.75" customHeight="1" x14ac:dyDescent="0.2"/>
    <row r="1246" ht="12.75" customHeight="1" x14ac:dyDescent="0.2"/>
    <row r="1247" ht="12.75" customHeight="1" x14ac:dyDescent="0.2"/>
    <row r="1248" ht="12.75" customHeight="1" x14ac:dyDescent="0.2"/>
    <row r="1249" ht="12.75" customHeight="1" x14ac:dyDescent="0.2"/>
    <row r="1250" ht="12.75" customHeight="1" x14ac:dyDescent="0.2"/>
    <row r="1251" ht="12.75" customHeight="1" x14ac:dyDescent="0.2"/>
    <row r="1252" ht="12.75" customHeight="1" x14ac:dyDescent="0.2"/>
    <row r="1253" ht="12.75" customHeight="1" x14ac:dyDescent="0.2"/>
    <row r="1254" ht="12.75" customHeight="1" x14ac:dyDescent="0.2"/>
    <row r="1255" ht="12.75" customHeight="1" x14ac:dyDescent="0.2"/>
    <row r="1256" ht="12.75" customHeight="1" x14ac:dyDescent="0.2"/>
    <row r="1257" ht="12.75" customHeight="1" x14ac:dyDescent="0.2"/>
    <row r="1258" ht="12.75" customHeight="1" x14ac:dyDescent="0.2"/>
    <row r="1259" ht="12.75" customHeight="1" x14ac:dyDescent="0.2"/>
    <row r="1260" ht="12.75" customHeight="1" x14ac:dyDescent="0.2"/>
    <row r="1261" ht="12.75" customHeight="1" x14ac:dyDescent="0.2"/>
    <row r="1262" ht="12.75" customHeight="1" x14ac:dyDescent="0.2"/>
    <row r="1263" ht="12.75" customHeight="1" x14ac:dyDescent="0.2"/>
    <row r="1264" ht="12.75" customHeight="1" x14ac:dyDescent="0.2"/>
    <row r="1265" ht="12.75" customHeight="1" x14ac:dyDescent="0.2"/>
    <row r="1266" ht="12.75" customHeight="1" x14ac:dyDescent="0.2"/>
    <row r="1267" ht="12.75" customHeight="1" x14ac:dyDescent="0.2"/>
    <row r="1268" ht="12.75" customHeight="1" x14ac:dyDescent="0.2"/>
    <row r="1269" ht="12.75" customHeight="1" x14ac:dyDescent="0.2"/>
    <row r="1270" ht="12.75" customHeight="1" x14ac:dyDescent="0.2"/>
    <row r="1271" ht="12.75" customHeight="1" x14ac:dyDescent="0.2"/>
    <row r="1272" ht="12.75" customHeight="1" x14ac:dyDescent="0.2"/>
    <row r="1273" ht="12.75" customHeight="1" x14ac:dyDescent="0.2"/>
    <row r="1274" ht="12.75" customHeight="1" x14ac:dyDescent="0.2"/>
    <row r="1275" ht="12.75" customHeight="1" x14ac:dyDescent="0.2"/>
    <row r="1276" ht="12.75" customHeight="1" x14ac:dyDescent="0.2"/>
    <row r="1277" ht="12.75" customHeight="1" x14ac:dyDescent="0.2"/>
    <row r="1278" ht="12.75" customHeight="1" x14ac:dyDescent="0.2"/>
    <row r="1279" ht="12.75" customHeight="1" x14ac:dyDescent="0.2"/>
    <row r="1280" ht="12.75" customHeight="1" x14ac:dyDescent="0.2"/>
    <row r="1281" ht="12.75" customHeight="1" x14ac:dyDescent="0.2"/>
    <row r="1282" ht="12.75" customHeight="1" x14ac:dyDescent="0.2"/>
    <row r="1283" ht="12.75" customHeight="1" x14ac:dyDescent="0.2"/>
    <row r="1284" ht="12.75" customHeight="1" x14ac:dyDescent="0.2"/>
    <row r="1285" ht="12.75" customHeight="1" x14ac:dyDescent="0.2"/>
    <row r="1286" ht="12.75" customHeight="1" x14ac:dyDescent="0.2"/>
    <row r="1287" ht="12.75" customHeight="1" x14ac:dyDescent="0.2"/>
    <row r="1288" ht="12.75" customHeight="1" x14ac:dyDescent="0.2"/>
    <row r="1289" ht="12.75" customHeight="1" x14ac:dyDescent="0.2"/>
    <row r="1290" ht="12.75" customHeight="1" x14ac:dyDescent="0.2"/>
    <row r="1291" ht="12.75" customHeight="1" x14ac:dyDescent="0.2"/>
    <row r="1292" ht="12.75" customHeight="1" x14ac:dyDescent="0.2"/>
    <row r="1293" ht="12.75" customHeight="1" x14ac:dyDescent="0.2"/>
    <row r="1294" ht="12.75" customHeight="1" x14ac:dyDescent="0.2"/>
    <row r="1295" ht="12.75" customHeight="1" x14ac:dyDescent="0.2"/>
    <row r="1296" ht="12.75" customHeight="1" x14ac:dyDescent="0.2"/>
    <row r="1297" ht="12.75" customHeight="1" x14ac:dyDescent="0.2"/>
    <row r="1298" ht="12.75" customHeight="1" x14ac:dyDescent="0.2"/>
    <row r="1299" ht="12.75" customHeight="1" x14ac:dyDescent="0.2"/>
    <row r="1300" ht="12.75" customHeight="1" x14ac:dyDescent="0.2"/>
    <row r="1301" ht="12.75" customHeight="1" x14ac:dyDescent="0.2"/>
    <row r="1302" ht="12.75" customHeight="1" x14ac:dyDescent="0.2"/>
    <row r="1303" ht="12.75" customHeight="1" x14ac:dyDescent="0.2"/>
    <row r="1304" ht="12.75" customHeight="1" x14ac:dyDescent="0.2"/>
    <row r="1305" ht="12.75" customHeight="1" x14ac:dyDescent="0.2"/>
    <row r="1306" ht="12.75" customHeight="1" x14ac:dyDescent="0.2"/>
    <row r="1307" ht="12.75" customHeight="1" x14ac:dyDescent="0.2"/>
    <row r="1308" ht="12.75" customHeight="1" x14ac:dyDescent="0.2"/>
    <row r="1309" ht="12.75" customHeight="1" x14ac:dyDescent="0.2"/>
    <row r="1310" ht="12.75" customHeight="1" x14ac:dyDescent="0.2"/>
    <row r="1311" ht="12.75" customHeight="1" x14ac:dyDescent="0.2"/>
    <row r="1312" ht="12.75" customHeight="1" x14ac:dyDescent="0.2"/>
    <row r="1313" ht="12.75" customHeight="1" x14ac:dyDescent="0.2"/>
    <row r="1314" ht="12.75" customHeight="1" x14ac:dyDescent="0.2"/>
    <row r="1315" ht="12.75" customHeight="1" x14ac:dyDescent="0.2"/>
    <row r="1316" ht="12.75" customHeight="1" x14ac:dyDescent="0.2"/>
    <row r="1317" ht="12.75" customHeight="1" x14ac:dyDescent="0.2"/>
    <row r="1318" ht="12.75" customHeight="1" x14ac:dyDescent="0.2"/>
    <row r="1319" ht="12.75" customHeight="1" x14ac:dyDescent="0.2"/>
    <row r="1320" ht="12.75" customHeight="1" x14ac:dyDescent="0.2"/>
    <row r="1321" ht="12.75" customHeight="1" x14ac:dyDescent="0.2"/>
    <row r="1322" ht="12.75" customHeight="1" x14ac:dyDescent="0.2"/>
    <row r="1323" ht="12.75" customHeight="1" x14ac:dyDescent="0.2"/>
    <row r="1324" ht="12.75" customHeight="1" x14ac:dyDescent="0.2"/>
    <row r="1325" ht="12.75" customHeight="1" x14ac:dyDescent="0.2"/>
    <row r="1326" ht="12.75" customHeight="1" x14ac:dyDescent="0.2"/>
    <row r="1327" ht="12.75" customHeight="1" x14ac:dyDescent="0.2"/>
    <row r="1328" ht="12.75" customHeight="1" x14ac:dyDescent="0.2"/>
    <row r="1329" ht="12.75" customHeight="1" x14ac:dyDescent="0.2"/>
    <row r="1330" ht="12.75" customHeight="1" x14ac:dyDescent="0.2"/>
    <row r="1331" ht="12.75" customHeight="1" x14ac:dyDescent="0.2"/>
    <row r="1332" ht="12.75" customHeight="1" x14ac:dyDescent="0.2"/>
    <row r="1333" ht="12.75" customHeight="1" x14ac:dyDescent="0.2"/>
    <row r="1334" ht="12.75" customHeight="1" x14ac:dyDescent="0.2"/>
    <row r="1335" ht="12.75" customHeight="1" x14ac:dyDescent="0.2"/>
    <row r="1336" ht="12.75" customHeight="1" x14ac:dyDescent="0.2"/>
    <row r="1337" ht="12.75" customHeight="1" x14ac:dyDescent="0.2"/>
    <row r="1338" ht="12.75" customHeight="1" x14ac:dyDescent="0.2"/>
    <row r="1339" ht="12.75" customHeight="1" x14ac:dyDescent="0.2"/>
    <row r="1340" ht="12.75" customHeight="1" x14ac:dyDescent="0.2"/>
    <row r="1341" ht="12.75" customHeight="1" x14ac:dyDescent="0.2"/>
    <row r="1342" ht="12.75" customHeight="1" x14ac:dyDescent="0.2"/>
    <row r="1343" ht="12.75" customHeight="1" x14ac:dyDescent="0.2"/>
    <row r="1344" ht="12.75" customHeight="1" x14ac:dyDescent="0.2"/>
    <row r="1345" ht="12.75" customHeight="1" x14ac:dyDescent="0.2"/>
    <row r="1346" ht="12.75" customHeight="1" x14ac:dyDescent="0.2"/>
    <row r="1347" ht="12.75" customHeight="1" x14ac:dyDescent="0.2"/>
    <row r="1348" ht="12.75" customHeight="1" x14ac:dyDescent="0.2"/>
    <row r="1349" ht="12.75" customHeight="1" x14ac:dyDescent="0.2"/>
    <row r="1350" ht="12.75" customHeight="1" x14ac:dyDescent="0.2"/>
    <row r="1351" ht="12.75" customHeight="1" x14ac:dyDescent="0.2"/>
    <row r="1352" ht="12.75" customHeight="1" x14ac:dyDescent="0.2"/>
    <row r="1353" ht="12.75" customHeight="1" x14ac:dyDescent="0.2"/>
    <row r="1354" ht="12.75" customHeight="1" x14ac:dyDescent="0.2"/>
    <row r="1355" ht="12.75" customHeight="1" x14ac:dyDescent="0.2"/>
    <row r="1356" ht="12.75" customHeight="1" x14ac:dyDescent="0.2"/>
    <row r="1357" ht="12.75" customHeight="1" x14ac:dyDescent="0.2"/>
    <row r="1358" ht="12.75" customHeight="1" x14ac:dyDescent="0.2"/>
    <row r="1359" ht="12.75" customHeight="1" x14ac:dyDescent="0.2"/>
    <row r="1360" ht="12.75" customHeight="1" x14ac:dyDescent="0.2"/>
    <row r="1361" ht="12.75" customHeight="1" x14ac:dyDescent="0.2"/>
    <row r="1362" ht="12.75" customHeight="1" x14ac:dyDescent="0.2"/>
    <row r="1363" ht="12.75" customHeight="1" x14ac:dyDescent="0.2"/>
    <row r="1364" ht="12.75" customHeight="1" x14ac:dyDescent="0.2"/>
    <row r="1365" ht="12.75" customHeight="1" x14ac:dyDescent="0.2"/>
    <row r="1366" ht="12.75" customHeight="1" x14ac:dyDescent="0.2"/>
    <row r="1367" ht="12.75" customHeight="1" x14ac:dyDescent="0.2"/>
    <row r="1368" ht="12.75" customHeight="1" x14ac:dyDescent="0.2"/>
    <row r="1369" ht="12.75" customHeight="1" x14ac:dyDescent="0.2"/>
    <row r="1370" ht="12.75" customHeight="1" x14ac:dyDescent="0.2"/>
    <row r="1371" ht="12.75" customHeight="1" x14ac:dyDescent="0.2"/>
    <row r="1372" ht="12.75" customHeight="1" x14ac:dyDescent="0.2"/>
    <row r="1373" ht="12.75" customHeight="1" x14ac:dyDescent="0.2"/>
    <row r="1374" ht="12.75" customHeight="1" x14ac:dyDescent="0.2"/>
    <row r="1375" ht="12.75" customHeight="1" x14ac:dyDescent="0.2"/>
    <row r="1376" ht="12.75" customHeight="1" x14ac:dyDescent="0.2"/>
    <row r="1377" ht="12.75" customHeight="1" x14ac:dyDescent="0.2"/>
    <row r="1378" ht="12.75" customHeight="1" x14ac:dyDescent="0.2"/>
    <row r="1379" ht="12.75" customHeight="1" x14ac:dyDescent="0.2"/>
    <row r="1380" ht="12.75" customHeight="1" x14ac:dyDescent="0.2"/>
    <row r="1381" ht="12.75" customHeight="1" x14ac:dyDescent="0.2"/>
    <row r="1382" ht="12.75" customHeight="1" x14ac:dyDescent="0.2"/>
    <row r="1383" ht="12.75" customHeight="1" x14ac:dyDescent="0.2"/>
    <row r="1384" ht="12.75" customHeight="1" x14ac:dyDescent="0.2"/>
    <row r="1385" ht="12.75" customHeight="1" x14ac:dyDescent="0.2"/>
    <row r="1386" ht="12.75" customHeight="1" x14ac:dyDescent="0.2"/>
    <row r="1387" ht="12.75" customHeight="1" x14ac:dyDescent="0.2"/>
    <row r="1388" ht="12.75" customHeight="1" x14ac:dyDescent="0.2"/>
    <row r="1389" ht="12.75" customHeight="1" x14ac:dyDescent="0.2"/>
    <row r="1390" ht="12.75" customHeight="1" x14ac:dyDescent="0.2"/>
    <row r="1391" ht="12.75" customHeight="1" x14ac:dyDescent="0.2"/>
    <row r="1392" ht="12.75" customHeight="1" x14ac:dyDescent="0.2"/>
    <row r="1393" ht="12.75" customHeight="1" x14ac:dyDescent="0.2"/>
    <row r="1394" ht="12.75" customHeight="1" x14ac:dyDescent="0.2"/>
    <row r="1395" ht="12.75" customHeight="1" x14ac:dyDescent="0.2"/>
    <row r="1396" ht="12.75" customHeight="1" x14ac:dyDescent="0.2"/>
    <row r="1397" ht="12.75" customHeight="1" x14ac:dyDescent="0.2"/>
    <row r="1398" ht="12.75" customHeight="1" x14ac:dyDescent="0.2"/>
    <row r="1399" ht="12.75" customHeight="1" x14ac:dyDescent="0.2"/>
    <row r="1400" ht="12.75" customHeight="1" x14ac:dyDescent="0.2"/>
    <row r="1401" ht="12.75" customHeight="1" x14ac:dyDescent="0.2"/>
    <row r="1402" ht="12.75" customHeight="1" x14ac:dyDescent="0.2"/>
    <row r="1403" ht="12.75" customHeight="1" x14ac:dyDescent="0.2"/>
    <row r="1404" ht="12.75" customHeight="1" x14ac:dyDescent="0.2"/>
    <row r="1405" ht="12.75" customHeight="1" x14ac:dyDescent="0.2"/>
    <row r="1406" ht="12.75" customHeight="1" x14ac:dyDescent="0.2"/>
    <row r="1407" ht="12.75" customHeight="1" x14ac:dyDescent="0.2"/>
    <row r="1408" ht="12.75" customHeight="1" x14ac:dyDescent="0.2"/>
    <row r="1409" ht="12.75" customHeight="1" x14ac:dyDescent="0.2"/>
    <row r="1410" ht="12.75" customHeight="1" x14ac:dyDescent="0.2"/>
    <row r="1411" ht="12.75" customHeight="1" x14ac:dyDescent="0.2"/>
    <row r="1412" ht="12.75" customHeight="1" x14ac:dyDescent="0.2"/>
    <row r="1413" ht="12.75" customHeight="1" x14ac:dyDescent="0.2"/>
    <row r="1414" ht="12.75" customHeight="1" x14ac:dyDescent="0.2"/>
    <row r="1415" ht="12.75" customHeight="1" x14ac:dyDescent="0.2"/>
    <row r="1416" ht="12.75" customHeight="1" x14ac:dyDescent="0.2"/>
    <row r="1417" ht="12.75" customHeight="1" x14ac:dyDescent="0.2"/>
    <row r="1418" ht="12.75" customHeight="1" x14ac:dyDescent="0.2"/>
    <row r="1419" ht="12.75" customHeight="1" x14ac:dyDescent="0.2"/>
    <row r="1420" ht="12.75" customHeight="1" x14ac:dyDescent="0.2"/>
    <row r="1421" ht="12.75" customHeight="1" x14ac:dyDescent="0.2"/>
    <row r="1422" ht="12.75" customHeight="1" x14ac:dyDescent="0.2"/>
    <row r="1423" ht="12.75" customHeight="1" x14ac:dyDescent="0.2"/>
    <row r="1424" ht="12.75" customHeight="1" x14ac:dyDescent="0.2"/>
    <row r="1425" ht="12.75" customHeight="1" x14ac:dyDescent="0.2"/>
    <row r="1426" ht="12.75" customHeight="1" x14ac:dyDescent="0.2"/>
    <row r="1427" ht="12.75" customHeight="1" x14ac:dyDescent="0.2"/>
    <row r="1428" ht="12.75" customHeight="1" x14ac:dyDescent="0.2"/>
    <row r="1429" ht="12.75" customHeight="1" x14ac:dyDescent="0.2"/>
    <row r="1430" ht="12.75" customHeight="1" x14ac:dyDescent="0.2"/>
    <row r="1431" ht="12.75" customHeight="1" x14ac:dyDescent="0.2"/>
    <row r="1432" ht="12.75" customHeight="1" x14ac:dyDescent="0.2"/>
    <row r="1433" ht="12.75" customHeight="1" x14ac:dyDescent="0.2"/>
    <row r="1434" ht="12.75" customHeight="1" x14ac:dyDescent="0.2"/>
    <row r="1435" ht="12.75" customHeight="1" x14ac:dyDescent="0.2"/>
    <row r="1436" ht="12.75" customHeight="1" x14ac:dyDescent="0.2"/>
    <row r="1437" ht="12.75" customHeight="1" x14ac:dyDescent="0.2"/>
    <row r="1438" ht="12.75" customHeight="1" x14ac:dyDescent="0.2"/>
    <row r="1439" ht="12.75" customHeight="1" x14ac:dyDescent="0.2"/>
    <row r="1440" ht="12.75" customHeight="1" x14ac:dyDescent="0.2"/>
    <row r="1441" ht="12.75" customHeight="1" x14ac:dyDescent="0.2"/>
    <row r="1442" ht="12.75" customHeight="1" x14ac:dyDescent="0.2"/>
    <row r="1443" ht="12.75" customHeight="1" x14ac:dyDescent="0.2"/>
    <row r="1444" ht="12.75" customHeight="1" x14ac:dyDescent="0.2"/>
    <row r="1445" ht="12.75" customHeight="1" x14ac:dyDescent="0.2"/>
    <row r="1446" ht="12.75" customHeight="1" x14ac:dyDescent="0.2"/>
    <row r="1447" ht="12.75" customHeight="1" x14ac:dyDescent="0.2"/>
    <row r="1448" ht="12.75" customHeight="1" x14ac:dyDescent="0.2"/>
    <row r="1449" ht="12.75" customHeight="1" x14ac:dyDescent="0.2"/>
    <row r="1450" ht="12.75" customHeight="1" x14ac:dyDescent="0.2"/>
    <row r="1451" ht="12.75" customHeight="1" x14ac:dyDescent="0.2"/>
    <row r="1452" ht="12.75" customHeight="1" x14ac:dyDescent="0.2"/>
    <row r="1453" ht="12.75" customHeight="1" x14ac:dyDescent="0.2"/>
    <row r="1454" ht="12.75" customHeight="1" x14ac:dyDescent="0.2"/>
    <row r="1455" ht="12.75" customHeight="1" x14ac:dyDescent="0.2"/>
    <row r="1456" ht="12.75" customHeight="1" x14ac:dyDescent="0.2"/>
    <row r="1457" ht="12.75" customHeight="1" x14ac:dyDescent="0.2"/>
    <row r="1458" ht="12.75" customHeight="1" x14ac:dyDescent="0.2"/>
    <row r="1459" ht="12.75" customHeight="1" x14ac:dyDescent="0.2"/>
    <row r="1460" ht="12.75" customHeight="1" x14ac:dyDescent="0.2"/>
    <row r="1461" ht="12.75" customHeight="1" x14ac:dyDescent="0.2"/>
    <row r="1462" ht="12.75" customHeight="1" x14ac:dyDescent="0.2"/>
    <row r="1463" ht="12.75" customHeight="1" x14ac:dyDescent="0.2"/>
    <row r="1464" ht="12.75" customHeight="1" x14ac:dyDescent="0.2"/>
    <row r="1465" ht="12.75" customHeight="1" x14ac:dyDescent="0.2"/>
    <row r="1466" ht="12.75" customHeight="1" x14ac:dyDescent="0.2"/>
    <row r="1467" ht="12.75" customHeight="1" x14ac:dyDescent="0.2"/>
    <row r="1468" ht="12.75" customHeight="1" x14ac:dyDescent="0.2"/>
    <row r="1469" ht="12.75" customHeight="1" x14ac:dyDescent="0.2"/>
    <row r="1470" ht="12.75" customHeight="1" x14ac:dyDescent="0.2"/>
    <row r="1471" ht="12.75" customHeight="1" x14ac:dyDescent="0.2"/>
    <row r="1472" ht="12.75" customHeight="1" x14ac:dyDescent="0.2"/>
    <row r="1473" ht="12.75" customHeight="1" x14ac:dyDescent="0.2"/>
    <row r="1474" ht="12.75" customHeight="1" x14ac:dyDescent="0.2"/>
    <row r="1475" ht="12.75" customHeight="1" x14ac:dyDescent="0.2"/>
    <row r="1476" ht="12.75" customHeight="1" x14ac:dyDescent="0.2"/>
    <row r="1477" ht="12.75" customHeight="1" x14ac:dyDescent="0.2"/>
    <row r="1478" ht="12.75" customHeight="1" x14ac:dyDescent="0.2"/>
    <row r="1479" ht="12.75" customHeight="1" x14ac:dyDescent="0.2"/>
    <row r="1480" ht="12.75" customHeight="1" x14ac:dyDescent="0.2"/>
    <row r="1481" ht="12.75" customHeight="1" x14ac:dyDescent="0.2"/>
    <row r="1482" ht="12.75" customHeight="1" x14ac:dyDescent="0.2"/>
    <row r="1483" ht="12.75" customHeight="1" x14ac:dyDescent="0.2"/>
    <row r="1484" ht="12.75" customHeight="1" x14ac:dyDescent="0.2"/>
    <row r="1485" ht="12.75" customHeight="1" x14ac:dyDescent="0.2"/>
    <row r="1486" ht="12.75" customHeight="1" x14ac:dyDescent="0.2"/>
    <row r="1487" ht="12.75" customHeight="1" x14ac:dyDescent="0.2"/>
    <row r="1488" ht="12.75" customHeight="1" x14ac:dyDescent="0.2"/>
    <row r="1489" ht="12.75" customHeight="1" x14ac:dyDescent="0.2"/>
    <row r="1490" ht="12.75" customHeight="1" x14ac:dyDescent="0.2"/>
    <row r="1491" ht="12.75" customHeight="1" x14ac:dyDescent="0.2"/>
    <row r="1492" ht="12.75" customHeight="1" x14ac:dyDescent="0.2"/>
    <row r="1493" ht="12.75" customHeight="1" x14ac:dyDescent="0.2"/>
    <row r="1494" ht="12.75" customHeight="1" x14ac:dyDescent="0.2"/>
    <row r="1495" ht="12.75" customHeight="1" x14ac:dyDescent="0.2"/>
    <row r="1496" ht="12.75" customHeight="1" x14ac:dyDescent="0.2"/>
    <row r="1497" ht="12.75" customHeight="1" x14ac:dyDescent="0.2"/>
    <row r="1498" ht="12.75" customHeight="1" x14ac:dyDescent="0.2"/>
    <row r="1499" ht="12.75" customHeight="1" x14ac:dyDescent="0.2"/>
    <row r="1500" ht="12.75" customHeight="1" x14ac:dyDescent="0.2"/>
    <row r="1501" ht="12.75" customHeight="1" x14ac:dyDescent="0.2"/>
    <row r="1502" ht="12.75" customHeight="1" x14ac:dyDescent="0.2"/>
    <row r="1503" ht="12.75" customHeight="1" x14ac:dyDescent="0.2"/>
    <row r="1504" ht="12.75" customHeight="1" x14ac:dyDescent="0.2"/>
    <row r="1505" ht="12.75" customHeight="1" x14ac:dyDescent="0.2"/>
    <row r="1506" ht="12.75" customHeight="1" x14ac:dyDescent="0.2"/>
    <row r="1507" ht="12.75" customHeight="1" x14ac:dyDescent="0.2"/>
    <row r="1508" ht="12.75" customHeight="1" x14ac:dyDescent="0.2"/>
    <row r="1509" ht="12.75" customHeight="1" x14ac:dyDescent="0.2"/>
    <row r="1510" ht="12.75" customHeight="1" x14ac:dyDescent="0.2"/>
    <row r="1511" ht="12.75" customHeight="1" x14ac:dyDescent="0.2"/>
    <row r="1512" ht="12.75" customHeight="1" x14ac:dyDescent="0.2"/>
    <row r="1513" ht="12.75" customHeight="1" x14ac:dyDescent="0.2"/>
    <row r="1514" ht="12.75" customHeight="1" x14ac:dyDescent="0.2"/>
    <row r="1515" ht="12.75" customHeight="1" x14ac:dyDescent="0.2"/>
    <row r="1516" ht="12.75" customHeight="1" x14ac:dyDescent="0.2"/>
    <row r="1517" ht="12.75" customHeight="1" x14ac:dyDescent="0.2"/>
    <row r="1518" ht="12.75" customHeight="1" x14ac:dyDescent="0.2"/>
    <row r="1519" ht="12.75" customHeight="1" x14ac:dyDescent="0.2"/>
    <row r="1520" ht="12.75" customHeight="1" x14ac:dyDescent="0.2"/>
    <row r="1521" ht="12.75" customHeight="1" x14ac:dyDescent="0.2"/>
    <row r="1522" ht="12.75" customHeight="1" x14ac:dyDescent="0.2"/>
    <row r="1523" ht="12.75" customHeight="1" x14ac:dyDescent="0.2"/>
    <row r="1524" ht="12.75" customHeight="1" x14ac:dyDescent="0.2"/>
    <row r="1525" ht="12.75" customHeight="1" x14ac:dyDescent="0.2"/>
    <row r="1526" ht="12.75" customHeight="1" x14ac:dyDescent="0.2"/>
    <row r="1527" ht="12.75" customHeight="1" x14ac:dyDescent="0.2"/>
    <row r="1528" ht="12.75" customHeight="1" x14ac:dyDescent="0.2"/>
    <row r="1529" ht="12.75" customHeight="1" x14ac:dyDescent="0.2"/>
    <row r="1530" ht="12.75" customHeight="1" x14ac:dyDescent="0.2"/>
    <row r="1531" ht="12.75" customHeight="1" x14ac:dyDescent="0.2"/>
    <row r="1532" ht="12.75" customHeight="1" x14ac:dyDescent="0.2"/>
    <row r="1533" ht="12.75" customHeight="1" x14ac:dyDescent="0.2"/>
    <row r="1534" ht="12.75" customHeight="1" x14ac:dyDescent="0.2"/>
    <row r="1535" ht="12.75" customHeight="1" x14ac:dyDescent="0.2"/>
    <row r="1536" ht="12.75" customHeight="1" x14ac:dyDescent="0.2"/>
    <row r="1537" ht="12.75" customHeight="1" x14ac:dyDescent="0.2"/>
    <row r="1538" ht="12.75" customHeight="1" x14ac:dyDescent="0.2"/>
    <row r="1539" ht="12.75" customHeight="1" x14ac:dyDescent="0.2"/>
    <row r="1540" ht="12.75" customHeight="1" x14ac:dyDescent="0.2"/>
    <row r="1541" ht="12.75" customHeight="1" x14ac:dyDescent="0.2"/>
    <row r="1542" ht="12.75" customHeight="1" x14ac:dyDescent="0.2"/>
    <row r="1543" ht="12.75" customHeight="1" x14ac:dyDescent="0.2"/>
    <row r="1544" ht="12.75" customHeight="1" x14ac:dyDescent="0.2"/>
    <row r="1545" ht="12.75" customHeight="1" x14ac:dyDescent="0.2"/>
    <row r="1546" ht="12.75" customHeight="1" x14ac:dyDescent="0.2"/>
    <row r="1547" ht="12.75" customHeight="1" x14ac:dyDescent="0.2"/>
    <row r="1548" ht="12.75" customHeight="1" x14ac:dyDescent="0.2"/>
    <row r="1549" ht="12.75" customHeight="1" x14ac:dyDescent="0.2"/>
    <row r="1550" ht="12.75" customHeight="1" x14ac:dyDescent="0.2"/>
    <row r="1551" ht="12.75" customHeight="1" x14ac:dyDescent="0.2"/>
    <row r="1552" ht="12.75" customHeight="1" x14ac:dyDescent="0.2"/>
    <row r="1553" ht="12.75" customHeight="1" x14ac:dyDescent="0.2"/>
    <row r="1554" ht="12.75" customHeight="1" x14ac:dyDescent="0.2"/>
    <row r="1555" ht="12.75" customHeight="1" x14ac:dyDescent="0.2"/>
    <row r="1556" ht="12.75" customHeight="1" x14ac:dyDescent="0.2"/>
    <row r="1557" ht="12.75" customHeight="1" x14ac:dyDescent="0.2"/>
    <row r="1558" ht="12.75" customHeight="1" x14ac:dyDescent="0.2"/>
    <row r="1559" ht="12.75" customHeight="1" x14ac:dyDescent="0.2"/>
    <row r="1560" ht="12.75" customHeight="1" x14ac:dyDescent="0.2"/>
  </sheetData>
  <sheetProtection algorithmName="SHA-512" hashValue="aot+A1LdsyqK6JRYhqbAPJhJbeni1W7qjLtGoSm7Q1WaaefU/RK3MDaxrlY9pEwsB1WNy4BMq1tyFHd2Ihz+2w==" saltValue="Camo1Dkm499gZ7Dr4ftj4Q==" spinCount="100000" sheet="1" objects="1" scenarios="1"/>
  <phoneticPr fontId="0" type="noConversion"/>
  <pageMargins left="0.74803149606299213" right="0.74803149606299213" top="0.98425196850393704" bottom="0.98425196850393704" header="0.51181102362204722" footer="0.51181102362204722"/>
  <pageSetup paperSize="9" scale="60" orientation="portrait" r:id="rId1"/>
  <headerFooter alignWithMargins="0">
    <oddHeader>&amp;L&amp;"Arial,Vet"&amp;F&amp;R&amp;"Arial,Vet"&amp;A</oddHeader>
    <oddFooter>&amp;L&amp;"Arial,Vet"PO-Raad&amp;C&amp;"Arial,Vet"&amp;D&amp;R&amp;"Arial,Vet"pagina &amp;P</oddFooter>
  </headerFooter>
  <rowBreaks count="2" manualBreakCount="2">
    <brk id="84" min="1" max="13" man="1"/>
    <brk id="171" min="1" max="12"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2"/>
  <dimension ref="B1:Q32"/>
  <sheetViews>
    <sheetView zoomScale="85" zoomScaleNormal="85" workbookViewId="0">
      <selection activeCell="B2" sqref="B2"/>
    </sheetView>
  </sheetViews>
  <sheetFormatPr defaultColWidth="9.140625" defaultRowHeight="12.75" x14ac:dyDescent="0.2"/>
  <cols>
    <col min="1" max="1" width="3.7109375" style="68" customWidth="1"/>
    <col min="2" max="3" width="2.7109375" style="68" customWidth="1"/>
    <col min="4" max="4" width="45.7109375" style="68" customWidth="1"/>
    <col min="5" max="5" width="2.7109375" style="68" customWidth="1"/>
    <col min="6" max="8" width="14.85546875" style="68" customWidth="1"/>
    <col min="9" max="9" width="14.85546875" style="333" customWidth="1"/>
    <col min="10" max="15" width="14.85546875" style="68" customWidth="1"/>
    <col min="16" max="17" width="2.7109375" style="68" customWidth="1"/>
    <col min="18" max="16384" width="9.140625" style="68"/>
  </cols>
  <sheetData>
    <row r="1" spans="2:17" ht="12.75" customHeight="1" x14ac:dyDescent="0.2"/>
    <row r="2" spans="2:17" x14ac:dyDescent="0.2">
      <c r="B2" s="63"/>
      <c r="C2" s="64"/>
      <c r="D2" s="64"/>
      <c r="E2" s="64"/>
      <c r="F2" s="64"/>
      <c r="G2" s="64"/>
      <c r="H2" s="64"/>
      <c r="I2" s="607"/>
      <c r="J2" s="64"/>
      <c r="K2" s="64"/>
      <c r="L2" s="64"/>
      <c r="M2" s="64"/>
      <c r="N2" s="64"/>
      <c r="O2" s="64"/>
      <c r="P2" s="64"/>
      <c r="Q2" s="67"/>
    </row>
    <row r="3" spans="2:17" x14ac:dyDescent="0.2">
      <c r="B3" s="69"/>
      <c r="C3" s="70"/>
      <c r="D3" s="70"/>
      <c r="E3" s="70"/>
      <c r="F3" s="70"/>
      <c r="G3" s="70"/>
      <c r="H3" s="70"/>
      <c r="I3" s="397"/>
      <c r="J3" s="70"/>
      <c r="K3" s="70"/>
      <c r="L3" s="70"/>
      <c r="M3" s="70"/>
      <c r="N3" s="70"/>
      <c r="O3" s="70"/>
      <c r="P3" s="70"/>
      <c r="Q3" s="73"/>
    </row>
    <row r="4" spans="2:17" s="608" customFormat="1" ht="18.75" x14ac:dyDescent="0.3">
      <c r="B4" s="80"/>
      <c r="C4" s="857" t="s">
        <v>577</v>
      </c>
      <c r="D4" s="196"/>
      <c r="E4" s="609"/>
      <c r="F4" s="609"/>
      <c r="G4" s="609"/>
      <c r="H4" s="82"/>
      <c r="I4" s="82"/>
      <c r="J4" s="82"/>
      <c r="K4" s="609"/>
      <c r="L4" s="609"/>
      <c r="M4" s="609"/>
      <c r="N4" s="609"/>
      <c r="O4" s="609"/>
      <c r="P4" s="609"/>
      <c r="Q4" s="610"/>
    </row>
    <row r="5" spans="2:17" s="611" customFormat="1" ht="18" customHeight="1" x14ac:dyDescent="0.3">
      <c r="B5" s="612"/>
      <c r="C5" s="319" t="str">
        <f>geg!G12</f>
        <v>Basisschool</v>
      </c>
      <c r="D5" s="613"/>
      <c r="E5" s="81"/>
      <c r="F5" s="81"/>
      <c r="G5" s="81"/>
      <c r="H5" s="70"/>
      <c r="I5" s="70"/>
      <c r="J5" s="70"/>
      <c r="K5" s="81"/>
      <c r="L5" s="81"/>
      <c r="M5" s="81"/>
      <c r="N5" s="81"/>
      <c r="O5" s="81"/>
      <c r="P5" s="81"/>
      <c r="Q5" s="614"/>
    </row>
    <row r="6" spans="2:17" s="611" customFormat="1" ht="12" customHeight="1" x14ac:dyDescent="0.3">
      <c r="B6" s="612"/>
      <c r="C6" s="71"/>
      <c r="D6" s="613"/>
      <c r="E6" s="81"/>
      <c r="F6" s="81"/>
      <c r="G6" s="81"/>
      <c r="H6" s="70"/>
      <c r="I6" s="70"/>
      <c r="J6" s="70"/>
      <c r="K6" s="81"/>
      <c r="L6" s="81"/>
      <c r="M6" s="81"/>
      <c r="N6" s="81"/>
      <c r="O6" s="81"/>
      <c r="P6" s="81"/>
      <c r="Q6" s="614"/>
    </row>
    <row r="7" spans="2:17" s="611" customFormat="1" ht="12" customHeight="1" x14ac:dyDescent="0.3">
      <c r="B7" s="612"/>
      <c r="C7" s="71"/>
      <c r="D7" s="613"/>
      <c r="E7" s="81"/>
      <c r="F7" s="81"/>
      <c r="G7" s="81"/>
      <c r="H7" s="70"/>
      <c r="I7" s="70"/>
      <c r="J7" s="70"/>
      <c r="K7" s="81"/>
      <c r="L7" s="81"/>
      <c r="M7" s="81"/>
      <c r="N7" s="81"/>
      <c r="O7" s="81"/>
      <c r="P7" s="81"/>
      <c r="Q7" s="614"/>
    </row>
    <row r="8" spans="2:17" s="611" customFormat="1" ht="12" customHeight="1" x14ac:dyDescent="0.3">
      <c r="B8" s="612"/>
      <c r="C8" s="71"/>
      <c r="D8" s="975" t="s">
        <v>66</v>
      </c>
      <c r="E8" s="976"/>
      <c r="F8" s="976"/>
      <c r="G8" s="976"/>
      <c r="H8" s="879"/>
      <c r="I8" s="879"/>
      <c r="J8" s="879"/>
      <c r="K8" s="81"/>
      <c r="L8" s="81"/>
      <c r="M8" s="81"/>
      <c r="N8" s="81"/>
      <c r="O8" s="81"/>
      <c r="P8" s="81"/>
      <c r="Q8" s="614"/>
    </row>
    <row r="9" spans="2:17" s="611" customFormat="1" ht="12" customHeight="1" x14ac:dyDescent="0.3">
      <c r="B9" s="612"/>
      <c r="C9" s="71"/>
      <c r="D9" s="977" t="s">
        <v>397</v>
      </c>
      <c r="E9" s="976"/>
      <c r="F9" s="976"/>
      <c r="G9" s="976"/>
      <c r="H9" s="879"/>
      <c r="I9" s="879"/>
      <c r="J9" s="879"/>
      <c r="K9" s="81"/>
      <c r="L9" s="81"/>
      <c r="M9" s="81"/>
      <c r="N9" s="81"/>
      <c r="O9" s="81"/>
      <c r="P9" s="81"/>
      <c r="Q9" s="614"/>
    </row>
    <row r="10" spans="2:17" s="611" customFormat="1" ht="12" customHeight="1" x14ac:dyDescent="0.3">
      <c r="B10" s="612"/>
      <c r="C10" s="71"/>
      <c r="D10" s="977" t="s">
        <v>440</v>
      </c>
      <c r="E10" s="976"/>
      <c r="F10" s="976"/>
      <c r="G10" s="976"/>
      <c r="H10" s="879"/>
      <c r="I10" s="879"/>
      <c r="J10" s="879"/>
      <c r="K10" s="81"/>
      <c r="L10" s="81"/>
      <c r="M10" s="81"/>
      <c r="N10" s="81"/>
      <c r="O10" s="81"/>
      <c r="P10" s="81"/>
      <c r="Q10" s="614"/>
    </row>
    <row r="11" spans="2:17" s="611" customFormat="1" ht="12" customHeight="1" x14ac:dyDescent="0.3">
      <c r="B11" s="612"/>
      <c r="C11" s="616"/>
      <c r="D11" s="616"/>
      <c r="E11" s="81"/>
      <c r="F11" s="81"/>
      <c r="G11" s="81"/>
      <c r="H11" s="70"/>
      <c r="I11" s="70"/>
      <c r="J11" s="70"/>
      <c r="K11" s="81"/>
      <c r="L11" s="81"/>
      <c r="M11" s="81"/>
      <c r="N11" s="81"/>
      <c r="O11" s="81"/>
      <c r="P11" s="81"/>
      <c r="Q11" s="614"/>
    </row>
    <row r="12" spans="2:17" ht="12" customHeight="1" x14ac:dyDescent="0.2">
      <c r="B12" s="617"/>
      <c r="C12" s="71"/>
      <c r="D12" s="351"/>
      <c r="E12" s="70"/>
      <c r="F12" s="70"/>
      <c r="G12" s="72"/>
      <c r="H12" s="70"/>
      <c r="I12" s="70"/>
      <c r="J12" s="70"/>
      <c r="K12" s="70"/>
      <c r="L12" s="70"/>
      <c r="M12" s="70"/>
      <c r="N12" s="70"/>
      <c r="O12" s="70"/>
      <c r="P12" s="70"/>
      <c r="Q12" s="73"/>
    </row>
    <row r="13" spans="2:17" s="177" customFormat="1" ht="12" customHeight="1" x14ac:dyDescent="0.2">
      <c r="B13" s="522"/>
      <c r="C13" s="84"/>
      <c r="D13" s="618"/>
      <c r="E13" s="82"/>
      <c r="F13" s="880">
        <f>tab!D4</f>
        <v>2015</v>
      </c>
      <c r="G13" s="880">
        <f t="shared" ref="G13:O13" si="0">F13+1</f>
        <v>2016</v>
      </c>
      <c r="H13" s="880">
        <f t="shared" si="0"/>
        <v>2017</v>
      </c>
      <c r="I13" s="880">
        <f t="shared" si="0"/>
        <v>2018</v>
      </c>
      <c r="J13" s="880">
        <f t="shared" si="0"/>
        <v>2019</v>
      </c>
      <c r="K13" s="880">
        <f t="shared" si="0"/>
        <v>2020</v>
      </c>
      <c r="L13" s="880">
        <f t="shared" si="0"/>
        <v>2021</v>
      </c>
      <c r="M13" s="880">
        <f t="shared" si="0"/>
        <v>2022</v>
      </c>
      <c r="N13" s="880">
        <f t="shared" si="0"/>
        <v>2023</v>
      </c>
      <c r="O13" s="880">
        <f t="shared" si="0"/>
        <v>2024</v>
      </c>
      <c r="P13" s="82"/>
      <c r="Q13" s="112"/>
    </row>
    <row r="14" spans="2:17" ht="12" customHeight="1" x14ac:dyDescent="0.2">
      <c r="B14" s="617"/>
      <c r="C14" s="71"/>
      <c r="D14" s="351"/>
      <c r="E14" s="70"/>
      <c r="F14" s="70"/>
      <c r="G14" s="70"/>
      <c r="H14" s="70"/>
      <c r="I14" s="70"/>
      <c r="J14" s="70"/>
      <c r="K14" s="70"/>
      <c r="L14" s="70"/>
      <c r="M14" s="70"/>
      <c r="N14" s="70"/>
      <c r="O14" s="70"/>
      <c r="P14" s="70"/>
      <c r="Q14" s="73"/>
    </row>
    <row r="15" spans="2:17" x14ac:dyDescent="0.2">
      <c r="B15" s="69"/>
      <c r="C15" s="619"/>
      <c r="D15" s="620"/>
      <c r="F15" s="86"/>
      <c r="G15" s="87"/>
      <c r="H15" s="87"/>
      <c r="I15" s="87"/>
      <c r="J15" s="87"/>
      <c r="K15" s="360"/>
      <c r="L15" s="360"/>
      <c r="M15" s="360"/>
      <c r="N15" s="360"/>
      <c r="O15" s="360"/>
      <c r="P15" s="161"/>
      <c r="Q15" s="73"/>
    </row>
    <row r="16" spans="2:17" x14ac:dyDescent="0.2">
      <c r="B16" s="69"/>
      <c r="C16" s="621"/>
      <c r="D16" s="281" t="s">
        <v>68</v>
      </c>
      <c r="E16" s="622"/>
      <c r="F16" s="623">
        <v>0</v>
      </c>
      <c r="G16" s="874">
        <f>F19</f>
        <v>0</v>
      </c>
      <c r="H16" s="874">
        <f t="shared" ref="H16:O16" si="1">G19</f>
        <v>0</v>
      </c>
      <c r="I16" s="874">
        <f t="shared" si="1"/>
        <v>0</v>
      </c>
      <c r="J16" s="874">
        <f t="shared" si="1"/>
        <v>0</v>
      </c>
      <c r="K16" s="874">
        <f t="shared" si="1"/>
        <v>0</v>
      </c>
      <c r="L16" s="874">
        <f t="shared" si="1"/>
        <v>0</v>
      </c>
      <c r="M16" s="874">
        <f t="shared" si="1"/>
        <v>0</v>
      </c>
      <c r="N16" s="874">
        <f t="shared" si="1"/>
        <v>0</v>
      </c>
      <c r="O16" s="874">
        <f t="shared" si="1"/>
        <v>0</v>
      </c>
      <c r="P16" s="162"/>
      <c r="Q16" s="73"/>
    </row>
    <row r="17" spans="2:17" x14ac:dyDescent="0.2">
      <c r="B17" s="69"/>
      <c r="C17" s="621"/>
      <c r="D17" s="281" t="s">
        <v>88</v>
      </c>
      <c r="E17" s="604"/>
      <c r="F17" s="623">
        <v>0</v>
      </c>
      <c r="G17" s="624">
        <v>0</v>
      </c>
      <c r="H17" s="624">
        <v>0</v>
      </c>
      <c r="I17" s="624">
        <v>0</v>
      </c>
      <c r="J17" s="624">
        <v>0</v>
      </c>
      <c r="K17" s="624">
        <v>0</v>
      </c>
      <c r="L17" s="624">
        <v>0</v>
      </c>
      <c r="M17" s="624">
        <v>0</v>
      </c>
      <c r="N17" s="624">
        <v>0</v>
      </c>
      <c r="O17" s="624">
        <v>0</v>
      </c>
      <c r="P17" s="162"/>
      <c r="Q17" s="73"/>
    </row>
    <row r="18" spans="2:17" x14ac:dyDescent="0.2">
      <c r="B18" s="69"/>
      <c r="C18" s="621"/>
      <c r="D18" s="281" t="s">
        <v>89</v>
      </c>
      <c r="E18" s="622"/>
      <c r="F18" s="623">
        <v>0</v>
      </c>
      <c r="G18" s="624">
        <v>0</v>
      </c>
      <c r="H18" s="624">
        <v>0</v>
      </c>
      <c r="I18" s="624">
        <v>0</v>
      </c>
      <c r="J18" s="624">
        <v>0</v>
      </c>
      <c r="K18" s="624">
        <v>0</v>
      </c>
      <c r="L18" s="624">
        <v>0</v>
      </c>
      <c r="M18" s="624">
        <v>0</v>
      </c>
      <c r="N18" s="624">
        <v>0</v>
      </c>
      <c r="O18" s="624">
        <v>0</v>
      </c>
      <c r="P18" s="162"/>
      <c r="Q18" s="73"/>
    </row>
    <row r="19" spans="2:17" x14ac:dyDescent="0.2">
      <c r="B19" s="69"/>
      <c r="C19" s="625"/>
      <c r="D19" s="414" t="s">
        <v>229</v>
      </c>
      <c r="E19" s="604"/>
      <c r="F19" s="979">
        <f>SUM(F16:F17)-F18</f>
        <v>0</v>
      </c>
      <c r="G19" s="980">
        <f t="shared" ref="G19:O19" si="2">SUM(G16:G17)-G18</f>
        <v>0</v>
      </c>
      <c r="H19" s="980">
        <f t="shared" si="2"/>
        <v>0</v>
      </c>
      <c r="I19" s="980">
        <f t="shared" si="2"/>
        <v>0</v>
      </c>
      <c r="J19" s="980">
        <f t="shared" si="2"/>
        <v>0</v>
      </c>
      <c r="K19" s="980">
        <f t="shared" si="2"/>
        <v>0</v>
      </c>
      <c r="L19" s="980">
        <f t="shared" si="2"/>
        <v>0</v>
      </c>
      <c r="M19" s="980">
        <f t="shared" si="2"/>
        <v>0</v>
      </c>
      <c r="N19" s="980">
        <f t="shared" si="2"/>
        <v>0</v>
      </c>
      <c r="O19" s="980">
        <f t="shared" si="2"/>
        <v>0</v>
      </c>
      <c r="P19" s="162"/>
      <c r="Q19" s="73"/>
    </row>
    <row r="20" spans="2:17" x14ac:dyDescent="0.2">
      <c r="B20" s="69"/>
      <c r="C20" s="333"/>
      <c r="F20" s="98"/>
      <c r="G20" s="99"/>
      <c r="H20" s="394"/>
      <c r="I20" s="99"/>
      <c r="J20" s="99"/>
      <c r="K20" s="99"/>
      <c r="L20" s="99"/>
      <c r="M20" s="99"/>
      <c r="N20" s="99"/>
      <c r="O20" s="99"/>
      <c r="P20" s="130"/>
      <c r="Q20" s="73"/>
    </row>
    <row r="21" spans="2:17" ht="12.75" customHeight="1" x14ac:dyDescent="0.2">
      <c r="B21" s="617"/>
      <c r="C21" s="71"/>
      <c r="D21" s="351"/>
      <c r="E21" s="70"/>
      <c r="F21" s="70"/>
      <c r="G21" s="70"/>
      <c r="H21" s="397"/>
      <c r="I21" s="70"/>
      <c r="J21" s="70"/>
      <c r="K21" s="70"/>
      <c r="L21" s="70"/>
      <c r="M21" s="70"/>
      <c r="N21" s="70"/>
      <c r="O21" s="70"/>
      <c r="P21" s="70"/>
      <c r="Q21" s="73"/>
    </row>
    <row r="22" spans="2:17" ht="12.75" customHeight="1" x14ac:dyDescent="0.2">
      <c r="B22" s="617"/>
      <c r="C22" s="71"/>
      <c r="D22" s="351"/>
      <c r="E22" s="70"/>
      <c r="F22" s="70"/>
      <c r="G22" s="70"/>
      <c r="H22" s="397"/>
      <c r="I22" s="70"/>
      <c r="J22" s="70"/>
      <c r="K22" s="70"/>
      <c r="L22" s="70"/>
      <c r="M22" s="70"/>
      <c r="N22" s="70"/>
      <c r="O22" s="70"/>
      <c r="P22" s="70"/>
      <c r="Q22" s="73"/>
    </row>
    <row r="23" spans="2:17" s="177" customFormat="1" ht="12.75" customHeight="1" x14ac:dyDescent="0.2">
      <c r="B23" s="626"/>
      <c r="C23" s="84"/>
      <c r="D23" s="618"/>
      <c r="E23" s="82"/>
      <c r="F23" s="880">
        <f>O13+1</f>
        <v>2025</v>
      </c>
      <c r="G23" s="880">
        <f t="shared" ref="G23:O23" si="3">F23+1</f>
        <v>2026</v>
      </c>
      <c r="H23" s="880">
        <f t="shared" si="3"/>
        <v>2027</v>
      </c>
      <c r="I23" s="880">
        <f t="shared" si="3"/>
        <v>2028</v>
      </c>
      <c r="J23" s="880">
        <f t="shared" si="3"/>
        <v>2029</v>
      </c>
      <c r="K23" s="880">
        <f t="shared" si="3"/>
        <v>2030</v>
      </c>
      <c r="L23" s="880">
        <f t="shared" si="3"/>
        <v>2031</v>
      </c>
      <c r="M23" s="880">
        <f t="shared" si="3"/>
        <v>2032</v>
      </c>
      <c r="N23" s="880">
        <f t="shared" si="3"/>
        <v>2033</v>
      </c>
      <c r="O23" s="880">
        <f t="shared" si="3"/>
        <v>2034</v>
      </c>
      <c r="P23" s="627"/>
      <c r="Q23" s="112"/>
    </row>
    <row r="24" spans="2:17" ht="12.75" customHeight="1" x14ac:dyDescent="0.2">
      <c r="B24" s="617"/>
      <c r="C24" s="71"/>
      <c r="D24" s="351"/>
      <c r="E24" s="70"/>
      <c r="F24" s="70"/>
      <c r="G24" s="70"/>
      <c r="H24" s="70"/>
      <c r="I24" s="70"/>
      <c r="J24" s="70"/>
      <c r="K24" s="70"/>
      <c r="L24" s="70"/>
      <c r="M24" s="70"/>
      <c r="N24" s="70"/>
      <c r="O24" s="70"/>
      <c r="P24" s="70"/>
      <c r="Q24" s="73"/>
    </row>
    <row r="25" spans="2:17" ht="12.75" customHeight="1" x14ac:dyDescent="0.2">
      <c r="B25" s="617"/>
      <c r="C25" s="619"/>
      <c r="D25" s="620"/>
      <c r="F25" s="86"/>
      <c r="G25" s="87"/>
      <c r="H25" s="87"/>
      <c r="I25" s="87"/>
      <c r="J25" s="87"/>
      <c r="K25" s="87"/>
      <c r="L25" s="87"/>
      <c r="M25" s="87"/>
      <c r="N25" s="87"/>
      <c r="O25" s="87"/>
      <c r="P25" s="161"/>
      <c r="Q25" s="73"/>
    </row>
    <row r="26" spans="2:17" ht="12.75" customHeight="1" x14ac:dyDescent="0.2">
      <c r="B26" s="617"/>
      <c r="C26" s="621"/>
      <c r="D26" s="281" t="s">
        <v>68</v>
      </c>
      <c r="E26" s="622"/>
      <c r="F26" s="978">
        <f>O19</f>
        <v>0</v>
      </c>
      <c r="G26" s="874">
        <f>F29</f>
        <v>0</v>
      </c>
      <c r="H26" s="874">
        <f t="shared" ref="H26:O26" si="4">G29</f>
        <v>0</v>
      </c>
      <c r="I26" s="874">
        <f t="shared" si="4"/>
        <v>0</v>
      </c>
      <c r="J26" s="874">
        <f t="shared" si="4"/>
        <v>0</v>
      </c>
      <c r="K26" s="874">
        <f t="shared" si="4"/>
        <v>0</v>
      </c>
      <c r="L26" s="874">
        <f t="shared" si="4"/>
        <v>0</v>
      </c>
      <c r="M26" s="874">
        <f t="shared" si="4"/>
        <v>0</v>
      </c>
      <c r="N26" s="874">
        <f t="shared" si="4"/>
        <v>0</v>
      </c>
      <c r="O26" s="874">
        <f t="shared" si="4"/>
        <v>0</v>
      </c>
      <c r="P26" s="162"/>
      <c r="Q26" s="73"/>
    </row>
    <row r="27" spans="2:17" ht="12.75" customHeight="1" x14ac:dyDescent="0.2">
      <c r="B27" s="617"/>
      <c r="C27" s="621"/>
      <c r="D27" s="281" t="s">
        <v>88</v>
      </c>
      <c r="E27" s="604"/>
      <c r="F27" s="623">
        <v>0</v>
      </c>
      <c r="G27" s="624">
        <v>0</v>
      </c>
      <c r="H27" s="624">
        <v>0</v>
      </c>
      <c r="I27" s="624">
        <v>0</v>
      </c>
      <c r="J27" s="624">
        <v>0</v>
      </c>
      <c r="K27" s="624">
        <v>0</v>
      </c>
      <c r="L27" s="624">
        <v>0</v>
      </c>
      <c r="M27" s="624">
        <v>0</v>
      </c>
      <c r="N27" s="624">
        <v>0</v>
      </c>
      <c r="O27" s="624">
        <v>0</v>
      </c>
      <c r="P27" s="162"/>
      <c r="Q27" s="73"/>
    </row>
    <row r="28" spans="2:17" ht="12.75" customHeight="1" x14ac:dyDescent="0.2">
      <c r="B28" s="617"/>
      <c r="C28" s="621"/>
      <c r="D28" s="281" t="s">
        <v>89</v>
      </c>
      <c r="E28" s="622"/>
      <c r="F28" s="623">
        <v>0</v>
      </c>
      <c r="G28" s="624">
        <v>0</v>
      </c>
      <c r="H28" s="624">
        <v>0</v>
      </c>
      <c r="I28" s="624">
        <v>0</v>
      </c>
      <c r="J28" s="624">
        <v>0</v>
      </c>
      <c r="K28" s="624">
        <v>0</v>
      </c>
      <c r="L28" s="624">
        <v>0</v>
      </c>
      <c r="M28" s="624">
        <v>0</v>
      </c>
      <c r="N28" s="624">
        <v>0</v>
      </c>
      <c r="O28" s="624">
        <v>0</v>
      </c>
      <c r="P28" s="162"/>
      <c r="Q28" s="73"/>
    </row>
    <row r="29" spans="2:17" ht="12.75" customHeight="1" x14ac:dyDescent="0.2">
      <c r="B29" s="617"/>
      <c r="C29" s="625"/>
      <c r="D29" s="414" t="s">
        <v>229</v>
      </c>
      <c r="E29" s="604"/>
      <c r="F29" s="979">
        <f t="shared" ref="F29:O29" si="5">SUM(F26:F27)-F28</f>
        <v>0</v>
      </c>
      <c r="G29" s="980">
        <f t="shared" si="5"/>
        <v>0</v>
      </c>
      <c r="H29" s="980">
        <f t="shared" si="5"/>
        <v>0</v>
      </c>
      <c r="I29" s="980">
        <f t="shared" si="5"/>
        <v>0</v>
      </c>
      <c r="J29" s="980">
        <f t="shared" si="5"/>
        <v>0</v>
      </c>
      <c r="K29" s="980">
        <f t="shared" si="5"/>
        <v>0</v>
      </c>
      <c r="L29" s="980">
        <f t="shared" si="5"/>
        <v>0</v>
      </c>
      <c r="M29" s="980">
        <f t="shared" si="5"/>
        <v>0</v>
      </c>
      <c r="N29" s="980">
        <f t="shared" si="5"/>
        <v>0</v>
      </c>
      <c r="O29" s="980">
        <f t="shared" si="5"/>
        <v>0</v>
      </c>
      <c r="P29" s="162"/>
      <c r="Q29" s="73"/>
    </row>
    <row r="30" spans="2:17" ht="12.75" customHeight="1" x14ac:dyDescent="0.2">
      <c r="B30" s="617"/>
      <c r="C30" s="333"/>
      <c r="F30" s="98"/>
      <c r="G30" s="99"/>
      <c r="H30" s="99"/>
      <c r="I30" s="99"/>
      <c r="J30" s="99"/>
      <c r="K30" s="99"/>
      <c r="L30" s="99"/>
      <c r="M30" s="99"/>
      <c r="N30" s="99"/>
      <c r="O30" s="99"/>
      <c r="P30" s="130"/>
      <c r="Q30" s="73"/>
    </row>
    <row r="31" spans="2:17" ht="12.75" customHeight="1" x14ac:dyDescent="0.2">
      <c r="B31" s="617"/>
      <c r="C31" s="71"/>
      <c r="D31" s="351"/>
      <c r="E31" s="70"/>
      <c r="F31" s="70"/>
      <c r="G31" s="70"/>
      <c r="H31" s="70"/>
      <c r="I31" s="70"/>
      <c r="J31" s="70"/>
      <c r="K31" s="70"/>
      <c r="L31" s="70"/>
      <c r="M31" s="70"/>
      <c r="N31" s="70"/>
      <c r="O31" s="70"/>
      <c r="P31" s="70"/>
      <c r="Q31" s="73"/>
    </row>
    <row r="32" spans="2:17" s="62" customFormat="1" ht="12" customHeight="1" collapsed="1" x14ac:dyDescent="0.25">
      <c r="B32" s="171"/>
      <c r="C32" s="172"/>
      <c r="D32" s="172"/>
      <c r="E32" s="172"/>
      <c r="F32" s="172"/>
      <c r="G32" s="172"/>
      <c r="H32" s="172"/>
      <c r="I32" s="172"/>
      <c r="J32" s="172"/>
      <c r="K32" s="172"/>
      <c r="L32" s="172"/>
      <c r="M32" s="172"/>
      <c r="N32" s="172"/>
      <c r="O32" s="172"/>
      <c r="P32" s="152" t="s">
        <v>435</v>
      </c>
      <c r="Q32" s="173"/>
    </row>
  </sheetData>
  <sheetProtection algorithmName="SHA-512" hashValue="Rmu5/85oR2jGytkeidfKHOTdhYJkyxs4PJ4hg9UL66pDQm/SmF1xACKMnEj/ZsEQaMhodT9dRE9wjj7wSJEdSQ==" saltValue="4le3zeMQsxTus6Yl7FNj1w==" spinCount="100000" sheet="1" objects="1" scenarios="1"/>
  <phoneticPr fontId="0" type="noConversion"/>
  <pageMargins left="0.74803149606299213" right="0.74803149606299213" top="0.98425196850393704" bottom="0.98425196850393704" header="0.51181102362204722" footer="0.51181102362204722"/>
  <pageSetup paperSize="9" scale="60" orientation="landscape" r:id="rId1"/>
  <headerFooter alignWithMargins="0">
    <oddHeader>&amp;L&amp;"Arial,Vet"&amp;F&amp;R&amp;"Arial,Vet"&amp;A</oddHeader>
    <oddFooter>&amp;L&amp;"Arial,Vet"PO-Raad&amp;C&amp;"Arial,Vet"&amp;D&amp;R&amp;"Arial,Vet"pagina &amp;P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3"/>
  <dimension ref="B2:AD216"/>
  <sheetViews>
    <sheetView zoomScale="85" zoomScaleNormal="85" zoomScaleSheetLayoutView="55" workbookViewId="0">
      <pane ySplit="13" topLeftCell="A14" activePane="bottomLeft" state="frozen"/>
      <selection activeCell="B2" sqref="B2"/>
      <selection pane="bottomLeft" activeCell="B2" sqref="B2"/>
    </sheetView>
  </sheetViews>
  <sheetFormatPr defaultColWidth="9.140625" defaultRowHeight="12.75" x14ac:dyDescent="0.2"/>
  <cols>
    <col min="1" max="1" width="3.7109375" style="68" customWidth="1"/>
    <col min="2" max="3" width="2.7109375" style="68" customWidth="1"/>
    <col min="4" max="5" width="25.7109375" style="281" customWidth="1"/>
    <col min="6" max="7" width="8.7109375" style="174" customWidth="1"/>
    <col min="8" max="10" width="10.7109375" style="174" customWidth="1"/>
    <col min="11" max="11" width="0.85546875" style="68" customWidth="1"/>
    <col min="12" max="12" width="12.7109375" style="68" hidden="1" customWidth="1"/>
    <col min="13" max="16" width="10.7109375" style="68" customWidth="1"/>
    <col min="17" max="17" width="0.85546875" style="68" customWidth="1"/>
    <col min="18" max="22" width="10.7109375" style="68" customWidth="1"/>
    <col min="23" max="23" width="0.85546875" style="68" customWidth="1"/>
    <col min="24" max="26" width="12.7109375" style="68" customWidth="1"/>
    <col min="27" max="28" width="10.7109375" style="68" customWidth="1"/>
    <col min="29" max="30" width="2.7109375" style="68" customWidth="1"/>
    <col min="31" max="16384" width="9.140625" style="68"/>
  </cols>
  <sheetData>
    <row r="2" spans="2:30" x14ac:dyDescent="0.2">
      <c r="B2" s="70"/>
      <c r="C2" s="70"/>
      <c r="D2" s="234"/>
      <c r="E2" s="234"/>
      <c r="F2" s="176"/>
      <c r="G2" s="176"/>
      <c r="H2" s="176"/>
      <c r="I2" s="176"/>
      <c r="J2" s="176"/>
      <c r="K2" s="70"/>
      <c r="L2" s="70"/>
      <c r="M2" s="70"/>
      <c r="N2" s="70"/>
      <c r="O2" s="70"/>
      <c r="P2" s="70"/>
      <c r="Q2" s="70"/>
      <c r="R2" s="70"/>
      <c r="S2" s="70"/>
      <c r="T2" s="70"/>
      <c r="U2" s="70"/>
      <c r="V2" s="70"/>
      <c r="W2" s="70"/>
      <c r="X2" s="70"/>
      <c r="Y2" s="70"/>
      <c r="Z2" s="70"/>
      <c r="AA2" s="70"/>
      <c r="AB2" s="70"/>
      <c r="AC2" s="70"/>
      <c r="AD2" s="70"/>
    </row>
    <row r="3" spans="2:30" x14ac:dyDescent="0.2">
      <c r="B3" s="70"/>
      <c r="C3" s="70"/>
      <c r="D3" s="234"/>
      <c r="E3" s="234"/>
      <c r="F3" s="176"/>
      <c r="G3" s="176"/>
      <c r="H3" s="176"/>
      <c r="I3" s="176"/>
      <c r="J3" s="176"/>
      <c r="K3" s="70"/>
      <c r="L3" s="70"/>
      <c r="M3" s="70"/>
      <c r="N3" s="70"/>
      <c r="O3" s="70"/>
      <c r="P3" s="70"/>
      <c r="Q3" s="70"/>
      <c r="R3" s="70"/>
      <c r="S3" s="70"/>
      <c r="T3" s="70"/>
      <c r="U3" s="70"/>
      <c r="V3" s="70"/>
      <c r="W3" s="70"/>
      <c r="X3" s="70"/>
      <c r="Y3" s="70"/>
      <c r="Z3" s="70"/>
      <c r="AA3" s="70"/>
      <c r="AB3" s="70"/>
      <c r="AC3" s="70"/>
      <c r="AD3" s="70"/>
    </row>
    <row r="4" spans="2:30" s="476" customFormat="1" ht="18" customHeight="1" x14ac:dyDescent="0.3">
      <c r="B4" s="196"/>
      <c r="C4" s="857" t="s">
        <v>392</v>
      </c>
      <c r="D4" s="196"/>
      <c r="E4" s="628"/>
      <c r="F4" s="629"/>
      <c r="G4" s="629"/>
      <c r="H4" s="629"/>
      <c r="I4" s="629"/>
      <c r="J4" s="629"/>
      <c r="K4" s="196"/>
      <c r="L4" s="196"/>
      <c r="M4" s="196"/>
      <c r="N4" s="196"/>
      <c r="O4" s="196"/>
      <c r="P4" s="196"/>
      <c r="Q4" s="196"/>
      <c r="R4" s="196"/>
      <c r="S4" s="196"/>
      <c r="T4" s="196"/>
      <c r="U4" s="196"/>
      <c r="V4" s="196"/>
      <c r="W4" s="196"/>
      <c r="X4" s="196"/>
      <c r="Y4" s="196"/>
      <c r="Z4" s="196"/>
      <c r="AA4" s="196"/>
      <c r="AB4" s="196"/>
      <c r="AC4" s="196"/>
      <c r="AD4" s="196"/>
    </row>
    <row r="5" spans="2:30" ht="18.75" customHeight="1" x14ac:dyDescent="0.3">
      <c r="B5" s="70"/>
      <c r="C5" s="81" t="str">
        <f>geg!G12</f>
        <v>Basisschool</v>
      </c>
      <c r="D5" s="193"/>
      <c r="E5" s="234"/>
      <c r="F5" s="176"/>
      <c r="G5" s="176"/>
      <c r="H5" s="176"/>
      <c r="I5" s="176"/>
      <c r="J5" s="176"/>
      <c r="K5" s="70"/>
      <c r="L5" s="70"/>
      <c r="M5" s="70"/>
      <c r="N5" s="70"/>
      <c r="O5" s="70"/>
      <c r="P5" s="70"/>
      <c r="Q5" s="70"/>
      <c r="R5" s="70"/>
      <c r="S5" s="70"/>
      <c r="T5" s="70"/>
      <c r="U5" s="70"/>
      <c r="V5" s="70"/>
      <c r="W5" s="70"/>
      <c r="X5" s="70"/>
      <c r="Y5" s="70"/>
      <c r="Z5" s="70"/>
      <c r="AA5" s="70"/>
      <c r="AB5" s="70"/>
      <c r="AC5" s="70"/>
      <c r="AD5" s="70"/>
    </row>
    <row r="6" spans="2:30" ht="12" customHeight="1" x14ac:dyDescent="0.25">
      <c r="B6" s="70"/>
      <c r="C6" s="630"/>
      <c r="D6" s="234"/>
      <c r="E6" s="234"/>
      <c r="F6" s="176"/>
      <c r="G6" s="176"/>
      <c r="H6" s="176"/>
      <c r="I6" s="176"/>
      <c r="J6" s="176"/>
      <c r="K6" s="70"/>
      <c r="L6" s="70"/>
      <c r="M6" s="70"/>
      <c r="N6" s="70"/>
      <c r="O6" s="70"/>
      <c r="P6" s="70"/>
      <c r="Q6" s="70"/>
      <c r="R6" s="70"/>
      <c r="S6" s="70"/>
      <c r="T6" s="70"/>
      <c r="U6" s="70"/>
      <c r="V6" s="70"/>
      <c r="W6" s="70"/>
      <c r="X6" s="70"/>
      <c r="Y6" s="70"/>
      <c r="Z6" s="70"/>
      <c r="AA6" s="70"/>
      <c r="AB6" s="70"/>
      <c r="AC6" s="70"/>
      <c r="AD6" s="70"/>
    </row>
    <row r="7" spans="2:30" ht="12" customHeight="1" x14ac:dyDescent="0.25">
      <c r="B7" s="70"/>
      <c r="C7" s="630"/>
      <c r="D7" s="234"/>
      <c r="E7" s="234"/>
      <c r="F7" s="176"/>
      <c r="G7" s="176"/>
      <c r="H7" s="176"/>
      <c r="I7" s="176"/>
      <c r="J7" s="176"/>
      <c r="K7" s="70"/>
      <c r="L7" s="70"/>
      <c r="M7" s="70"/>
      <c r="N7" s="70"/>
      <c r="O7" s="70"/>
      <c r="P7" s="70"/>
      <c r="Q7" s="70"/>
      <c r="R7" s="70"/>
      <c r="S7" s="70"/>
      <c r="T7" s="70"/>
      <c r="U7" s="70"/>
      <c r="V7" s="70"/>
      <c r="W7" s="70"/>
      <c r="X7" s="70"/>
      <c r="Y7" s="70"/>
      <c r="Z7" s="70"/>
      <c r="AA7" s="70"/>
      <c r="AB7" s="70"/>
      <c r="AC7" s="70"/>
      <c r="AD7" s="70"/>
    </row>
    <row r="8" spans="2:30" s="367" customFormat="1" x14ac:dyDescent="0.2">
      <c r="B8" s="631"/>
      <c r="C8" s="631"/>
      <c r="D8" s="977" t="s">
        <v>277</v>
      </c>
      <c r="E8" s="977" t="s">
        <v>276</v>
      </c>
      <c r="F8" s="981" t="s">
        <v>280</v>
      </c>
      <c r="G8" s="981" t="s">
        <v>43</v>
      </c>
      <c r="H8" s="981" t="s">
        <v>274</v>
      </c>
      <c r="I8" s="981" t="s">
        <v>206</v>
      </c>
      <c r="J8" s="981" t="s">
        <v>275</v>
      </c>
      <c r="K8" s="981"/>
      <c r="L8" s="981" t="s">
        <v>315</v>
      </c>
      <c r="M8" s="981" t="s">
        <v>317</v>
      </c>
      <c r="N8" s="981" t="s">
        <v>236</v>
      </c>
      <c r="O8" s="982" t="s">
        <v>314</v>
      </c>
      <c r="P8" s="981" t="s">
        <v>444</v>
      </c>
      <c r="Q8" s="981"/>
      <c r="R8" s="981">
        <f>P9</f>
        <v>2015</v>
      </c>
      <c r="S8" s="983">
        <f>R8+1</f>
        <v>2016</v>
      </c>
      <c r="T8" s="983">
        <f>R8+2</f>
        <v>2017</v>
      </c>
      <c r="U8" s="984">
        <f>R8+3</f>
        <v>2018</v>
      </c>
      <c r="V8" s="984">
        <f>S8+3</f>
        <v>2019</v>
      </c>
      <c r="W8" s="981"/>
      <c r="X8" s="981">
        <f>R8</f>
        <v>2015</v>
      </c>
      <c r="Y8" s="981">
        <f>S8</f>
        <v>2016</v>
      </c>
      <c r="Z8" s="981">
        <f>T8</f>
        <v>2017</v>
      </c>
      <c r="AA8" s="981">
        <f>U8</f>
        <v>2018</v>
      </c>
      <c r="AB8" s="981">
        <f>V8</f>
        <v>2019</v>
      </c>
      <c r="AC8" s="631"/>
      <c r="AD8" s="631"/>
    </row>
    <row r="9" spans="2:30" s="367" customFormat="1" x14ac:dyDescent="0.2">
      <c r="B9" s="631"/>
      <c r="C9" s="631"/>
      <c r="D9" s="977"/>
      <c r="E9" s="977"/>
      <c r="F9" s="981" t="s">
        <v>279</v>
      </c>
      <c r="G9" s="981" t="s">
        <v>42</v>
      </c>
      <c r="H9" s="981" t="s">
        <v>278</v>
      </c>
      <c r="I9" s="981" t="s">
        <v>204</v>
      </c>
      <c r="J9" s="981" t="s">
        <v>221</v>
      </c>
      <c r="K9" s="981"/>
      <c r="L9" s="981"/>
      <c r="M9" s="981" t="s">
        <v>318</v>
      </c>
      <c r="N9" s="981" t="s">
        <v>319</v>
      </c>
      <c r="O9" s="982" t="s">
        <v>236</v>
      </c>
      <c r="P9" s="982">
        <f>tab!D4</f>
        <v>2015</v>
      </c>
      <c r="Q9" s="981"/>
      <c r="R9" s="981" t="s">
        <v>236</v>
      </c>
      <c r="S9" s="981" t="s">
        <v>236</v>
      </c>
      <c r="T9" s="981" t="s">
        <v>236</v>
      </c>
      <c r="U9" s="981" t="s">
        <v>236</v>
      </c>
      <c r="V9" s="981" t="s">
        <v>236</v>
      </c>
      <c r="W9" s="981"/>
      <c r="X9" s="981" t="s">
        <v>239</v>
      </c>
      <c r="Y9" s="981" t="s">
        <v>239</v>
      </c>
      <c r="Z9" s="981" t="s">
        <v>239</v>
      </c>
      <c r="AA9" s="981" t="s">
        <v>239</v>
      </c>
      <c r="AB9" s="981" t="s">
        <v>239</v>
      </c>
      <c r="AC9" s="631"/>
      <c r="AD9" s="631"/>
    </row>
    <row r="10" spans="2:30" s="632" customFormat="1" x14ac:dyDescent="0.2">
      <c r="B10" s="197"/>
      <c r="C10" s="197"/>
      <c r="D10" s="633"/>
      <c r="E10" s="633"/>
      <c r="F10" s="197"/>
      <c r="G10" s="197"/>
      <c r="H10" s="197"/>
      <c r="I10" s="197"/>
      <c r="J10" s="197"/>
      <c r="K10" s="197"/>
      <c r="L10" s="197"/>
      <c r="M10" s="197"/>
      <c r="N10" s="197"/>
      <c r="O10" s="634"/>
      <c r="P10" s="634"/>
      <c r="Q10" s="197"/>
      <c r="R10" s="197"/>
      <c r="S10" s="197"/>
      <c r="T10" s="197"/>
      <c r="U10" s="197"/>
      <c r="V10" s="197"/>
      <c r="W10" s="197"/>
      <c r="X10" s="197"/>
      <c r="Y10" s="197"/>
      <c r="Z10" s="197"/>
      <c r="AA10" s="197"/>
      <c r="AB10" s="197"/>
      <c r="AC10" s="197"/>
      <c r="AD10" s="197"/>
    </row>
    <row r="11" spans="2:30" s="632" customFormat="1" x14ac:dyDescent="0.2">
      <c r="B11" s="197"/>
      <c r="C11" s="635"/>
      <c r="D11" s="636"/>
      <c r="E11" s="636"/>
      <c r="F11" s="637"/>
      <c r="G11" s="637"/>
      <c r="H11" s="637"/>
      <c r="I11" s="637"/>
      <c r="J11" s="637"/>
      <c r="K11" s="637"/>
      <c r="L11" s="637"/>
      <c r="M11" s="637"/>
      <c r="N11" s="637"/>
      <c r="O11" s="638"/>
      <c r="P11" s="638"/>
      <c r="Q11" s="637"/>
      <c r="R11" s="637"/>
      <c r="S11" s="637"/>
      <c r="T11" s="637"/>
      <c r="U11" s="637"/>
      <c r="V11" s="637"/>
      <c r="W11" s="637"/>
      <c r="X11" s="637"/>
      <c r="Y11" s="637"/>
      <c r="Z11" s="637"/>
      <c r="AA11" s="637"/>
      <c r="AB11" s="637"/>
      <c r="AC11" s="639"/>
      <c r="AD11" s="197"/>
    </row>
    <row r="12" spans="2:30" s="640" customFormat="1" x14ac:dyDescent="0.2">
      <c r="B12" s="641"/>
      <c r="C12" s="642"/>
      <c r="D12" s="643"/>
      <c r="E12" s="643"/>
      <c r="F12" s="644"/>
      <c r="G12" s="644"/>
      <c r="H12" s="644"/>
      <c r="I12" s="644"/>
      <c r="J12" s="644"/>
      <c r="K12" s="645"/>
      <c r="L12" s="645"/>
      <c r="M12" s="645"/>
      <c r="N12" s="645"/>
      <c r="O12" s="645"/>
      <c r="P12" s="986">
        <f>SUM(P14:P213)</f>
        <v>0</v>
      </c>
      <c r="Q12" s="645"/>
      <c r="R12" s="986">
        <f>SUM(R14:R213)</f>
        <v>0</v>
      </c>
      <c r="S12" s="986">
        <f>SUM(S14:S213)</f>
        <v>0</v>
      </c>
      <c r="T12" s="986">
        <f>SUM(T14:T213)</f>
        <v>0</v>
      </c>
      <c r="U12" s="986">
        <f>SUM(U14:U213)</f>
        <v>0</v>
      </c>
      <c r="V12" s="986">
        <f>SUM(V14:V213)</f>
        <v>0</v>
      </c>
      <c r="W12" s="637"/>
      <c r="X12" s="986">
        <f>SUM(X14:X213)</f>
        <v>0</v>
      </c>
      <c r="Y12" s="986">
        <f>SUM(Y14:Y213)</f>
        <v>0</v>
      </c>
      <c r="Z12" s="986">
        <f>SUM(Z14:Z213)</f>
        <v>0</v>
      </c>
      <c r="AA12" s="986">
        <f>SUM(AA14:AA213)</f>
        <v>0</v>
      </c>
      <c r="AB12" s="986">
        <f>SUM(AB14:AB213)</f>
        <v>0</v>
      </c>
      <c r="AC12" s="646"/>
      <c r="AD12" s="641"/>
    </row>
    <row r="13" spans="2:30" s="632" customFormat="1" x14ac:dyDescent="0.2">
      <c r="B13" s="197"/>
      <c r="C13" s="647"/>
      <c r="D13" s="212"/>
      <c r="E13" s="212"/>
      <c r="F13" s="266"/>
      <c r="G13" s="266"/>
      <c r="H13" s="266"/>
      <c r="I13" s="266"/>
      <c r="J13" s="266"/>
      <c r="K13" s="266"/>
      <c r="L13" s="266"/>
      <c r="M13" s="266"/>
      <c r="N13" s="266"/>
      <c r="O13" s="372"/>
      <c r="P13" s="372"/>
      <c r="Q13" s="266"/>
      <c r="R13" s="266"/>
      <c r="S13" s="266"/>
      <c r="T13" s="266"/>
      <c r="U13" s="266"/>
      <c r="V13" s="266"/>
      <c r="W13" s="266"/>
      <c r="X13" s="95"/>
      <c r="Y13" s="95"/>
      <c r="Z13" s="95"/>
      <c r="AA13" s="95"/>
      <c r="AB13" s="95"/>
      <c r="AC13" s="648"/>
      <c r="AD13" s="197"/>
    </row>
    <row r="14" spans="2:30" x14ac:dyDescent="0.2">
      <c r="B14" s="70"/>
      <c r="C14" s="90"/>
      <c r="D14" s="97"/>
      <c r="E14" s="97"/>
      <c r="F14" s="129"/>
      <c r="G14" s="114"/>
      <c r="H14" s="219"/>
      <c r="I14" s="114"/>
      <c r="J14" s="114"/>
      <c r="K14" s="92"/>
      <c r="L14" s="95">
        <f>IF(J14="geen",9999999999,J14)</f>
        <v>0</v>
      </c>
      <c r="M14" s="878">
        <f>G14*H14</f>
        <v>0</v>
      </c>
      <c r="N14" s="878">
        <f t="shared" ref="N14:N65" si="0">IF(G14=0,0,(G14*H14)/L14)</f>
        <v>0</v>
      </c>
      <c r="O14" s="893" t="str">
        <f>IF(L14=0,"-",(IF(L14&gt;3000,"-",I14+L14-1)))</f>
        <v>-</v>
      </c>
      <c r="P14" s="878">
        <f>IF(J14="geen",IF(I14&lt;$R$8,G14*H14,0),IF(I14&gt;=$R$8,0,IF((H14*G14-(R$8-I14)*N14)&lt;0,0,H14*G14-(R$8-I14)*N14)))</f>
        <v>0</v>
      </c>
      <c r="Q14" s="92"/>
      <c r="R14" s="878">
        <f t="shared" ref="R14:R66" si="1">(IF(R$8&lt;$I14,0,IF($O14&lt;=R$8-1,0,$N14)))</f>
        <v>0</v>
      </c>
      <c r="S14" s="878">
        <f t="shared" ref="S14:S66" si="2">(IF(S$8&lt;$I14,0,IF($O14&lt;=S$8-1,0,$N14)))</f>
        <v>0</v>
      </c>
      <c r="T14" s="878">
        <f t="shared" ref="T14:T66" si="3">(IF(T$8&lt;$I14,0,IF($O14&lt;=T$8-1,0,$N14)))</f>
        <v>0</v>
      </c>
      <c r="U14" s="878">
        <f>(IF(U$8&lt;$I14,0,IF($O14&lt;=U$8-1,0,$N14)))</f>
        <v>0</v>
      </c>
      <c r="V14" s="878">
        <f>(IF(V$8&lt;$I14,0,IF($O14&lt;=V$8-1,0,$N14)))</f>
        <v>0</v>
      </c>
      <c r="W14" s="92"/>
      <c r="X14" s="878">
        <f>IF(X$8=$I14,($G14*$H14),0)</f>
        <v>0</v>
      </c>
      <c r="Y14" s="878">
        <f t="shared" ref="X14:AB23" si="4">IF(Y$8=$I14,($G14*$H14),0)</f>
        <v>0</v>
      </c>
      <c r="Z14" s="878">
        <f t="shared" si="4"/>
        <v>0</v>
      </c>
      <c r="AA14" s="878">
        <f t="shared" si="4"/>
        <v>0</v>
      </c>
      <c r="AB14" s="878">
        <f t="shared" si="4"/>
        <v>0</v>
      </c>
      <c r="AC14" s="162"/>
      <c r="AD14" s="70"/>
    </row>
    <row r="15" spans="2:30" x14ac:dyDescent="0.2">
      <c r="B15" s="70"/>
      <c r="C15" s="90"/>
      <c r="D15" s="97"/>
      <c r="E15" s="97"/>
      <c r="F15" s="129"/>
      <c r="G15" s="114"/>
      <c r="H15" s="219"/>
      <c r="I15" s="114"/>
      <c r="J15" s="114"/>
      <c r="K15" s="92"/>
      <c r="L15" s="95">
        <f t="shared" ref="L15:L67" si="5">IF(J15="geen",9999999999,J15)</f>
        <v>0</v>
      </c>
      <c r="M15" s="878">
        <f t="shared" ref="M15:M65" si="6">G15*H15</f>
        <v>0</v>
      </c>
      <c r="N15" s="878">
        <f t="shared" si="0"/>
        <v>0</v>
      </c>
      <c r="O15" s="893" t="str">
        <f t="shared" ref="O15:O65" si="7">IF(L15=0,"-",(IF(L15&gt;3000,"-",I15+L15-1)))</f>
        <v>-</v>
      </c>
      <c r="P15" s="878">
        <f t="shared" ref="P15:P45" si="8">IF(J15="geen",IF(I15&lt;$R$8,G15*H15,0),IF(I15&gt;=$R$8,0,IF((H15*G15-(R$8-I15)*N15)&lt;0,0,H15*G15-(R$8-I15)*N15)))</f>
        <v>0</v>
      </c>
      <c r="Q15" s="92"/>
      <c r="R15" s="878">
        <f t="shared" si="1"/>
        <v>0</v>
      </c>
      <c r="S15" s="878">
        <f t="shared" si="2"/>
        <v>0</v>
      </c>
      <c r="T15" s="878">
        <f t="shared" si="3"/>
        <v>0</v>
      </c>
      <c r="U15" s="878">
        <f t="shared" ref="U15:V66" si="9">(IF(U$8&lt;$I15,0,IF($O15&lt;=U$8-1,0,$N15)))</f>
        <v>0</v>
      </c>
      <c r="V15" s="878">
        <f t="shared" si="9"/>
        <v>0</v>
      </c>
      <c r="W15" s="92"/>
      <c r="X15" s="878">
        <f t="shared" si="4"/>
        <v>0</v>
      </c>
      <c r="Y15" s="878">
        <f t="shared" si="4"/>
        <v>0</v>
      </c>
      <c r="Z15" s="878">
        <f t="shared" si="4"/>
        <v>0</v>
      </c>
      <c r="AA15" s="878">
        <f t="shared" si="4"/>
        <v>0</v>
      </c>
      <c r="AB15" s="878">
        <f t="shared" si="4"/>
        <v>0</v>
      </c>
      <c r="AC15" s="162"/>
      <c r="AD15" s="70"/>
    </row>
    <row r="16" spans="2:30" x14ac:dyDescent="0.2">
      <c r="B16" s="70"/>
      <c r="C16" s="90"/>
      <c r="D16" s="97"/>
      <c r="E16" s="97"/>
      <c r="F16" s="129"/>
      <c r="G16" s="114"/>
      <c r="H16" s="219"/>
      <c r="I16" s="114"/>
      <c r="J16" s="114"/>
      <c r="K16" s="92"/>
      <c r="L16" s="95">
        <f t="shared" si="5"/>
        <v>0</v>
      </c>
      <c r="M16" s="878">
        <f t="shared" si="6"/>
        <v>0</v>
      </c>
      <c r="N16" s="878">
        <f t="shared" si="0"/>
        <v>0</v>
      </c>
      <c r="O16" s="893" t="str">
        <f t="shared" si="7"/>
        <v>-</v>
      </c>
      <c r="P16" s="878">
        <f t="shared" si="8"/>
        <v>0</v>
      </c>
      <c r="Q16" s="92"/>
      <c r="R16" s="878">
        <f t="shared" si="1"/>
        <v>0</v>
      </c>
      <c r="S16" s="878">
        <f t="shared" si="2"/>
        <v>0</v>
      </c>
      <c r="T16" s="878">
        <f t="shared" si="3"/>
        <v>0</v>
      </c>
      <c r="U16" s="878">
        <f t="shared" si="9"/>
        <v>0</v>
      </c>
      <c r="V16" s="878">
        <f t="shared" si="9"/>
        <v>0</v>
      </c>
      <c r="W16" s="92"/>
      <c r="X16" s="878">
        <f t="shared" si="4"/>
        <v>0</v>
      </c>
      <c r="Y16" s="878">
        <f t="shared" si="4"/>
        <v>0</v>
      </c>
      <c r="Z16" s="878">
        <f t="shared" si="4"/>
        <v>0</v>
      </c>
      <c r="AA16" s="878">
        <f t="shared" si="4"/>
        <v>0</v>
      </c>
      <c r="AB16" s="878">
        <f t="shared" si="4"/>
        <v>0</v>
      </c>
      <c r="AC16" s="162"/>
      <c r="AD16" s="70"/>
    </row>
    <row r="17" spans="2:30" x14ac:dyDescent="0.2">
      <c r="B17" s="70"/>
      <c r="C17" s="90"/>
      <c r="D17" s="97"/>
      <c r="E17" s="97"/>
      <c r="F17" s="129"/>
      <c r="G17" s="114"/>
      <c r="H17" s="219"/>
      <c r="I17" s="114"/>
      <c r="J17" s="114"/>
      <c r="K17" s="92"/>
      <c r="L17" s="95">
        <f t="shared" si="5"/>
        <v>0</v>
      </c>
      <c r="M17" s="878">
        <f t="shared" si="6"/>
        <v>0</v>
      </c>
      <c r="N17" s="878">
        <f t="shared" si="0"/>
        <v>0</v>
      </c>
      <c r="O17" s="893" t="str">
        <f t="shared" si="7"/>
        <v>-</v>
      </c>
      <c r="P17" s="878">
        <f t="shared" si="8"/>
        <v>0</v>
      </c>
      <c r="Q17" s="92"/>
      <c r="R17" s="878">
        <f t="shared" si="1"/>
        <v>0</v>
      </c>
      <c r="S17" s="878">
        <f t="shared" si="2"/>
        <v>0</v>
      </c>
      <c r="T17" s="878">
        <f t="shared" si="3"/>
        <v>0</v>
      </c>
      <c r="U17" s="878">
        <f t="shared" si="9"/>
        <v>0</v>
      </c>
      <c r="V17" s="878">
        <f t="shared" si="9"/>
        <v>0</v>
      </c>
      <c r="W17" s="92"/>
      <c r="X17" s="878">
        <f t="shared" si="4"/>
        <v>0</v>
      </c>
      <c r="Y17" s="878">
        <f t="shared" si="4"/>
        <v>0</v>
      </c>
      <c r="Z17" s="878">
        <f t="shared" si="4"/>
        <v>0</v>
      </c>
      <c r="AA17" s="878">
        <f t="shared" si="4"/>
        <v>0</v>
      </c>
      <c r="AB17" s="878">
        <f t="shared" si="4"/>
        <v>0</v>
      </c>
      <c r="AC17" s="162"/>
      <c r="AD17" s="70"/>
    </row>
    <row r="18" spans="2:30" x14ac:dyDescent="0.2">
      <c r="B18" s="70"/>
      <c r="C18" s="90"/>
      <c r="D18" s="97"/>
      <c r="E18" s="97"/>
      <c r="F18" s="129"/>
      <c r="G18" s="114"/>
      <c r="H18" s="219"/>
      <c r="I18" s="114"/>
      <c r="J18" s="114"/>
      <c r="K18" s="92"/>
      <c r="L18" s="95">
        <f t="shared" si="5"/>
        <v>0</v>
      </c>
      <c r="M18" s="878">
        <f t="shared" si="6"/>
        <v>0</v>
      </c>
      <c r="N18" s="878">
        <f t="shared" si="0"/>
        <v>0</v>
      </c>
      <c r="O18" s="893" t="str">
        <f t="shared" si="7"/>
        <v>-</v>
      </c>
      <c r="P18" s="878">
        <f t="shared" si="8"/>
        <v>0</v>
      </c>
      <c r="Q18" s="92"/>
      <c r="R18" s="878">
        <f t="shared" si="1"/>
        <v>0</v>
      </c>
      <c r="S18" s="878">
        <f t="shared" si="2"/>
        <v>0</v>
      </c>
      <c r="T18" s="878">
        <f t="shared" si="3"/>
        <v>0</v>
      </c>
      <c r="U18" s="878">
        <f t="shared" si="9"/>
        <v>0</v>
      </c>
      <c r="V18" s="878">
        <f t="shared" si="9"/>
        <v>0</v>
      </c>
      <c r="W18" s="92"/>
      <c r="X18" s="878">
        <f t="shared" si="4"/>
        <v>0</v>
      </c>
      <c r="Y18" s="878">
        <f t="shared" si="4"/>
        <v>0</v>
      </c>
      <c r="Z18" s="878">
        <f t="shared" si="4"/>
        <v>0</v>
      </c>
      <c r="AA18" s="878">
        <f t="shared" si="4"/>
        <v>0</v>
      </c>
      <c r="AB18" s="878">
        <f t="shared" si="4"/>
        <v>0</v>
      </c>
      <c r="AC18" s="162"/>
      <c r="AD18" s="70"/>
    </row>
    <row r="19" spans="2:30" x14ac:dyDescent="0.2">
      <c r="B19" s="70"/>
      <c r="C19" s="90"/>
      <c r="D19" s="97"/>
      <c r="E19" s="97"/>
      <c r="F19" s="129"/>
      <c r="G19" s="114"/>
      <c r="H19" s="219"/>
      <c r="I19" s="114"/>
      <c r="J19" s="114"/>
      <c r="K19" s="92"/>
      <c r="L19" s="95">
        <f t="shared" si="5"/>
        <v>0</v>
      </c>
      <c r="M19" s="878">
        <f t="shared" si="6"/>
        <v>0</v>
      </c>
      <c r="N19" s="878">
        <f t="shared" si="0"/>
        <v>0</v>
      </c>
      <c r="O19" s="893" t="str">
        <f t="shared" si="7"/>
        <v>-</v>
      </c>
      <c r="P19" s="878">
        <f t="shared" si="8"/>
        <v>0</v>
      </c>
      <c r="Q19" s="92"/>
      <c r="R19" s="878">
        <f t="shared" si="1"/>
        <v>0</v>
      </c>
      <c r="S19" s="878">
        <f t="shared" si="2"/>
        <v>0</v>
      </c>
      <c r="T19" s="878">
        <f t="shared" si="3"/>
        <v>0</v>
      </c>
      <c r="U19" s="878">
        <f t="shared" si="9"/>
        <v>0</v>
      </c>
      <c r="V19" s="878">
        <f t="shared" si="9"/>
        <v>0</v>
      </c>
      <c r="W19" s="92"/>
      <c r="X19" s="878">
        <f t="shared" si="4"/>
        <v>0</v>
      </c>
      <c r="Y19" s="878">
        <f t="shared" si="4"/>
        <v>0</v>
      </c>
      <c r="Z19" s="878">
        <f t="shared" si="4"/>
        <v>0</v>
      </c>
      <c r="AA19" s="878">
        <f t="shared" si="4"/>
        <v>0</v>
      </c>
      <c r="AB19" s="878">
        <f t="shared" si="4"/>
        <v>0</v>
      </c>
      <c r="AC19" s="162"/>
      <c r="AD19" s="70"/>
    </row>
    <row r="20" spans="2:30" x14ac:dyDescent="0.2">
      <c r="B20" s="70"/>
      <c r="C20" s="90"/>
      <c r="D20" s="97"/>
      <c r="E20" s="97"/>
      <c r="F20" s="129"/>
      <c r="G20" s="114"/>
      <c r="H20" s="219"/>
      <c r="I20" s="114"/>
      <c r="J20" s="114"/>
      <c r="K20" s="92"/>
      <c r="L20" s="95">
        <f t="shared" si="5"/>
        <v>0</v>
      </c>
      <c r="M20" s="878">
        <f t="shared" si="6"/>
        <v>0</v>
      </c>
      <c r="N20" s="878">
        <f t="shared" si="0"/>
        <v>0</v>
      </c>
      <c r="O20" s="893" t="str">
        <f t="shared" si="7"/>
        <v>-</v>
      </c>
      <c r="P20" s="878">
        <f t="shared" si="8"/>
        <v>0</v>
      </c>
      <c r="Q20" s="92"/>
      <c r="R20" s="878">
        <f t="shared" si="1"/>
        <v>0</v>
      </c>
      <c r="S20" s="878">
        <f t="shared" si="2"/>
        <v>0</v>
      </c>
      <c r="T20" s="878">
        <f t="shared" si="3"/>
        <v>0</v>
      </c>
      <c r="U20" s="878">
        <f t="shared" si="9"/>
        <v>0</v>
      </c>
      <c r="V20" s="878">
        <f t="shared" si="9"/>
        <v>0</v>
      </c>
      <c r="W20" s="92"/>
      <c r="X20" s="878">
        <f t="shared" si="4"/>
        <v>0</v>
      </c>
      <c r="Y20" s="878">
        <f t="shared" si="4"/>
        <v>0</v>
      </c>
      <c r="Z20" s="878">
        <f t="shared" si="4"/>
        <v>0</v>
      </c>
      <c r="AA20" s="878">
        <f t="shared" si="4"/>
        <v>0</v>
      </c>
      <c r="AB20" s="878">
        <f t="shared" si="4"/>
        <v>0</v>
      </c>
      <c r="AC20" s="162"/>
      <c r="AD20" s="70"/>
    </row>
    <row r="21" spans="2:30" x14ac:dyDescent="0.2">
      <c r="B21" s="70"/>
      <c r="C21" s="90"/>
      <c r="D21" s="97"/>
      <c r="E21" s="97"/>
      <c r="F21" s="129"/>
      <c r="G21" s="114"/>
      <c r="H21" s="219"/>
      <c r="I21" s="114"/>
      <c r="J21" s="114"/>
      <c r="K21" s="92"/>
      <c r="L21" s="95">
        <f t="shared" si="5"/>
        <v>0</v>
      </c>
      <c r="M21" s="878">
        <f t="shared" si="6"/>
        <v>0</v>
      </c>
      <c r="N21" s="878">
        <f t="shared" si="0"/>
        <v>0</v>
      </c>
      <c r="O21" s="893" t="str">
        <f t="shared" si="7"/>
        <v>-</v>
      </c>
      <c r="P21" s="878">
        <f t="shared" si="8"/>
        <v>0</v>
      </c>
      <c r="Q21" s="92"/>
      <c r="R21" s="878">
        <f t="shared" si="1"/>
        <v>0</v>
      </c>
      <c r="S21" s="878">
        <f t="shared" si="2"/>
        <v>0</v>
      </c>
      <c r="T21" s="878">
        <f t="shared" si="3"/>
        <v>0</v>
      </c>
      <c r="U21" s="878">
        <f t="shared" si="9"/>
        <v>0</v>
      </c>
      <c r="V21" s="878">
        <f t="shared" si="9"/>
        <v>0</v>
      </c>
      <c r="W21" s="92"/>
      <c r="X21" s="878">
        <f t="shared" si="4"/>
        <v>0</v>
      </c>
      <c r="Y21" s="878">
        <f t="shared" si="4"/>
        <v>0</v>
      </c>
      <c r="Z21" s="878">
        <f t="shared" si="4"/>
        <v>0</v>
      </c>
      <c r="AA21" s="878">
        <f t="shared" si="4"/>
        <v>0</v>
      </c>
      <c r="AB21" s="878">
        <f t="shared" si="4"/>
        <v>0</v>
      </c>
      <c r="AC21" s="162"/>
      <c r="AD21" s="70"/>
    </row>
    <row r="22" spans="2:30" x14ac:dyDescent="0.2">
      <c r="B22" s="70"/>
      <c r="C22" s="90"/>
      <c r="D22" s="97"/>
      <c r="E22" s="97"/>
      <c r="F22" s="129"/>
      <c r="G22" s="114"/>
      <c r="H22" s="219"/>
      <c r="I22" s="114"/>
      <c r="J22" s="114"/>
      <c r="K22" s="92"/>
      <c r="L22" s="95">
        <f t="shared" si="5"/>
        <v>0</v>
      </c>
      <c r="M22" s="878">
        <f t="shared" si="6"/>
        <v>0</v>
      </c>
      <c r="N22" s="878">
        <f t="shared" si="0"/>
        <v>0</v>
      </c>
      <c r="O22" s="893" t="str">
        <f t="shared" si="7"/>
        <v>-</v>
      </c>
      <c r="P22" s="878">
        <f t="shared" si="8"/>
        <v>0</v>
      </c>
      <c r="Q22" s="92"/>
      <c r="R22" s="878">
        <f t="shared" si="1"/>
        <v>0</v>
      </c>
      <c r="S22" s="878">
        <f t="shared" si="2"/>
        <v>0</v>
      </c>
      <c r="T22" s="878">
        <f t="shared" si="3"/>
        <v>0</v>
      </c>
      <c r="U22" s="878">
        <f t="shared" si="9"/>
        <v>0</v>
      </c>
      <c r="V22" s="878">
        <f t="shared" si="9"/>
        <v>0</v>
      </c>
      <c r="W22" s="92"/>
      <c r="X22" s="878">
        <f t="shared" si="4"/>
        <v>0</v>
      </c>
      <c r="Y22" s="878">
        <f t="shared" si="4"/>
        <v>0</v>
      </c>
      <c r="Z22" s="878">
        <f t="shared" si="4"/>
        <v>0</v>
      </c>
      <c r="AA22" s="878">
        <f t="shared" si="4"/>
        <v>0</v>
      </c>
      <c r="AB22" s="878">
        <f t="shared" si="4"/>
        <v>0</v>
      </c>
      <c r="AC22" s="162"/>
      <c r="AD22" s="70"/>
    </row>
    <row r="23" spans="2:30" x14ac:dyDescent="0.2">
      <c r="B23" s="70"/>
      <c r="C23" s="90"/>
      <c r="D23" s="97"/>
      <c r="E23" s="97"/>
      <c r="F23" s="129"/>
      <c r="G23" s="114"/>
      <c r="H23" s="219"/>
      <c r="I23" s="114"/>
      <c r="J23" s="114"/>
      <c r="K23" s="92"/>
      <c r="L23" s="95">
        <f t="shared" si="5"/>
        <v>0</v>
      </c>
      <c r="M23" s="878">
        <f t="shared" si="6"/>
        <v>0</v>
      </c>
      <c r="N23" s="878">
        <f t="shared" si="0"/>
        <v>0</v>
      </c>
      <c r="O23" s="893" t="str">
        <f t="shared" si="7"/>
        <v>-</v>
      </c>
      <c r="P23" s="878">
        <f t="shared" si="8"/>
        <v>0</v>
      </c>
      <c r="Q23" s="92"/>
      <c r="R23" s="878">
        <f t="shared" si="1"/>
        <v>0</v>
      </c>
      <c r="S23" s="878">
        <f t="shared" si="2"/>
        <v>0</v>
      </c>
      <c r="T23" s="878">
        <f t="shared" si="3"/>
        <v>0</v>
      </c>
      <c r="U23" s="878">
        <f t="shared" si="9"/>
        <v>0</v>
      </c>
      <c r="V23" s="878">
        <f t="shared" si="9"/>
        <v>0</v>
      </c>
      <c r="W23" s="92"/>
      <c r="X23" s="878">
        <f t="shared" si="4"/>
        <v>0</v>
      </c>
      <c r="Y23" s="878">
        <f t="shared" si="4"/>
        <v>0</v>
      </c>
      <c r="Z23" s="878">
        <f t="shared" si="4"/>
        <v>0</v>
      </c>
      <c r="AA23" s="878">
        <f t="shared" si="4"/>
        <v>0</v>
      </c>
      <c r="AB23" s="878">
        <f t="shared" si="4"/>
        <v>0</v>
      </c>
      <c r="AC23" s="162"/>
      <c r="AD23" s="70"/>
    </row>
    <row r="24" spans="2:30" x14ac:dyDescent="0.2">
      <c r="B24" s="70"/>
      <c r="C24" s="90"/>
      <c r="D24" s="97"/>
      <c r="E24" s="97"/>
      <c r="F24" s="129"/>
      <c r="G24" s="114"/>
      <c r="H24" s="219"/>
      <c r="I24" s="114"/>
      <c r="J24" s="114"/>
      <c r="K24" s="92"/>
      <c r="L24" s="95">
        <f t="shared" si="5"/>
        <v>0</v>
      </c>
      <c r="M24" s="878">
        <f t="shared" si="6"/>
        <v>0</v>
      </c>
      <c r="N24" s="878">
        <f t="shared" si="0"/>
        <v>0</v>
      </c>
      <c r="O24" s="893" t="str">
        <f t="shared" si="7"/>
        <v>-</v>
      </c>
      <c r="P24" s="878">
        <f t="shared" si="8"/>
        <v>0</v>
      </c>
      <c r="Q24" s="92"/>
      <c r="R24" s="878">
        <f t="shared" si="1"/>
        <v>0</v>
      </c>
      <c r="S24" s="878">
        <f t="shared" si="2"/>
        <v>0</v>
      </c>
      <c r="T24" s="878">
        <f t="shared" si="3"/>
        <v>0</v>
      </c>
      <c r="U24" s="878">
        <f t="shared" si="9"/>
        <v>0</v>
      </c>
      <c r="V24" s="878">
        <f t="shared" si="9"/>
        <v>0</v>
      </c>
      <c r="W24" s="92"/>
      <c r="X24" s="878">
        <f t="shared" ref="X24:AB33" si="10">IF(X$8=$I24,($G24*$H24),0)</f>
        <v>0</v>
      </c>
      <c r="Y24" s="878">
        <f t="shared" si="10"/>
        <v>0</v>
      </c>
      <c r="Z24" s="878">
        <f t="shared" si="10"/>
        <v>0</v>
      </c>
      <c r="AA24" s="878">
        <f t="shared" si="10"/>
        <v>0</v>
      </c>
      <c r="AB24" s="878">
        <f t="shared" si="10"/>
        <v>0</v>
      </c>
      <c r="AC24" s="162"/>
      <c r="AD24" s="70"/>
    </row>
    <row r="25" spans="2:30" x14ac:dyDescent="0.2">
      <c r="B25" s="70"/>
      <c r="C25" s="90"/>
      <c r="D25" s="97"/>
      <c r="E25" s="97"/>
      <c r="F25" s="129"/>
      <c r="G25" s="114"/>
      <c r="H25" s="219"/>
      <c r="I25" s="114"/>
      <c r="J25" s="114"/>
      <c r="K25" s="92"/>
      <c r="L25" s="95">
        <f t="shared" si="5"/>
        <v>0</v>
      </c>
      <c r="M25" s="878">
        <f t="shared" si="6"/>
        <v>0</v>
      </c>
      <c r="N25" s="878">
        <f t="shared" si="0"/>
        <v>0</v>
      </c>
      <c r="O25" s="893" t="str">
        <f t="shared" si="7"/>
        <v>-</v>
      </c>
      <c r="P25" s="878">
        <f t="shared" si="8"/>
        <v>0</v>
      </c>
      <c r="Q25" s="92"/>
      <c r="R25" s="878">
        <f t="shared" si="1"/>
        <v>0</v>
      </c>
      <c r="S25" s="878">
        <f t="shared" si="2"/>
        <v>0</v>
      </c>
      <c r="T25" s="878">
        <f t="shared" si="3"/>
        <v>0</v>
      </c>
      <c r="U25" s="878">
        <f t="shared" si="9"/>
        <v>0</v>
      </c>
      <c r="V25" s="878">
        <f t="shared" si="9"/>
        <v>0</v>
      </c>
      <c r="W25" s="92"/>
      <c r="X25" s="878">
        <f t="shared" si="10"/>
        <v>0</v>
      </c>
      <c r="Y25" s="878">
        <f t="shared" si="10"/>
        <v>0</v>
      </c>
      <c r="Z25" s="878">
        <f t="shared" si="10"/>
        <v>0</v>
      </c>
      <c r="AA25" s="878">
        <f t="shared" si="10"/>
        <v>0</v>
      </c>
      <c r="AB25" s="878">
        <f t="shared" si="10"/>
        <v>0</v>
      </c>
      <c r="AC25" s="162"/>
      <c r="AD25" s="70"/>
    </row>
    <row r="26" spans="2:30" x14ac:dyDescent="0.2">
      <c r="B26" s="70"/>
      <c r="C26" s="90"/>
      <c r="D26" s="97"/>
      <c r="E26" s="97"/>
      <c r="F26" s="129"/>
      <c r="G26" s="114"/>
      <c r="H26" s="219"/>
      <c r="I26" s="114"/>
      <c r="J26" s="114"/>
      <c r="K26" s="92"/>
      <c r="L26" s="95">
        <f t="shared" si="5"/>
        <v>0</v>
      </c>
      <c r="M26" s="878">
        <f t="shared" si="6"/>
        <v>0</v>
      </c>
      <c r="N26" s="878">
        <f t="shared" si="0"/>
        <v>0</v>
      </c>
      <c r="O26" s="893" t="str">
        <f t="shared" si="7"/>
        <v>-</v>
      </c>
      <c r="P26" s="878">
        <f t="shared" si="8"/>
        <v>0</v>
      </c>
      <c r="Q26" s="92"/>
      <c r="R26" s="878">
        <f t="shared" si="1"/>
        <v>0</v>
      </c>
      <c r="S26" s="878">
        <f t="shared" si="2"/>
        <v>0</v>
      </c>
      <c r="T26" s="878">
        <f t="shared" si="3"/>
        <v>0</v>
      </c>
      <c r="U26" s="878">
        <f t="shared" si="9"/>
        <v>0</v>
      </c>
      <c r="V26" s="878">
        <f t="shared" si="9"/>
        <v>0</v>
      </c>
      <c r="W26" s="92"/>
      <c r="X26" s="878">
        <f t="shared" si="10"/>
        <v>0</v>
      </c>
      <c r="Y26" s="878">
        <f t="shared" si="10"/>
        <v>0</v>
      </c>
      <c r="Z26" s="878">
        <f t="shared" si="10"/>
        <v>0</v>
      </c>
      <c r="AA26" s="878">
        <f t="shared" si="10"/>
        <v>0</v>
      </c>
      <c r="AB26" s="878">
        <f t="shared" si="10"/>
        <v>0</v>
      </c>
      <c r="AC26" s="162"/>
      <c r="AD26" s="70"/>
    </row>
    <row r="27" spans="2:30" x14ac:dyDescent="0.2">
      <c r="B27" s="70"/>
      <c r="C27" s="90"/>
      <c r="D27" s="97"/>
      <c r="E27" s="97"/>
      <c r="F27" s="129"/>
      <c r="G27" s="114"/>
      <c r="H27" s="219"/>
      <c r="I27" s="114"/>
      <c r="J27" s="114"/>
      <c r="K27" s="92"/>
      <c r="L27" s="95">
        <f t="shared" si="5"/>
        <v>0</v>
      </c>
      <c r="M27" s="878">
        <f t="shared" si="6"/>
        <v>0</v>
      </c>
      <c r="N27" s="878">
        <f t="shared" si="0"/>
        <v>0</v>
      </c>
      <c r="O27" s="893" t="str">
        <f t="shared" si="7"/>
        <v>-</v>
      </c>
      <c r="P27" s="878">
        <f t="shared" si="8"/>
        <v>0</v>
      </c>
      <c r="Q27" s="92"/>
      <c r="R27" s="878">
        <f t="shared" si="1"/>
        <v>0</v>
      </c>
      <c r="S27" s="878">
        <f t="shared" si="2"/>
        <v>0</v>
      </c>
      <c r="T27" s="878">
        <f t="shared" si="3"/>
        <v>0</v>
      </c>
      <c r="U27" s="878">
        <f t="shared" si="9"/>
        <v>0</v>
      </c>
      <c r="V27" s="878">
        <f t="shared" si="9"/>
        <v>0</v>
      </c>
      <c r="W27" s="92"/>
      <c r="X27" s="878">
        <f t="shared" si="10"/>
        <v>0</v>
      </c>
      <c r="Y27" s="878">
        <f t="shared" si="10"/>
        <v>0</v>
      </c>
      <c r="Z27" s="878">
        <f t="shared" si="10"/>
        <v>0</v>
      </c>
      <c r="AA27" s="878">
        <f t="shared" si="10"/>
        <v>0</v>
      </c>
      <c r="AB27" s="878">
        <f t="shared" si="10"/>
        <v>0</v>
      </c>
      <c r="AC27" s="162"/>
      <c r="AD27" s="70"/>
    </row>
    <row r="28" spans="2:30" x14ac:dyDescent="0.2">
      <c r="B28" s="70"/>
      <c r="C28" s="90"/>
      <c r="D28" s="97"/>
      <c r="E28" s="97"/>
      <c r="F28" s="129"/>
      <c r="G28" s="114"/>
      <c r="H28" s="219"/>
      <c r="I28" s="114"/>
      <c r="J28" s="114"/>
      <c r="K28" s="92"/>
      <c r="L28" s="95">
        <f t="shared" si="5"/>
        <v>0</v>
      </c>
      <c r="M28" s="878">
        <f t="shared" si="6"/>
        <v>0</v>
      </c>
      <c r="N28" s="878">
        <f t="shared" si="0"/>
        <v>0</v>
      </c>
      <c r="O28" s="893" t="str">
        <f t="shared" si="7"/>
        <v>-</v>
      </c>
      <c r="P28" s="878">
        <f t="shared" si="8"/>
        <v>0</v>
      </c>
      <c r="Q28" s="92"/>
      <c r="R28" s="878">
        <f t="shared" si="1"/>
        <v>0</v>
      </c>
      <c r="S28" s="878">
        <f t="shared" si="2"/>
        <v>0</v>
      </c>
      <c r="T28" s="878">
        <f t="shared" si="3"/>
        <v>0</v>
      </c>
      <c r="U28" s="878">
        <f t="shared" si="9"/>
        <v>0</v>
      </c>
      <c r="V28" s="878">
        <f t="shared" si="9"/>
        <v>0</v>
      </c>
      <c r="W28" s="92"/>
      <c r="X28" s="878">
        <f t="shared" si="10"/>
        <v>0</v>
      </c>
      <c r="Y28" s="878">
        <f t="shared" si="10"/>
        <v>0</v>
      </c>
      <c r="Z28" s="878">
        <f t="shared" si="10"/>
        <v>0</v>
      </c>
      <c r="AA28" s="878">
        <f t="shared" si="10"/>
        <v>0</v>
      </c>
      <c r="AB28" s="878">
        <f t="shared" si="10"/>
        <v>0</v>
      </c>
      <c r="AC28" s="162"/>
      <c r="AD28" s="70"/>
    </row>
    <row r="29" spans="2:30" x14ac:dyDescent="0.2">
      <c r="B29" s="70"/>
      <c r="C29" s="90"/>
      <c r="D29" s="97"/>
      <c r="E29" s="97"/>
      <c r="F29" s="129"/>
      <c r="G29" s="114"/>
      <c r="H29" s="219"/>
      <c r="I29" s="114"/>
      <c r="J29" s="114"/>
      <c r="K29" s="92"/>
      <c r="L29" s="95">
        <f t="shared" si="5"/>
        <v>0</v>
      </c>
      <c r="M29" s="878">
        <f t="shared" si="6"/>
        <v>0</v>
      </c>
      <c r="N29" s="878">
        <f t="shared" si="0"/>
        <v>0</v>
      </c>
      <c r="O29" s="893" t="str">
        <f t="shared" si="7"/>
        <v>-</v>
      </c>
      <c r="P29" s="878">
        <f t="shared" si="8"/>
        <v>0</v>
      </c>
      <c r="Q29" s="92"/>
      <c r="R29" s="878">
        <f t="shared" si="1"/>
        <v>0</v>
      </c>
      <c r="S29" s="878">
        <f t="shared" si="2"/>
        <v>0</v>
      </c>
      <c r="T29" s="878">
        <f t="shared" si="3"/>
        <v>0</v>
      </c>
      <c r="U29" s="878">
        <f t="shared" si="9"/>
        <v>0</v>
      </c>
      <c r="V29" s="878">
        <f t="shared" si="9"/>
        <v>0</v>
      </c>
      <c r="W29" s="92"/>
      <c r="X29" s="878">
        <f t="shared" si="10"/>
        <v>0</v>
      </c>
      <c r="Y29" s="878">
        <f t="shared" si="10"/>
        <v>0</v>
      </c>
      <c r="Z29" s="878">
        <f t="shared" si="10"/>
        <v>0</v>
      </c>
      <c r="AA29" s="878">
        <f t="shared" si="10"/>
        <v>0</v>
      </c>
      <c r="AB29" s="878">
        <f t="shared" si="10"/>
        <v>0</v>
      </c>
      <c r="AC29" s="162"/>
      <c r="AD29" s="70"/>
    </row>
    <row r="30" spans="2:30" x14ac:dyDescent="0.2">
      <c r="B30" s="70"/>
      <c r="C30" s="90"/>
      <c r="D30" s="97"/>
      <c r="E30" s="97"/>
      <c r="F30" s="129"/>
      <c r="G30" s="114"/>
      <c r="H30" s="219"/>
      <c r="I30" s="114"/>
      <c r="J30" s="114"/>
      <c r="K30" s="92"/>
      <c r="L30" s="95">
        <f t="shared" si="5"/>
        <v>0</v>
      </c>
      <c r="M30" s="878">
        <f t="shared" si="6"/>
        <v>0</v>
      </c>
      <c r="N30" s="878">
        <f t="shared" si="0"/>
        <v>0</v>
      </c>
      <c r="O30" s="893" t="str">
        <f t="shared" si="7"/>
        <v>-</v>
      </c>
      <c r="P30" s="878">
        <f t="shared" si="8"/>
        <v>0</v>
      </c>
      <c r="Q30" s="92"/>
      <c r="R30" s="878">
        <f t="shared" si="1"/>
        <v>0</v>
      </c>
      <c r="S30" s="878">
        <f t="shared" si="2"/>
        <v>0</v>
      </c>
      <c r="T30" s="878">
        <f t="shared" si="3"/>
        <v>0</v>
      </c>
      <c r="U30" s="878">
        <f t="shared" si="9"/>
        <v>0</v>
      </c>
      <c r="V30" s="878">
        <f t="shared" si="9"/>
        <v>0</v>
      </c>
      <c r="W30" s="92"/>
      <c r="X30" s="878">
        <f t="shared" si="10"/>
        <v>0</v>
      </c>
      <c r="Y30" s="878">
        <f t="shared" si="10"/>
        <v>0</v>
      </c>
      <c r="Z30" s="878">
        <f t="shared" si="10"/>
        <v>0</v>
      </c>
      <c r="AA30" s="878">
        <f t="shared" si="10"/>
        <v>0</v>
      </c>
      <c r="AB30" s="878">
        <f t="shared" si="10"/>
        <v>0</v>
      </c>
      <c r="AC30" s="162"/>
      <c r="AD30" s="70"/>
    </row>
    <row r="31" spans="2:30" x14ac:dyDescent="0.2">
      <c r="B31" s="70"/>
      <c r="C31" s="90"/>
      <c r="D31" s="97"/>
      <c r="E31" s="97"/>
      <c r="F31" s="129"/>
      <c r="G31" s="114"/>
      <c r="H31" s="219"/>
      <c r="I31" s="114"/>
      <c r="J31" s="114"/>
      <c r="K31" s="92"/>
      <c r="L31" s="95">
        <f t="shared" si="5"/>
        <v>0</v>
      </c>
      <c r="M31" s="878">
        <f t="shared" si="6"/>
        <v>0</v>
      </c>
      <c r="N31" s="878">
        <f t="shared" si="0"/>
        <v>0</v>
      </c>
      <c r="O31" s="893" t="str">
        <f t="shared" si="7"/>
        <v>-</v>
      </c>
      <c r="P31" s="878">
        <f t="shared" si="8"/>
        <v>0</v>
      </c>
      <c r="Q31" s="92"/>
      <c r="R31" s="878">
        <f t="shared" si="1"/>
        <v>0</v>
      </c>
      <c r="S31" s="878">
        <f t="shared" si="2"/>
        <v>0</v>
      </c>
      <c r="T31" s="878">
        <f t="shared" si="3"/>
        <v>0</v>
      </c>
      <c r="U31" s="878">
        <f t="shared" si="9"/>
        <v>0</v>
      </c>
      <c r="V31" s="878">
        <f t="shared" si="9"/>
        <v>0</v>
      </c>
      <c r="W31" s="92"/>
      <c r="X31" s="878">
        <f t="shared" si="10"/>
        <v>0</v>
      </c>
      <c r="Y31" s="878">
        <f t="shared" si="10"/>
        <v>0</v>
      </c>
      <c r="Z31" s="878">
        <f t="shared" si="10"/>
        <v>0</v>
      </c>
      <c r="AA31" s="878">
        <f t="shared" si="10"/>
        <v>0</v>
      </c>
      <c r="AB31" s="878">
        <f t="shared" si="10"/>
        <v>0</v>
      </c>
      <c r="AC31" s="162"/>
      <c r="AD31" s="70"/>
    </row>
    <row r="32" spans="2:30" x14ac:dyDescent="0.2">
      <c r="B32" s="70"/>
      <c r="C32" s="90"/>
      <c r="D32" s="97"/>
      <c r="E32" s="97"/>
      <c r="F32" s="129"/>
      <c r="G32" s="114"/>
      <c r="H32" s="219"/>
      <c r="I32" s="114"/>
      <c r="J32" s="114"/>
      <c r="K32" s="92"/>
      <c r="L32" s="95">
        <f t="shared" si="5"/>
        <v>0</v>
      </c>
      <c r="M32" s="878">
        <f t="shared" si="6"/>
        <v>0</v>
      </c>
      <c r="N32" s="878">
        <f t="shared" si="0"/>
        <v>0</v>
      </c>
      <c r="O32" s="893" t="str">
        <f t="shared" si="7"/>
        <v>-</v>
      </c>
      <c r="P32" s="878">
        <f t="shared" si="8"/>
        <v>0</v>
      </c>
      <c r="Q32" s="92"/>
      <c r="R32" s="878">
        <f t="shared" si="1"/>
        <v>0</v>
      </c>
      <c r="S32" s="878">
        <f t="shared" si="2"/>
        <v>0</v>
      </c>
      <c r="T32" s="878">
        <f t="shared" si="3"/>
        <v>0</v>
      </c>
      <c r="U32" s="878">
        <f t="shared" si="9"/>
        <v>0</v>
      </c>
      <c r="V32" s="878">
        <f t="shared" si="9"/>
        <v>0</v>
      </c>
      <c r="W32" s="92"/>
      <c r="X32" s="878">
        <f t="shared" si="10"/>
        <v>0</v>
      </c>
      <c r="Y32" s="878">
        <f t="shared" si="10"/>
        <v>0</v>
      </c>
      <c r="Z32" s="878">
        <f t="shared" si="10"/>
        <v>0</v>
      </c>
      <c r="AA32" s="878">
        <f t="shared" si="10"/>
        <v>0</v>
      </c>
      <c r="AB32" s="878">
        <f t="shared" si="10"/>
        <v>0</v>
      </c>
      <c r="AC32" s="162"/>
      <c r="AD32" s="70"/>
    </row>
    <row r="33" spans="2:30" x14ac:dyDescent="0.2">
      <c r="B33" s="70"/>
      <c r="C33" s="90"/>
      <c r="D33" s="97"/>
      <c r="E33" s="97"/>
      <c r="F33" s="129"/>
      <c r="G33" s="114"/>
      <c r="H33" s="219"/>
      <c r="I33" s="114"/>
      <c r="J33" s="114"/>
      <c r="K33" s="92"/>
      <c r="L33" s="95">
        <f t="shared" si="5"/>
        <v>0</v>
      </c>
      <c r="M33" s="878">
        <f t="shared" si="6"/>
        <v>0</v>
      </c>
      <c r="N33" s="878">
        <f t="shared" si="0"/>
        <v>0</v>
      </c>
      <c r="O33" s="893" t="str">
        <f t="shared" si="7"/>
        <v>-</v>
      </c>
      <c r="P33" s="878">
        <f t="shared" si="8"/>
        <v>0</v>
      </c>
      <c r="Q33" s="92"/>
      <c r="R33" s="878">
        <f t="shared" si="1"/>
        <v>0</v>
      </c>
      <c r="S33" s="878">
        <f t="shared" si="2"/>
        <v>0</v>
      </c>
      <c r="T33" s="878">
        <f t="shared" si="3"/>
        <v>0</v>
      </c>
      <c r="U33" s="878">
        <f t="shared" si="9"/>
        <v>0</v>
      </c>
      <c r="V33" s="878">
        <f t="shared" si="9"/>
        <v>0</v>
      </c>
      <c r="W33" s="92"/>
      <c r="X33" s="878">
        <f t="shared" si="10"/>
        <v>0</v>
      </c>
      <c r="Y33" s="878">
        <f t="shared" si="10"/>
        <v>0</v>
      </c>
      <c r="Z33" s="878">
        <f t="shared" si="10"/>
        <v>0</v>
      </c>
      <c r="AA33" s="878">
        <f t="shared" si="10"/>
        <v>0</v>
      </c>
      <c r="AB33" s="878">
        <f t="shared" si="10"/>
        <v>0</v>
      </c>
      <c r="AC33" s="162"/>
      <c r="AD33" s="70"/>
    </row>
    <row r="34" spans="2:30" x14ac:dyDescent="0.2">
      <c r="B34" s="70"/>
      <c r="C34" s="90"/>
      <c r="D34" s="97"/>
      <c r="E34" s="97"/>
      <c r="F34" s="129"/>
      <c r="G34" s="114"/>
      <c r="H34" s="219"/>
      <c r="I34" s="114"/>
      <c r="J34" s="114"/>
      <c r="K34" s="92"/>
      <c r="L34" s="95">
        <f t="shared" si="5"/>
        <v>0</v>
      </c>
      <c r="M34" s="878">
        <f t="shared" si="6"/>
        <v>0</v>
      </c>
      <c r="N34" s="878">
        <f t="shared" si="0"/>
        <v>0</v>
      </c>
      <c r="O34" s="893" t="str">
        <f t="shared" si="7"/>
        <v>-</v>
      </c>
      <c r="P34" s="878">
        <f t="shared" si="8"/>
        <v>0</v>
      </c>
      <c r="Q34" s="92"/>
      <c r="R34" s="878">
        <f t="shared" si="1"/>
        <v>0</v>
      </c>
      <c r="S34" s="878">
        <f t="shared" si="2"/>
        <v>0</v>
      </c>
      <c r="T34" s="878">
        <f t="shared" si="3"/>
        <v>0</v>
      </c>
      <c r="U34" s="878">
        <f t="shared" si="9"/>
        <v>0</v>
      </c>
      <c r="V34" s="878">
        <f t="shared" si="9"/>
        <v>0</v>
      </c>
      <c r="W34" s="92"/>
      <c r="X34" s="878">
        <f t="shared" ref="X34:AB43" si="11">IF(X$8=$I34,($G34*$H34),0)</f>
        <v>0</v>
      </c>
      <c r="Y34" s="878">
        <f t="shared" si="11"/>
        <v>0</v>
      </c>
      <c r="Z34" s="878">
        <f t="shared" si="11"/>
        <v>0</v>
      </c>
      <c r="AA34" s="878">
        <f t="shared" si="11"/>
        <v>0</v>
      </c>
      <c r="AB34" s="878">
        <f t="shared" si="11"/>
        <v>0</v>
      </c>
      <c r="AC34" s="162"/>
      <c r="AD34" s="70"/>
    </row>
    <row r="35" spans="2:30" x14ac:dyDescent="0.2">
      <c r="B35" s="70"/>
      <c r="C35" s="90"/>
      <c r="D35" s="97"/>
      <c r="E35" s="97"/>
      <c r="F35" s="129"/>
      <c r="G35" s="114"/>
      <c r="H35" s="219"/>
      <c r="I35" s="114"/>
      <c r="J35" s="114"/>
      <c r="K35" s="92"/>
      <c r="L35" s="95">
        <f t="shared" si="5"/>
        <v>0</v>
      </c>
      <c r="M35" s="878">
        <f t="shared" si="6"/>
        <v>0</v>
      </c>
      <c r="N35" s="878">
        <f t="shared" si="0"/>
        <v>0</v>
      </c>
      <c r="O35" s="893" t="str">
        <f t="shared" si="7"/>
        <v>-</v>
      </c>
      <c r="P35" s="878">
        <f t="shared" si="8"/>
        <v>0</v>
      </c>
      <c r="Q35" s="92"/>
      <c r="R35" s="878">
        <f t="shared" si="1"/>
        <v>0</v>
      </c>
      <c r="S35" s="878">
        <f t="shared" si="2"/>
        <v>0</v>
      </c>
      <c r="T35" s="878">
        <f t="shared" si="3"/>
        <v>0</v>
      </c>
      <c r="U35" s="878">
        <f t="shared" si="9"/>
        <v>0</v>
      </c>
      <c r="V35" s="878">
        <f t="shared" si="9"/>
        <v>0</v>
      </c>
      <c r="W35" s="92"/>
      <c r="X35" s="878">
        <f t="shared" si="11"/>
        <v>0</v>
      </c>
      <c r="Y35" s="878">
        <f t="shared" si="11"/>
        <v>0</v>
      </c>
      <c r="Z35" s="878">
        <f t="shared" si="11"/>
        <v>0</v>
      </c>
      <c r="AA35" s="878">
        <f t="shared" si="11"/>
        <v>0</v>
      </c>
      <c r="AB35" s="878">
        <f t="shared" si="11"/>
        <v>0</v>
      </c>
      <c r="AC35" s="162"/>
      <c r="AD35" s="70"/>
    </row>
    <row r="36" spans="2:30" x14ac:dyDescent="0.2">
      <c r="B36" s="70"/>
      <c r="C36" s="90"/>
      <c r="D36" s="97"/>
      <c r="E36" s="97"/>
      <c r="F36" s="129"/>
      <c r="G36" s="114"/>
      <c r="H36" s="219"/>
      <c r="I36" s="114"/>
      <c r="J36" s="114"/>
      <c r="K36" s="92"/>
      <c r="L36" s="95">
        <f t="shared" si="5"/>
        <v>0</v>
      </c>
      <c r="M36" s="878">
        <f t="shared" si="6"/>
        <v>0</v>
      </c>
      <c r="N36" s="878">
        <f t="shared" si="0"/>
        <v>0</v>
      </c>
      <c r="O36" s="893" t="str">
        <f t="shared" si="7"/>
        <v>-</v>
      </c>
      <c r="P36" s="878">
        <f t="shared" si="8"/>
        <v>0</v>
      </c>
      <c r="Q36" s="92"/>
      <c r="R36" s="878">
        <f t="shared" si="1"/>
        <v>0</v>
      </c>
      <c r="S36" s="878">
        <f t="shared" si="2"/>
        <v>0</v>
      </c>
      <c r="T36" s="878">
        <f t="shared" si="3"/>
        <v>0</v>
      </c>
      <c r="U36" s="878">
        <f t="shared" si="9"/>
        <v>0</v>
      </c>
      <c r="V36" s="878">
        <f t="shared" si="9"/>
        <v>0</v>
      </c>
      <c r="W36" s="92"/>
      <c r="X36" s="878">
        <f t="shared" si="11"/>
        <v>0</v>
      </c>
      <c r="Y36" s="878">
        <f t="shared" si="11"/>
        <v>0</v>
      </c>
      <c r="Z36" s="878">
        <f t="shared" si="11"/>
        <v>0</v>
      </c>
      <c r="AA36" s="878">
        <f t="shared" si="11"/>
        <v>0</v>
      </c>
      <c r="AB36" s="878">
        <f t="shared" si="11"/>
        <v>0</v>
      </c>
      <c r="AC36" s="162"/>
      <c r="AD36" s="70"/>
    </row>
    <row r="37" spans="2:30" x14ac:dyDescent="0.2">
      <c r="B37" s="70"/>
      <c r="C37" s="90"/>
      <c r="D37" s="97"/>
      <c r="E37" s="97"/>
      <c r="F37" s="129"/>
      <c r="G37" s="114"/>
      <c r="H37" s="219"/>
      <c r="I37" s="114"/>
      <c r="J37" s="114"/>
      <c r="K37" s="92"/>
      <c r="L37" s="95">
        <f t="shared" si="5"/>
        <v>0</v>
      </c>
      <c r="M37" s="878">
        <f t="shared" si="6"/>
        <v>0</v>
      </c>
      <c r="N37" s="878">
        <f t="shared" si="0"/>
        <v>0</v>
      </c>
      <c r="O37" s="893" t="str">
        <f t="shared" si="7"/>
        <v>-</v>
      </c>
      <c r="P37" s="878">
        <f t="shared" si="8"/>
        <v>0</v>
      </c>
      <c r="Q37" s="92"/>
      <c r="R37" s="878">
        <f t="shared" si="1"/>
        <v>0</v>
      </c>
      <c r="S37" s="878">
        <f t="shared" si="2"/>
        <v>0</v>
      </c>
      <c r="T37" s="878">
        <f t="shared" si="3"/>
        <v>0</v>
      </c>
      <c r="U37" s="878">
        <f t="shared" si="9"/>
        <v>0</v>
      </c>
      <c r="V37" s="878">
        <f t="shared" si="9"/>
        <v>0</v>
      </c>
      <c r="W37" s="92"/>
      <c r="X37" s="878">
        <f t="shared" si="11"/>
        <v>0</v>
      </c>
      <c r="Y37" s="878">
        <f t="shared" si="11"/>
        <v>0</v>
      </c>
      <c r="Z37" s="878">
        <f t="shared" si="11"/>
        <v>0</v>
      </c>
      <c r="AA37" s="878">
        <f t="shared" si="11"/>
        <v>0</v>
      </c>
      <c r="AB37" s="878">
        <f t="shared" si="11"/>
        <v>0</v>
      </c>
      <c r="AC37" s="162"/>
      <c r="AD37" s="70"/>
    </row>
    <row r="38" spans="2:30" x14ac:dyDescent="0.2">
      <c r="B38" s="70"/>
      <c r="C38" s="90"/>
      <c r="D38" s="97"/>
      <c r="E38" s="97"/>
      <c r="F38" s="129"/>
      <c r="G38" s="114"/>
      <c r="H38" s="219"/>
      <c r="I38" s="114"/>
      <c r="J38" s="114"/>
      <c r="K38" s="92"/>
      <c r="L38" s="95">
        <f t="shared" si="5"/>
        <v>0</v>
      </c>
      <c r="M38" s="878">
        <f t="shared" si="6"/>
        <v>0</v>
      </c>
      <c r="N38" s="878">
        <f t="shared" si="0"/>
        <v>0</v>
      </c>
      <c r="O38" s="893" t="str">
        <f t="shared" si="7"/>
        <v>-</v>
      </c>
      <c r="P38" s="878">
        <f t="shared" si="8"/>
        <v>0</v>
      </c>
      <c r="Q38" s="92"/>
      <c r="R38" s="878">
        <f t="shared" si="1"/>
        <v>0</v>
      </c>
      <c r="S38" s="878">
        <f t="shared" si="2"/>
        <v>0</v>
      </c>
      <c r="T38" s="878">
        <f t="shared" si="3"/>
        <v>0</v>
      </c>
      <c r="U38" s="878">
        <f t="shared" si="9"/>
        <v>0</v>
      </c>
      <c r="V38" s="878">
        <f t="shared" si="9"/>
        <v>0</v>
      </c>
      <c r="W38" s="92"/>
      <c r="X38" s="878">
        <f t="shared" si="11"/>
        <v>0</v>
      </c>
      <c r="Y38" s="878">
        <f t="shared" si="11"/>
        <v>0</v>
      </c>
      <c r="Z38" s="878">
        <f t="shared" si="11"/>
        <v>0</v>
      </c>
      <c r="AA38" s="878">
        <f t="shared" si="11"/>
        <v>0</v>
      </c>
      <c r="AB38" s="878">
        <f t="shared" si="11"/>
        <v>0</v>
      </c>
      <c r="AC38" s="162"/>
      <c r="AD38" s="70"/>
    </row>
    <row r="39" spans="2:30" x14ac:dyDescent="0.2">
      <c r="B39" s="70"/>
      <c r="C39" s="90"/>
      <c r="D39" s="97"/>
      <c r="E39" s="97"/>
      <c r="F39" s="129"/>
      <c r="G39" s="114"/>
      <c r="H39" s="219"/>
      <c r="I39" s="114"/>
      <c r="J39" s="114"/>
      <c r="K39" s="92"/>
      <c r="L39" s="95">
        <f t="shared" si="5"/>
        <v>0</v>
      </c>
      <c r="M39" s="878">
        <f t="shared" si="6"/>
        <v>0</v>
      </c>
      <c r="N39" s="878">
        <f t="shared" si="0"/>
        <v>0</v>
      </c>
      <c r="O39" s="893" t="str">
        <f t="shared" si="7"/>
        <v>-</v>
      </c>
      <c r="P39" s="878">
        <f t="shared" si="8"/>
        <v>0</v>
      </c>
      <c r="Q39" s="92"/>
      <c r="R39" s="878">
        <f t="shared" si="1"/>
        <v>0</v>
      </c>
      <c r="S39" s="878">
        <f t="shared" si="2"/>
        <v>0</v>
      </c>
      <c r="T39" s="878">
        <f t="shared" si="3"/>
        <v>0</v>
      </c>
      <c r="U39" s="878">
        <f t="shared" si="9"/>
        <v>0</v>
      </c>
      <c r="V39" s="878">
        <f t="shared" si="9"/>
        <v>0</v>
      </c>
      <c r="W39" s="92"/>
      <c r="X39" s="878">
        <f t="shared" si="11"/>
        <v>0</v>
      </c>
      <c r="Y39" s="878">
        <f t="shared" si="11"/>
        <v>0</v>
      </c>
      <c r="Z39" s="878">
        <f t="shared" si="11"/>
        <v>0</v>
      </c>
      <c r="AA39" s="878">
        <f t="shared" si="11"/>
        <v>0</v>
      </c>
      <c r="AB39" s="878">
        <f t="shared" si="11"/>
        <v>0</v>
      </c>
      <c r="AC39" s="162"/>
      <c r="AD39" s="70"/>
    </row>
    <row r="40" spans="2:30" x14ac:dyDescent="0.2">
      <c r="B40" s="70"/>
      <c r="C40" s="90"/>
      <c r="D40" s="97"/>
      <c r="E40" s="97"/>
      <c r="F40" s="129"/>
      <c r="G40" s="114"/>
      <c r="H40" s="219"/>
      <c r="I40" s="114"/>
      <c r="J40" s="114"/>
      <c r="K40" s="92"/>
      <c r="L40" s="95">
        <f t="shared" si="5"/>
        <v>0</v>
      </c>
      <c r="M40" s="878">
        <f t="shared" si="6"/>
        <v>0</v>
      </c>
      <c r="N40" s="878">
        <f t="shared" si="0"/>
        <v>0</v>
      </c>
      <c r="O40" s="893" t="str">
        <f t="shared" si="7"/>
        <v>-</v>
      </c>
      <c r="P40" s="878">
        <f t="shared" si="8"/>
        <v>0</v>
      </c>
      <c r="Q40" s="92"/>
      <c r="R40" s="878">
        <f t="shared" si="1"/>
        <v>0</v>
      </c>
      <c r="S40" s="878">
        <f t="shared" si="2"/>
        <v>0</v>
      </c>
      <c r="T40" s="878">
        <f t="shared" si="3"/>
        <v>0</v>
      </c>
      <c r="U40" s="878">
        <f t="shared" si="9"/>
        <v>0</v>
      </c>
      <c r="V40" s="878">
        <f t="shared" si="9"/>
        <v>0</v>
      </c>
      <c r="W40" s="92"/>
      <c r="X40" s="878">
        <f t="shared" si="11"/>
        <v>0</v>
      </c>
      <c r="Y40" s="878">
        <f t="shared" si="11"/>
        <v>0</v>
      </c>
      <c r="Z40" s="878">
        <f t="shared" si="11"/>
        <v>0</v>
      </c>
      <c r="AA40" s="878">
        <f t="shared" si="11"/>
        <v>0</v>
      </c>
      <c r="AB40" s="878">
        <f t="shared" si="11"/>
        <v>0</v>
      </c>
      <c r="AC40" s="162"/>
      <c r="AD40" s="70"/>
    </row>
    <row r="41" spans="2:30" x14ac:dyDescent="0.2">
      <c r="B41" s="70"/>
      <c r="C41" s="90"/>
      <c r="D41" s="97"/>
      <c r="E41" s="97"/>
      <c r="F41" s="129"/>
      <c r="G41" s="114"/>
      <c r="H41" s="219"/>
      <c r="I41" s="114"/>
      <c r="J41" s="114"/>
      <c r="K41" s="92"/>
      <c r="L41" s="95">
        <f t="shared" si="5"/>
        <v>0</v>
      </c>
      <c r="M41" s="878">
        <f t="shared" si="6"/>
        <v>0</v>
      </c>
      <c r="N41" s="878">
        <f t="shared" si="0"/>
        <v>0</v>
      </c>
      <c r="O41" s="893" t="str">
        <f t="shared" si="7"/>
        <v>-</v>
      </c>
      <c r="P41" s="878">
        <f t="shared" si="8"/>
        <v>0</v>
      </c>
      <c r="Q41" s="92"/>
      <c r="R41" s="878">
        <f t="shared" si="1"/>
        <v>0</v>
      </c>
      <c r="S41" s="878">
        <f t="shared" si="2"/>
        <v>0</v>
      </c>
      <c r="T41" s="878">
        <f t="shared" si="3"/>
        <v>0</v>
      </c>
      <c r="U41" s="878">
        <f t="shared" si="9"/>
        <v>0</v>
      </c>
      <c r="V41" s="878">
        <f t="shared" si="9"/>
        <v>0</v>
      </c>
      <c r="W41" s="92"/>
      <c r="X41" s="878">
        <f t="shared" si="11"/>
        <v>0</v>
      </c>
      <c r="Y41" s="878">
        <f t="shared" si="11"/>
        <v>0</v>
      </c>
      <c r="Z41" s="878">
        <f t="shared" si="11"/>
        <v>0</v>
      </c>
      <c r="AA41" s="878">
        <f t="shared" si="11"/>
        <v>0</v>
      </c>
      <c r="AB41" s="878">
        <f t="shared" si="11"/>
        <v>0</v>
      </c>
      <c r="AC41" s="162"/>
      <c r="AD41" s="70"/>
    </row>
    <row r="42" spans="2:30" x14ac:dyDescent="0.2">
      <c r="B42" s="70"/>
      <c r="C42" s="90"/>
      <c r="D42" s="97"/>
      <c r="E42" s="97"/>
      <c r="F42" s="129"/>
      <c r="G42" s="114"/>
      <c r="H42" s="219"/>
      <c r="I42" s="114"/>
      <c r="J42" s="114"/>
      <c r="K42" s="92"/>
      <c r="L42" s="95">
        <f t="shared" si="5"/>
        <v>0</v>
      </c>
      <c r="M42" s="878">
        <f t="shared" si="6"/>
        <v>0</v>
      </c>
      <c r="N42" s="878">
        <f t="shared" si="0"/>
        <v>0</v>
      </c>
      <c r="O42" s="893" t="str">
        <f t="shared" si="7"/>
        <v>-</v>
      </c>
      <c r="P42" s="878">
        <f t="shared" si="8"/>
        <v>0</v>
      </c>
      <c r="Q42" s="92"/>
      <c r="R42" s="878">
        <f t="shared" si="1"/>
        <v>0</v>
      </c>
      <c r="S42" s="878">
        <f t="shared" si="2"/>
        <v>0</v>
      </c>
      <c r="T42" s="878">
        <f t="shared" si="3"/>
        <v>0</v>
      </c>
      <c r="U42" s="878">
        <f t="shared" si="9"/>
        <v>0</v>
      </c>
      <c r="V42" s="878">
        <f t="shared" si="9"/>
        <v>0</v>
      </c>
      <c r="W42" s="92"/>
      <c r="X42" s="878">
        <f t="shared" si="11"/>
        <v>0</v>
      </c>
      <c r="Y42" s="878">
        <f t="shared" si="11"/>
        <v>0</v>
      </c>
      <c r="Z42" s="878">
        <f t="shared" si="11"/>
        <v>0</v>
      </c>
      <c r="AA42" s="878">
        <f t="shared" si="11"/>
        <v>0</v>
      </c>
      <c r="AB42" s="878">
        <f t="shared" si="11"/>
        <v>0</v>
      </c>
      <c r="AC42" s="162"/>
      <c r="AD42" s="70"/>
    </row>
    <row r="43" spans="2:30" x14ac:dyDescent="0.2">
      <c r="B43" s="70"/>
      <c r="C43" s="90"/>
      <c r="D43" s="97"/>
      <c r="E43" s="97"/>
      <c r="F43" s="129"/>
      <c r="G43" s="114"/>
      <c r="H43" s="219"/>
      <c r="I43" s="114"/>
      <c r="J43" s="114"/>
      <c r="K43" s="92"/>
      <c r="L43" s="95">
        <f t="shared" si="5"/>
        <v>0</v>
      </c>
      <c r="M43" s="878">
        <f t="shared" si="6"/>
        <v>0</v>
      </c>
      <c r="N43" s="878">
        <f t="shared" si="0"/>
        <v>0</v>
      </c>
      <c r="O43" s="893" t="str">
        <f t="shared" si="7"/>
        <v>-</v>
      </c>
      <c r="P43" s="878">
        <f t="shared" si="8"/>
        <v>0</v>
      </c>
      <c r="Q43" s="92"/>
      <c r="R43" s="878">
        <f t="shared" si="1"/>
        <v>0</v>
      </c>
      <c r="S43" s="878">
        <f t="shared" si="2"/>
        <v>0</v>
      </c>
      <c r="T43" s="878">
        <f t="shared" si="3"/>
        <v>0</v>
      </c>
      <c r="U43" s="878">
        <f t="shared" si="9"/>
        <v>0</v>
      </c>
      <c r="V43" s="878">
        <f t="shared" si="9"/>
        <v>0</v>
      </c>
      <c r="W43" s="92"/>
      <c r="X43" s="878">
        <f t="shared" si="11"/>
        <v>0</v>
      </c>
      <c r="Y43" s="878">
        <f t="shared" si="11"/>
        <v>0</v>
      </c>
      <c r="Z43" s="878">
        <f t="shared" si="11"/>
        <v>0</v>
      </c>
      <c r="AA43" s="878">
        <f t="shared" si="11"/>
        <v>0</v>
      </c>
      <c r="AB43" s="878">
        <f t="shared" si="11"/>
        <v>0</v>
      </c>
      <c r="AC43" s="162"/>
      <c r="AD43" s="70"/>
    </row>
    <row r="44" spans="2:30" x14ac:dyDescent="0.2">
      <c r="B44" s="70"/>
      <c r="C44" s="90"/>
      <c r="D44" s="97"/>
      <c r="E44" s="97"/>
      <c r="F44" s="129"/>
      <c r="G44" s="114"/>
      <c r="H44" s="219"/>
      <c r="I44" s="114"/>
      <c r="J44" s="114"/>
      <c r="K44" s="92"/>
      <c r="L44" s="95">
        <f t="shared" si="5"/>
        <v>0</v>
      </c>
      <c r="M44" s="878">
        <f t="shared" si="6"/>
        <v>0</v>
      </c>
      <c r="N44" s="878">
        <f t="shared" si="0"/>
        <v>0</v>
      </c>
      <c r="O44" s="893" t="str">
        <f t="shared" si="7"/>
        <v>-</v>
      </c>
      <c r="P44" s="878">
        <f t="shared" si="8"/>
        <v>0</v>
      </c>
      <c r="Q44" s="92"/>
      <c r="R44" s="878">
        <f t="shared" si="1"/>
        <v>0</v>
      </c>
      <c r="S44" s="878">
        <f t="shared" si="2"/>
        <v>0</v>
      </c>
      <c r="T44" s="878">
        <f t="shared" si="3"/>
        <v>0</v>
      </c>
      <c r="U44" s="878">
        <f t="shared" si="9"/>
        <v>0</v>
      </c>
      <c r="V44" s="878">
        <f t="shared" si="9"/>
        <v>0</v>
      </c>
      <c r="W44" s="92"/>
      <c r="X44" s="878">
        <f t="shared" ref="X44:AB53" si="12">IF(X$8=$I44,($G44*$H44),0)</f>
        <v>0</v>
      </c>
      <c r="Y44" s="878">
        <f t="shared" si="12"/>
        <v>0</v>
      </c>
      <c r="Z44" s="878">
        <f t="shared" si="12"/>
        <v>0</v>
      </c>
      <c r="AA44" s="878">
        <f t="shared" si="12"/>
        <v>0</v>
      </c>
      <c r="AB44" s="878">
        <f t="shared" si="12"/>
        <v>0</v>
      </c>
      <c r="AC44" s="162"/>
      <c r="AD44" s="70"/>
    </row>
    <row r="45" spans="2:30" x14ac:dyDescent="0.2">
      <c r="B45" s="70"/>
      <c r="C45" s="90"/>
      <c r="D45" s="97"/>
      <c r="E45" s="97"/>
      <c r="F45" s="129"/>
      <c r="G45" s="114"/>
      <c r="H45" s="219"/>
      <c r="I45" s="114"/>
      <c r="J45" s="114"/>
      <c r="K45" s="92"/>
      <c r="L45" s="95">
        <f t="shared" si="5"/>
        <v>0</v>
      </c>
      <c r="M45" s="878">
        <f t="shared" si="6"/>
        <v>0</v>
      </c>
      <c r="N45" s="878">
        <f t="shared" si="0"/>
        <v>0</v>
      </c>
      <c r="O45" s="893" t="str">
        <f t="shared" si="7"/>
        <v>-</v>
      </c>
      <c r="P45" s="878">
        <f t="shared" si="8"/>
        <v>0</v>
      </c>
      <c r="Q45" s="92"/>
      <c r="R45" s="878">
        <f t="shared" si="1"/>
        <v>0</v>
      </c>
      <c r="S45" s="878">
        <f t="shared" si="2"/>
        <v>0</v>
      </c>
      <c r="T45" s="878">
        <f t="shared" si="3"/>
        <v>0</v>
      </c>
      <c r="U45" s="878">
        <f t="shared" si="9"/>
        <v>0</v>
      </c>
      <c r="V45" s="878">
        <f t="shared" si="9"/>
        <v>0</v>
      </c>
      <c r="W45" s="92"/>
      <c r="X45" s="878">
        <f t="shared" si="12"/>
        <v>0</v>
      </c>
      <c r="Y45" s="878">
        <f t="shared" si="12"/>
        <v>0</v>
      </c>
      <c r="Z45" s="878">
        <f t="shared" si="12"/>
        <v>0</v>
      </c>
      <c r="AA45" s="878">
        <f t="shared" si="12"/>
        <v>0</v>
      </c>
      <c r="AB45" s="878">
        <f t="shared" si="12"/>
        <v>0</v>
      </c>
      <c r="AC45" s="162"/>
      <c r="AD45" s="70"/>
    </row>
    <row r="46" spans="2:30" x14ac:dyDescent="0.2">
      <c r="B46" s="70"/>
      <c r="C46" s="90"/>
      <c r="D46" s="97"/>
      <c r="E46" s="97"/>
      <c r="F46" s="129"/>
      <c r="G46" s="114"/>
      <c r="H46" s="219"/>
      <c r="I46" s="114"/>
      <c r="J46" s="114"/>
      <c r="K46" s="92"/>
      <c r="L46" s="95">
        <f t="shared" si="5"/>
        <v>0</v>
      </c>
      <c r="M46" s="878">
        <f t="shared" si="6"/>
        <v>0</v>
      </c>
      <c r="N46" s="878">
        <f t="shared" si="0"/>
        <v>0</v>
      </c>
      <c r="O46" s="893" t="str">
        <f t="shared" si="7"/>
        <v>-</v>
      </c>
      <c r="P46" s="878">
        <f t="shared" ref="P46:P77" si="13">IF(J46="geen",IF(I46&lt;$R$8,G46*H46,0),IF(I46&gt;=$R$8,0,IF((H46*G46-(R$8-I46)*N46)&lt;0,0,H46*G46-(R$8-I46)*N46)))</f>
        <v>0</v>
      </c>
      <c r="Q46" s="92"/>
      <c r="R46" s="878">
        <f t="shared" si="1"/>
        <v>0</v>
      </c>
      <c r="S46" s="878">
        <f t="shared" si="2"/>
        <v>0</v>
      </c>
      <c r="T46" s="878">
        <f t="shared" si="3"/>
        <v>0</v>
      </c>
      <c r="U46" s="878">
        <f t="shared" si="9"/>
        <v>0</v>
      </c>
      <c r="V46" s="878">
        <f t="shared" si="9"/>
        <v>0</v>
      </c>
      <c r="W46" s="92"/>
      <c r="X46" s="878">
        <f t="shared" si="12"/>
        <v>0</v>
      </c>
      <c r="Y46" s="878">
        <f t="shared" si="12"/>
        <v>0</v>
      </c>
      <c r="Z46" s="878">
        <f t="shared" si="12"/>
        <v>0</v>
      </c>
      <c r="AA46" s="878">
        <f t="shared" si="12"/>
        <v>0</v>
      </c>
      <c r="AB46" s="878">
        <f t="shared" si="12"/>
        <v>0</v>
      </c>
      <c r="AC46" s="162"/>
      <c r="AD46" s="70"/>
    </row>
    <row r="47" spans="2:30" x14ac:dyDescent="0.2">
      <c r="B47" s="70"/>
      <c r="C47" s="90"/>
      <c r="D47" s="97"/>
      <c r="E47" s="97"/>
      <c r="F47" s="129"/>
      <c r="G47" s="114"/>
      <c r="H47" s="219"/>
      <c r="I47" s="114"/>
      <c r="J47" s="114"/>
      <c r="K47" s="92"/>
      <c r="L47" s="95">
        <f t="shared" si="5"/>
        <v>0</v>
      </c>
      <c r="M47" s="878">
        <f t="shared" si="6"/>
        <v>0</v>
      </c>
      <c r="N47" s="878">
        <f t="shared" si="0"/>
        <v>0</v>
      </c>
      <c r="O47" s="893" t="str">
        <f t="shared" si="7"/>
        <v>-</v>
      </c>
      <c r="P47" s="878">
        <f t="shared" si="13"/>
        <v>0</v>
      </c>
      <c r="Q47" s="92"/>
      <c r="R47" s="878">
        <f t="shared" si="1"/>
        <v>0</v>
      </c>
      <c r="S47" s="878">
        <f t="shared" si="2"/>
        <v>0</v>
      </c>
      <c r="T47" s="878">
        <f t="shared" si="3"/>
        <v>0</v>
      </c>
      <c r="U47" s="878">
        <f t="shared" si="9"/>
        <v>0</v>
      </c>
      <c r="V47" s="878">
        <f t="shared" si="9"/>
        <v>0</v>
      </c>
      <c r="W47" s="92"/>
      <c r="X47" s="878">
        <f t="shared" si="12"/>
        <v>0</v>
      </c>
      <c r="Y47" s="878">
        <f t="shared" si="12"/>
        <v>0</v>
      </c>
      <c r="Z47" s="878">
        <f t="shared" si="12"/>
        <v>0</v>
      </c>
      <c r="AA47" s="878">
        <f t="shared" si="12"/>
        <v>0</v>
      </c>
      <c r="AB47" s="878">
        <f t="shared" si="12"/>
        <v>0</v>
      </c>
      <c r="AC47" s="162"/>
      <c r="AD47" s="70"/>
    </row>
    <row r="48" spans="2:30" x14ac:dyDescent="0.2">
      <c r="B48" s="70"/>
      <c r="C48" s="90"/>
      <c r="D48" s="97"/>
      <c r="E48" s="97"/>
      <c r="F48" s="129"/>
      <c r="G48" s="114"/>
      <c r="H48" s="219"/>
      <c r="I48" s="114"/>
      <c r="J48" s="114"/>
      <c r="K48" s="92"/>
      <c r="L48" s="95">
        <f t="shared" si="5"/>
        <v>0</v>
      </c>
      <c r="M48" s="878">
        <f t="shared" si="6"/>
        <v>0</v>
      </c>
      <c r="N48" s="878">
        <f t="shared" si="0"/>
        <v>0</v>
      </c>
      <c r="O48" s="893" t="str">
        <f t="shared" si="7"/>
        <v>-</v>
      </c>
      <c r="P48" s="878">
        <f t="shared" si="13"/>
        <v>0</v>
      </c>
      <c r="Q48" s="92"/>
      <c r="R48" s="878">
        <f t="shared" si="1"/>
        <v>0</v>
      </c>
      <c r="S48" s="878">
        <f t="shared" si="2"/>
        <v>0</v>
      </c>
      <c r="T48" s="878">
        <f t="shared" si="3"/>
        <v>0</v>
      </c>
      <c r="U48" s="878">
        <f t="shared" si="9"/>
        <v>0</v>
      </c>
      <c r="V48" s="878">
        <f t="shared" si="9"/>
        <v>0</v>
      </c>
      <c r="W48" s="92"/>
      <c r="X48" s="878">
        <f t="shared" si="12"/>
        <v>0</v>
      </c>
      <c r="Y48" s="878">
        <f t="shared" si="12"/>
        <v>0</v>
      </c>
      <c r="Z48" s="878">
        <f t="shared" si="12"/>
        <v>0</v>
      </c>
      <c r="AA48" s="878">
        <f t="shared" si="12"/>
        <v>0</v>
      </c>
      <c r="AB48" s="878">
        <f t="shared" si="12"/>
        <v>0</v>
      </c>
      <c r="AC48" s="162"/>
      <c r="AD48" s="70"/>
    </row>
    <row r="49" spans="2:30" x14ac:dyDescent="0.2">
      <c r="B49" s="70"/>
      <c r="C49" s="90"/>
      <c r="D49" s="97"/>
      <c r="E49" s="97"/>
      <c r="F49" s="129"/>
      <c r="G49" s="114"/>
      <c r="H49" s="219"/>
      <c r="I49" s="114"/>
      <c r="J49" s="114"/>
      <c r="K49" s="92"/>
      <c r="L49" s="95">
        <f t="shared" si="5"/>
        <v>0</v>
      </c>
      <c r="M49" s="878">
        <f t="shared" si="6"/>
        <v>0</v>
      </c>
      <c r="N49" s="878">
        <f t="shared" si="0"/>
        <v>0</v>
      </c>
      <c r="O49" s="893" t="str">
        <f t="shared" si="7"/>
        <v>-</v>
      </c>
      <c r="P49" s="878">
        <f t="shared" si="13"/>
        <v>0</v>
      </c>
      <c r="Q49" s="92"/>
      <c r="R49" s="878">
        <f t="shared" si="1"/>
        <v>0</v>
      </c>
      <c r="S49" s="878">
        <f t="shared" si="2"/>
        <v>0</v>
      </c>
      <c r="T49" s="878">
        <f t="shared" si="3"/>
        <v>0</v>
      </c>
      <c r="U49" s="878">
        <f t="shared" si="9"/>
        <v>0</v>
      </c>
      <c r="V49" s="878">
        <f t="shared" si="9"/>
        <v>0</v>
      </c>
      <c r="W49" s="92"/>
      <c r="X49" s="878">
        <f t="shared" si="12"/>
        <v>0</v>
      </c>
      <c r="Y49" s="878">
        <f t="shared" si="12"/>
        <v>0</v>
      </c>
      <c r="Z49" s="878">
        <f t="shared" si="12"/>
        <v>0</v>
      </c>
      <c r="AA49" s="878">
        <f t="shared" si="12"/>
        <v>0</v>
      </c>
      <c r="AB49" s="878">
        <f t="shared" si="12"/>
        <v>0</v>
      </c>
      <c r="AC49" s="162"/>
      <c r="AD49" s="70"/>
    </row>
    <row r="50" spans="2:30" x14ac:dyDescent="0.2">
      <c r="B50" s="70"/>
      <c r="C50" s="90"/>
      <c r="D50" s="97"/>
      <c r="E50" s="97"/>
      <c r="F50" s="129"/>
      <c r="G50" s="114"/>
      <c r="H50" s="219"/>
      <c r="I50" s="114"/>
      <c r="J50" s="114"/>
      <c r="K50" s="92"/>
      <c r="L50" s="95">
        <f t="shared" si="5"/>
        <v>0</v>
      </c>
      <c r="M50" s="878">
        <f t="shared" si="6"/>
        <v>0</v>
      </c>
      <c r="N50" s="878">
        <f t="shared" si="0"/>
        <v>0</v>
      </c>
      <c r="O50" s="893" t="str">
        <f t="shared" si="7"/>
        <v>-</v>
      </c>
      <c r="P50" s="878">
        <f t="shared" si="13"/>
        <v>0</v>
      </c>
      <c r="Q50" s="92"/>
      <c r="R50" s="878">
        <f t="shared" si="1"/>
        <v>0</v>
      </c>
      <c r="S50" s="878">
        <f t="shared" si="2"/>
        <v>0</v>
      </c>
      <c r="T50" s="878">
        <f t="shared" si="3"/>
        <v>0</v>
      </c>
      <c r="U50" s="878">
        <f t="shared" si="9"/>
        <v>0</v>
      </c>
      <c r="V50" s="878">
        <f t="shared" si="9"/>
        <v>0</v>
      </c>
      <c r="W50" s="92"/>
      <c r="X50" s="878">
        <f t="shared" si="12"/>
        <v>0</v>
      </c>
      <c r="Y50" s="878">
        <f t="shared" si="12"/>
        <v>0</v>
      </c>
      <c r="Z50" s="878">
        <f t="shared" si="12"/>
        <v>0</v>
      </c>
      <c r="AA50" s="878">
        <f t="shared" si="12"/>
        <v>0</v>
      </c>
      <c r="AB50" s="878">
        <f t="shared" si="12"/>
        <v>0</v>
      </c>
      <c r="AC50" s="162"/>
      <c r="AD50" s="70"/>
    </row>
    <row r="51" spans="2:30" x14ac:dyDescent="0.2">
      <c r="B51" s="70"/>
      <c r="C51" s="90"/>
      <c r="D51" s="97"/>
      <c r="E51" s="97"/>
      <c r="F51" s="129"/>
      <c r="G51" s="114"/>
      <c r="H51" s="219"/>
      <c r="I51" s="114"/>
      <c r="J51" s="114"/>
      <c r="K51" s="92"/>
      <c r="L51" s="95">
        <f t="shared" si="5"/>
        <v>0</v>
      </c>
      <c r="M51" s="878">
        <f t="shared" si="6"/>
        <v>0</v>
      </c>
      <c r="N51" s="878">
        <f t="shared" si="0"/>
        <v>0</v>
      </c>
      <c r="O51" s="893" t="str">
        <f t="shared" si="7"/>
        <v>-</v>
      </c>
      <c r="P51" s="878">
        <f t="shared" si="13"/>
        <v>0</v>
      </c>
      <c r="Q51" s="92"/>
      <c r="R51" s="878">
        <f t="shared" si="1"/>
        <v>0</v>
      </c>
      <c r="S51" s="878">
        <f t="shared" si="2"/>
        <v>0</v>
      </c>
      <c r="T51" s="878">
        <f t="shared" si="3"/>
        <v>0</v>
      </c>
      <c r="U51" s="878">
        <f t="shared" si="9"/>
        <v>0</v>
      </c>
      <c r="V51" s="878">
        <f t="shared" si="9"/>
        <v>0</v>
      </c>
      <c r="W51" s="92"/>
      <c r="X51" s="878">
        <f t="shared" si="12"/>
        <v>0</v>
      </c>
      <c r="Y51" s="878">
        <f t="shared" si="12"/>
        <v>0</v>
      </c>
      <c r="Z51" s="878">
        <f t="shared" si="12"/>
        <v>0</v>
      </c>
      <c r="AA51" s="878">
        <f t="shared" si="12"/>
        <v>0</v>
      </c>
      <c r="AB51" s="878">
        <f t="shared" si="12"/>
        <v>0</v>
      </c>
      <c r="AC51" s="162"/>
      <c r="AD51" s="70"/>
    </row>
    <row r="52" spans="2:30" x14ac:dyDescent="0.2">
      <c r="B52" s="70"/>
      <c r="C52" s="90"/>
      <c r="D52" s="97"/>
      <c r="E52" s="97"/>
      <c r="F52" s="129"/>
      <c r="G52" s="114"/>
      <c r="H52" s="219"/>
      <c r="I52" s="114"/>
      <c r="J52" s="114"/>
      <c r="K52" s="92"/>
      <c r="L52" s="95">
        <f t="shared" si="5"/>
        <v>0</v>
      </c>
      <c r="M52" s="878">
        <f t="shared" si="6"/>
        <v>0</v>
      </c>
      <c r="N52" s="878">
        <f t="shared" si="0"/>
        <v>0</v>
      </c>
      <c r="O52" s="893" t="str">
        <f t="shared" si="7"/>
        <v>-</v>
      </c>
      <c r="P52" s="878">
        <f t="shared" si="13"/>
        <v>0</v>
      </c>
      <c r="Q52" s="92"/>
      <c r="R52" s="878">
        <f t="shared" si="1"/>
        <v>0</v>
      </c>
      <c r="S52" s="878">
        <f t="shared" si="2"/>
        <v>0</v>
      </c>
      <c r="T52" s="878">
        <f t="shared" si="3"/>
        <v>0</v>
      </c>
      <c r="U52" s="878">
        <f t="shared" si="9"/>
        <v>0</v>
      </c>
      <c r="V52" s="878">
        <f t="shared" si="9"/>
        <v>0</v>
      </c>
      <c r="W52" s="92"/>
      <c r="X52" s="878">
        <f t="shared" si="12"/>
        <v>0</v>
      </c>
      <c r="Y52" s="878">
        <f t="shared" si="12"/>
        <v>0</v>
      </c>
      <c r="Z52" s="878">
        <f t="shared" si="12"/>
        <v>0</v>
      </c>
      <c r="AA52" s="878">
        <f t="shared" si="12"/>
        <v>0</v>
      </c>
      <c r="AB52" s="878">
        <f t="shared" si="12"/>
        <v>0</v>
      </c>
      <c r="AC52" s="162"/>
      <c r="AD52" s="70"/>
    </row>
    <row r="53" spans="2:30" x14ac:dyDescent="0.2">
      <c r="B53" s="70"/>
      <c r="C53" s="90"/>
      <c r="D53" s="97"/>
      <c r="E53" s="97"/>
      <c r="F53" s="129"/>
      <c r="G53" s="114"/>
      <c r="H53" s="219"/>
      <c r="I53" s="114"/>
      <c r="J53" s="114"/>
      <c r="K53" s="92"/>
      <c r="L53" s="95">
        <f t="shared" si="5"/>
        <v>0</v>
      </c>
      <c r="M53" s="878">
        <f t="shared" si="6"/>
        <v>0</v>
      </c>
      <c r="N53" s="878">
        <f t="shared" si="0"/>
        <v>0</v>
      </c>
      <c r="O53" s="893" t="str">
        <f t="shared" si="7"/>
        <v>-</v>
      </c>
      <c r="P53" s="878">
        <f t="shared" si="13"/>
        <v>0</v>
      </c>
      <c r="Q53" s="92"/>
      <c r="R53" s="878">
        <f t="shared" si="1"/>
        <v>0</v>
      </c>
      <c r="S53" s="878">
        <f t="shared" si="2"/>
        <v>0</v>
      </c>
      <c r="T53" s="878">
        <f t="shared" si="3"/>
        <v>0</v>
      </c>
      <c r="U53" s="878">
        <f t="shared" si="9"/>
        <v>0</v>
      </c>
      <c r="V53" s="878">
        <f t="shared" si="9"/>
        <v>0</v>
      </c>
      <c r="W53" s="92"/>
      <c r="X53" s="878">
        <f t="shared" si="12"/>
        <v>0</v>
      </c>
      <c r="Y53" s="878">
        <f t="shared" si="12"/>
        <v>0</v>
      </c>
      <c r="Z53" s="878">
        <f t="shared" si="12"/>
        <v>0</v>
      </c>
      <c r="AA53" s="878">
        <f t="shared" si="12"/>
        <v>0</v>
      </c>
      <c r="AB53" s="878">
        <f t="shared" si="12"/>
        <v>0</v>
      </c>
      <c r="AC53" s="162"/>
      <c r="AD53" s="70"/>
    </row>
    <row r="54" spans="2:30" x14ac:dyDescent="0.2">
      <c r="B54" s="70"/>
      <c r="C54" s="90"/>
      <c r="D54" s="97"/>
      <c r="E54" s="97"/>
      <c r="F54" s="129"/>
      <c r="G54" s="114"/>
      <c r="H54" s="219"/>
      <c r="I54" s="114"/>
      <c r="J54" s="114"/>
      <c r="K54" s="92"/>
      <c r="L54" s="95">
        <f t="shared" si="5"/>
        <v>0</v>
      </c>
      <c r="M54" s="878">
        <f t="shared" si="6"/>
        <v>0</v>
      </c>
      <c r="N54" s="878">
        <f t="shared" si="0"/>
        <v>0</v>
      </c>
      <c r="O54" s="893" t="str">
        <f t="shared" si="7"/>
        <v>-</v>
      </c>
      <c r="P54" s="878">
        <f t="shared" si="13"/>
        <v>0</v>
      </c>
      <c r="Q54" s="92"/>
      <c r="R54" s="878">
        <f t="shared" si="1"/>
        <v>0</v>
      </c>
      <c r="S54" s="878">
        <f t="shared" si="2"/>
        <v>0</v>
      </c>
      <c r="T54" s="878">
        <f t="shared" si="3"/>
        <v>0</v>
      </c>
      <c r="U54" s="878">
        <f t="shared" si="9"/>
        <v>0</v>
      </c>
      <c r="V54" s="878">
        <f t="shared" si="9"/>
        <v>0</v>
      </c>
      <c r="W54" s="92"/>
      <c r="X54" s="878">
        <f t="shared" ref="X54:AB66" si="14">IF(X$8=$I54,($G54*$H54),0)</f>
        <v>0</v>
      </c>
      <c r="Y54" s="878">
        <f t="shared" si="14"/>
        <v>0</v>
      </c>
      <c r="Z54" s="878">
        <f t="shared" si="14"/>
        <v>0</v>
      </c>
      <c r="AA54" s="878">
        <f t="shared" si="14"/>
        <v>0</v>
      </c>
      <c r="AB54" s="878">
        <f t="shared" si="14"/>
        <v>0</v>
      </c>
      <c r="AC54" s="162"/>
      <c r="AD54" s="70"/>
    </row>
    <row r="55" spans="2:30" x14ac:dyDescent="0.2">
      <c r="B55" s="70"/>
      <c r="C55" s="90"/>
      <c r="D55" s="97"/>
      <c r="E55" s="97"/>
      <c r="F55" s="129"/>
      <c r="G55" s="114"/>
      <c r="H55" s="219"/>
      <c r="I55" s="114"/>
      <c r="J55" s="114"/>
      <c r="K55" s="92"/>
      <c r="L55" s="95">
        <f t="shared" si="5"/>
        <v>0</v>
      </c>
      <c r="M55" s="878">
        <f t="shared" si="6"/>
        <v>0</v>
      </c>
      <c r="N55" s="878">
        <f t="shared" si="0"/>
        <v>0</v>
      </c>
      <c r="O55" s="893" t="str">
        <f t="shared" si="7"/>
        <v>-</v>
      </c>
      <c r="P55" s="878">
        <f t="shared" si="13"/>
        <v>0</v>
      </c>
      <c r="Q55" s="92"/>
      <c r="R55" s="878">
        <f t="shared" si="1"/>
        <v>0</v>
      </c>
      <c r="S55" s="878">
        <f t="shared" si="2"/>
        <v>0</v>
      </c>
      <c r="T55" s="878">
        <f t="shared" si="3"/>
        <v>0</v>
      </c>
      <c r="U55" s="878">
        <f t="shared" si="9"/>
        <v>0</v>
      </c>
      <c r="V55" s="878">
        <f t="shared" si="9"/>
        <v>0</v>
      </c>
      <c r="W55" s="92"/>
      <c r="X55" s="878">
        <f t="shared" si="14"/>
        <v>0</v>
      </c>
      <c r="Y55" s="878">
        <f t="shared" si="14"/>
        <v>0</v>
      </c>
      <c r="Z55" s="878">
        <f t="shared" si="14"/>
        <v>0</v>
      </c>
      <c r="AA55" s="878">
        <f t="shared" si="14"/>
        <v>0</v>
      </c>
      <c r="AB55" s="878">
        <f t="shared" si="14"/>
        <v>0</v>
      </c>
      <c r="AC55" s="162"/>
      <c r="AD55" s="70"/>
    </row>
    <row r="56" spans="2:30" x14ac:dyDescent="0.2">
      <c r="B56" s="70"/>
      <c r="C56" s="90"/>
      <c r="D56" s="97"/>
      <c r="E56" s="97"/>
      <c r="F56" s="129"/>
      <c r="G56" s="114"/>
      <c r="H56" s="219"/>
      <c r="I56" s="114"/>
      <c r="J56" s="114"/>
      <c r="K56" s="92"/>
      <c r="L56" s="95">
        <f t="shared" si="5"/>
        <v>0</v>
      </c>
      <c r="M56" s="878">
        <f t="shared" si="6"/>
        <v>0</v>
      </c>
      <c r="N56" s="878">
        <f t="shared" si="0"/>
        <v>0</v>
      </c>
      <c r="O56" s="893" t="str">
        <f t="shared" si="7"/>
        <v>-</v>
      </c>
      <c r="P56" s="878">
        <f t="shared" si="13"/>
        <v>0</v>
      </c>
      <c r="Q56" s="92"/>
      <c r="R56" s="878">
        <f t="shared" si="1"/>
        <v>0</v>
      </c>
      <c r="S56" s="878">
        <f t="shared" si="2"/>
        <v>0</v>
      </c>
      <c r="T56" s="878">
        <f t="shared" si="3"/>
        <v>0</v>
      </c>
      <c r="U56" s="878">
        <f t="shared" si="9"/>
        <v>0</v>
      </c>
      <c r="V56" s="878">
        <f t="shared" si="9"/>
        <v>0</v>
      </c>
      <c r="W56" s="92"/>
      <c r="X56" s="878">
        <f t="shared" si="14"/>
        <v>0</v>
      </c>
      <c r="Y56" s="878">
        <f t="shared" si="14"/>
        <v>0</v>
      </c>
      <c r="Z56" s="878">
        <f t="shared" si="14"/>
        <v>0</v>
      </c>
      <c r="AA56" s="878">
        <f t="shared" si="14"/>
        <v>0</v>
      </c>
      <c r="AB56" s="878">
        <f t="shared" si="14"/>
        <v>0</v>
      </c>
      <c r="AC56" s="162"/>
      <c r="AD56" s="70"/>
    </row>
    <row r="57" spans="2:30" x14ac:dyDescent="0.2">
      <c r="B57" s="70"/>
      <c r="C57" s="90"/>
      <c r="D57" s="97"/>
      <c r="E57" s="97"/>
      <c r="F57" s="129"/>
      <c r="G57" s="114"/>
      <c r="H57" s="219"/>
      <c r="I57" s="114"/>
      <c r="J57" s="114"/>
      <c r="K57" s="92"/>
      <c r="L57" s="95">
        <f t="shared" si="5"/>
        <v>0</v>
      </c>
      <c r="M57" s="878">
        <f t="shared" si="6"/>
        <v>0</v>
      </c>
      <c r="N57" s="878">
        <f t="shared" si="0"/>
        <v>0</v>
      </c>
      <c r="O57" s="893" t="str">
        <f t="shared" si="7"/>
        <v>-</v>
      </c>
      <c r="P57" s="878">
        <f t="shared" si="13"/>
        <v>0</v>
      </c>
      <c r="Q57" s="92"/>
      <c r="R57" s="878">
        <f t="shared" si="1"/>
        <v>0</v>
      </c>
      <c r="S57" s="878">
        <f t="shared" si="2"/>
        <v>0</v>
      </c>
      <c r="T57" s="878">
        <f t="shared" si="3"/>
        <v>0</v>
      </c>
      <c r="U57" s="878">
        <f t="shared" si="9"/>
        <v>0</v>
      </c>
      <c r="V57" s="878">
        <f t="shared" si="9"/>
        <v>0</v>
      </c>
      <c r="W57" s="92"/>
      <c r="X57" s="878">
        <f t="shared" si="14"/>
        <v>0</v>
      </c>
      <c r="Y57" s="878">
        <f t="shared" si="14"/>
        <v>0</v>
      </c>
      <c r="Z57" s="878">
        <f t="shared" si="14"/>
        <v>0</v>
      </c>
      <c r="AA57" s="878">
        <f t="shared" si="14"/>
        <v>0</v>
      </c>
      <c r="AB57" s="878">
        <f t="shared" si="14"/>
        <v>0</v>
      </c>
      <c r="AC57" s="162"/>
      <c r="AD57" s="70"/>
    </row>
    <row r="58" spans="2:30" x14ac:dyDescent="0.2">
      <c r="B58" s="70"/>
      <c r="C58" s="90"/>
      <c r="D58" s="97"/>
      <c r="E58" s="97"/>
      <c r="F58" s="129"/>
      <c r="G58" s="114"/>
      <c r="H58" s="219"/>
      <c r="I58" s="114"/>
      <c r="J58" s="114"/>
      <c r="K58" s="92"/>
      <c r="L58" s="95">
        <f t="shared" si="5"/>
        <v>0</v>
      </c>
      <c r="M58" s="878">
        <f t="shared" si="6"/>
        <v>0</v>
      </c>
      <c r="N58" s="878">
        <f t="shared" si="0"/>
        <v>0</v>
      </c>
      <c r="O58" s="893" t="str">
        <f t="shared" si="7"/>
        <v>-</v>
      </c>
      <c r="P58" s="878">
        <f t="shared" si="13"/>
        <v>0</v>
      </c>
      <c r="Q58" s="92"/>
      <c r="R58" s="878">
        <f t="shared" si="1"/>
        <v>0</v>
      </c>
      <c r="S58" s="878">
        <f t="shared" si="2"/>
        <v>0</v>
      </c>
      <c r="T58" s="878">
        <f t="shared" si="3"/>
        <v>0</v>
      </c>
      <c r="U58" s="878">
        <f t="shared" si="9"/>
        <v>0</v>
      </c>
      <c r="V58" s="878">
        <f t="shared" si="9"/>
        <v>0</v>
      </c>
      <c r="W58" s="92"/>
      <c r="X58" s="878">
        <f t="shared" si="14"/>
        <v>0</v>
      </c>
      <c r="Y58" s="878">
        <f t="shared" si="14"/>
        <v>0</v>
      </c>
      <c r="Z58" s="878">
        <f t="shared" si="14"/>
        <v>0</v>
      </c>
      <c r="AA58" s="878">
        <f t="shared" si="14"/>
        <v>0</v>
      </c>
      <c r="AB58" s="878">
        <f t="shared" si="14"/>
        <v>0</v>
      </c>
      <c r="AC58" s="162"/>
      <c r="AD58" s="70"/>
    </row>
    <row r="59" spans="2:30" x14ac:dyDescent="0.2">
      <c r="B59" s="70"/>
      <c r="C59" s="90"/>
      <c r="D59" s="97"/>
      <c r="E59" s="97"/>
      <c r="F59" s="129"/>
      <c r="G59" s="114"/>
      <c r="H59" s="219"/>
      <c r="I59" s="114"/>
      <c r="J59" s="114"/>
      <c r="K59" s="92"/>
      <c r="L59" s="95">
        <f t="shared" si="5"/>
        <v>0</v>
      </c>
      <c r="M59" s="878">
        <f t="shared" si="6"/>
        <v>0</v>
      </c>
      <c r="N59" s="878">
        <f t="shared" si="0"/>
        <v>0</v>
      </c>
      <c r="O59" s="893" t="str">
        <f t="shared" si="7"/>
        <v>-</v>
      </c>
      <c r="P59" s="878">
        <f t="shared" si="13"/>
        <v>0</v>
      </c>
      <c r="Q59" s="92"/>
      <c r="R59" s="878">
        <f t="shared" si="1"/>
        <v>0</v>
      </c>
      <c r="S59" s="878">
        <f t="shared" si="2"/>
        <v>0</v>
      </c>
      <c r="T59" s="878">
        <f t="shared" si="3"/>
        <v>0</v>
      </c>
      <c r="U59" s="878">
        <f t="shared" si="9"/>
        <v>0</v>
      </c>
      <c r="V59" s="878">
        <f t="shared" si="9"/>
        <v>0</v>
      </c>
      <c r="W59" s="92"/>
      <c r="X59" s="878">
        <f t="shared" si="14"/>
        <v>0</v>
      </c>
      <c r="Y59" s="878">
        <f t="shared" si="14"/>
        <v>0</v>
      </c>
      <c r="Z59" s="878">
        <f t="shared" si="14"/>
        <v>0</v>
      </c>
      <c r="AA59" s="878">
        <f t="shared" si="14"/>
        <v>0</v>
      </c>
      <c r="AB59" s="878">
        <f t="shared" si="14"/>
        <v>0</v>
      </c>
      <c r="AC59" s="162"/>
      <c r="AD59" s="70"/>
    </row>
    <row r="60" spans="2:30" x14ac:dyDescent="0.2">
      <c r="B60" s="70"/>
      <c r="C60" s="90"/>
      <c r="D60" s="97"/>
      <c r="E60" s="97"/>
      <c r="F60" s="129"/>
      <c r="G60" s="114"/>
      <c r="H60" s="219"/>
      <c r="I60" s="114"/>
      <c r="J60" s="114"/>
      <c r="K60" s="92"/>
      <c r="L60" s="95">
        <f t="shared" si="5"/>
        <v>0</v>
      </c>
      <c r="M60" s="878">
        <f t="shared" si="6"/>
        <v>0</v>
      </c>
      <c r="N60" s="878">
        <f t="shared" si="0"/>
        <v>0</v>
      </c>
      <c r="O60" s="893" t="str">
        <f t="shared" si="7"/>
        <v>-</v>
      </c>
      <c r="P60" s="878">
        <f t="shared" si="13"/>
        <v>0</v>
      </c>
      <c r="Q60" s="92"/>
      <c r="R60" s="878">
        <f t="shared" si="1"/>
        <v>0</v>
      </c>
      <c r="S60" s="878">
        <f t="shared" si="2"/>
        <v>0</v>
      </c>
      <c r="T60" s="878">
        <f t="shared" si="3"/>
        <v>0</v>
      </c>
      <c r="U60" s="878">
        <f t="shared" si="9"/>
        <v>0</v>
      </c>
      <c r="V60" s="878">
        <f t="shared" si="9"/>
        <v>0</v>
      </c>
      <c r="W60" s="92"/>
      <c r="X60" s="878">
        <f t="shared" si="14"/>
        <v>0</v>
      </c>
      <c r="Y60" s="878">
        <f t="shared" si="14"/>
        <v>0</v>
      </c>
      <c r="Z60" s="878">
        <f t="shared" si="14"/>
        <v>0</v>
      </c>
      <c r="AA60" s="878">
        <f t="shared" si="14"/>
        <v>0</v>
      </c>
      <c r="AB60" s="878">
        <f t="shared" si="14"/>
        <v>0</v>
      </c>
      <c r="AC60" s="162"/>
      <c r="AD60" s="70"/>
    </row>
    <row r="61" spans="2:30" x14ac:dyDescent="0.2">
      <c r="B61" s="70"/>
      <c r="C61" s="90"/>
      <c r="D61" s="97"/>
      <c r="E61" s="97"/>
      <c r="F61" s="129"/>
      <c r="G61" s="114"/>
      <c r="H61" s="219"/>
      <c r="I61" s="114"/>
      <c r="J61" s="114"/>
      <c r="K61" s="92"/>
      <c r="L61" s="95">
        <f t="shared" si="5"/>
        <v>0</v>
      </c>
      <c r="M61" s="878">
        <f t="shared" si="6"/>
        <v>0</v>
      </c>
      <c r="N61" s="878">
        <f t="shared" si="0"/>
        <v>0</v>
      </c>
      <c r="O61" s="893" t="str">
        <f t="shared" si="7"/>
        <v>-</v>
      </c>
      <c r="P61" s="878">
        <f t="shared" si="13"/>
        <v>0</v>
      </c>
      <c r="Q61" s="92"/>
      <c r="R61" s="878">
        <f t="shared" si="1"/>
        <v>0</v>
      </c>
      <c r="S61" s="878">
        <f t="shared" si="2"/>
        <v>0</v>
      </c>
      <c r="T61" s="878">
        <f t="shared" si="3"/>
        <v>0</v>
      </c>
      <c r="U61" s="878">
        <f t="shared" si="9"/>
        <v>0</v>
      </c>
      <c r="V61" s="878">
        <f t="shared" si="9"/>
        <v>0</v>
      </c>
      <c r="W61" s="92"/>
      <c r="X61" s="878">
        <f t="shared" si="14"/>
        <v>0</v>
      </c>
      <c r="Y61" s="878">
        <f t="shared" si="14"/>
        <v>0</v>
      </c>
      <c r="Z61" s="878">
        <f t="shared" si="14"/>
        <v>0</v>
      </c>
      <c r="AA61" s="878">
        <f t="shared" si="14"/>
        <v>0</v>
      </c>
      <c r="AB61" s="878">
        <f t="shared" si="14"/>
        <v>0</v>
      </c>
      <c r="AC61" s="162"/>
      <c r="AD61" s="70"/>
    </row>
    <row r="62" spans="2:30" x14ac:dyDescent="0.2">
      <c r="B62" s="70"/>
      <c r="C62" s="90"/>
      <c r="D62" s="97"/>
      <c r="E62" s="97"/>
      <c r="F62" s="129"/>
      <c r="G62" s="114"/>
      <c r="H62" s="219"/>
      <c r="I62" s="114"/>
      <c r="J62" s="114"/>
      <c r="K62" s="92"/>
      <c r="L62" s="95">
        <f t="shared" si="5"/>
        <v>0</v>
      </c>
      <c r="M62" s="878">
        <f t="shared" si="6"/>
        <v>0</v>
      </c>
      <c r="N62" s="878">
        <f t="shared" si="0"/>
        <v>0</v>
      </c>
      <c r="O62" s="893" t="str">
        <f t="shared" si="7"/>
        <v>-</v>
      </c>
      <c r="P62" s="878">
        <f t="shared" si="13"/>
        <v>0</v>
      </c>
      <c r="Q62" s="92"/>
      <c r="R62" s="878">
        <f t="shared" si="1"/>
        <v>0</v>
      </c>
      <c r="S62" s="878">
        <f t="shared" si="2"/>
        <v>0</v>
      </c>
      <c r="T62" s="878">
        <f t="shared" si="3"/>
        <v>0</v>
      </c>
      <c r="U62" s="878">
        <f t="shared" si="9"/>
        <v>0</v>
      </c>
      <c r="V62" s="878">
        <f t="shared" si="9"/>
        <v>0</v>
      </c>
      <c r="W62" s="92"/>
      <c r="X62" s="878">
        <f t="shared" si="14"/>
        <v>0</v>
      </c>
      <c r="Y62" s="878">
        <f t="shared" si="14"/>
        <v>0</v>
      </c>
      <c r="Z62" s="878">
        <f t="shared" si="14"/>
        <v>0</v>
      </c>
      <c r="AA62" s="878">
        <f t="shared" si="14"/>
        <v>0</v>
      </c>
      <c r="AB62" s="878">
        <f t="shared" si="14"/>
        <v>0</v>
      </c>
      <c r="AC62" s="162"/>
      <c r="AD62" s="70"/>
    </row>
    <row r="63" spans="2:30" x14ac:dyDescent="0.2">
      <c r="B63" s="70"/>
      <c r="C63" s="90"/>
      <c r="D63" s="97"/>
      <c r="E63" s="97"/>
      <c r="F63" s="129"/>
      <c r="G63" s="114"/>
      <c r="H63" s="219"/>
      <c r="I63" s="114"/>
      <c r="J63" s="114"/>
      <c r="K63" s="92"/>
      <c r="L63" s="95">
        <f t="shared" si="5"/>
        <v>0</v>
      </c>
      <c r="M63" s="878">
        <f t="shared" si="6"/>
        <v>0</v>
      </c>
      <c r="N63" s="878">
        <f t="shared" si="0"/>
        <v>0</v>
      </c>
      <c r="O63" s="893" t="str">
        <f t="shared" si="7"/>
        <v>-</v>
      </c>
      <c r="P63" s="878">
        <f t="shared" si="13"/>
        <v>0</v>
      </c>
      <c r="Q63" s="92"/>
      <c r="R63" s="878">
        <f t="shared" si="1"/>
        <v>0</v>
      </c>
      <c r="S63" s="878">
        <f t="shared" si="2"/>
        <v>0</v>
      </c>
      <c r="T63" s="878">
        <f t="shared" si="3"/>
        <v>0</v>
      </c>
      <c r="U63" s="878">
        <f t="shared" si="9"/>
        <v>0</v>
      </c>
      <c r="V63" s="878">
        <f t="shared" si="9"/>
        <v>0</v>
      </c>
      <c r="W63" s="92"/>
      <c r="X63" s="878">
        <f t="shared" si="14"/>
        <v>0</v>
      </c>
      <c r="Y63" s="878">
        <f t="shared" si="14"/>
        <v>0</v>
      </c>
      <c r="Z63" s="878">
        <f t="shared" si="14"/>
        <v>0</v>
      </c>
      <c r="AA63" s="878">
        <f t="shared" si="14"/>
        <v>0</v>
      </c>
      <c r="AB63" s="878">
        <f t="shared" si="14"/>
        <v>0</v>
      </c>
      <c r="AC63" s="162"/>
      <c r="AD63" s="70"/>
    </row>
    <row r="64" spans="2:30" x14ac:dyDescent="0.2">
      <c r="B64" s="70"/>
      <c r="C64" s="90"/>
      <c r="D64" s="97"/>
      <c r="E64" s="97"/>
      <c r="F64" s="129"/>
      <c r="G64" s="114"/>
      <c r="H64" s="219"/>
      <c r="I64" s="114"/>
      <c r="J64" s="114"/>
      <c r="K64" s="92"/>
      <c r="L64" s="95">
        <f t="shared" si="5"/>
        <v>0</v>
      </c>
      <c r="M64" s="878">
        <f t="shared" si="6"/>
        <v>0</v>
      </c>
      <c r="N64" s="878">
        <f t="shared" si="0"/>
        <v>0</v>
      </c>
      <c r="O64" s="893" t="str">
        <f t="shared" si="7"/>
        <v>-</v>
      </c>
      <c r="P64" s="878">
        <f t="shared" si="13"/>
        <v>0</v>
      </c>
      <c r="Q64" s="92"/>
      <c r="R64" s="878">
        <f t="shared" si="1"/>
        <v>0</v>
      </c>
      <c r="S64" s="878">
        <f t="shared" si="2"/>
        <v>0</v>
      </c>
      <c r="T64" s="878">
        <f t="shared" si="3"/>
        <v>0</v>
      </c>
      <c r="U64" s="878">
        <f t="shared" si="9"/>
        <v>0</v>
      </c>
      <c r="V64" s="878">
        <f t="shared" si="9"/>
        <v>0</v>
      </c>
      <c r="W64" s="92"/>
      <c r="X64" s="878">
        <f t="shared" si="14"/>
        <v>0</v>
      </c>
      <c r="Y64" s="878">
        <f t="shared" si="14"/>
        <v>0</v>
      </c>
      <c r="Z64" s="878">
        <f t="shared" si="14"/>
        <v>0</v>
      </c>
      <c r="AA64" s="878">
        <f t="shared" si="14"/>
        <v>0</v>
      </c>
      <c r="AB64" s="878">
        <f t="shared" si="14"/>
        <v>0</v>
      </c>
      <c r="AC64" s="162"/>
      <c r="AD64" s="70"/>
    </row>
    <row r="65" spans="2:30" x14ac:dyDescent="0.2">
      <c r="B65" s="70"/>
      <c r="C65" s="90"/>
      <c r="D65" s="97"/>
      <c r="E65" s="97"/>
      <c r="F65" s="129"/>
      <c r="G65" s="114"/>
      <c r="H65" s="219"/>
      <c r="I65" s="114"/>
      <c r="J65" s="114"/>
      <c r="K65" s="92"/>
      <c r="L65" s="95">
        <f t="shared" si="5"/>
        <v>0</v>
      </c>
      <c r="M65" s="878">
        <f t="shared" si="6"/>
        <v>0</v>
      </c>
      <c r="N65" s="878">
        <f t="shared" si="0"/>
        <v>0</v>
      </c>
      <c r="O65" s="893" t="str">
        <f t="shared" si="7"/>
        <v>-</v>
      </c>
      <c r="P65" s="878">
        <f t="shared" si="13"/>
        <v>0</v>
      </c>
      <c r="Q65" s="92"/>
      <c r="R65" s="878">
        <f t="shared" si="1"/>
        <v>0</v>
      </c>
      <c r="S65" s="878">
        <f t="shared" si="2"/>
        <v>0</v>
      </c>
      <c r="T65" s="878">
        <f t="shared" si="3"/>
        <v>0</v>
      </c>
      <c r="U65" s="878">
        <f t="shared" si="9"/>
        <v>0</v>
      </c>
      <c r="V65" s="878">
        <f t="shared" si="9"/>
        <v>0</v>
      </c>
      <c r="W65" s="92"/>
      <c r="X65" s="878">
        <f t="shared" si="14"/>
        <v>0</v>
      </c>
      <c r="Y65" s="878">
        <f t="shared" si="14"/>
        <v>0</v>
      </c>
      <c r="Z65" s="878">
        <f t="shared" si="14"/>
        <v>0</v>
      </c>
      <c r="AA65" s="878">
        <f t="shared" si="14"/>
        <v>0</v>
      </c>
      <c r="AB65" s="878">
        <f t="shared" si="14"/>
        <v>0</v>
      </c>
      <c r="AC65" s="162"/>
      <c r="AD65" s="70"/>
    </row>
    <row r="66" spans="2:30" x14ac:dyDescent="0.2">
      <c r="B66" s="70"/>
      <c r="C66" s="90"/>
      <c r="D66" s="97"/>
      <c r="E66" s="97"/>
      <c r="F66" s="129"/>
      <c r="G66" s="114"/>
      <c r="H66" s="219"/>
      <c r="I66" s="114"/>
      <c r="J66" s="114"/>
      <c r="K66" s="92"/>
      <c r="L66" s="95">
        <f t="shared" si="5"/>
        <v>0</v>
      </c>
      <c r="M66" s="878">
        <f t="shared" ref="M66:M94" si="15">G66*H66</f>
        <v>0</v>
      </c>
      <c r="N66" s="878">
        <f t="shared" ref="N66:N94" si="16">IF(G66=0,0,(G66*H66)/L66)</f>
        <v>0</v>
      </c>
      <c r="O66" s="893" t="str">
        <f t="shared" ref="O66:O94" si="17">IF(L66=0,"-",(IF(L66&gt;3000,"-",I66+L66-1)))</f>
        <v>-</v>
      </c>
      <c r="P66" s="878">
        <f t="shared" si="13"/>
        <v>0</v>
      </c>
      <c r="Q66" s="92"/>
      <c r="R66" s="878">
        <f t="shared" si="1"/>
        <v>0</v>
      </c>
      <c r="S66" s="878">
        <f t="shared" si="2"/>
        <v>0</v>
      </c>
      <c r="T66" s="878">
        <f t="shared" si="3"/>
        <v>0</v>
      </c>
      <c r="U66" s="878">
        <f t="shared" si="9"/>
        <v>0</v>
      </c>
      <c r="V66" s="878">
        <f t="shared" si="9"/>
        <v>0</v>
      </c>
      <c r="W66" s="92"/>
      <c r="X66" s="878">
        <f t="shared" si="14"/>
        <v>0</v>
      </c>
      <c r="Y66" s="878">
        <f t="shared" si="14"/>
        <v>0</v>
      </c>
      <c r="Z66" s="878">
        <f t="shared" si="14"/>
        <v>0</v>
      </c>
      <c r="AA66" s="878">
        <f t="shared" si="14"/>
        <v>0</v>
      </c>
      <c r="AB66" s="878">
        <f t="shared" si="14"/>
        <v>0</v>
      </c>
      <c r="AC66" s="162"/>
      <c r="AD66" s="70"/>
    </row>
    <row r="67" spans="2:30" x14ac:dyDescent="0.2">
      <c r="B67" s="70"/>
      <c r="C67" s="90"/>
      <c r="D67" s="97"/>
      <c r="E67" s="97"/>
      <c r="F67" s="129"/>
      <c r="G67" s="114"/>
      <c r="H67" s="219"/>
      <c r="I67" s="114"/>
      <c r="J67" s="114"/>
      <c r="K67" s="92"/>
      <c r="L67" s="95">
        <f t="shared" si="5"/>
        <v>0</v>
      </c>
      <c r="M67" s="878">
        <f t="shared" si="15"/>
        <v>0</v>
      </c>
      <c r="N67" s="878">
        <f t="shared" si="16"/>
        <v>0</v>
      </c>
      <c r="O67" s="893" t="str">
        <f t="shared" si="17"/>
        <v>-</v>
      </c>
      <c r="P67" s="878">
        <f t="shared" si="13"/>
        <v>0</v>
      </c>
      <c r="Q67" s="92"/>
      <c r="R67" s="878">
        <f t="shared" ref="R67:R209" si="18">(IF(R$8&lt;$I67,0,IF($O67&lt;=R$8-1,0,$N67)))</f>
        <v>0</v>
      </c>
      <c r="S67" s="878">
        <f t="shared" ref="S67:S209" si="19">(IF(S$8&lt;$I67,0,IF($O67&lt;=S$8-1,0,$N67)))</f>
        <v>0</v>
      </c>
      <c r="T67" s="878">
        <f t="shared" ref="T67:T209" si="20">(IF(T$8&lt;$I67,0,IF($O67&lt;=T$8-1,0,$N67)))</f>
        <v>0</v>
      </c>
      <c r="U67" s="878">
        <f t="shared" ref="U67:V94" si="21">(IF(U$8&lt;$I67,0,IF($O67&lt;=U$8-1,0,$N67)))</f>
        <v>0</v>
      </c>
      <c r="V67" s="878">
        <f t="shared" si="21"/>
        <v>0</v>
      </c>
      <c r="W67" s="92"/>
      <c r="X67" s="878">
        <f t="shared" ref="X67:Z92" si="22">IF(X$8=$I67,($G67*$H67),0)</f>
        <v>0</v>
      </c>
      <c r="Y67" s="878">
        <f t="shared" si="22"/>
        <v>0</v>
      </c>
      <c r="Z67" s="878">
        <f t="shared" si="22"/>
        <v>0</v>
      </c>
      <c r="AA67" s="878">
        <f t="shared" ref="AA67:AB76" si="23">IF(AA$8=$I67,($G67*$H67),0)</f>
        <v>0</v>
      </c>
      <c r="AB67" s="878">
        <f t="shared" si="23"/>
        <v>0</v>
      </c>
      <c r="AC67" s="162"/>
      <c r="AD67" s="70"/>
    </row>
    <row r="68" spans="2:30" x14ac:dyDescent="0.2">
      <c r="B68" s="70"/>
      <c r="C68" s="90"/>
      <c r="D68" s="97"/>
      <c r="E68" s="97"/>
      <c r="F68" s="129"/>
      <c r="G68" s="114"/>
      <c r="H68" s="219"/>
      <c r="I68" s="114"/>
      <c r="J68" s="114"/>
      <c r="K68" s="92"/>
      <c r="L68" s="95">
        <f t="shared" ref="L68:L94" si="24">IF(J68="geen",9999999999,J68)</f>
        <v>0</v>
      </c>
      <c r="M68" s="878">
        <f t="shared" si="15"/>
        <v>0</v>
      </c>
      <c r="N68" s="878">
        <f t="shared" si="16"/>
        <v>0</v>
      </c>
      <c r="O68" s="893" t="str">
        <f t="shared" si="17"/>
        <v>-</v>
      </c>
      <c r="P68" s="878">
        <f t="shared" si="13"/>
        <v>0</v>
      </c>
      <c r="Q68" s="92"/>
      <c r="R68" s="878">
        <f t="shared" si="18"/>
        <v>0</v>
      </c>
      <c r="S68" s="878">
        <f t="shared" si="19"/>
        <v>0</v>
      </c>
      <c r="T68" s="878">
        <f t="shared" si="20"/>
        <v>0</v>
      </c>
      <c r="U68" s="878">
        <f t="shared" si="21"/>
        <v>0</v>
      </c>
      <c r="V68" s="878">
        <f t="shared" si="21"/>
        <v>0</v>
      </c>
      <c r="W68" s="92"/>
      <c r="X68" s="878">
        <f t="shared" si="22"/>
        <v>0</v>
      </c>
      <c r="Y68" s="878">
        <f t="shared" si="22"/>
        <v>0</v>
      </c>
      <c r="Z68" s="878">
        <f t="shared" si="22"/>
        <v>0</v>
      </c>
      <c r="AA68" s="878">
        <f t="shared" si="23"/>
        <v>0</v>
      </c>
      <c r="AB68" s="878">
        <f t="shared" si="23"/>
        <v>0</v>
      </c>
      <c r="AC68" s="162"/>
      <c r="AD68" s="70"/>
    </row>
    <row r="69" spans="2:30" x14ac:dyDescent="0.2">
      <c r="B69" s="70"/>
      <c r="C69" s="90"/>
      <c r="D69" s="97"/>
      <c r="E69" s="97"/>
      <c r="F69" s="129"/>
      <c r="G69" s="114"/>
      <c r="H69" s="219"/>
      <c r="I69" s="114"/>
      <c r="J69" s="114"/>
      <c r="K69" s="92"/>
      <c r="L69" s="95">
        <f t="shared" si="24"/>
        <v>0</v>
      </c>
      <c r="M69" s="878">
        <f t="shared" si="15"/>
        <v>0</v>
      </c>
      <c r="N69" s="878">
        <f t="shared" si="16"/>
        <v>0</v>
      </c>
      <c r="O69" s="893" t="str">
        <f t="shared" si="17"/>
        <v>-</v>
      </c>
      <c r="P69" s="878">
        <f t="shared" si="13"/>
        <v>0</v>
      </c>
      <c r="Q69" s="92"/>
      <c r="R69" s="878">
        <f t="shared" si="18"/>
        <v>0</v>
      </c>
      <c r="S69" s="878">
        <f t="shared" si="19"/>
        <v>0</v>
      </c>
      <c r="T69" s="878">
        <f t="shared" si="20"/>
        <v>0</v>
      </c>
      <c r="U69" s="878">
        <f t="shared" si="21"/>
        <v>0</v>
      </c>
      <c r="V69" s="878">
        <f t="shared" si="21"/>
        <v>0</v>
      </c>
      <c r="W69" s="92"/>
      <c r="X69" s="878">
        <f t="shared" si="22"/>
        <v>0</v>
      </c>
      <c r="Y69" s="878">
        <f t="shared" si="22"/>
        <v>0</v>
      </c>
      <c r="Z69" s="878">
        <f t="shared" si="22"/>
        <v>0</v>
      </c>
      <c r="AA69" s="878">
        <f t="shared" si="23"/>
        <v>0</v>
      </c>
      <c r="AB69" s="878">
        <f t="shared" si="23"/>
        <v>0</v>
      </c>
      <c r="AC69" s="162"/>
      <c r="AD69" s="70"/>
    </row>
    <row r="70" spans="2:30" x14ac:dyDescent="0.2">
      <c r="B70" s="70"/>
      <c r="C70" s="90"/>
      <c r="D70" s="97"/>
      <c r="E70" s="97"/>
      <c r="F70" s="129"/>
      <c r="G70" s="114"/>
      <c r="H70" s="219"/>
      <c r="I70" s="114"/>
      <c r="J70" s="114"/>
      <c r="K70" s="92"/>
      <c r="L70" s="95">
        <f t="shared" si="24"/>
        <v>0</v>
      </c>
      <c r="M70" s="878">
        <f t="shared" si="15"/>
        <v>0</v>
      </c>
      <c r="N70" s="878">
        <f t="shared" si="16"/>
        <v>0</v>
      </c>
      <c r="O70" s="893" t="str">
        <f t="shared" si="17"/>
        <v>-</v>
      </c>
      <c r="P70" s="878">
        <f t="shared" si="13"/>
        <v>0</v>
      </c>
      <c r="Q70" s="92"/>
      <c r="R70" s="878">
        <f t="shared" si="18"/>
        <v>0</v>
      </c>
      <c r="S70" s="878">
        <f t="shared" si="19"/>
        <v>0</v>
      </c>
      <c r="T70" s="878">
        <f t="shared" si="20"/>
        <v>0</v>
      </c>
      <c r="U70" s="878">
        <f t="shared" si="21"/>
        <v>0</v>
      </c>
      <c r="V70" s="878">
        <f t="shared" si="21"/>
        <v>0</v>
      </c>
      <c r="W70" s="92"/>
      <c r="X70" s="878">
        <f t="shared" si="22"/>
        <v>0</v>
      </c>
      <c r="Y70" s="878">
        <f t="shared" si="22"/>
        <v>0</v>
      </c>
      <c r="Z70" s="878">
        <f t="shared" si="22"/>
        <v>0</v>
      </c>
      <c r="AA70" s="878">
        <f t="shared" si="23"/>
        <v>0</v>
      </c>
      <c r="AB70" s="878">
        <f t="shared" si="23"/>
        <v>0</v>
      </c>
      <c r="AC70" s="162"/>
      <c r="AD70" s="70"/>
    </row>
    <row r="71" spans="2:30" x14ac:dyDescent="0.2">
      <c r="B71" s="70"/>
      <c r="C71" s="90"/>
      <c r="D71" s="97"/>
      <c r="E71" s="97"/>
      <c r="F71" s="129"/>
      <c r="G71" s="114"/>
      <c r="H71" s="219"/>
      <c r="I71" s="114"/>
      <c r="J71" s="114"/>
      <c r="K71" s="92"/>
      <c r="L71" s="95">
        <f t="shared" si="24"/>
        <v>0</v>
      </c>
      <c r="M71" s="878">
        <f t="shared" si="15"/>
        <v>0</v>
      </c>
      <c r="N71" s="878">
        <f t="shared" si="16"/>
        <v>0</v>
      </c>
      <c r="O71" s="893" t="str">
        <f t="shared" si="17"/>
        <v>-</v>
      </c>
      <c r="P71" s="878">
        <f t="shared" si="13"/>
        <v>0</v>
      </c>
      <c r="Q71" s="92"/>
      <c r="R71" s="878">
        <f t="shared" si="18"/>
        <v>0</v>
      </c>
      <c r="S71" s="878">
        <f t="shared" si="19"/>
        <v>0</v>
      </c>
      <c r="T71" s="878">
        <f t="shared" si="20"/>
        <v>0</v>
      </c>
      <c r="U71" s="878">
        <f t="shared" si="21"/>
        <v>0</v>
      </c>
      <c r="V71" s="878">
        <f t="shared" si="21"/>
        <v>0</v>
      </c>
      <c r="W71" s="92"/>
      <c r="X71" s="878">
        <f t="shared" si="22"/>
        <v>0</v>
      </c>
      <c r="Y71" s="878">
        <f t="shared" si="22"/>
        <v>0</v>
      </c>
      <c r="Z71" s="878">
        <f t="shared" si="22"/>
        <v>0</v>
      </c>
      <c r="AA71" s="878">
        <f t="shared" si="23"/>
        <v>0</v>
      </c>
      <c r="AB71" s="878">
        <f t="shared" si="23"/>
        <v>0</v>
      </c>
      <c r="AC71" s="162"/>
      <c r="AD71" s="70"/>
    </row>
    <row r="72" spans="2:30" x14ac:dyDescent="0.2">
      <c r="B72" s="70"/>
      <c r="C72" s="90"/>
      <c r="D72" s="97"/>
      <c r="E72" s="97"/>
      <c r="F72" s="129"/>
      <c r="G72" s="114"/>
      <c r="H72" s="219"/>
      <c r="I72" s="114"/>
      <c r="J72" s="114"/>
      <c r="K72" s="92"/>
      <c r="L72" s="95">
        <f t="shared" si="24"/>
        <v>0</v>
      </c>
      <c r="M72" s="878">
        <f t="shared" si="15"/>
        <v>0</v>
      </c>
      <c r="N72" s="878">
        <f t="shared" si="16"/>
        <v>0</v>
      </c>
      <c r="O72" s="893" t="str">
        <f t="shared" si="17"/>
        <v>-</v>
      </c>
      <c r="P72" s="878">
        <f t="shared" si="13"/>
        <v>0</v>
      </c>
      <c r="Q72" s="92"/>
      <c r="R72" s="878">
        <f t="shared" si="18"/>
        <v>0</v>
      </c>
      <c r="S72" s="878">
        <f t="shared" si="19"/>
        <v>0</v>
      </c>
      <c r="T72" s="878">
        <f t="shared" si="20"/>
        <v>0</v>
      </c>
      <c r="U72" s="878">
        <f t="shared" si="21"/>
        <v>0</v>
      </c>
      <c r="V72" s="878">
        <f t="shared" si="21"/>
        <v>0</v>
      </c>
      <c r="W72" s="92"/>
      <c r="X72" s="878">
        <f t="shared" si="22"/>
        <v>0</v>
      </c>
      <c r="Y72" s="878">
        <f t="shared" si="22"/>
        <v>0</v>
      </c>
      <c r="Z72" s="878">
        <f t="shared" si="22"/>
        <v>0</v>
      </c>
      <c r="AA72" s="878">
        <f t="shared" si="23"/>
        <v>0</v>
      </c>
      <c r="AB72" s="878">
        <f t="shared" si="23"/>
        <v>0</v>
      </c>
      <c r="AC72" s="162"/>
      <c r="AD72" s="70"/>
    </row>
    <row r="73" spans="2:30" x14ac:dyDescent="0.2">
      <c r="B73" s="70"/>
      <c r="C73" s="90"/>
      <c r="D73" s="97"/>
      <c r="E73" s="97"/>
      <c r="F73" s="129"/>
      <c r="G73" s="114"/>
      <c r="H73" s="219"/>
      <c r="I73" s="114"/>
      <c r="J73" s="114"/>
      <c r="K73" s="92"/>
      <c r="L73" s="95">
        <f t="shared" si="24"/>
        <v>0</v>
      </c>
      <c r="M73" s="878">
        <f t="shared" si="15"/>
        <v>0</v>
      </c>
      <c r="N73" s="878">
        <f t="shared" si="16"/>
        <v>0</v>
      </c>
      <c r="O73" s="893" t="str">
        <f t="shared" si="17"/>
        <v>-</v>
      </c>
      <c r="P73" s="878">
        <f t="shared" si="13"/>
        <v>0</v>
      </c>
      <c r="Q73" s="92"/>
      <c r="R73" s="878">
        <f t="shared" si="18"/>
        <v>0</v>
      </c>
      <c r="S73" s="878">
        <f t="shared" si="19"/>
        <v>0</v>
      </c>
      <c r="T73" s="878">
        <f t="shared" si="20"/>
        <v>0</v>
      </c>
      <c r="U73" s="878">
        <f t="shared" si="21"/>
        <v>0</v>
      </c>
      <c r="V73" s="878">
        <f t="shared" si="21"/>
        <v>0</v>
      </c>
      <c r="W73" s="92"/>
      <c r="X73" s="878">
        <f t="shared" si="22"/>
        <v>0</v>
      </c>
      <c r="Y73" s="878">
        <f t="shared" si="22"/>
        <v>0</v>
      </c>
      <c r="Z73" s="878">
        <f t="shared" si="22"/>
        <v>0</v>
      </c>
      <c r="AA73" s="878">
        <f t="shared" si="23"/>
        <v>0</v>
      </c>
      <c r="AB73" s="878">
        <f t="shared" si="23"/>
        <v>0</v>
      </c>
      <c r="AC73" s="162"/>
      <c r="AD73" s="70"/>
    </row>
    <row r="74" spans="2:30" x14ac:dyDescent="0.2">
      <c r="B74" s="70"/>
      <c r="C74" s="90"/>
      <c r="D74" s="97"/>
      <c r="E74" s="97"/>
      <c r="F74" s="129"/>
      <c r="G74" s="114"/>
      <c r="H74" s="219"/>
      <c r="I74" s="114"/>
      <c r="J74" s="114"/>
      <c r="K74" s="92"/>
      <c r="L74" s="95">
        <f t="shared" si="24"/>
        <v>0</v>
      </c>
      <c r="M74" s="878">
        <f t="shared" si="15"/>
        <v>0</v>
      </c>
      <c r="N74" s="878">
        <f t="shared" si="16"/>
        <v>0</v>
      </c>
      <c r="O74" s="893" t="str">
        <f t="shared" si="17"/>
        <v>-</v>
      </c>
      <c r="P74" s="878">
        <f t="shared" si="13"/>
        <v>0</v>
      </c>
      <c r="Q74" s="92"/>
      <c r="R74" s="878">
        <f t="shared" si="18"/>
        <v>0</v>
      </c>
      <c r="S74" s="878">
        <f t="shared" si="19"/>
        <v>0</v>
      </c>
      <c r="T74" s="878">
        <f t="shared" si="20"/>
        <v>0</v>
      </c>
      <c r="U74" s="878">
        <f t="shared" si="21"/>
        <v>0</v>
      </c>
      <c r="V74" s="878">
        <f t="shared" si="21"/>
        <v>0</v>
      </c>
      <c r="W74" s="92"/>
      <c r="X74" s="878">
        <f t="shared" si="22"/>
        <v>0</v>
      </c>
      <c r="Y74" s="878">
        <f t="shared" si="22"/>
        <v>0</v>
      </c>
      <c r="Z74" s="878">
        <f t="shared" si="22"/>
        <v>0</v>
      </c>
      <c r="AA74" s="878">
        <f t="shared" si="23"/>
        <v>0</v>
      </c>
      <c r="AB74" s="878">
        <f t="shared" si="23"/>
        <v>0</v>
      </c>
      <c r="AC74" s="162"/>
      <c r="AD74" s="70"/>
    </row>
    <row r="75" spans="2:30" x14ac:dyDescent="0.2">
      <c r="B75" s="70"/>
      <c r="C75" s="90"/>
      <c r="D75" s="97"/>
      <c r="E75" s="97"/>
      <c r="F75" s="129"/>
      <c r="G75" s="114"/>
      <c r="H75" s="219"/>
      <c r="I75" s="114"/>
      <c r="J75" s="114"/>
      <c r="K75" s="92"/>
      <c r="L75" s="95">
        <f t="shared" si="24"/>
        <v>0</v>
      </c>
      <c r="M75" s="878">
        <f t="shared" si="15"/>
        <v>0</v>
      </c>
      <c r="N75" s="878">
        <f t="shared" si="16"/>
        <v>0</v>
      </c>
      <c r="O75" s="893" t="str">
        <f t="shared" si="17"/>
        <v>-</v>
      </c>
      <c r="P75" s="878">
        <f t="shared" si="13"/>
        <v>0</v>
      </c>
      <c r="Q75" s="92"/>
      <c r="R75" s="878">
        <f t="shared" si="18"/>
        <v>0</v>
      </c>
      <c r="S75" s="878">
        <f t="shared" si="19"/>
        <v>0</v>
      </c>
      <c r="T75" s="878">
        <f t="shared" si="20"/>
        <v>0</v>
      </c>
      <c r="U75" s="878">
        <f t="shared" si="21"/>
        <v>0</v>
      </c>
      <c r="V75" s="878">
        <f t="shared" si="21"/>
        <v>0</v>
      </c>
      <c r="W75" s="92"/>
      <c r="X75" s="878">
        <f t="shared" si="22"/>
        <v>0</v>
      </c>
      <c r="Y75" s="878">
        <f t="shared" si="22"/>
        <v>0</v>
      </c>
      <c r="Z75" s="878">
        <f t="shared" si="22"/>
        <v>0</v>
      </c>
      <c r="AA75" s="878">
        <f t="shared" si="23"/>
        <v>0</v>
      </c>
      <c r="AB75" s="878">
        <f t="shared" si="23"/>
        <v>0</v>
      </c>
      <c r="AC75" s="162"/>
      <c r="AD75" s="70"/>
    </row>
    <row r="76" spans="2:30" x14ac:dyDescent="0.2">
      <c r="B76" s="70"/>
      <c r="C76" s="90"/>
      <c r="D76" s="97"/>
      <c r="E76" s="97"/>
      <c r="F76" s="129"/>
      <c r="G76" s="114"/>
      <c r="H76" s="219"/>
      <c r="I76" s="114"/>
      <c r="J76" s="114"/>
      <c r="K76" s="92"/>
      <c r="L76" s="95">
        <f t="shared" si="24"/>
        <v>0</v>
      </c>
      <c r="M76" s="878">
        <f t="shared" si="15"/>
        <v>0</v>
      </c>
      <c r="N76" s="878">
        <f t="shared" si="16"/>
        <v>0</v>
      </c>
      <c r="O76" s="893" t="str">
        <f t="shared" si="17"/>
        <v>-</v>
      </c>
      <c r="P76" s="878">
        <f t="shared" si="13"/>
        <v>0</v>
      </c>
      <c r="Q76" s="92"/>
      <c r="R76" s="878">
        <f t="shared" si="18"/>
        <v>0</v>
      </c>
      <c r="S76" s="878">
        <f t="shared" si="19"/>
        <v>0</v>
      </c>
      <c r="T76" s="878">
        <f t="shared" si="20"/>
        <v>0</v>
      </c>
      <c r="U76" s="878">
        <f t="shared" si="21"/>
        <v>0</v>
      </c>
      <c r="V76" s="878">
        <f t="shared" si="21"/>
        <v>0</v>
      </c>
      <c r="W76" s="92"/>
      <c r="X76" s="878">
        <f t="shared" si="22"/>
        <v>0</v>
      </c>
      <c r="Y76" s="878">
        <f t="shared" si="22"/>
        <v>0</v>
      </c>
      <c r="Z76" s="878">
        <f t="shared" si="22"/>
        <v>0</v>
      </c>
      <c r="AA76" s="878">
        <f t="shared" si="23"/>
        <v>0</v>
      </c>
      <c r="AB76" s="878">
        <f t="shared" si="23"/>
        <v>0</v>
      </c>
      <c r="AC76" s="162"/>
      <c r="AD76" s="70"/>
    </row>
    <row r="77" spans="2:30" x14ac:dyDescent="0.2">
      <c r="B77" s="70"/>
      <c r="C77" s="90"/>
      <c r="D77" s="97"/>
      <c r="E77" s="97"/>
      <c r="F77" s="129"/>
      <c r="G77" s="114"/>
      <c r="H77" s="219"/>
      <c r="I77" s="114"/>
      <c r="J77" s="114"/>
      <c r="K77" s="92"/>
      <c r="L77" s="95">
        <f t="shared" si="24"/>
        <v>0</v>
      </c>
      <c r="M77" s="878">
        <f t="shared" si="15"/>
        <v>0</v>
      </c>
      <c r="N77" s="878">
        <f t="shared" si="16"/>
        <v>0</v>
      </c>
      <c r="O77" s="893" t="str">
        <f t="shared" si="17"/>
        <v>-</v>
      </c>
      <c r="P77" s="878">
        <f t="shared" si="13"/>
        <v>0</v>
      </c>
      <c r="Q77" s="92"/>
      <c r="R77" s="878">
        <f t="shared" si="18"/>
        <v>0</v>
      </c>
      <c r="S77" s="878">
        <f t="shared" si="19"/>
        <v>0</v>
      </c>
      <c r="T77" s="878">
        <f t="shared" si="20"/>
        <v>0</v>
      </c>
      <c r="U77" s="878">
        <f t="shared" si="21"/>
        <v>0</v>
      </c>
      <c r="V77" s="878">
        <f t="shared" si="21"/>
        <v>0</v>
      </c>
      <c r="W77" s="92"/>
      <c r="X77" s="878">
        <f t="shared" si="22"/>
        <v>0</v>
      </c>
      <c r="Y77" s="878">
        <f t="shared" si="22"/>
        <v>0</v>
      </c>
      <c r="Z77" s="878">
        <f t="shared" si="22"/>
        <v>0</v>
      </c>
      <c r="AA77" s="878">
        <f t="shared" ref="AA77:AB92" si="25">IF(AA$8=$I77,($G77*$H77),0)</f>
        <v>0</v>
      </c>
      <c r="AB77" s="878">
        <f t="shared" si="25"/>
        <v>0</v>
      </c>
      <c r="AC77" s="162"/>
      <c r="AD77" s="70"/>
    </row>
    <row r="78" spans="2:30" x14ac:dyDescent="0.2">
      <c r="B78" s="70"/>
      <c r="C78" s="90"/>
      <c r="D78" s="97"/>
      <c r="E78" s="97"/>
      <c r="F78" s="129"/>
      <c r="G78" s="114"/>
      <c r="H78" s="219"/>
      <c r="I78" s="114"/>
      <c r="J78" s="114"/>
      <c r="K78" s="92"/>
      <c r="L78" s="95">
        <f t="shared" si="24"/>
        <v>0</v>
      </c>
      <c r="M78" s="878">
        <f t="shared" si="15"/>
        <v>0</v>
      </c>
      <c r="N78" s="878">
        <f t="shared" si="16"/>
        <v>0</v>
      </c>
      <c r="O78" s="893" t="str">
        <f t="shared" si="17"/>
        <v>-</v>
      </c>
      <c r="P78" s="878">
        <f t="shared" ref="P78:P109" si="26">IF(J78="geen",IF(I78&lt;$R$8,G78*H78,0),IF(I78&gt;=$R$8,0,IF((H78*G78-(R$8-I78)*N78)&lt;0,0,H78*G78-(R$8-I78)*N78)))</f>
        <v>0</v>
      </c>
      <c r="Q78" s="92"/>
      <c r="R78" s="878">
        <f t="shared" si="18"/>
        <v>0</v>
      </c>
      <c r="S78" s="878">
        <f t="shared" si="19"/>
        <v>0</v>
      </c>
      <c r="T78" s="878">
        <f t="shared" si="20"/>
        <v>0</v>
      </c>
      <c r="U78" s="878">
        <f t="shared" si="21"/>
        <v>0</v>
      </c>
      <c r="V78" s="878">
        <f t="shared" si="21"/>
        <v>0</v>
      </c>
      <c r="W78" s="92"/>
      <c r="X78" s="878">
        <f t="shared" si="22"/>
        <v>0</v>
      </c>
      <c r="Y78" s="878">
        <f t="shared" si="22"/>
        <v>0</v>
      </c>
      <c r="Z78" s="878">
        <f t="shared" si="22"/>
        <v>0</v>
      </c>
      <c r="AA78" s="878">
        <f t="shared" si="25"/>
        <v>0</v>
      </c>
      <c r="AB78" s="878">
        <f t="shared" si="25"/>
        <v>0</v>
      </c>
      <c r="AC78" s="162"/>
      <c r="AD78" s="70"/>
    </row>
    <row r="79" spans="2:30" x14ac:dyDescent="0.2">
      <c r="B79" s="70"/>
      <c r="C79" s="90"/>
      <c r="D79" s="97"/>
      <c r="E79" s="97"/>
      <c r="F79" s="129"/>
      <c r="G79" s="114"/>
      <c r="H79" s="219"/>
      <c r="I79" s="114"/>
      <c r="J79" s="114"/>
      <c r="K79" s="92"/>
      <c r="L79" s="95">
        <f t="shared" si="24"/>
        <v>0</v>
      </c>
      <c r="M79" s="878">
        <f t="shared" si="15"/>
        <v>0</v>
      </c>
      <c r="N79" s="878">
        <f t="shared" si="16"/>
        <v>0</v>
      </c>
      <c r="O79" s="893" t="str">
        <f t="shared" si="17"/>
        <v>-</v>
      </c>
      <c r="P79" s="878">
        <f t="shared" si="26"/>
        <v>0</v>
      </c>
      <c r="Q79" s="92"/>
      <c r="R79" s="878">
        <f t="shared" si="18"/>
        <v>0</v>
      </c>
      <c r="S79" s="878">
        <f t="shared" si="19"/>
        <v>0</v>
      </c>
      <c r="T79" s="878">
        <f t="shared" si="20"/>
        <v>0</v>
      </c>
      <c r="U79" s="878">
        <f t="shared" si="21"/>
        <v>0</v>
      </c>
      <c r="V79" s="878">
        <f t="shared" si="21"/>
        <v>0</v>
      </c>
      <c r="W79" s="92"/>
      <c r="X79" s="878">
        <f t="shared" si="22"/>
        <v>0</v>
      </c>
      <c r="Y79" s="878">
        <f t="shared" si="22"/>
        <v>0</v>
      </c>
      <c r="Z79" s="878">
        <f t="shared" si="22"/>
        <v>0</v>
      </c>
      <c r="AA79" s="878">
        <f t="shared" si="25"/>
        <v>0</v>
      </c>
      <c r="AB79" s="878">
        <f t="shared" si="25"/>
        <v>0</v>
      </c>
      <c r="AC79" s="162"/>
      <c r="AD79" s="70"/>
    </row>
    <row r="80" spans="2:30" x14ac:dyDescent="0.2">
      <c r="B80" s="70"/>
      <c r="C80" s="90"/>
      <c r="D80" s="97"/>
      <c r="E80" s="97"/>
      <c r="F80" s="129"/>
      <c r="G80" s="114"/>
      <c r="H80" s="219"/>
      <c r="I80" s="114"/>
      <c r="J80" s="114"/>
      <c r="K80" s="92"/>
      <c r="L80" s="95">
        <f t="shared" si="24"/>
        <v>0</v>
      </c>
      <c r="M80" s="878">
        <f t="shared" si="15"/>
        <v>0</v>
      </c>
      <c r="N80" s="878">
        <f t="shared" si="16"/>
        <v>0</v>
      </c>
      <c r="O80" s="893" t="str">
        <f t="shared" si="17"/>
        <v>-</v>
      </c>
      <c r="P80" s="878">
        <f t="shared" si="26"/>
        <v>0</v>
      </c>
      <c r="Q80" s="92"/>
      <c r="R80" s="878">
        <f t="shared" si="18"/>
        <v>0</v>
      </c>
      <c r="S80" s="878">
        <f t="shared" si="19"/>
        <v>0</v>
      </c>
      <c r="T80" s="878">
        <f t="shared" si="20"/>
        <v>0</v>
      </c>
      <c r="U80" s="878">
        <f t="shared" si="21"/>
        <v>0</v>
      </c>
      <c r="V80" s="878">
        <f t="shared" si="21"/>
        <v>0</v>
      </c>
      <c r="W80" s="92"/>
      <c r="X80" s="878">
        <f t="shared" si="22"/>
        <v>0</v>
      </c>
      <c r="Y80" s="878">
        <f t="shared" si="22"/>
        <v>0</v>
      </c>
      <c r="Z80" s="878">
        <f t="shared" si="22"/>
        <v>0</v>
      </c>
      <c r="AA80" s="878">
        <f t="shared" si="25"/>
        <v>0</v>
      </c>
      <c r="AB80" s="878">
        <f t="shared" si="25"/>
        <v>0</v>
      </c>
      <c r="AC80" s="162"/>
      <c r="AD80" s="70"/>
    </row>
    <row r="81" spans="2:30" x14ac:dyDescent="0.2">
      <c r="B81" s="70"/>
      <c r="C81" s="90"/>
      <c r="D81" s="97"/>
      <c r="E81" s="97"/>
      <c r="F81" s="129"/>
      <c r="G81" s="114"/>
      <c r="H81" s="219"/>
      <c r="I81" s="114"/>
      <c r="J81" s="114"/>
      <c r="K81" s="92"/>
      <c r="L81" s="95">
        <f t="shared" ref="L81:L87" si="27">IF(J81="geen",9999999999,J81)</f>
        <v>0</v>
      </c>
      <c r="M81" s="878">
        <f t="shared" ref="M81:M87" si="28">G81*H81</f>
        <v>0</v>
      </c>
      <c r="N81" s="878">
        <f t="shared" ref="N81:N87" si="29">IF(G81=0,0,(G81*H81)/L81)</f>
        <v>0</v>
      </c>
      <c r="O81" s="893" t="str">
        <f t="shared" ref="O81:O86" si="30">IF(L81=0,"-",(IF(L81&gt;3000,"-",I81+L81-1)))</f>
        <v>-</v>
      </c>
      <c r="P81" s="878">
        <f t="shared" si="26"/>
        <v>0</v>
      </c>
      <c r="Q81" s="92"/>
      <c r="R81" s="878">
        <f t="shared" si="18"/>
        <v>0</v>
      </c>
      <c r="S81" s="878">
        <f t="shared" si="19"/>
        <v>0</v>
      </c>
      <c r="T81" s="878">
        <f t="shared" si="20"/>
        <v>0</v>
      </c>
      <c r="U81" s="878">
        <f t="shared" si="21"/>
        <v>0</v>
      </c>
      <c r="V81" s="878">
        <f t="shared" si="21"/>
        <v>0</v>
      </c>
      <c r="W81" s="92"/>
      <c r="X81" s="878">
        <f t="shared" si="22"/>
        <v>0</v>
      </c>
      <c r="Y81" s="878">
        <f t="shared" si="22"/>
        <v>0</v>
      </c>
      <c r="Z81" s="878">
        <f t="shared" si="22"/>
        <v>0</v>
      </c>
      <c r="AA81" s="878">
        <f t="shared" si="25"/>
        <v>0</v>
      </c>
      <c r="AB81" s="878">
        <f t="shared" si="25"/>
        <v>0</v>
      </c>
      <c r="AC81" s="162"/>
      <c r="AD81" s="70"/>
    </row>
    <row r="82" spans="2:30" x14ac:dyDescent="0.2">
      <c r="B82" s="70"/>
      <c r="C82" s="90"/>
      <c r="D82" s="97"/>
      <c r="E82" s="97"/>
      <c r="F82" s="129"/>
      <c r="G82" s="114"/>
      <c r="H82" s="219"/>
      <c r="I82" s="114"/>
      <c r="J82" s="114"/>
      <c r="K82" s="92"/>
      <c r="L82" s="95">
        <f t="shared" si="27"/>
        <v>0</v>
      </c>
      <c r="M82" s="878">
        <f t="shared" si="28"/>
        <v>0</v>
      </c>
      <c r="N82" s="878">
        <f t="shared" si="29"/>
        <v>0</v>
      </c>
      <c r="O82" s="893" t="str">
        <f t="shared" si="30"/>
        <v>-</v>
      </c>
      <c r="P82" s="878">
        <f t="shared" si="26"/>
        <v>0</v>
      </c>
      <c r="Q82" s="92"/>
      <c r="R82" s="878">
        <f t="shared" si="18"/>
        <v>0</v>
      </c>
      <c r="S82" s="878">
        <f t="shared" si="19"/>
        <v>0</v>
      </c>
      <c r="T82" s="878">
        <f t="shared" si="20"/>
        <v>0</v>
      </c>
      <c r="U82" s="878">
        <f t="shared" si="21"/>
        <v>0</v>
      </c>
      <c r="V82" s="878">
        <f t="shared" si="21"/>
        <v>0</v>
      </c>
      <c r="W82" s="92"/>
      <c r="X82" s="878">
        <f t="shared" si="22"/>
        <v>0</v>
      </c>
      <c r="Y82" s="878">
        <f t="shared" si="22"/>
        <v>0</v>
      </c>
      <c r="Z82" s="878">
        <f t="shared" si="22"/>
        <v>0</v>
      </c>
      <c r="AA82" s="878">
        <f t="shared" si="25"/>
        <v>0</v>
      </c>
      <c r="AB82" s="878">
        <f t="shared" si="25"/>
        <v>0</v>
      </c>
      <c r="AC82" s="162"/>
      <c r="AD82" s="70"/>
    </row>
    <row r="83" spans="2:30" x14ac:dyDescent="0.2">
      <c r="B83" s="70"/>
      <c r="C83" s="90"/>
      <c r="D83" s="97"/>
      <c r="E83" s="97"/>
      <c r="F83" s="129"/>
      <c r="G83" s="114"/>
      <c r="H83" s="219"/>
      <c r="I83" s="114"/>
      <c r="J83" s="114"/>
      <c r="K83" s="92"/>
      <c r="L83" s="95">
        <f t="shared" si="27"/>
        <v>0</v>
      </c>
      <c r="M83" s="878">
        <f t="shared" si="28"/>
        <v>0</v>
      </c>
      <c r="N83" s="878">
        <f t="shared" si="29"/>
        <v>0</v>
      </c>
      <c r="O83" s="893" t="str">
        <f t="shared" si="30"/>
        <v>-</v>
      </c>
      <c r="P83" s="878">
        <f t="shared" si="26"/>
        <v>0</v>
      </c>
      <c r="Q83" s="92"/>
      <c r="R83" s="878">
        <f t="shared" si="18"/>
        <v>0</v>
      </c>
      <c r="S83" s="878">
        <f t="shared" si="19"/>
        <v>0</v>
      </c>
      <c r="T83" s="878">
        <f t="shared" si="20"/>
        <v>0</v>
      </c>
      <c r="U83" s="878">
        <f t="shared" si="21"/>
        <v>0</v>
      </c>
      <c r="V83" s="878">
        <f t="shared" si="21"/>
        <v>0</v>
      </c>
      <c r="W83" s="92"/>
      <c r="X83" s="878">
        <f t="shared" si="22"/>
        <v>0</v>
      </c>
      <c r="Y83" s="878">
        <f t="shared" si="22"/>
        <v>0</v>
      </c>
      <c r="Z83" s="878">
        <f t="shared" si="22"/>
        <v>0</v>
      </c>
      <c r="AA83" s="878">
        <f t="shared" si="25"/>
        <v>0</v>
      </c>
      <c r="AB83" s="878">
        <f t="shared" si="25"/>
        <v>0</v>
      </c>
      <c r="AC83" s="162"/>
      <c r="AD83" s="70"/>
    </row>
    <row r="84" spans="2:30" x14ac:dyDescent="0.2">
      <c r="B84" s="70"/>
      <c r="C84" s="90"/>
      <c r="D84" s="97"/>
      <c r="E84" s="97"/>
      <c r="F84" s="129"/>
      <c r="G84" s="114"/>
      <c r="H84" s="219"/>
      <c r="I84" s="114"/>
      <c r="J84" s="114"/>
      <c r="K84" s="92"/>
      <c r="L84" s="95">
        <f t="shared" si="27"/>
        <v>0</v>
      </c>
      <c r="M84" s="878">
        <f t="shared" si="28"/>
        <v>0</v>
      </c>
      <c r="N84" s="878">
        <f t="shared" si="29"/>
        <v>0</v>
      </c>
      <c r="O84" s="893" t="str">
        <f t="shared" si="30"/>
        <v>-</v>
      </c>
      <c r="P84" s="878">
        <f t="shared" si="26"/>
        <v>0</v>
      </c>
      <c r="Q84" s="92"/>
      <c r="R84" s="878">
        <f t="shared" si="18"/>
        <v>0</v>
      </c>
      <c r="S84" s="878">
        <f t="shared" si="19"/>
        <v>0</v>
      </c>
      <c r="T84" s="878">
        <f t="shared" si="20"/>
        <v>0</v>
      </c>
      <c r="U84" s="878">
        <f t="shared" si="21"/>
        <v>0</v>
      </c>
      <c r="V84" s="878">
        <f t="shared" si="21"/>
        <v>0</v>
      </c>
      <c r="W84" s="92"/>
      <c r="X84" s="878">
        <f t="shared" si="22"/>
        <v>0</v>
      </c>
      <c r="Y84" s="878">
        <f t="shared" si="22"/>
        <v>0</v>
      </c>
      <c r="Z84" s="878">
        <f t="shared" si="22"/>
        <v>0</v>
      </c>
      <c r="AA84" s="878">
        <f t="shared" si="25"/>
        <v>0</v>
      </c>
      <c r="AB84" s="878">
        <f t="shared" si="25"/>
        <v>0</v>
      </c>
      <c r="AC84" s="162"/>
      <c r="AD84" s="70"/>
    </row>
    <row r="85" spans="2:30" x14ac:dyDescent="0.2">
      <c r="B85" s="70"/>
      <c r="C85" s="90"/>
      <c r="D85" s="97"/>
      <c r="E85" s="97"/>
      <c r="F85" s="129"/>
      <c r="G85" s="114"/>
      <c r="H85" s="219"/>
      <c r="I85" s="114"/>
      <c r="J85" s="114"/>
      <c r="K85" s="92"/>
      <c r="L85" s="95">
        <f t="shared" si="27"/>
        <v>0</v>
      </c>
      <c r="M85" s="878">
        <f t="shared" si="28"/>
        <v>0</v>
      </c>
      <c r="N85" s="878">
        <f t="shared" si="29"/>
        <v>0</v>
      </c>
      <c r="O85" s="893" t="str">
        <f t="shared" si="30"/>
        <v>-</v>
      </c>
      <c r="P85" s="878">
        <f t="shared" si="26"/>
        <v>0</v>
      </c>
      <c r="Q85" s="92"/>
      <c r="R85" s="878">
        <f t="shared" si="18"/>
        <v>0</v>
      </c>
      <c r="S85" s="878">
        <f t="shared" si="19"/>
        <v>0</v>
      </c>
      <c r="T85" s="878">
        <f t="shared" si="20"/>
        <v>0</v>
      </c>
      <c r="U85" s="878">
        <f t="shared" si="21"/>
        <v>0</v>
      </c>
      <c r="V85" s="878">
        <f t="shared" si="21"/>
        <v>0</v>
      </c>
      <c r="W85" s="92"/>
      <c r="X85" s="878">
        <f t="shared" si="22"/>
        <v>0</v>
      </c>
      <c r="Y85" s="878">
        <f t="shared" si="22"/>
        <v>0</v>
      </c>
      <c r="Z85" s="878">
        <f t="shared" si="22"/>
        <v>0</v>
      </c>
      <c r="AA85" s="878">
        <f t="shared" si="25"/>
        <v>0</v>
      </c>
      <c r="AB85" s="878">
        <f t="shared" si="25"/>
        <v>0</v>
      </c>
      <c r="AC85" s="162"/>
      <c r="AD85" s="70"/>
    </row>
    <row r="86" spans="2:30" x14ac:dyDescent="0.2">
      <c r="B86" s="70"/>
      <c r="C86" s="90"/>
      <c r="D86" s="97"/>
      <c r="E86" s="97"/>
      <c r="F86" s="129"/>
      <c r="G86" s="114"/>
      <c r="H86" s="219"/>
      <c r="I86" s="114"/>
      <c r="J86" s="114"/>
      <c r="K86" s="92"/>
      <c r="L86" s="95">
        <f t="shared" si="27"/>
        <v>0</v>
      </c>
      <c r="M86" s="878">
        <f t="shared" si="28"/>
        <v>0</v>
      </c>
      <c r="N86" s="878">
        <f t="shared" si="29"/>
        <v>0</v>
      </c>
      <c r="O86" s="893" t="str">
        <f t="shared" si="30"/>
        <v>-</v>
      </c>
      <c r="P86" s="878">
        <f t="shared" si="26"/>
        <v>0</v>
      </c>
      <c r="Q86" s="92"/>
      <c r="R86" s="878">
        <f t="shared" si="18"/>
        <v>0</v>
      </c>
      <c r="S86" s="878">
        <f t="shared" si="19"/>
        <v>0</v>
      </c>
      <c r="T86" s="878">
        <f t="shared" si="20"/>
        <v>0</v>
      </c>
      <c r="U86" s="878">
        <f t="shared" si="21"/>
        <v>0</v>
      </c>
      <c r="V86" s="878">
        <f t="shared" si="21"/>
        <v>0</v>
      </c>
      <c r="W86" s="92"/>
      <c r="X86" s="878">
        <f t="shared" si="22"/>
        <v>0</v>
      </c>
      <c r="Y86" s="878">
        <f t="shared" si="22"/>
        <v>0</v>
      </c>
      <c r="Z86" s="878">
        <f t="shared" si="22"/>
        <v>0</v>
      </c>
      <c r="AA86" s="878">
        <f t="shared" si="25"/>
        <v>0</v>
      </c>
      <c r="AB86" s="878">
        <f t="shared" si="25"/>
        <v>0</v>
      </c>
      <c r="AC86" s="162"/>
      <c r="AD86" s="70"/>
    </row>
    <row r="87" spans="2:30" x14ac:dyDescent="0.2">
      <c r="B87" s="70"/>
      <c r="C87" s="90"/>
      <c r="D87" s="97"/>
      <c r="E87" s="97"/>
      <c r="F87" s="129"/>
      <c r="G87" s="114"/>
      <c r="H87" s="219"/>
      <c r="I87" s="114"/>
      <c r="J87" s="114"/>
      <c r="K87" s="92"/>
      <c r="L87" s="95">
        <f t="shared" si="27"/>
        <v>0</v>
      </c>
      <c r="M87" s="878">
        <f t="shared" si="28"/>
        <v>0</v>
      </c>
      <c r="N87" s="878">
        <f t="shared" si="29"/>
        <v>0</v>
      </c>
      <c r="O87" s="893" t="str">
        <f>IF(L87=0,"-",(IF(L87&gt;3000,"-",I87+L87-1)))</f>
        <v>-</v>
      </c>
      <c r="P87" s="878">
        <f t="shared" si="26"/>
        <v>0</v>
      </c>
      <c r="Q87" s="92"/>
      <c r="R87" s="878">
        <f t="shared" si="18"/>
        <v>0</v>
      </c>
      <c r="S87" s="878">
        <f t="shared" si="19"/>
        <v>0</v>
      </c>
      <c r="T87" s="878">
        <f t="shared" si="20"/>
        <v>0</v>
      </c>
      <c r="U87" s="878">
        <f t="shared" si="21"/>
        <v>0</v>
      </c>
      <c r="V87" s="878">
        <f t="shared" si="21"/>
        <v>0</v>
      </c>
      <c r="W87" s="92"/>
      <c r="X87" s="878">
        <f t="shared" si="22"/>
        <v>0</v>
      </c>
      <c r="Y87" s="878">
        <f t="shared" si="22"/>
        <v>0</v>
      </c>
      <c r="Z87" s="878">
        <f t="shared" si="22"/>
        <v>0</v>
      </c>
      <c r="AA87" s="878">
        <f t="shared" si="25"/>
        <v>0</v>
      </c>
      <c r="AB87" s="878">
        <f t="shared" si="25"/>
        <v>0</v>
      </c>
      <c r="AC87" s="162"/>
      <c r="AD87" s="70"/>
    </row>
    <row r="88" spans="2:30" x14ac:dyDescent="0.2">
      <c r="B88" s="70"/>
      <c r="C88" s="90"/>
      <c r="D88" s="97"/>
      <c r="E88" s="97"/>
      <c r="F88" s="129"/>
      <c r="G88" s="114"/>
      <c r="H88" s="219"/>
      <c r="I88" s="114"/>
      <c r="J88" s="114"/>
      <c r="K88" s="92"/>
      <c r="L88" s="95">
        <f t="shared" si="24"/>
        <v>0</v>
      </c>
      <c r="M88" s="878">
        <f t="shared" si="15"/>
        <v>0</v>
      </c>
      <c r="N88" s="878">
        <f t="shared" si="16"/>
        <v>0</v>
      </c>
      <c r="O88" s="893" t="str">
        <f t="shared" si="17"/>
        <v>-</v>
      </c>
      <c r="P88" s="878">
        <f t="shared" si="26"/>
        <v>0</v>
      </c>
      <c r="Q88" s="92"/>
      <c r="R88" s="878">
        <f t="shared" si="18"/>
        <v>0</v>
      </c>
      <c r="S88" s="878">
        <f t="shared" si="19"/>
        <v>0</v>
      </c>
      <c r="T88" s="878">
        <f t="shared" si="20"/>
        <v>0</v>
      </c>
      <c r="U88" s="878">
        <f t="shared" si="21"/>
        <v>0</v>
      </c>
      <c r="V88" s="878">
        <f t="shared" si="21"/>
        <v>0</v>
      </c>
      <c r="W88" s="92"/>
      <c r="X88" s="878">
        <f t="shared" si="22"/>
        <v>0</v>
      </c>
      <c r="Y88" s="878">
        <f t="shared" si="22"/>
        <v>0</v>
      </c>
      <c r="Z88" s="878">
        <f t="shared" si="22"/>
        <v>0</v>
      </c>
      <c r="AA88" s="878">
        <f t="shared" si="25"/>
        <v>0</v>
      </c>
      <c r="AB88" s="878">
        <f t="shared" si="25"/>
        <v>0</v>
      </c>
      <c r="AC88" s="162"/>
      <c r="AD88" s="70"/>
    </row>
    <row r="89" spans="2:30" x14ac:dyDescent="0.2">
      <c r="B89" s="70"/>
      <c r="C89" s="90"/>
      <c r="D89" s="97"/>
      <c r="E89" s="97"/>
      <c r="F89" s="129"/>
      <c r="G89" s="114"/>
      <c r="H89" s="219"/>
      <c r="I89" s="114"/>
      <c r="J89" s="114"/>
      <c r="K89" s="92"/>
      <c r="L89" s="95">
        <f t="shared" si="24"/>
        <v>0</v>
      </c>
      <c r="M89" s="878">
        <f t="shared" si="15"/>
        <v>0</v>
      </c>
      <c r="N89" s="878">
        <f t="shared" si="16"/>
        <v>0</v>
      </c>
      <c r="O89" s="893" t="str">
        <f t="shared" si="17"/>
        <v>-</v>
      </c>
      <c r="P89" s="878">
        <f t="shared" si="26"/>
        <v>0</v>
      </c>
      <c r="Q89" s="92"/>
      <c r="R89" s="878">
        <f t="shared" si="18"/>
        <v>0</v>
      </c>
      <c r="S89" s="878">
        <f t="shared" si="19"/>
        <v>0</v>
      </c>
      <c r="T89" s="878">
        <f t="shared" si="20"/>
        <v>0</v>
      </c>
      <c r="U89" s="878">
        <f t="shared" si="21"/>
        <v>0</v>
      </c>
      <c r="V89" s="878">
        <f t="shared" si="21"/>
        <v>0</v>
      </c>
      <c r="W89" s="92"/>
      <c r="X89" s="878">
        <f t="shared" si="22"/>
        <v>0</v>
      </c>
      <c r="Y89" s="878">
        <f t="shared" si="22"/>
        <v>0</v>
      </c>
      <c r="Z89" s="878">
        <f t="shared" si="22"/>
        <v>0</v>
      </c>
      <c r="AA89" s="878">
        <f t="shared" si="25"/>
        <v>0</v>
      </c>
      <c r="AB89" s="878">
        <f t="shared" si="25"/>
        <v>0</v>
      </c>
      <c r="AC89" s="162"/>
      <c r="AD89" s="70"/>
    </row>
    <row r="90" spans="2:30" x14ac:dyDescent="0.2">
      <c r="B90" s="70"/>
      <c r="C90" s="90"/>
      <c r="D90" s="97"/>
      <c r="E90" s="97"/>
      <c r="F90" s="129"/>
      <c r="G90" s="114"/>
      <c r="H90" s="219"/>
      <c r="I90" s="114"/>
      <c r="J90" s="114"/>
      <c r="K90" s="92"/>
      <c r="L90" s="95">
        <f t="shared" si="24"/>
        <v>0</v>
      </c>
      <c r="M90" s="878">
        <f t="shared" si="15"/>
        <v>0</v>
      </c>
      <c r="N90" s="878">
        <f t="shared" si="16"/>
        <v>0</v>
      </c>
      <c r="O90" s="893" t="str">
        <f t="shared" si="17"/>
        <v>-</v>
      </c>
      <c r="P90" s="878">
        <f t="shared" si="26"/>
        <v>0</v>
      </c>
      <c r="Q90" s="92"/>
      <c r="R90" s="878">
        <f t="shared" si="18"/>
        <v>0</v>
      </c>
      <c r="S90" s="878">
        <f t="shared" si="19"/>
        <v>0</v>
      </c>
      <c r="T90" s="878">
        <f t="shared" si="20"/>
        <v>0</v>
      </c>
      <c r="U90" s="878">
        <f t="shared" si="21"/>
        <v>0</v>
      </c>
      <c r="V90" s="878">
        <f t="shared" si="21"/>
        <v>0</v>
      </c>
      <c r="W90" s="92"/>
      <c r="X90" s="878">
        <f t="shared" si="22"/>
        <v>0</v>
      </c>
      <c r="Y90" s="878">
        <f t="shared" si="22"/>
        <v>0</v>
      </c>
      <c r="Z90" s="878">
        <f t="shared" si="22"/>
        <v>0</v>
      </c>
      <c r="AA90" s="878">
        <f t="shared" si="25"/>
        <v>0</v>
      </c>
      <c r="AB90" s="878">
        <f t="shared" si="25"/>
        <v>0</v>
      </c>
      <c r="AC90" s="162"/>
      <c r="AD90" s="70"/>
    </row>
    <row r="91" spans="2:30" x14ac:dyDescent="0.2">
      <c r="B91" s="70"/>
      <c r="C91" s="90"/>
      <c r="D91" s="97"/>
      <c r="E91" s="97"/>
      <c r="F91" s="129"/>
      <c r="G91" s="114"/>
      <c r="H91" s="219"/>
      <c r="I91" s="114"/>
      <c r="J91" s="114"/>
      <c r="K91" s="92"/>
      <c r="L91" s="95">
        <f t="shared" si="24"/>
        <v>0</v>
      </c>
      <c r="M91" s="878">
        <f t="shared" si="15"/>
        <v>0</v>
      </c>
      <c r="N91" s="878">
        <f t="shared" si="16"/>
        <v>0</v>
      </c>
      <c r="O91" s="893" t="str">
        <f t="shared" si="17"/>
        <v>-</v>
      </c>
      <c r="P91" s="878">
        <f t="shared" si="26"/>
        <v>0</v>
      </c>
      <c r="Q91" s="92"/>
      <c r="R91" s="878">
        <f t="shared" si="18"/>
        <v>0</v>
      </c>
      <c r="S91" s="878">
        <f t="shared" si="19"/>
        <v>0</v>
      </c>
      <c r="T91" s="878">
        <f t="shared" si="20"/>
        <v>0</v>
      </c>
      <c r="U91" s="878">
        <f t="shared" si="21"/>
        <v>0</v>
      </c>
      <c r="V91" s="878">
        <f t="shared" si="21"/>
        <v>0</v>
      </c>
      <c r="W91" s="92"/>
      <c r="X91" s="878">
        <f t="shared" ref="X91:Z108" si="31">IF(X$8=$I91,($G91*$H91),0)</f>
        <v>0</v>
      </c>
      <c r="Y91" s="878">
        <f t="shared" si="31"/>
        <v>0</v>
      </c>
      <c r="Z91" s="878">
        <f t="shared" si="31"/>
        <v>0</v>
      </c>
      <c r="AA91" s="878">
        <f t="shared" ref="AA91:AB99" si="32">IF(AA$8=$I91,($G91*$H91),0)</f>
        <v>0</v>
      </c>
      <c r="AB91" s="878">
        <f t="shared" si="32"/>
        <v>0</v>
      </c>
      <c r="AC91" s="162"/>
      <c r="AD91" s="70"/>
    </row>
    <row r="92" spans="2:30" x14ac:dyDescent="0.2">
      <c r="B92" s="70"/>
      <c r="C92" s="90"/>
      <c r="D92" s="97"/>
      <c r="E92" s="97"/>
      <c r="F92" s="129"/>
      <c r="G92" s="114"/>
      <c r="H92" s="219"/>
      <c r="I92" s="114"/>
      <c r="J92" s="114"/>
      <c r="K92" s="92"/>
      <c r="L92" s="95">
        <f>IF(J92="geen",9999999999,J92)</f>
        <v>0</v>
      </c>
      <c r="M92" s="878">
        <f>G92*H92</f>
        <v>0</v>
      </c>
      <c r="N92" s="878">
        <f>IF(G92=0,0,(G92*H92)/L92)</f>
        <v>0</v>
      </c>
      <c r="O92" s="893" t="str">
        <f>IF(L92=0,"-",(IF(L92&gt;3000,"-",I92+L92-1)))</f>
        <v>-</v>
      </c>
      <c r="P92" s="878">
        <f t="shared" si="26"/>
        <v>0</v>
      </c>
      <c r="Q92" s="92"/>
      <c r="R92" s="878">
        <f t="shared" si="18"/>
        <v>0</v>
      </c>
      <c r="S92" s="878">
        <f t="shared" si="19"/>
        <v>0</v>
      </c>
      <c r="T92" s="878">
        <f t="shared" si="20"/>
        <v>0</v>
      </c>
      <c r="U92" s="878">
        <f t="shared" si="21"/>
        <v>0</v>
      </c>
      <c r="V92" s="878">
        <f t="shared" si="21"/>
        <v>0</v>
      </c>
      <c r="W92" s="92"/>
      <c r="X92" s="878">
        <f t="shared" si="22"/>
        <v>0</v>
      </c>
      <c r="Y92" s="878">
        <f t="shared" si="22"/>
        <v>0</v>
      </c>
      <c r="Z92" s="878">
        <f t="shared" si="22"/>
        <v>0</v>
      </c>
      <c r="AA92" s="878">
        <f t="shared" si="25"/>
        <v>0</v>
      </c>
      <c r="AB92" s="878">
        <f t="shared" si="25"/>
        <v>0</v>
      </c>
      <c r="AC92" s="162"/>
      <c r="AD92" s="70"/>
    </row>
    <row r="93" spans="2:30" x14ac:dyDescent="0.2">
      <c r="B93" s="70"/>
      <c r="C93" s="90"/>
      <c r="D93" s="97"/>
      <c r="E93" s="97"/>
      <c r="F93" s="129"/>
      <c r="G93" s="114"/>
      <c r="H93" s="219"/>
      <c r="I93" s="114"/>
      <c r="J93" s="114"/>
      <c r="K93" s="92"/>
      <c r="L93" s="95">
        <f t="shared" si="24"/>
        <v>0</v>
      </c>
      <c r="M93" s="878">
        <f t="shared" si="15"/>
        <v>0</v>
      </c>
      <c r="N93" s="878">
        <f t="shared" si="16"/>
        <v>0</v>
      </c>
      <c r="O93" s="893" t="str">
        <f t="shared" si="17"/>
        <v>-</v>
      </c>
      <c r="P93" s="878">
        <f t="shared" si="26"/>
        <v>0</v>
      </c>
      <c r="Q93" s="92"/>
      <c r="R93" s="878">
        <f t="shared" si="18"/>
        <v>0</v>
      </c>
      <c r="S93" s="878">
        <f t="shared" si="19"/>
        <v>0</v>
      </c>
      <c r="T93" s="878">
        <f t="shared" si="20"/>
        <v>0</v>
      </c>
      <c r="U93" s="878">
        <f t="shared" si="21"/>
        <v>0</v>
      </c>
      <c r="V93" s="878">
        <f t="shared" si="21"/>
        <v>0</v>
      </c>
      <c r="W93" s="92"/>
      <c r="X93" s="878">
        <f t="shared" si="31"/>
        <v>0</v>
      </c>
      <c r="Y93" s="878">
        <f t="shared" si="31"/>
        <v>0</v>
      </c>
      <c r="Z93" s="878">
        <f t="shared" si="31"/>
        <v>0</v>
      </c>
      <c r="AA93" s="878">
        <f t="shared" si="32"/>
        <v>0</v>
      </c>
      <c r="AB93" s="878">
        <f t="shared" si="32"/>
        <v>0</v>
      </c>
      <c r="AC93" s="162"/>
      <c r="AD93" s="70"/>
    </row>
    <row r="94" spans="2:30" x14ac:dyDescent="0.2">
      <c r="B94" s="70"/>
      <c r="C94" s="90"/>
      <c r="D94" s="97"/>
      <c r="E94" s="97"/>
      <c r="F94" s="129"/>
      <c r="G94" s="114"/>
      <c r="H94" s="219"/>
      <c r="I94" s="114"/>
      <c r="J94" s="114"/>
      <c r="K94" s="92"/>
      <c r="L94" s="95">
        <f t="shared" si="24"/>
        <v>0</v>
      </c>
      <c r="M94" s="878">
        <f t="shared" si="15"/>
        <v>0</v>
      </c>
      <c r="N94" s="878">
        <f t="shared" si="16"/>
        <v>0</v>
      </c>
      <c r="O94" s="893" t="str">
        <f t="shared" si="17"/>
        <v>-</v>
      </c>
      <c r="P94" s="878">
        <f t="shared" si="26"/>
        <v>0</v>
      </c>
      <c r="Q94" s="92"/>
      <c r="R94" s="878">
        <f t="shared" si="18"/>
        <v>0</v>
      </c>
      <c r="S94" s="878">
        <f t="shared" si="19"/>
        <v>0</v>
      </c>
      <c r="T94" s="878">
        <f t="shared" si="20"/>
        <v>0</v>
      </c>
      <c r="U94" s="878">
        <f t="shared" si="21"/>
        <v>0</v>
      </c>
      <c r="V94" s="878">
        <f t="shared" si="21"/>
        <v>0</v>
      </c>
      <c r="W94" s="92"/>
      <c r="X94" s="878">
        <f t="shared" si="31"/>
        <v>0</v>
      </c>
      <c r="Y94" s="878">
        <f t="shared" si="31"/>
        <v>0</v>
      </c>
      <c r="Z94" s="878">
        <f t="shared" si="31"/>
        <v>0</v>
      </c>
      <c r="AA94" s="878">
        <f t="shared" si="32"/>
        <v>0</v>
      </c>
      <c r="AB94" s="878">
        <f t="shared" si="32"/>
        <v>0</v>
      </c>
      <c r="AC94" s="162"/>
      <c r="AD94" s="70"/>
    </row>
    <row r="95" spans="2:30" x14ac:dyDescent="0.2">
      <c r="B95" s="70"/>
      <c r="C95" s="90"/>
      <c r="D95" s="97"/>
      <c r="E95" s="97"/>
      <c r="F95" s="129"/>
      <c r="G95" s="114"/>
      <c r="H95" s="219"/>
      <c r="I95" s="114"/>
      <c r="J95" s="114"/>
      <c r="K95" s="92"/>
      <c r="L95" s="95">
        <f t="shared" ref="L95:L209" si="33">IF(J95="geen",9999999999,J95)</f>
        <v>0</v>
      </c>
      <c r="M95" s="878">
        <f t="shared" ref="M95:M209" si="34">G95*H95</f>
        <v>0</v>
      </c>
      <c r="N95" s="878">
        <f t="shared" ref="N95:N209" si="35">IF(G95=0,0,(G95*H95)/L95)</f>
        <v>0</v>
      </c>
      <c r="O95" s="893" t="str">
        <f t="shared" ref="O95:O209" si="36">IF(L95=0,"-",(IF(L95&gt;3000,"-",I95+L95-1)))</f>
        <v>-</v>
      </c>
      <c r="P95" s="878">
        <f t="shared" si="26"/>
        <v>0</v>
      </c>
      <c r="Q95" s="92"/>
      <c r="R95" s="878">
        <f t="shared" si="18"/>
        <v>0</v>
      </c>
      <c r="S95" s="878">
        <f t="shared" si="19"/>
        <v>0</v>
      </c>
      <c r="T95" s="878">
        <f t="shared" si="20"/>
        <v>0</v>
      </c>
      <c r="U95" s="878">
        <f>(IF(U$8&lt;$I95,0,IF($O95&lt;=U$8-1,0,$N95)))</f>
        <v>0</v>
      </c>
      <c r="V95" s="878">
        <f>(IF(V$8&lt;$I95,0,IF($O95&lt;=V$8-1,0,$N95)))</f>
        <v>0</v>
      </c>
      <c r="W95" s="92"/>
      <c r="X95" s="878">
        <f t="shared" si="31"/>
        <v>0</v>
      </c>
      <c r="Y95" s="878">
        <f t="shared" si="31"/>
        <v>0</v>
      </c>
      <c r="Z95" s="878">
        <f t="shared" si="31"/>
        <v>0</v>
      </c>
      <c r="AA95" s="878">
        <f t="shared" si="32"/>
        <v>0</v>
      </c>
      <c r="AB95" s="878">
        <f t="shared" si="32"/>
        <v>0</v>
      </c>
      <c r="AC95" s="162"/>
      <c r="AD95" s="70"/>
    </row>
    <row r="96" spans="2:30" x14ac:dyDescent="0.2">
      <c r="B96" s="70"/>
      <c r="C96" s="90"/>
      <c r="D96" s="97"/>
      <c r="E96" s="97"/>
      <c r="F96" s="129"/>
      <c r="G96" s="114"/>
      <c r="H96" s="219"/>
      <c r="I96" s="114"/>
      <c r="J96" s="114"/>
      <c r="K96" s="92"/>
      <c r="L96" s="95">
        <f t="shared" si="33"/>
        <v>0</v>
      </c>
      <c r="M96" s="878">
        <f t="shared" si="34"/>
        <v>0</v>
      </c>
      <c r="N96" s="878">
        <f t="shared" si="35"/>
        <v>0</v>
      </c>
      <c r="O96" s="893" t="str">
        <f t="shared" si="36"/>
        <v>-</v>
      </c>
      <c r="P96" s="878">
        <f t="shared" si="26"/>
        <v>0</v>
      </c>
      <c r="Q96" s="92"/>
      <c r="R96" s="878">
        <f t="shared" si="18"/>
        <v>0</v>
      </c>
      <c r="S96" s="878">
        <f t="shared" si="19"/>
        <v>0</v>
      </c>
      <c r="T96" s="878">
        <f t="shared" si="20"/>
        <v>0</v>
      </c>
      <c r="U96" s="878">
        <f t="shared" ref="U96:V209" si="37">(IF(U$8&lt;$I96,0,IF($O96&lt;=U$8-1,0,$N96)))</f>
        <v>0</v>
      </c>
      <c r="V96" s="878">
        <f t="shared" si="37"/>
        <v>0</v>
      </c>
      <c r="W96" s="92"/>
      <c r="X96" s="878">
        <f t="shared" si="31"/>
        <v>0</v>
      </c>
      <c r="Y96" s="878">
        <f t="shared" si="31"/>
        <v>0</v>
      </c>
      <c r="Z96" s="878">
        <f t="shared" si="31"/>
        <v>0</v>
      </c>
      <c r="AA96" s="878">
        <f t="shared" si="32"/>
        <v>0</v>
      </c>
      <c r="AB96" s="878">
        <f t="shared" si="32"/>
        <v>0</v>
      </c>
      <c r="AC96" s="162"/>
      <c r="AD96" s="70"/>
    </row>
    <row r="97" spans="2:30" x14ac:dyDescent="0.2">
      <c r="B97" s="70"/>
      <c r="C97" s="90"/>
      <c r="D97" s="97"/>
      <c r="E97" s="97"/>
      <c r="F97" s="129"/>
      <c r="G97" s="114"/>
      <c r="H97" s="219"/>
      <c r="I97" s="114"/>
      <c r="J97" s="114"/>
      <c r="K97" s="92"/>
      <c r="L97" s="95">
        <f t="shared" si="33"/>
        <v>0</v>
      </c>
      <c r="M97" s="878">
        <f t="shared" si="34"/>
        <v>0</v>
      </c>
      <c r="N97" s="878">
        <f t="shared" si="35"/>
        <v>0</v>
      </c>
      <c r="O97" s="893" t="str">
        <f t="shared" si="36"/>
        <v>-</v>
      </c>
      <c r="P97" s="878">
        <f t="shared" si="26"/>
        <v>0</v>
      </c>
      <c r="Q97" s="92"/>
      <c r="R97" s="878">
        <f t="shared" si="18"/>
        <v>0</v>
      </c>
      <c r="S97" s="878">
        <f t="shared" si="19"/>
        <v>0</v>
      </c>
      <c r="T97" s="878">
        <f t="shared" si="20"/>
        <v>0</v>
      </c>
      <c r="U97" s="878">
        <f t="shared" si="37"/>
        <v>0</v>
      </c>
      <c r="V97" s="878">
        <f t="shared" si="37"/>
        <v>0</v>
      </c>
      <c r="W97" s="92"/>
      <c r="X97" s="878">
        <f t="shared" si="31"/>
        <v>0</v>
      </c>
      <c r="Y97" s="878">
        <f t="shared" si="31"/>
        <v>0</v>
      </c>
      <c r="Z97" s="878">
        <f t="shared" si="31"/>
        <v>0</v>
      </c>
      <c r="AA97" s="878">
        <f t="shared" si="32"/>
        <v>0</v>
      </c>
      <c r="AB97" s="878">
        <f t="shared" si="32"/>
        <v>0</v>
      </c>
      <c r="AC97" s="162"/>
      <c r="AD97" s="70"/>
    </row>
    <row r="98" spans="2:30" x14ac:dyDescent="0.2">
      <c r="B98" s="70"/>
      <c r="C98" s="90"/>
      <c r="D98" s="97"/>
      <c r="E98" s="97"/>
      <c r="F98" s="129"/>
      <c r="G98" s="114"/>
      <c r="H98" s="219"/>
      <c r="I98" s="114"/>
      <c r="J98" s="114"/>
      <c r="K98" s="92"/>
      <c r="L98" s="95">
        <f t="shared" si="33"/>
        <v>0</v>
      </c>
      <c r="M98" s="878">
        <f t="shared" si="34"/>
        <v>0</v>
      </c>
      <c r="N98" s="878">
        <f t="shared" si="35"/>
        <v>0</v>
      </c>
      <c r="O98" s="893" t="str">
        <f t="shared" si="36"/>
        <v>-</v>
      </c>
      <c r="P98" s="878">
        <f t="shared" si="26"/>
        <v>0</v>
      </c>
      <c r="Q98" s="92"/>
      <c r="R98" s="878">
        <f t="shared" si="18"/>
        <v>0</v>
      </c>
      <c r="S98" s="878">
        <f t="shared" si="19"/>
        <v>0</v>
      </c>
      <c r="T98" s="878">
        <f t="shared" si="20"/>
        <v>0</v>
      </c>
      <c r="U98" s="878">
        <f t="shared" si="37"/>
        <v>0</v>
      </c>
      <c r="V98" s="878">
        <f t="shared" si="37"/>
        <v>0</v>
      </c>
      <c r="W98" s="92"/>
      <c r="X98" s="878">
        <f t="shared" si="31"/>
        <v>0</v>
      </c>
      <c r="Y98" s="878">
        <f t="shared" si="31"/>
        <v>0</v>
      </c>
      <c r="Z98" s="878">
        <f t="shared" si="31"/>
        <v>0</v>
      </c>
      <c r="AA98" s="878">
        <f t="shared" si="32"/>
        <v>0</v>
      </c>
      <c r="AB98" s="878">
        <f t="shared" si="32"/>
        <v>0</v>
      </c>
      <c r="AC98" s="162"/>
      <c r="AD98" s="70"/>
    </row>
    <row r="99" spans="2:30" x14ac:dyDescent="0.2">
      <c r="B99" s="70"/>
      <c r="C99" s="90"/>
      <c r="D99" s="97"/>
      <c r="E99" s="97"/>
      <c r="F99" s="129"/>
      <c r="G99" s="114"/>
      <c r="H99" s="219"/>
      <c r="I99" s="114"/>
      <c r="J99" s="114"/>
      <c r="K99" s="92"/>
      <c r="L99" s="95">
        <f t="shared" si="33"/>
        <v>0</v>
      </c>
      <c r="M99" s="878">
        <f t="shared" si="34"/>
        <v>0</v>
      </c>
      <c r="N99" s="878">
        <f t="shared" si="35"/>
        <v>0</v>
      </c>
      <c r="O99" s="893" t="str">
        <f t="shared" si="36"/>
        <v>-</v>
      </c>
      <c r="P99" s="878">
        <f t="shared" si="26"/>
        <v>0</v>
      </c>
      <c r="Q99" s="92"/>
      <c r="R99" s="878">
        <f t="shared" si="18"/>
        <v>0</v>
      </c>
      <c r="S99" s="878">
        <f t="shared" si="19"/>
        <v>0</v>
      </c>
      <c r="T99" s="878">
        <f t="shared" si="20"/>
        <v>0</v>
      </c>
      <c r="U99" s="878">
        <f t="shared" si="37"/>
        <v>0</v>
      </c>
      <c r="V99" s="878">
        <f t="shared" si="37"/>
        <v>0</v>
      </c>
      <c r="W99" s="92"/>
      <c r="X99" s="878">
        <f t="shared" si="31"/>
        <v>0</v>
      </c>
      <c r="Y99" s="878">
        <f t="shared" si="31"/>
        <v>0</v>
      </c>
      <c r="Z99" s="878">
        <f t="shared" si="31"/>
        <v>0</v>
      </c>
      <c r="AA99" s="878">
        <f t="shared" si="32"/>
        <v>0</v>
      </c>
      <c r="AB99" s="878">
        <f t="shared" si="32"/>
        <v>0</v>
      </c>
      <c r="AC99" s="162"/>
      <c r="AD99" s="70"/>
    </row>
    <row r="100" spans="2:30" x14ac:dyDescent="0.2">
      <c r="B100" s="70"/>
      <c r="C100" s="90"/>
      <c r="D100" s="97"/>
      <c r="E100" s="97"/>
      <c r="F100" s="129"/>
      <c r="G100" s="114"/>
      <c r="H100" s="219"/>
      <c r="I100" s="114"/>
      <c r="J100" s="114"/>
      <c r="K100" s="92"/>
      <c r="L100" s="95">
        <f t="shared" si="33"/>
        <v>0</v>
      </c>
      <c r="M100" s="878">
        <f t="shared" si="34"/>
        <v>0</v>
      </c>
      <c r="N100" s="878">
        <f t="shared" si="35"/>
        <v>0</v>
      </c>
      <c r="O100" s="893" t="str">
        <f t="shared" si="36"/>
        <v>-</v>
      </c>
      <c r="P100" s="878">
        <f t="shared" si="26"/>
        <v>0</v>
      </c>
      <c r="Q100" s="92"/>
      <c r="R100" s="878">
        <f t="shared" si="18"/>
        <v>0</v>
      </c>
      <c r="S100" s="878">
        <f t="shared" si="19"/>
        <v>0</v>
      </c>
      <c r="T100" s="878">
        <f t="shared" si="20"/>
        <v>0</v>
      </c>
      <c r="U100" s="878">
        <f t="shared" si="37"/>
        <v>0</v>
      </c>
      <c r="V100" s="878">
        <f t="shared" si="37"/>
        <v>0</v>
      </c>
      <c r="W100" s="92"/>
      <c r="X100" s="878">
        <f t="shared" si="31"/>
        <v>0</v>
      </c>
      <c r="Y100" s="878">
        <f t="shared" si="31"/>
        <v>0</v>
      </c>
      <c r="Z100" s="878">
        <f t="shared" si="31"/>
        <v>0</v>
      </c>
      <c r="AA100" s="878">
        <f t="shared" ref="AA100:AB109" si="38">IF(AA$8=$I100,($G100*$H100),0)</f>
        <v>0</v>
      </c>
      <c r="AB100" s="878">
        <f t="shared" si="38"/>
        <v>0</v>
      </c>
      <c r="AC100" s="162"/>
      <c r="AD100" s="70"/>
    </row>
    <row r="101" spans="2:30" x14ac:dyDescent="0.2">
      <c r="B101" s="70"/>
      <c r="C101" s="90"/>
      <c r="D101" s="97"/>
      <c r="E101" s="97"/>
      <c r="F101" s="129"/>
      <c r="G101" s="114"/>
      <c r="H101" s="219"/>
      <c r="I101" s="114"/>
      <c r="J101" s="114"/>
      <c r="K101" s="92"/>
      <c r="L101" s="95">
        <f t="shared" si="33"/>
        <v>0</v>
      </c>
      <c r="M101" s="878">
        <f t="shared" si="34"/>
        <v>0</v>
      </c>
      <c r="N101" s="878">
        <f t="shared" si="35"/>
        <v>0</v>
      </c>
      <c r="O101" s="893" t="str">
        <f t="shared" si="36"/>
        <v>-</v>
      </c>
      <c r="P101" s="878">
        <f t="shared" si="26"/>
        <v>0</v>
      </c>
      <c r="Q101" s="92"/>
      <c r="R101" s="878">
        <f t="shared" si="18"/>
        <v>0</v>
      </c>
      <c r="S101" s="878">
        <f t="shared" si="19"/>
        <v>0</v>
      </c>
      <c r="T101" s="878">
        <f t="shared" si="20"/>
        <v>0</v>
      </c>
      <c r="U101" s="878">
        <f t="shared" si="37"/>
        <v>0</v>
      </c>
      <c r="V101" s="878">
        <f t="shared" si="37"/>
        <v>0</v>
      </c>
      <c r="W101" s="92"/>
      <c r="X101" s="878">
        <f t="shared" si="31"/>
        <v>0</v>
      </c>
      <c r="Y101" s="878">
        <f t="shared" si="31"/>
        <v>0</v>
      </c>
      <c r="Z101" s="878">
        <f t="shared" si="31"/>
        <v>0</v>
      </c>
      <c r="AA101" s="878">
        <f t="shared" si="38"/>
        <v>0</v>
      </c>
      <c r="AB101" s="878">
        <f t="shared" si="38"/>
        <v>0</v>
      </c>
      <c r="AC101" s="162"/>
      <c r="AD101" s="70"/>
    </row>
    <row r="102" spans="2:30" x14ac:dyDescent="0.2">
      <c r="B102" s="70"/>
      <c r="C102" s="90"/>
      <c r="D102" s="97"/>
      <c r="E102" s="97"/>
      <c r="F102" s="129"/>
      <c r="G102" s="114"/>
      <c r="H102" s="219"/>
      <c r="I102" s="114"/>
      <c r="J102" s="114"/>
      <c r="K102" s="92"/>
      <c r="L102" s="95">
        <f t="shared" si="33"/>
        <v>0</v>
      </c>
      <c r="M102" s="878">
        <f t="shared" si="34"/>
        <v>0</v>
      </c>
      <c r="N102" s="878">
        <f t="shared" si="35"/>
        <v>0</v>
      </c>
      <c r="O102" s="893" t="str">
        <f t="shared" si="36"/>
        <v>-</v>
      </c>
      <c r="P102" s="878">
        <f t="shared" si="26"/>
        <v>0</v>
      </c>
      <c r="Q102" s="92"/>
      <c r="R102" s="878">
        <f t="shared" si="18"/>
        <v>0</v>
      </c>
      <c r="S102" s="878">
        <f t="shared" si="19"/>
        <v>0</v>
      </c>
      <c r="T102" s="878">
        <f t="shared" si="20"/>
        <v>0</v>
      </c>
      <c r="U102" s="878">
        <f t="shared" si="37"/>
        <v>0</v>
      </c>
      <c r="V102" s="878">
        <f t="shared" si="37"/>
        <v>0</v>
      </c>
      <c r="W102" s="92"/>
      <c r="X102" s="878">
        <f t="shared" si="31"/>
        <v>0</v>
      </c>
      <c r="Y102" s="878">
        <f t="shared" si="31"/>
        <v>0</v>
      </c>
      <c r="Z102" s="878">
        <f t="shared" si="31"/>
        <v>0</v>
      </c>
      <c r="AA102" s="878">
        <f t="shared" si="38"/>
        <v>0</v>
      </c>
      <c r="AB102" s="878">
        <f t="shared" si="38"/>
        <v>0</v>
      </c>
      <c r="AC102" s="162"/>
      <c r="AD102" s="70"/>
    </row>
    <row r="103" spans="2:30" x14ac:dyDescent="0.2">
      <c r="B103" s="70"/>
      <c r="C103" s="90"/>
      <c r="D103" s="97"/>
      <c r="E103" s="97"/>
      <c r="F103" s="129"/>
      <c r="G103" s="114"/>
      <c r="H103" s="219"/>
      <c r="I103" s="114"/>
      <c r="J103" s="114"/>
      <c r="K103" s="92"/>
      <c r="L103" s="95">
        <f t="shared" si="33"/>
        <v>0</v>
      </c>
      <c r="M103" s="878">
        <f t="shared" si="34"/>
        <v>0</v>
      </c>
      <c r="N103" s="878">
        <f t="shared" si="35"/>
        <v>0</v>
      </c>
      <c r="O103" s="893" t="str">
        <f t="shared" si="36"/>
        <v>-</v>
      </c>
      <c r="P103" s="878">
        <f t="shared" si="26"/>
        <v>0</v>
      </c>
      <c r="Q103" s="92"/>
      <c r="R103" s="878">
        <f t="shared" si="18"/>
        <v>0</v>
      </c>
      <c r="S103" s="878">
        <f t="shared" si="19"/>
        <v>0</v>
      </c>
      <c r="T103" s="878">
        <f t="shared" si="20"/>
        <v>0</v>
      </c>
      <c r="U103" s="878">
        <f t="shared" si="37"/>
        <v>0</v>
      </c>
      <c r="V103" s="878">
        <f t="shared" si="37"/>
        <v>0</v>
      </c>
      <c r="W103" s="92"/>
      <c r="X103" s="878">
        <f t="shared" si="31"/>
        <v>0</v>
      </c>
      <c r="Y103" s="878">
        <f t="shared" si="31"/>
        <v>0</v>
      </c>
      <c r="Z103" s="878">
        <f t="shared" si="31"/>
        <v>0</v>
      </c>
      <c r="AA103" s="878">
        <f t="shared" si="38"/>
        <v>0</v>
      </c>
      <c r="AB103" s="878">
        <f t="shared" si="38"/>
        <v>0</v>
      </c>
      <c r="AC103" s="162"/>
      <c r="AD103" s="70"/>
    </row>
    <row r="104" spans="2:30" x14ac:dyDescent="0.2">
      <c r="B104" s="70"/>
      <c r="C104" s="90"/>
      <c r="D104" s="97"/>
      <c r="E104" s="97"/>
      <c r="F104" s="129"/>
      <c r="G104" s="114"/>
      <c r="H104" s="219"/>
      <c r="I104" s="114"/>
      <c r="J104" s="114"/>
      <c r="K104" s="92"/>
      <c r="L104" s="95">
        <f t="shared" si="33"/>
        <v>0</v>
      </c>
      <c r="M104" s="878">
        <f t="shared" si="34"/>
        <v>0</v>
      </c>
      <c r="N104" s="878">
        <f t="shared" si="35"/>
        <v>0</v>
      </c>
      <c r="O104" s="893" t="str">
        <f t="shared" si="36"/>
        <v>-</v>
      </c>
      <c r="P104" s="878">
        <f t="shared" si="26"/>
        <v>0</v>
      </c>
      <c r="Q104" s="92"/>
      <c r="R104" s="878">
        <f t="shared" si="18"/>
        <v>0</v>
      </c>
      <c r="S104" s="878">
        <f t="shared" si="19"/>
        <v>0</v>
      </c>
      <c r="T104" s="878">
        <f t="shared" si="20"/>
        <v>0</v>
      </c>
      <c r="U104" s="878">
        <f t="shared" si="37"/>
        <v>0</v>
      </c>
      <c r="V104" s="878">
        <f t="shared" si="37"/>
        <v>0</v>
      </c>
      <c r="W104" s="92"/>
      <c r="X104" s="878">
        <f t="shared" si="31"/>
        <v>0</v>
      </c>
      <c r="Y104" s="878">
        <f t="shared" si="31"/>
        <v>0</v>
      </c>
      <c r="Z104" s="878">
        <f t="shared" si="31"/>
        <v>0</v>
      </c>
      <c r="AA104" s="878">
        <f t="shared" si="38"/>
        <v>0</v>
      </c>
      <c r="AB104" s="878">
        <f t="shared" si="38"/>
        <v>0</v>
      </c>
      <c r="AC104" s="162"/>
      <c r="AD104" s="70"/>
    </row>
    <row r="105" spans="2:30" x14ac:dyDescent="0.2">
      <c r="B105" s="70"/>
      <c r="C105" s="90"/>
      <c r="D105" s="97"/>
      <c r="E105" s="97"/>
      <c r="F105" s="129"/>
      <c r="G105" s="114"/>
      <c r="H105" s="219"/>
      <c r="I105" s="114"/>
      <c r="J105" s="114"/>
      <c r="K105" s="92"/>
      <c r="L105" s="95">
        <f t="shared" si="33"/>
        <v>0</v>
      </c>
      <c r="M105" s="878">
        <f t="shared" si="34"/>
        <v>0</v>
      </c>
      <c r="N105" s="878">
        <f t="shared" si="35"/>
        <v>0</v>
      </c>
      <c r="O105" s="893" t="str">
        <f t="shared" si="36"/>
        <v>-</v>
      </c>
      <c r="P105" s="878">
        <f t="shared" si="26"/>
        <v>0</v>
      </c>
      <c r="Q105" s="92"/>
      <c r="R105" s="878">
        <f t="shared" si="18"/>
        <v>0</v>
      </c>
      <c r="S105" s="878">
        <f t="shared" si="19"/>
        <v>0</v>
      </c>
      <c r="T105" s="878">
        <f t="shared" si="20"/>
        <v>0</v>
      </c>
      <c r="U105" s="878">
        <f t="shared" si="37"/>
        <v>0</v>
      </c>
      <c r="V105" s="878">
        <f t="shared" si="37"/>
        <v>0</v>
      </c>
      <c r="W105" s="92"/>
      <c r="X105" s="878">
        <f t="shared" si="31"/>
        <v>0</v>
      </c>
      <c r="Y105" s="878">
        <f t="shared" si="31"/>
        <v>0</v>
      </c>
      <c r="Z105" s="878">
        <f t="shared" si="31"/>
        <v>0</v>
      </c>
      <c r="AA105" s="878">
        <f t="shared" si="38"/>
        <v>0</v>
      </c>
      <c r="AB105" s="878">
        <f t="shared" si="38"/>
        <v>0</v>
      </c>
      <c r="AC105" s="162"/>
      <c r="AD105" s="70"/>
    </row>
    <row r="106" spans="2:30" x14ac:dyDescent="0.2">
      <c r="B106" s="70"/>
      <c r="C106" s="90"/>
      <c r="D106" s="97"/>
      <c r="E106" s="97"/>
      <c r="F106" s="129"/>
      <c r="G106" s="114"/>
      <c r="H106" s="219"/>
      <c r="I106" s="114"/>
      <c r="J106" s="114"/>
      <c r="K106" s="92"/>
      <c r="L106" s="95">
        <f t="shared" si="33"/>
        <v>0</v>
      </c>
      <c r="M106" s="878">
        <f t="shared" si="34"/>
        <v>0</v>
      </c>
      <c r="N106" s="878">
        <f t="shared" si="35"/>
        <v>0</v>
      </c>
      <c r="O106" s="893" t="str">
        <f t="shared" si="36"/>
        <v>-</v>
      </c>
      <c r="P106" s="878">
        <f t="shared" si="26"/>
        <v>0</v>
      </c>
      <c r="Q106" s="92"/>
      <c r="R106" s="878">
        <f t="shared" si="18"/>
        <v>0</v>
      </c>
      <c r="S106" s="878">
        <f t="shared" si="19"/>
        <v>0</v>
      </c>
      <c r="T106" s="878">
        <f t="shared" si="20"/>
        <v>0</v>
      </c>
      <c r="U106" s="878">
        <f t="shared" si="37"/>
        <v>0</v>
      </c>
      <c r="V106" s="878">
        <f t="shared" si="37"/>
        <v>0</v>
      </c>
      <c r="W106" s="92"/>
      <c r="X106" s="878">
        <f t="shared" si="31"/>
        <v>0</v>
      </c>
      <c r="Y106" s="878">
        <f t="shared" si="31"/>
        <v>0</v>
      </c>
      <c r="Z106" s="878">
        <f t="shared" si="31"/>
        <v>0</v>
      </c>
      <c r="AA106" s="878">
        <f t="shared" si="38"/>
        <v>0</v>
      </c>
      <c r="AB106" s="878">
        <f t="shared" si="38"/>
        <v>0</v>
      </c>
      <c r="AC106" s="162"/>
      <c r="AD106" s="70"/>
    </row>
    <row r="107" spans="2:30" x14ac:dyDescent="0.2">
      <c r="B107" s="70"/>
      <c r="C107" s="90"/>
      <c r="D107" s="97"/>
      <c r="E107" s="97"/>
      <c r="F107" s="129"/>
      <c r="G107" s="114"/>
      <c r="H107" s="219"/>
      <c r="I107" s="114"/>
      <c r="J107" s="114"/>
      <c r="K107" s="92"/>
      <c r="L107" s="95">
        <f t="shared" si="33"/>
        <v>0</v>
      </c>
      <c r="M107" s="878">
        <f t="shared" si="34"/>
        <v>0</v>
      </c>
      <c r="N107" s="878">
        <f t="shared" si="35"/>
        <v>0</v>
      </c>
      <c r="O107" s="893" t="str">
        <f t="shared" si="36"/>
        <v>-</v>
      </c>
      <c r="P107" s="878">
        <f t="shared" si="26"/>
        <v>0</v>
      </c>
      <c r="Q107" s="92"/>
      <c r="R107" s="878">
        <f t="shared" si="18"/>
        <v>0</v>
      </c>
      <c r="S107" s="878">
        <f t="shared" si="19"/>
        <v>0</v>
      </c>
      <c r="T107" s="878">
        <f t="shared" si="20"/>
        <v>0</v>
      </c>
      <c r="U107" s="878">
        <f t="shared" si="37"/>
        <v>0</v>
      </c>
      <c r="V107" s="878">
        <f t="shared" si="37"/>
        <v>0</v>
      </c>
      <c r="W107" s="92"/>
      <c r="X107" s="878">
        <f t="shared" si="31"/>
        <v>0</v>
      </c>
      <c r="Y107" s="878">
        <f t="shared" si="31"/>
        <v>0</v>
      </c>
      <c r="Z107" s="878">
        <f t="shared" si="31"/>
        <v>0</v>
      </c>
      <c r="AA107" s="878">
        <f t="shared" si="38"/>
        <v>0</v>
      </c>
      <c r="AB107" s="878">
        <f t="shared" si="38"/>
        <v>0</v>
      </c>
      <c r="AC107" s="162"/>
      <c r="AD107" s="70"/>
    </row>
    <row r="108" spans="2:30" x14ac:dyDescent="0.2">
      <c r="B108" s="70"/>
      <c r="C108" s="90"/>
      <c r="D108" s="97"/>
      <c r="E108" s="97"/>
      <c r="F108" s="129"/>
      <c r="G108" s="114"/>
      <c r="H108" s="219"/>
      <c r="I108" s="114"/>
      <c r="J108" s="114"/>
      <c r="K108" s="92"/>
      <c r="L108" s="95">
        <f t="shared" si="33"/>
        <v>0</v>
      </c>
      <c r="M108" s="878">
        <f t="shared" si="34"/>
        <v>0</v>
      </c>
      <c r="N108" s="878">
        <f t="shared" si="35"/>
        <v>0</v>
      </c>
      <c r="O108" s="893" t="str">
        <f t="shared" si="36"/>
        <v>-</v>
      </c>
      <c r="P108" s="878">
        <f t="shared" si="26"/>
        <v>0</v>
      </c>
      <c r="Q108" s="92"/>
      <c r="R108" s="878">
        <f t="shared" si="18"/>
        <v>0</v>
      </c>
      <c r="S108" s="878">
        <f t="shared" si="19"/>
        <v>0</v>
      </c>
      <c r="T108" s="878">
        <f t="shared" si="20"/>
        <v>0</v>
      </c>
      <c r="U108" s="878">
        <f t="shared" si="37"/>
        <v>0</v>
      </c>
      <c r="V108" s="878">
        <f t="shared" si="37"/>
        <v>0</v>
      </c>
      <c r="W108" s="92"/>
      <c r="X108" s="878">
        <f t="shared" si="31"/>
        <v>0</v>
      </c>
      <c r="Y108" s="878">
        <f t="shared" si="31"/>
        <v>0</v>
      </c>
      <c r="Z108" s="878">
        <f t="shared" si="31"/>
        <v>0</v>
      </c>
      <c r="AA108" s="878">
        <f t="shared" si="38"/>
        <v>0</v>
      </c>
      <c r="AB108" s="878">
        <f t="shared" si="38"/>
        <v>0</v>
      </c>
      <c r="AC108" s="162"/>
      <c r="AD108" s="70"/>
    </row>
    <row r="109" spans="2:30" x14ac:dyDescent="0.2">
      <c r="B109" s="70"/>
      <c r="C109" s="90"/>
      <c r="D109" s="97"/>
      <c r="E109" s="97"/>
      <c r="F109" s="129"/>
      <c r="G109" s="114"/>
      <c r="H109" s="219"/>
      <c r="I109" s="114"/>
      <c r="J109" s="114"/>
      <c r="K109" s="92"/>
      <c r="L109" s="95">
        <f t="shared" si="33"/>
        <v>0</v>
      </c>
      <c r="M109" s="878">
        <f t="shared" si="34"/>
        <v>0</v>
      </c>
      <c r="N109" s="878">
        <f t="shared" si="35"/>
        <v>0</v>
      </c>
      <c r="O109" s="893" t="str">
        <f t="shared" si="36"/>
        <v>-</v>
      </c>
      <c r="P109" s="878">
        <f t="shared" si="26"/>
        <v>0</v>
      </c>
      <c r="Q109" s="92"/>
      <c r="R109" s="878">
        <f t="shared" si="18"/>
        <v>0</v>
      </c>
      <c r="S109" s="878">
        <f t="shared" si="19"/>
        <v>0</v>
      </c>
      <c r="T109" s="878">
        <f t="shared" si="20"/>
        <v>0</v>
      </c>
      <c r="U109" s="878">
        <f t="shared" si="37"/>
        <v>0</v>
      </c>
      <c r="V109" s="878">
        <f t="shared" si="37"/>
        <v>0</v>
      </c>
      <c r="W109" s="92"/>
      <c r="X109" s="878">
        <f t="shared" ref="X109:Z200" si="39">IF(X$8=$I109,($G109*$H109),0)</f>
        <v>0</v>
      </c>
      <c r="Y109" s="878">
        <f t="shared" si="39"/>
        <v>0</v>
      </c>
      <c r="Z109" s="878">
        <f t="shared" si="39"/>
        <v>0</v>
      </c>
      <c r="AA109" s="878">
        <f t="shared" si="38"/>
        <v>0</v>
      </c>
      <c r="AB109" s="878">
        <f t="shared" si="38"/>
        <v>0</v>
      </c>
      <c r="AC109" s="162"/>
      <c r="AD109" s="70"/>
    </row>
    <row r="110" spans="2:30" x14ac:dyDescent="0.2">
      <c r="B110" s="70"/>
      <c r="C110" s="90"/>
      <c r="D110" s="97"/>
      <c r="E110" s="97"/>
      <c r="F110" s="129"/>
      <c r="G110" s="114"/>
      <c r="H110" s="219"/>
      <c r="I110" s="114"/>
      <c r="J110" s="114"/>
      <c r="K110" s="92"/>
      <c r="L110" s="95">
        <f t="shared" si="33"/>
        <v>0</v>
      </c>
      <c r="M110" s="878">
        <f t="shared" si="34"/>
        <v>0</v>
      </c>
      <c r="N110" s="878">
        <f t="shared" si="35"/>
        <v>0</v>
      </c>
      <c r="O110" s="893" t="str">
        <f t="shared" si="36"/>
        <v>-</v>
      </c>
      <c r="P110" s="878">
        <f t="shared" ref="P110:P208" si="40">IF(J110="geen",IF(I110&lt;$R$8,G110*H110,0),IF(I110&gt;=$R$8,0,IF((H110*G110-(R$8-I110)*N110)&lt;0,0,H110*G110-(R$8-I110)*N110)))</f>
        <v>0</v>
      </c>
      <c r="Q110" s="92"/>
      <c r="R110" s="878">
        <f t="shared" si="18"/>
        <v>0</v>
      </c>
      <c r="S110" s="878">
        <f t="shared" si="19"/>
        <v>0</v>
      </c>
      <c r="T110" s="878">
        <f t="shared" si="20"/>
        <v>0</v>
      </c>
      <c r="U110" s="878">
        <f t="shared" si="37"/>
        <v>0</v>
      </c>
      <c r="V110" s="878">
        <f t="shared" si="37"/>
        <v>0</v>
      </c>
      <c r="W110" s="92"/>
      <c r="X110" s="878">
        <f t="shared" si="39"/>
        <v>0</v>
      </c>
      <c r="Y110" s="878">
        <f t="shared" si="39"/>
        <v>0</v>
      </c>
      <c r="Z110" s="878">
        <f t="shared" si="39"/>
        <v>0</v>
      </c>
      <c r="AA110" s="878">
        <f t="shared" ref="AA110:AB119" si="41">IF(AA$8=$I110,($G110*$H110),0)</f>
        <v>0</v>
      </c>
      <c r="AB110" s="878">
        <f t="shared" si="41"/>
        <v>0</v>
      </c>
      <c r="AC110" s="162"/>
      <c r="AD110" s="70"/>
    </row>
    <row r="111" spans="2:30" x14ac:dyDescent="0.2">
      <c r="B111" s="70"/>
      <c r="C111" s="90"/>
      <c r="D111" s="97"/>
      <c r="E111" s="97"/>
      <c r="F111" s="129"/>
      <c r="G111" s="114"/>
      <c r="H111" s="219"/>
      <c r="I111" s="114"/>
      <c r="J111" s="114"/>
      <c r="K111" s="92"/>
      <c r="L111" s="95">
        <f t="shared" si="33"/>
        <v>0</v>
      </c>
      <c r="M111" s="878">
        <f t="shared" si="34"/>
        <v>0</v>
      </c>
      <c r="N111" s="878">
        <f t="shared" si="35"/>
        <v>0</v>
      </c>
      <c r="O111" s="893" t="str">
        <f t="shared" si="36"/>
        <v>-</v>
      </c>
      <c r="P111" s="878">
        <f t="shared" si="40"/>
        <v>0</v>
      </c>
      <c r="Q111" s="92"/>
      <c r="R111" s="878">
        <f t="shared" si="18"/>
        <v>0</v>
      </c>
      <c r="S111" s="878">
        <f t="shared" si="19"/>
        <v>0</v>
      </c>
      <c r="T111" s="878">
        <f t="shared" si="20"/>
        <v>0</v>
      </c>
      <c r="U111" s="878">
        <f t="shared" si="37"/>
        <v>0</v>
      </c>
      <c r="V111" s="878">
        <f t="shared" si="37"/>
        <v>0</v>
      </c>
      <c r="W111" s="92"/>
      <c r="X111" s="878">
        <f t="shared" si="39"/>
        <v>0</v>
      </c>
      <c r="Y111" s="878">
        <f t="shared" si="39"/>
        <v>0</v>
      </c>
      <c r="Z111" s="878">
        <f t="shared" si="39"/>
        <v>0</v>
      </c>
      <c r="AA111" s="878">
        <f t="shared" si="41"/>
        <v>0</v>
      </c>
      <c r="AB111" s="878">
        <f t="shared" si="41"/>
        <v>0</v>
      </c>
      <c r="AC111" s="162"/>
      <c r="AD111" s="70"/>
    </row>
    <row r="112" spans="2:30" x14ac:dyDescent="0.2">
      <c r="B112" s="70"/>
      <c r="C112" s="90"/>
      <c r="D112" s="97"/>
      <c r="E112" s="97"/>
      <c r="F112" s="129"/>
      <c r="G112" s="114"/>
      <c r="H112" s="219"/>
      <c r="I112" s="114"/>
      <c r="J112" s="114"/>
      <c r="K112" s="92"/>
      <c r="L112" s="95">
        <f t="shared" si="33"/>
        <v>0</v>
      </c>
      <c r="M112" s="878">
        <f t="shared" si="34"/>
        <v>0</v>
      </c>
      <c r="N112" s="878">
        <f t="shared" si="35"/>
        <v>0</v>
      </c>
      <c r="O112" s="893" t="str">
        <f t="shared" si="36"/>
        <v>-</v>
      </c>
      <c r="P112" s="878">
        <f t="shared" si="40"/>
        <v>0</v>
      </c>
      <c r="Q112" s="92"/>
      <c r="R112" s="878">
        <f t="shared" si="18"/>
        <v>0</v>
      </c>
      <c r="S112" s="878">
        <f t="shared" si="19"/>
        <v>0</v>
      </c>
      <c r="T112" s="878">
        <f t="shared" si="20"/>
        <v>0</v>
      </c>
      <c r="U112" s="878">
        <f t="shared" si="37"/>
        <v>0</v>
      </c>
      <c r="V112" s="878">
        <f t="shared" si="37"/>
        <v>0</v>
      </c>
      <c r="W112" s="92"/>
      <c r="X112" s="878">
        <f t="shared" si="39"/>
        <v>0</v>
      </c>
      <c r="Y112" s="878">
        <f t="shared" si="39"/>
        <v>0</v>
      </c>
      <c r="Z112" s="878">
        <f t="shared" si="39"/>
        <v>0</v>
      </c>
      <c r="AA112" s="878">
        <f t="shared" si="41"/>
        <v>0</v>
      </c>
      <c r="AB112" s="878">
        <f t="shared" si="41"/>
        <v>0</v>
      </c>
      <c r="AC112" s="162"/>
      <c r="AD112" s="70"/>
    </row>
    <row r="113" spans="2:30" x14ac:dyDescent="0.2">
      <c r="B113" s="70"/>
      <c r="C113" s="90"/>
      <c r="D113" s="97"/>
      <c r="E113" s="97"/>
      <c r="F113" s="129"/>
      <c r="G113" s="114"/>
      <c r="H113" s="219"/>
      <c r="I113" s="114"/>
      <c r="J113" s="114"/>
      <c r="K113" s="92"/>
      <c r="L113" s="95">
        <f t="shared" si="33"/>
        <v>0</v>
      </c>
      <c r="M113" s="878">
        <f t="shared" si="34"/>
        <v>0</v>
      </c>
      <c r="N113" s="878">
        <f t="shared" si="35"/>
        <v>0</v>
      </c>
      <c r="O113" s="893" t="str">
        <f t="shared" si="36"/>
        <v>-</v>
      </c>
      <c r="P113" s="878">
        <f t="shared" si="40"/>
        <v>0</v>
      </c>
      <c r="Q113" s="92"/>
      <c r="R113" s="878">
        <f t="shared" si="18"/>
        <v>0</v>
      </c>
      <c r="S113" s="878">
        <f t="shared" si="19"/>
        <v>0</v>
      </c>
      <c r="T113" s="878">
        <f t="shared" si="20"/>
        <v>0</v>
      </c>
      <c r="U113" s="878">
        <f t="shared" si="37"/>
        <v>0</v>
      </c>
      <c r="V113" s="878">
        <f t="shared" si="37"/>
        <v>0</v>
      </c>
      <c r="W113" s="92"/>
      <c r="X113" s="878">
        <f t="shared" si="39"/>
        <v>0</v>
      </c>
      <c r="Y113" s="878">
        <f t="shared" si="39"/>
        <v>0</v>
      </c>
      <c r="Z113" s="878">
        <f t="shared" si="39"/>
        <v>0</v>
      </c>
      <c r="AA113" s="878">
        <f t="shared" si="41"/>
        <v>0</v>
      </c>
      <c r="AB113" s="878">
        <f t="shared" si="41"/>
        <v>0</v>
      </c>
      <c r="AC113" s="162"/>
      <c r="AD113" s="70"/>
    </row>
    <row r="114" spans="2:30" x14ac:dyDescent="0.2">
      <c r="B114" s="70"/>
      <c r="C114" s="90"/>
      <c r="D114" s="97"/>
      <c r="E114" s="97"/>
      <c r="F114" s="129"/>
      <c r="G114" s="114"/>
      <c r="H114" s="219"/>
      <c r="I114" s="114"/>
      <c r="J114" s="114"/>
      <c r="K114" s="92"/>
      <c r="L114" s="95">
        <f t="shared" si="33"/>
        <v>0</v>
      </c>
      <c r="M114" s="878">
        <f t="shared" si="34"/>
        <v>0</v>
      </c>
      <c r="N114" s="878">
        <f t="shared" si="35"/>
        <v>0</v>
      </c>
      <c r="O114" s="893" t="str">
        <f t="shared" si="36"/>
        <v>-</v>
      </c>
      <c r="P114" s="878">
        <f t="shared" si="40"/>
        <v>0</v>
      </c>
      <c r="Q114" s="92"/>
      <c r="R114" s="878">
        <f t="shared" si="18"/>
        <v>0</v>
      </c>
      <c r="S114" s="878">
        <f t="shared" si="19"/>
        <v>0</v>
      </c>
      <c r="T114" s="878">
        <f t="shared" si="20"/>
        <v>0</v>
      </c>
      <c r="U114" s="878">
        <f t="shared" si="37"/>
        <v>0</v>
      </c>
      <c r="V114" s="878">
        <f t="shared" si="37"/>
        <v>0</v>
      </c>
      <c r="W114" s="92"/>
      <c r="X114" s="878">
        <f t="shared" si="39"/>
        <v>0</v>
      </c>
      <c r="Y114" s="878">
        <f t="shared" si="39"/>
        <v>0</v>
      </c>
      <c r="Z114" s="878">
        <f t="shared" si="39"/>
        <v>0</v>
      </c>
      <c r="AA114" s="878">
        <f t="shared" si="41"/>
        <v>0</v>
      </c>
      <c r="AB114" s="878">
        <f t="shared" si="41"/>
        <v>0</v>
      </c>
      <c r="AC114" s="162"/>
      <c r="AD114" s="70"/>
    </row>
    <row r="115" spans="2:30" x14ac:dyDescent="0.2">
      <c r="B115" s="70"/>
      <c r="C115" s="90"/>
      <c r="D115" s="97"/>
      <c r="E115" s="97"/>
      <c r="F115" s="129"/>
      <c r="G115" s="114"/>
      <c r="H115" s="219"/>
      <c r="I115" s="114"/>
      <c r="J115" s="114"/>
      <c r="K115" s="92"/>
      <c r="L115" s="95">
        <f t="shared" si="33"/>
        <v>0</v>
      </c>
      <c r="M115" s="878">
        <f t="shared" si="34"/>
        <v>0</v>
      </c>
      <c r="N115" s="878">
        <f t="shared" si="35"/>
        <v>0</v>
      </c>
      <c r="O115" s="893" t="str">
        <f t="shared" si="36"/>
        <v>-</v>
      </c>
      <c r="P115" s="878">
        <f t="shared" si="40"/>
        <v>0</v>
      </c>
      <c r="Q115" s="92"/>
      <c r="R115" s="878">
        <f t="shared" si="18"/>
        <v>0</v>
      </c>
      <c r="S115" s="878">
        <f t="shared" si="19"/>
        <v>0</v>
      </c>
      <c r="T115" s="878">
        <f t="shared" si="20"/>
        <v>0</v>
      </c>
      <c r="U115" s="878">
        <f t="shared" si="37"/>
        <v>0</v>
      </c>
      <c r="V115" s="878">
        <f t="shared" si="37"/>
        <v>0</v>
      </c>
      <c r="W115" s="92"/>
      <c r="X115" s="878">
        <f t="shared" si="39"/>
        <v>0</v>
      </c>
      <c r="Y115" s="878">
        <f t="shared" si="39"/>
        <v>0</v>
      </c>
      <c r="Z115" s="878">
        <f t="shared" si="39"/>
        <v>0</v>
      </c>
      <c r="AA115" s="878">
        <f t="shared" si="41"/>
        <v>0</v>
      </c>
      <c r="AB115" s="878">
        <f t="shared" si="41"/>
        <v>0</v>
      </c>
      <c r="AC115" s="162"/>
      <c r="AD115" s="70"/>
    </row>
    <row r="116" spans="2:30" x14ac:dyDescent="0.2">
      <c r="B116" s="70"/>
      <c r="C116" s="90"/>
      <c r="D116" s="97"/>
      <c r="E116" s="97"/>
      <c r="F116" s="129"/>
      <c r="G116" s="114"/>
      <c r="H116" s="219"/>
      <c r="I116" s="114"/>
      <c r="J116" s="114"/>
      <c r="K116" s="92"/>
      <c r="L116" s="95">
        <f t="shared" si="33"/>
        <v>0</v>
      </c>
      <c r="M116" s="878">
        <f t="shared" si="34"/>
        <v>0</v>
      </c>
      <c r="N116" s="878">
        <f t="shared" si="35"/>
        <v>0</v>
      </c>
      <c r="O116" s="893" t="str">
        <f t="shared" si="36"/>
        <v>-</v>
      </c>
      <c r="P116" s="878">
        <f t="shared" si="40"/>
        <v>0</v>
      </c>
      <c r="Q116" s="92"/>
      <c r="R116" s="878">
        <f t="shared" si="18"/>
        <v>0</v>
      </c>
      <c r="S116" s="878">
        <f t="shared" si="19"/>
        <v>0</v>
      </c>
      <c r="T116" s="878">
        <f t="shared" si="20"/>
        <v>0</v>
      </c>
      <c r="U116" s="878">
        <f t="shared" si="37"/>
        <v>0</v>
      </c>
      <c r="V116" s="878">
        <f t="shared" si="37"/>
        <v>0</v>
      </c>
      <c r="W116" s="92"/>
      <c r="X116" s="878">
        <f t="shared" si="39"/>
        <v>0</v>
      </c>
      <c r="Y116" s="878">
        <f t="shared" si="39"/>
        <v>0</v>
      </c>
      <c r="Z116" s="878">
        <f t="shared" si="39"/>
        <v>0</v>
      </c>
      <c r="AA116" s="878">
        <f t="shared" si="41"/>
        <v>0</v>
      </c>
      <c r="AB116" s="878">
        <f t="shared" si="41"/>
        <v>0</v>
      </c>
      <c r="AC116" s="162"/>
      <c r="AD116" s="70"/>
    </row>
    <row r="117" spans="2:30" x14ac:dyDescent="0.2">
      <c r="B117" s="70"/>
      <c r="C117" s="90"/>
      <c r="D117" s="97"/>
      <c r="E117" s="97"/>
      <c r="F117" s="129"/>
      <c r="G117" s="114"/>
      <c r="H117" s="219"/>
      <c r="I117" s="114"/>
      <c r="J117" s="114"/>
      <c r="K117" s="92"/>
      <c r="L117" s="95">
        <f t="shared" si="33"/>
        <v>0</v>
      </c>
      <c r="M117" s="878">
        <f t="shared" si="34"/>
        <v>0</v>
      </c>
      <c r="N117" s="878">
        <f t="shared" si="35"/>
        <v>0</v>
      </c>
      <c r="O117" s="893" t="str">
        <f t="shared" si="36"/>
        <v>-</v>
      </c>
      <c r="P117" s="878">
        <f t="shared" si="40"/>
        <v>0</v>
      </c>
      <c r="Q117" s="92"/>
      <c r="R117" s="878">
        <f t="shared" si="18"/>
        <v>0</v>
      </c>
      <c r="S117" s="878">
        <f t="shared" si="19"/>
        <v>0</v>
      </c>
      <c r="T117" s="878">
        <f t="shared" si="20"/>
        <v>0</v>
      </c>
      <c r="U117" s="878">
        <f t="shared" si="37"/>
        <v>0</v>
      </c>
      <c r="V117" s="878">
        <f t="shared" si="37"/>
        <v>0</v>
      </c>
      <c r="W117" s="92"/>
      <c r="X117" s="878">
        <f t="shared" si="39"/>
        <v>0</v>
      </c>
      <c r="Y117" s="878">
        <f t="shared" si="39"/>
        <v>0</v>
      </c>
      <c r="Z117" s="878">
        <f t="shared" si="39"/>
        <v>0</v>
      </c>
      <c r="AA117" s="878">
        <f t="shared" si="41"/>
        <v>0</v>
      </c>
      <c r="AB117" s="878">
        <f t="shared" si="41"/>
        <v>0</v>
      </c>
      <c r="AC117" s="162"/>
      <c r="AD117" s="70"/>
    </row>
    <row r="118" spans="2:30" x14ac:dyDescent="0.2">
      <c r="B118" s="70"/>
      <c r="C118" s="90"/>
      <c r="D118" s="97"/>
      <c r="E118" s="97"/>
      <c r="F118" s="129"/>
      <c r="G118" s="114"/>
      <c r="H118" s="219"/>
      <c r="I118" s="114"/>
      <c r="J118" s="114"/>
      <c r="K118" s="92"/>
      <c r="L118" s="95">
        <f t="shared" si="33"/>
        <v>0</v>
      </c>
      <c r="M118" s="878">
        <f t="shared" si="34"/>
        <v>0</v>
      </c>
      <c r="N118" s="878">
        <f t="shared" si="35"/>
        <v>0</v>
      </c>
      <c r="O118" s="893" t="str">
        <f t="shared" si="36"/>
        <v>-</v>
      </c>
      <c r="P118" s="878">
        <f t="shared" si="40"/>
        <v>0</v>
      </c>
      <c r="Q118" s="92"/>
      <c r="R118" s="878">
        <f t="shared" si="18"/>
        <v>0</v>
      </c>
      <c r="S118" s="878">
        <f t="shared" si="19"/>
        <v>0</v>
      </c>
      <c r="T118" s="878">
        <f t="shared" si="20"/>
        <v>0</v>
      </c>
      <c r="U118" s="878">
        <f t="shared" si="37"/>
        <v>0</v>
      </c>
      <c r="V118" s="878">
        <f t="shared" si="37"/>
        <v>0</v>
      </c>
      <c r="W118" s="92"/>
      <c r="X118" s="878">
        <f t="shared" si="39"/>
        <v>0</v>
      </c>
      <c r="Y118" s="878">
        <f t="shared" si="39"/>
        <v>0</v>
      </c>
      <c r="Z118" s="878">
        <f t="shared" si="39"/>
        <v>0</v>
      </c>
      <c r="AA118" s="878">
        <f t="shared" si="41"/>
        <v>0</v>
      </c>
      <c r="AB118" s="878">
        <f t="shared" si="41"/>
        <v>0</v>
      </c>
      <c r="AC118" s="162"/>
      <c r="AD118" s="70"/>
    </row>
    <row r="119" spans="2:30" x14ac:dyDescent="0.2">
      <c r="B119" s="70"/>
      <c r="C119" s="90"/>
      <c r="D119" s="97"/>
      <c r="E119" s="97"/>
      <c r="F119" s="129"/>
      <c r="G119" s="114"/>
      <c r="H119" s="219"/>
      <c r="I119" s="114"/>
      <c r="J119" s="114"/>
      <c r="K119" s="92"/>
      <c r="L119" s="95">
        <f t="shared" si="33"/>
        <v>0</v>
      </c>
      <c r="M119" s="878">
        <f t="shared" si="34"/>
        <v>0</v>
      </c>
      <c r="N119" s="878">
        <f t="shared" si="35"/>
        <v>0</v>
      </c>
      <c r="O119" s="893" t="str">
        <f t="shared" si="36"/>
        <v>-</v>
      </c>
      <c r="P119" s="878">
        <f t="shared" si="40"/>
        <v>0</v>
      </c>
      <c r="Q119" s="92"/>
      <c r="R119" s="878">
        <f t="shared" si="18"/>
        <v>0</v>
      </c>
      <c r="S119" s="878">
        <f t="shared" si="19"/>
        <v>0</v>
      </c>
      <c r="T119" s="878">
        <f t="shared" si="20"/>
        <v>0</v>
      </c>
      <c r="U119" s="878">
        <f t="shared" si="37"/>
        <v>0</v>
      </c>
      <c r="V119" s="878">
        <f t="shared" si="37"/>
        <v>0</v>
      </c>
      <c r="W119" s="92"/>
      <c r="X119" s="878">
        <f t="shared" si="39"/>
        <v>0</v>
      </c>
      <c r="Y119" s="878">
        <f t="shared" si="39"/>
        <v>0</v>
      </c>
      <c r="Z119" s="878">
        <f t="shared" si="39"/>
        <v>0</v>
      </c>
      <c r="AA119" s="878">
        <f t="shared" si="41"/>
        <v>0</v>
      </c>
      <c r="AB119" s="878">
        <f t="shared" si="41"/>
        <v>0</v>
      </c>
      <c r="AC119" s="162"/>
      <c r="AD119" s="70"/>
    </row>
    <row r="120" spans="2:30" x14ac:dyDescent="0.2">
      <c r="B120" s="70"/>
      <c r="C120" s="90"/>
      <c r="D120" s="97"/>
      <c r="E120" s="97"/>
      <c r="F120" s="129"/>
      <c r="G120" s="114"/>
      <c r="H120" s="219"/>
      <c r="I120" s="114"/>
      <c r="J120" s="114"/>
      <c r="K120" s="92"/>
      <c r="L120" s="95">
        <f t="shared" si="33"/>
        <v>0</v>
      </c>
      <c r="M120" s="878">
        <f t="shared" si="34"/>
        <v>0</v>
      </c>
      <c r="N120" s="878">
        <f t="shared" si="35"/>
        <v>0</v>
      </c>
      <c r="O120" s="893" t="str">
        <f t="shared" si="36"/>
        <v>-</v>
      </c>
      <c r="P120" s="878">
        <f t="shared" si="40"/>
        <v>0</v>
      </c>
      <c r="Q120" s="92"/>
      <c r="R120" s="878">
        <f t="shared" si="18"/>
        <v>0</v>
      </c>
      <c r="S120" s="878">
        <f t="shared" si="19"/>
        <v>0</v>
      </c>
      <c r="T120" s="878">
        <f t="shared" si="20"/>
        <v>0</v>
      </c>
      <c r="U120" s="878">
        <f t="shared" si="37"/>
        <v>0</v>
      </c>
      <c r="V120" s="878">
        <f t="shared" si="37"/>
        <v>0</v>
      </c>
      <c r="W120" s="92"/>
      <c r="X120" s="878">
        <f t="shared" si="39"/>
        <v>0</v>
      </c>
      <c r="Y120" s="878">
        <f t="shared" si="39"/>
        <v>0</v>
      </c>
      <c r="Z120" s="878">
        <f t="shared" si="39"/>
        <v>0</v>
      </c>
      <c r="AA120" s="878">
        <f t="shared" ref="AA120:AB201" si="42">IF(AA$8=$I120,($G120*$H120),0)</f>
        <v>0</v>
      </c>
      <c r="AB120" s="878">
        <f t="shared" si="42"/>
        <v>0</v>
      </c>
      <c r="AC120" s="162"/>
      <c r="AD120" s="70"/>
    </row>
    <row r="121" spans="2:30" x14ac:dyDescent="0.2">
      <c r="B121" s="70"/>
      <c r="C121" s="90"/>
      <c r="D121" s="97"/>
      <c r="E121" s="97"/>
      <c r="F121" s="129"/>
      <c r="G121" s="114"/>
      <c r="H121" s="219"/>
      <c r="I121" s="114"/>
      <c r="J121" s="114"/>
      <c r="K121" s="92"/>
      <c r="L121" s="95">
        <f t="shared" si="33"/>
        <v>0</v>
      </c>
      <c r="M121" s="878">
        <f t="shared" si="34"/>
        <v>0</v>
      </c>
      <c r="N121" s="878">
        <f t="shared" si="35"/>
        <v>0</v>
      </c>
      <c r="O121" s="893" t="str">
        <f t="shared" si="36"/>
        <v>-</v>
      </c>
      <c r="P121" s="878">
        <f t="shared" si="40"/>
        <v>0</v>
      </c>
      <c r="Q121" s="92"/>
      <c r="R121" s="878">
        <f t="shared" si="18"/>
        <v>0</v>
      </c>
      <c r="S121" s="878">
        <f t="shared" si="19"/>
        <v>0</v>
      </c>
      <c r="T121" s="878">
        <f t="shared" si="20"/>
        <v>0</v>
      </c>
      <c r="U121" s="878">
        <f t="shared" si="37"/>
        <v>0</v>
      </c>
      <c r="V121" s="878">
        <f t="shared" si="37"/>
        <v>0</v>
      </c>
      <c r="W121" s="92"/>
      <c r="X121" s="878">
        <f t="shared" si="39"/>
        <v>0</v>
      </c>
      <c r="Y121" s="878">
        <f t="shared" si="39"/>
        <v>0</v>
      </c>
      <c r="Z121" s="878">
        <f t="shared" si="39"/>
        <v>0</v>
      </c>
      <c r="AA121" s="878">
        <f t="shared" si="42"/>
        <v>0</v>
      </c>
      <c r="AB121" s="878">
        <f t="shared" si="42"/>
        <v>0</v>
      </c>
      <c r="AC121" s="162"/>
      <c r="AD121" s="70"/>
    </row>
    <row r="122" spans="2:30" x14ac:dyDescent="0.2">
      <c r="B122" s="70"/>
      <c r="C122" s="90"/>
      <c r="D122" s="97"/>
      <c r="E122" s="97"/>
      <c r="F122" s="129"/>
      <c r="G122" s="114"/>
      <c r="H122" s="219"/>
      <c r="I122" s="114"/>
      <c r="J122" s="114"/>
      <c r="K122" s="92"/>
      <c r="L122" s="95">
        <f t="shared" si="33"/>
        <v>0</v>
      </c>
      <c r="M122" s="878">
        <f t="shared" si="34"/>
        <v>0</v>
      </c>
      <c r="N122" s="878">
        <f t="shared" si="35"/>
        <v>0</v>
      </c>
      <c r="O122" s="893" t="str">
        <f t="shared" si="36"/>
        <v>-</v>
      </c>
      <c r="P122" s="878">
        <f t="shared" si="40"/>
        <v>0</v>
      </c>
      <c r="Q122" s="92"/>
      <c r="R122" s="878">
        <f t="shared" si="18"/>
        <v>0</v>
      </c>
      <c r="S122" s="878">
        <f t="shared" si="19"/>
        <v>0</v>
      </c>
      <c r="T122" s="878">
        <f t="shared" si="20"/>
        <v>0</v>
      </c>
      <c r="U122" s="878">
        <f t="shared" si="37"/>
        <v>0</v>
      </c>
      <c r="V122" s="878">
        <f t="shared" si="37"/>
        <v>0</v>
      </c>
      <c r="W122" s="92"/>
      <c r="X122" s="878">
        <f t="shared" si="39"/>
        <v>0</v>
      </c>
      <c r="Y122" s="878">
        <f t="shared" si="39"/>
        <v>0</v>
      </c>
      <c r="Z122" s="878">
        <f t="shared" si="39"/>
        <v>0</v>
      </c>
      <c r="AA122" s="878">
        <f t="shared" si="42"/>
        <v>0</v>
      </c>
      <c r="AB122" s="878">
        <f t="shared" si="42"/>
        <v>0</v>
      </c>
      <c r="AC122" s="162"/>
      <c r="AD122" s="70"/>
    </row>
    <row r="123" spans="2:30" x14ac:dyDescent="0.2">
      <c r="B123" s="70"/>
      <c r="C123" s="90"/>
      <c r="D123" s="97"/>
      <c r="E123" s="97"/>
      <c r="F123" s="129"/>
      <c r="G123" s="114"/>
      <c r="H123" s="219"/>
      <c r="I123" s="114"/>
      <c r="J123" s="114"/>
      <c r="K123" s="92"/>
      <c r="L123" s="95">
        <f t="shared" si="33"/>
        <v>0</v>
      </c>
      <c r="M123" s="878">
        <f t="shared" si="34"/>
        <v>0</v>
      </c>
      <c r="N123" s="878">
        <f t="shared" si="35"/>
        <v>0</v>
      </c>
      <c r="O123" s="893" t="str">
        <f t="shared" si="36"/>
        <v>-</v>
      </c>
      <c r="P123" s="878">
        <f t="shared" si="40"/>
        <v>0</v>
      </c>
      <c r="Q123" s="92"/>
      <c r="R123" s="878">
        <f t="shared" si="18"/>
        <v>0</v>
      </c>
      <c r="S123" s="878">
        <f t="shared" si="19"/>
        <v>0</v>
      </c>
      <c r="T123" s="878">
        <f t="shared" si="20"/>
        <v>0</v>
      </c>
      <c r="U123" s="878">
        <f t="shared" si="37"/>
        <v>0</v>
      </c>
      <c r="V123" s="878">
        <f t="shared" si="37"/>
        <v>0</v>
      </c>
      <c r="W123" s="92"/>
      <c r="X123" s="878">
        <f t="shared" si="39"/>
        <v>0</v>
      </c>
      <c r="Y123" s="878">
        <f t="shared" si="39"/>
        <v>0</v>
      </c>
      <c r="Z123" s="878">
        <f t="shared" si="39"/>
        <v>0</v>
      </c>
      <c r="AA123" s="878">
        <f t="shared" si="42"/>
        <v>0</v>
      </c>
      <c r="AB123" s="878">
        <f t="shared" si="42"/>
        <v>0</v>
      </c>
      <c r="AC123" s="162"/>
      <c r="AD123" s="70"/>
    </row>
    <row r="124" spans="2:30" x14ac:dyDescent="0.2">
      <c r="B124" s="70"/>
      <c r="C124" s="90"/>
      <c r="D124" s="97"/>
      <c r="E124" s="97"/>
      <c r="F124" s="129"/>
      <c r="G124" s="114"/>
      <c r="H124" s="219"/>
      <c r="I124" s="114"/>
      <c r="J124" s="114"/>
      <c r="K124" s="92"/>
      <c r="L124" s="95">
        <f t="shared" si="33"/>
        <v>0</v>
      </c>
      <c r="M124" s="878">
        <f t="shared" si="34"/>
        <v>0</v>
      </c>
      <c r="N124" s="878">
        <f t="shared" si="35"/>
        <v>0</v>
      </c>
      <c r="O124" s="893" t="str">
        <f t="shared" si="36"/>
        <v>-</v>
      </c>
      <c r="P124" s="878">
        <f t="shared" si="40"/>
        <v>0</v>
      </c>
      <c r="Q124" s="92"/>
      <c r="R124" s="878">
        <f t="shared" si="18"/>
        <v>0</v>
      </c>
      <c r="S124" s="878">
        <f t="shared" si="19"/>
        <v>0</v>
      </c>
      <c r="T124" s="878">
        <f t="shared" si="20"/>
        <v>0</v>
      </c>
      <c r="U124" s="878">
        <f t="shared" si="37"/>
        <v>0</v>
      </c>
      <c r="V124" s="878">
        <f t="shared" si="37"/>
        <v>0</v>
      </c>
      <c r="W124" s="92"/>
      <c r="X124" s="878">
        <f t="shared" si="39"/>
        <v>0</v>
      </c>
      <c r="Y124" s="878">
        <f t="shared" si="39"/>
        <v>0</v>
      </c>
      <c r="Z124" s="878">
        <f t="shared" si="39"/>
        <v>0</v>
      </c>
      <c r="AA124" s="878">
        <f t="shared" si="42"/>
        <v>0</v>
      </c>
      <c r="AB124" s="878">
        <f t="shared" si="42"/>
        <v>0</v>
      </c>
      <c r="AC124" s="162"/>
      <c r="AD124" s="70"/>
    </row>
    <row r="125" spans="2:30" x14ac:dyDescent="0.2">
      <c r="B125" s="70"/>
      <c r="C125" s="90"/>
      <c r="D125" s="97"/>
      <c r="E125" s="97"/>
      <c r="F125" s="129"/>
      <c r="G125" s="114"/>
      <c r="H125" s="219"/>
      <c r="I125" s="114"/>
      <c r="J125" s="114"/>
      <c r="K125" s="92"/>
      <c r="L125" s="95">
        <f t="shared" si="33"/>
        <v>0</v>
      </c>
      <c r="M125" s="878">
        <f t="shared" si="34"/>
        <v>0</v>
      </c>
      <c r="N125" s="878">
        <f t="shared" si="35"/>
        <v>0</v>
      </c>
      <c r="O125" s="893" t="str">
        <f t="shared" si="36"/>
        <v>-</v>
      </c>
      <c r="P125" s="878">
        <f t="shared" si="40"/>
        <v>0</v>
      </c>
      <c r="Q125" s="92"/>
      <c r="R125" s="878">
        <f t="shared" si="18"/>
        <v>0</v>
      </c>
      <c r="S125" s="878">
        <f t="shared" si="19"/>
        <v>0</v>
      </c>
      <c r="T125" s="878">
        <f t="shared" si="20"/>
        <v>0</v>
      </c>
      <c r="U125" s="878">
        <f t="shared" si="37"/>
        <v>0</v>
      </c>
      <c r="V125" s="878">
        <f t="shared" si="37"/>
        <v>0</v>
      </c>
      <c r="W125" s="92"/>
      <c r="X125" s="878">
        <f t="shared" si="39"/>
        <v>0</v>
      </c>
      <c r="Y125" s="878">
        <f t="shared" si="39"/>
        <v>0</v>
      </c>
      <c r="Z125" s="878">
        <f t="shared" si="39"/>
        <v>0</v>
      </c>
      <c r="AA125" s="878">
        <f t="shared" si="42"/>
        <v>0</v>
      </c>
      <c r="AB125" s="878">
        <f t="shared" si="42"/>
        <v>0</v>
      </c>
      <c r="AC125" s="162"/>
      <c r="AD125" s="70"/>
    </row>
    <row r="126" spans="2:30" x14ac:dyDescent="0.2">
      <c r="B126" s="70"/>
      <c r="C126" s="90"/>
      <c r="D126" s="97"/>
      <c r="E126" s="97"/>
      <c r="F126" s="129"/>
      <c r="G126" s="114"/>
      <c r="H126" s="219"/>
      <c r="I126" s="114"/>
      <c r="J126" s="114"/>
      <c r="K126" s="92"/>
      <c r="L126" s="95">
        <f t="shared" si="33"/>
        <v>0</v>
      </c>
      <c r="M126" s="878">
        <f t="shared" si="34"/>
        <v>0</v>
      </c>
      <c r="N126" s="878">
        <f t="shared" si="35"/>
        <v>0</v>
      </c>
      <c r="O126" s="893" t="str">
        <f t="shared" si="36"/>
        <v>-</v>
      </c>
      <c r="P126" s="878">
        <f t="shared" si="40"/>
        <v>0</v>
      </c>
      <c r="Q126" s="92"/>
      <c r="R126" s="878">
        <f t="shared" si="18"/>
        <v>0</v>
      </c>
      <c r="S126" s="878">
        <f t="shared" si="19"/>
        <v>0</v>
      </c>
      <c r="T126" s="878">
        <f t="shared" si="20"/>
        <v>0</v>
      </c>
      <c r="U126" s="878">
        <f t="shared" si="37"/>
        <v>0</v>
      </c>
      <c r="V126" s="878">
        <f t="shared" si="37"/>
        <v>0</v>
      </c>
      <c r="W126" s="92"/>
      <c r="X126" s="878">
        <f t="shared" si="39"/>
        <v>0</v>
      </c>
      <c r="Y126" s="878">
        <f t="shared" si="39"/>
        <v>0</v>
      </c>
      <c r="Z126" s="878">
        <f t="shared" si="39"/>
        <v>0</v>
      </c>
      <c r="AA126" s="878">
        <f t="shared" si="42"/>
        <v>0</v>
      </c>
      <c r="AB126" s="878">
        <f t="shared" si="42"/>
        <v>0</v>
      </c>
      <c r="AC126" s="162"/>
      <c r="AD126" s="70"/>
    </row>
    <row r="127" spans="2:30" x14ac:dyDescent="0.2">
      <c r="B127" s="70"/>
      <c r="C127" s="90"/>
      <c r="D127" s="97"/>
      <c r="E127" s="97"/>
      <c r="F127" s="129"/>
      <c r="G127" s="114"/>
      <c r="H127" s="219"/>
      <c r="I127" s="114"/>
      <c r="J127" s="114"/>
      <c r="K127" s="92"/>
      <c r="L127" s="95">
        <f t="shared" ref="L127:L190" si="43">IF(J127="geen",9999999999,J127)</f>
        <v>0</v>
      </c>
      <c r="M127" s="878">
        <f t="shared" ref="M127:M190" si="44">G127*H127</f>
        <v>0</v>
      </c>
      <c r="N127" s="878">
        <f t="shared" ref="N127:N190" si="45">IF(G127=0,0,(G127*H127)/L127)</f>
        <v>0</v>
      </c>
      <c r="O127" s="893" t="str">
        <f t="shared" ref="O127:O190" si="46">IF(L127=0,"-",(IF(L127&gt;3000,"-",I127+L127-1)))</f>
        <v>-</v>
      </c>
      <c r="P127" s="878">
        <f t="shared" ref="P127:P190" si="47">IF(J127="geen",IF(I127&lt;$R$8,G127*H127,0),IF(I127&gt;=$R$8,0,IF((H127*G127-(R$8-I127)*N127)&lt;0,0,H127*G127-(R$8-I127)*N127)))</f>
        <v>0</v>
      </c>
      <c r="Q127" s="92"/>
      <c r="R127" s="878">
        <f t="shared" si="18"/>
        <v>0</v>
      </c>
      <c r="S127" s="878">
        <f t="shared" si="19"/>
        <v>0</v>
      </c>
      <c r="T127" s="878">
        <f t="shared" si="20"/>
        <v>0</v>
      </c>
      <c r="U127" s="878">
        <f t="shared" si="37"/>
        <v>0</v>
      </c>
      <c r="V127" s="878">
        <f t="shared" si="37"/>
        <v>0</v>
      </c>
      <c r="W127" s="92"/>
      <c r="X127" s="878">
        <f t="shared" si="39"/>
        <v>0</v>
      </c>
      <c r="Y127" s="878">
        <f t="shared" si="39"/>
        <v>0</v>
      </c>
      <c r="Z127" s="878">
        <f t="shared" si="39"/>
        <v>0</v>
      </c>
      <c r="AA127" s="878">
        <f t="shared" si="42"/>
        <v>0</v>
      </c>
      <c r="AB127" s="878">
        <f t="shared" si="42"/>
        <v>0</v>
      </c>
      <c r="AC127" s="162"/>
      <c r="AD127" s="70"/>
    </row>
    <row r="128" spans="2:30" x14ac:dyDescent="0.2">
      <c r="B128" s="70"/>
      <c r="C128" s="90"/>
      <c r="D128" s="97"/>
      <c r="E128" s="97"/>
      <c r="F128" s="129"/>
      <c r="G128" s="114"/>
      <c r="H128" s="219"/>
      <c r="I128" s="114"/>
      <c r="J128" s="114"/>
      <c r="K128" s="92"/>
      <c r="L128" s="95">
        <f t="shared" si="43"/>
        <v>0</v>
      </c>
      <c r="M128" s="878">
        <f t="shared" si="44"/>
        <v>0</v>
      </c>
      <c r="N128" s="878">
        <f t="shared" si="45"/>
        <v>0</v>
      </c>
      <c r="O128" s="893" t="str">
        <f t="shared" si="46"/>
        <v>-</v>
      </c>
      <c r="P128" s="878">
        <f t="shared" si="47"/>
        <v>0</v>
      </c>
      <c r="Q128" s="92"/>
      <c r="R128" s="878">
        <f t="shared" si="18"/>
        <v>0</v>
      </c>
      <c r="S128" s="878">
        <f t="shared" si="19"/>
        <v>0</v>
      </c>
      <c r="T128" s="878">
        <f t="shared" si="20"/>
        <v>0</v>
      </c>
      <c r="U128" s="878">
        <f t="shared" si="37"/>
        <v>0</v>
      </c>
      <c r="V128" s="878">
        <f t="shared" si="37"/>
        <v>0</v>
      </c>
      <c r="W128" s="92"/>
      <c r="X128" s="878">
        <f t="shared" si="39"/>
        <v>0</v>
      </c>
      <c r="Y128" s="878">
        <f t="shared" si="39"/>
        <v>0</v>
      </c>
      <c r="Z128" s="878">
        <f t="shared" si="39"/>
        <v>0</v>
      </c>
      <c r="AA128" s="878">
        <f t="shared" si="42"/>
        <v>0</v>
      </c>
      <c r="AB128" s="878">
        <f t="shared" si="42"/>
        <v>0</v>
      </c>
      <c r="AC128" s="162"/>
      <c r="AD128" s="70"/>
    </row>
    <row r="129" spans="2:30" x14ac:dyDescent="0.2">
      <c r="B129" s="70"/>
      <c r="C129" s="90"/>
      <c r="D129" s="97"/>
      <c r="E129" s="97"/>
      <c r="F129" s="129"/>
      <c r="G129" s="114"/>
      <c r="H129" s="219"/>
      <c r="I129" s="114"/>
      <c r="J129" s="114"/>
      <c r="K129" s="92"/>
      <c r="L129" s="95">
        <f t="shared" si="43"/>
        <v>0</v>
      </c>
      <c r="M129" s="878">
        <f t="shared" si="44"/>
        <v>0</v>
      </c>
      <c r="N129" s="878">
        <f t="shared" si="45"/>
        <v>0</v>
      </c>
      <c r="O129" s="893" t="str">
        <f t="shared" si="46"/>
        <v>-</v>
      </c>
      <c r="P129" s="878">
        <f t="shared" si="47"/>
        <v>0</v>
      </c>
      <c r="Q129" s="92"/>
      <c r="R129" s="878">
        <f t="shared" si="18"/>
        <v>0</v>
      </c>
      <c r="S129" s="878">
        <f t="shared" si="19"/>
        <v>0</v>
      </c>
      <c r="T129" s="878">
        <f t="shared" si="20"/>
        <v>0</v>
      </c>
      <c r="U129" s="878">
        <f t="shared" si="37"/>
        <v>0</v>
      </c>
      <c r="V129" s="878">
        <f t="shared" si="37"/>
        <v>0</v>
      </c>
      <c r="W129" s="92"/>
      <c r="X129" s="878">
        <f t="shared" si="39"/>
        <v>0</v>
      </c>
      <c r="Y129" s="878">
        <f t="shared" si="39"/>
        <v>0</v>
      </c>
      <c r="Z129" s="878">
        <f t="shared" si="39"/>
        <v>0</v>
      </c>
      <c r="AA129" s="878">
        <f t="shared" si="42"/>
        <v>0</v>
      </c>
      <c r="AB129" s="878">
        <f t="shared" si="42"/>
        <v>0</v>
      </c>
      <c r="AC129" s="162"/>
      <c r="AD129" s="70"/>
    </row>
    <row r="130" spans="2:30" x14ac:dyDescent="0.2">
      <c r="B130" s="70"/>
      <c r="C130" s="90"/>
      <c r="D130" s="97"/>
      <c r="E130" s="97"/>
      <c r="F130" s="129"/>
      <c r="G130" s="114"/>
      <c r="H130" s="219"/>
      <c r="I130" s="114"/>
      <c r="J130" s="114"/>
      <c r="K130" s="92"/>
      <c r="L130" s="95">
        <f t="shared" si="43"/>
        <v>0</v>
      </c>
      <c r="M130" s="878">
        <f t="shared" si="44"/>
        <v>0</v>
      </c>
      <c r="N130" s="878">
        <f t="shared" si="45"/>
        <v>0</v>
      </c>
      <c r="O130" s="893" t="str">
        <f t="shared" si="46"/>
        <v>-</v>
      </c>
      <c r="P130" s="878">
        <f t="shared" si="47"/>
        <v>0</v>
      </c>
      <c r="Q130" s="92"/>
      <c r="R130" s="878">
        <f t="shared" si="18"/>
        <v>0</v>
      </c>
      <c r="S130" s="878">
        <f t="shared" si="19"/>
        <v>0</v>
      </c>
      <c r="T130" s="878">
        <f t="shared" si="20"/>
        <v>0</v>
      </c>
      <c r="U130" s="878">
        <f t="shared" si="37"/>
        <v>0</v>
      </c>
      <c r="V130" s="878">
        <f t="shared" si="37"/>
        <v>0</v>
      </c>
      <c r="W130" s="92"/>
      <c r="X130" s="878">
        <f t="shared" si="39"/>
        <v>0</v>
      </c>
      <c r="Y130" s="878">
        <f t="shared" si="39"/>
        <v>0</v>
      </c>
      <c r="Z130" s="878">
        <f t="shared" si="39"/>
        <v>0</v>
      </c>
      <c r="AA130" s="878">
        <f t="shared" si="42"/>
        <v>0</v>
      </c>
      <c r="AB130" s="878">
        <f t="shared" si="42"/>
        <v>0</v>
      </c>
      <c r="AC130" s="162"/>
      <c r="AD130" s="70"/>
    </row>
    <row r="131" spans="2:30" x14ac:dyDescent="0.2">
      <c r="B131" s="70"/>
      <c r="C131" s="90"/>
      <c r="D131" s="97"/>
      <c r="E131" s="97"/>
      <c r="F131" s="129"/>
      <c r="G131" s="114"/>
      <c r="H131" s="219"/>
      <c r="I131" s="114"/>
      <c r="J131" s="114"/>
      <c r="K131" s="92"/>
      <c r="L131" s="95">
        <f t="shared" si="43"/>
        <v>0</v>
      </c>
      <c r="M131" s="878">
        <f t="shared" si="44"/>
        <v>0</v>
      </c>
      <c r="N131" s="878">
        <f t="shared" si="45"/>
        <v>0</v>
      </c>
      <c r="O131" s="893" t="str">
        <f t="shared" si="46"/>
        <v>-</v>
      </c>
      <c r="P131" s="878">
        <f t="shared" si="47"/>
        <v>0</v>
      </c>
      <c r="Q131" s="92"/>
      <c r="R131" s="878">
        <f t="shared" si="18"/>
        <v>0</v>
      </c>
      <c r="S131" s="878">
        <f t="shared" si="19"/>
        <v>0</v>
      </c>
      <c r="T131" s="878">
        <f t="shared" si="20"/>
        <v>0</v>
      </c>
      <c r="U131" s="878">
        <f t="shared" si="37"/>
        <v>0</v>
      </c>
      <c r="V131" s="878">
        <f t="shared" si="37"/>
        <v>0</v>
      </c>
      <c r="W131" s="92"/>
      <c r="X131" s="878">
        <f t="shared" si="39"/>
        <v>0</v>
      </c>
      <c r="Y131" s="878">
        <f t="shared" si="39"/>
        <v>0</v>
      </c>
      <c r="Z131" s="878">
        <f t="shared" si="39"/>
        <v>0</v>
      </c>
      <c r="AA131" s="878">
        <f t="shared" si="42"/>
        <v>0</v>
      </c>
      <c r="AB131" s="878">
        <f t="shared" si="42"/>
        <v>0</v>
      </c>
      <c r="AC131" s="162"/>
      <c r="AD131" s="70"/>
    </row>
    <row r="132" spans="2:30" x14ac:dyDescent="0.2">
      <c r="B132" s="70"/>
      <c r="C132" s="90"/>
      <c r="D132" s="97"/>
      <c r="E132" s="97"/>
      <c r="F132" s="129"/>
      <c r="G132" s="114"/>
      <c r="H132" s="219"/>
      <c r="I132" s="114"/>
      <c r="J132" s="114"/>
      <c r="K132" s="92"/>
      <c r="L132" s="95">
        <f t="shared" si="43"/>
        <v>0</v>
      </c>
      <c r="M132" s="878">
        <f t="shared" si="44"/>
        <v>0</v>
      </c>
      <c r="N132" s="878">
        <f t="shared" si="45"/>
        <v>0</v>
      </c>
      <c r="O132" s="893" t="str">
        <f t="shared" si="46"/>
        <v>-</v>
      </c>
      <c r="P132" s="878">
        <f t="shared" si="47"/>
        <v>0</v>
      </c>
      <c r="Q132" s="92"/>
      <c r="R132" s="878">
        <f t="shared" si="18"/>
        <v>0</v>
      </c>
      <c r="S132" s="878">
        <f t="shared" si="19"/>
        <v>0</v>
      </c>
      <c r="T132" s="878">
        <f t="shared" si="20"/>
        <v>0</v>
      </c>
      <c r="U132" s="878">
        <f t="shared" si="37"/>
        <v>0</v>
      </c>
      <c r="V132" s="878">
        <f t="shared" si="37"/>
        <v>0</v>
      </c>
      <c r="W132" s="92"/>
      <c r="X132" s="878">
        <f t="shared" si="39"/>
        <v>0</v>
      </c>
      <c r="Y132" s="878">
        <f t="shared" si="39"/>
        <v>0</v>
      </c>
      <c r="Z132" s="878">
        <f t="shared" si="39"/>
        <v>0</v>
      </c>
      <c r="AA132" s="878">
        <f t="shared" si="42"/>
        <v>0</v>
      </c>
      <c r="AB132" s="878">
        <f t="shared" si="42"/>
        <v>0</v>
      </c>
      <c r="AC132" s="162"/>
      <c r="AD132" s="70"/>
    </row>
    <row r="133" spans="2:30" x14ac:dyDescent="0.2">
      <c r="B133" s="70"/>
      <c r="C133" s="90"/>
      <c r="D133" s="97"/>
      <c r="E133" s="97"/>
      <c r="F133" s="129"/>
      <c r="G133" s="114"/>
      <c r="H133" s="219"/>
      <c r="I133" s="114"/>
      <c r="J133" s="114"/>
      <c r="K133" s="92"/>
      <c r="L133" s="95">
        <f t="shared" si="43"/>
        <v>0</v>
      </c>
      <c r="M133" s="878">
        <f t="shared" si="44"/>
        <v>0</v>
      </c>
      <c r="N133" s="878">
        <f t="shared" si="45"/>
        <v>0</v>
      </c>
      <c r="O133" s="893" t="str">
        <f t="shared" si="46"/>
        <v>-</v>
      </c>
      <c r="P133" s="878">
        <f t="shared" si="47"/>
        <v>0</v>
      </c>
      <c r="Q133" s="92"/>
      <c r="R133" s="878">
        <f t="shared" si="18"/>
        <v>0</v>
      </c>
      <c r="S133" s="878">
        <f t="shared" si="19"/>
        <v>0</v>
      </c>
      <c r="T133" s="878">
        <f t="shared" si="20"/>
        <v>0</v>
      </c>
      <c r="U133" s="878">
        <f t="shared" si="37"/>
        <v>0</v>
      </c>
      <c r="V133" s="878">
        <f t="shared" si="37"/>
        <v>0</v>
      </c>
      <c r="W133" s="92"/>
      <c r="X133" s="878">
        <f t="shared" si="39"/>
        <v>0</v>
      </c>
      <c r="Y133" s="878">
        <f t="shared" si="39"/>
        <v>0</v>
      </c>
      <c r="Z133" s="878">
        <f t="shared" si="39"/>
        <v>0</v>
      </c>
      <c r="AA133" s="878">
        <f t="shared" si="42"/>
        <v>0</v>
      </c>
      <c r="AB133" s="878">
        <f t="shared" si="42"/>
        <v>0</v>
      </c>
      <c r="AC133" s="162"/>
      <c r="AD133" s="70"/>
    </row>
    <row r="134" spans="2:30" x14ac:dyDescent="0.2">
      <c r="B134" s="70"/>
      <c r="C134" s="90"/>
      <c r="D134" s="97"/>
      <c r="E134" s="97"/>
      <c r="F134" s="129"/>
      <c r="G134" s="114"/>
      <c r="H134" s="219"/>
      <c r="I134" s="114"/>
      <c r="J134" s="114"/>
      <c r="K134" s="92"/>
      <c r="L134" s="95">
        <f t="shared" si="43"/>
        <v>0</v>
      </c>
      <c r="M134" s="878">
        <f t="shared" si="44"/>
        <v>0</v>
      </c>
      <c r="N134" s="878">
        <f t="shared" si="45"/>
        <v>0</v>
      </c>
      <c r="O134" s="893" t="str">
        <f t="shared" si="46"/>
        <v>-</v>
      </c>
      <c r="P134" s="878">
        <f t="shared" si="47"/>
        <v>0</v>
      </c>
      <c r="Q134" s="92"/>
      <c r="R134" s="878">
        <f t="shared" si="18"/>
        <v>0</v>
      </c>
      <c r="S134" s="878">
        <f t="shared" si="19"/>
        <v>0</v>
      </c>
      <c r="T134" s="878">
        <f t="shared" si="20"/>
        <v>0</v>
      </c>
      <c r="U134" s="878">
        <f t="shared" si="37"/>
        <v>0</v>
      </c>
      <c r="V134" s="878">
        <f t="shared" si="37"/>
        <v>0</v>
      </c>
      <c r="W134" s="92"/>
      <c r="X134" s="878">
        <f t="shared" si="39"/>
        <v>0</v>
      </c>
      <c r="Y134" s="878">
        <f t="shared" si="39"/>
        <v>0</v>
      </c>
      <c r="Z134" s="878">
        <f t="shared" si="39"/>
        <v>0</v>
      </c>
      <c r="AA134" s="878">
        <f t="shared" si="42"/>
        <v>0</v>
      </c>
      <c r="AB134" s="878">
        <f t="shared" si="42"/>
        <v>0</v>
      </c>
      <c r="AC134" s="162"/>
      <c r="AD134" s="70"/>
    </row>
    <row r="135" spans="2:30" x14ac:dyDescent="0.2">
      <c r="B135" s="70"/>
      <c r="C135" s="90"/>
      <c r="D135" s="97"/>
      <c r="E135" s="97"/>
      <c r="F135" s="129"/>
      <c r="G135" s="114"/>
      <c r="H135" s="219"/>
      <c r="I135" s="114"/>
      <c r="J135" s="114"/>
      <c r="K135" s="92"/>
      <c r="L135" s="95">
        <f t="shared" si="43"/>
        <v>0</v>
      </c>
      <c r="M135" s="878">
        <f t="shared" si="44"/>
        <v>0</v>
      </c>
      <c r="N135" s="878">
        <f t="shared" si="45"/>
        <v>0</v>
      </c>
      <c r="O135" s="893" t="str">
        <f t="shared" si="46"/>
        <v>-</v>
      </c>
      <c r="P135" s="878">
        <f t="shared" si="47"/>
        <v>0</v>
      </c>
      <c r="Q135" s="92"/>
      <c r="R135" s="878">
        <f t="shared" si="18"/>
        <v>0</v>
      </c>
      <c r="S135" s="878">
        <f t="shared" si="19"/>
        <v>0</v>
      </c>
      <c r="T135" s="878">
        <f t="shared" si="20"/>
        <v>0</v>
      </c>
      <c r="U135" s="878">
        <f t="shared" si="37"/>
        <v>0</v>
      </c>
      <c r="V135" s="878">
        <f t="shared" si="37"/>
        <v>0</v>
      </c>
      <c r="W135" s="92"/>
      <c r="X135" s="878">
        <f t="shared" si="39"/>
        <v>0</v>
      </c>
      <c r="Y135" s="878">
        <f t="shared" si="39"/>
        <v>0</v>
      </c>
      <c r="Z135" s="878">
        <f t="shared" si="39"/>
        <v>0</v>
      </c>
      <c r="AA135" s="878">
        <f t="shared" si="42"/>
        <v>0</v>
      </c>
      <c r="AB135" s="878">
        <f t="shared" si="42"/>
        <v>0</v>
      </c>
      <c r="AC135" s="162"/>
      <c r="AD135" s="70"/>
    </row>
    <row r="136" spans="2:30" x14ac:dyDescent="0.2">
      <c r="B136" s="70"/>
      <c r="C136" s="90"/>
      <c r="D136" s="97"/>
      <c r="E136" s="97"/>
      <c r="F136" s="129"/>
      <c r="G136" s="114"/>
      <c r="H136" s="219"/>
      <c r="I136" s="114"/>
      <c r="J136" s="114"/>
      <c r="K136" s="92"/>
      <c r="L136" s="95">
        <f t="shared" si="43"/>
        <v>0</v>
      </c>
      <c r="M136" s="878">
        <f t="shared" si="44"/>
        <v>0</v>
      </c>
      <c r="N136" s="878">
        <f t="shared" si="45"/>
        <v>0</v>
      </c>
      <c r="O136" s="893" t="str">
        <f t="shared" si="46"/>
        <v>-</v>
      </c>
      <c r="P136" s="878">
        <f t="shared" si="47"/>
        <v>0</v>
      </c>
      <c r="Q136" s="92"/>
      <c r="R136" s="878">
        <f t="shared" si="18"/>
        <v>0</v>
      </c>
      <c r="S136" s="878">
        <f t="shared" si="19"/>
        <v>0</v>
      </c>
      <c r="T136" s="878">
        <f t="shared" si="20"/>
        <v>0</v>
      </c>
      <c r="U136" s="878">
        <f t="shared" si="37"/>
        <v>0</v>
      </c>
      <c r="V136" s="878">
        <f t="shared" si="37"/>
        <v>0</v>
      </c>
      <c r="W136" s="92"/>
      <c r="X136" s="878">
        <f t="shared" si="39"/>
        <v>0</v>
      </c>
      <c r="Y136" s="878">
        <f t="shared" si="39"/>
        <v>0</v>
      </c>
      <c r="Z136" s="878">
        <f t="shared" si="39"/>
        <v>0</v>
      </c>
      <c r="AA136" s="878">
        <f t="shared" si="42"/>
        <v>0</v>
      </c>
      <c r="AB136" s="878">
        <f t="shared" si="42"/>
        <v>0</v>
      </c>
      <c r="AC136" s="162"/>
      <c r="AD136" s="70"/>
    </row>
    <row r="137" spans="2:30" x14ac:dyDescent="0.2">
      <c r="B137" s="70"/>
      <c r="C137" s="90"/>
      <c r="D137" s="97"/>
      <c r="E137" s="97"/>
      <c r="F137" s="129"/>
      <c r="G137" s="114"/>
      <c r="H137" s="219"/>
      <c r="I137" s="114"/>
      <c r="J137" s="114"/>
      <c r="K137" s="92"/>
      <c r="L137" s="95">
        <f t="shared" si="43"/>
        <v>0</v>
      </c>
      <c r="M137" s="878">
        <f t="shared" si="44"/>
        <v>0</v>
      </c>
      <c r="N137" s="878">
        <f t="shared" si="45"/>
        <v>0</v>
      </c>
      <c r="O137" s="893" t="str">
        <f t="shared" si="46"/>
        <v>-</v>
      </c>
      <c r="P137" s="878">
        <f t="shared" si="47"/>
        <v>0</v>
      </c>
      <c r="Q137" s="92"/>
      <c r="R137" s="878">
        <f t="shared" si="18"/>
        <v>0</v>
      </c>
      <c r="S137" s="878">
        <f t="shared" si="19"/>
        <v>0</v>
      </c>
      <c r="T137" s="878">
        <f t="shared" si="20"/>
        <v>0</v>
      </c>
      <c r="U137" s="878">
        <f t="shared" si="37"/>
        <v>0</v>
      </c>
      <c r="V137" s="878">
        <f t="shared" si="37"/>
        <v>0</v>
      </c>
      <c r="W137" s="92"/>
      <c r="X137" s="878">
        <f t="shared" si="39"/>
        <v>0</v>
      </c>
      <c r="Y137" s="878">
        <f t="shared" si="39"/>
        <v>0</v>
      </c>
      <c r="Z137" s="878">
        <f t="shared" si="39"/>
        <v>0</v>
      </c>
      <c r="AA137" s="878">
        <f t="shared" si="42"/>
        <v>0</v>
      </c>
      <c r="AB137" s="878">
        <f t="shared" si="42"/>
        <v>0</v>
      </c>
      <c r="AC137" s="162"/>
      <c r="AD137" s="70"/>
    </row>
    <row r="138" spans="2:30" x14ac:dyDescent="0.2">
      <c r="B138" s="70"/>
      <c r="C138" s="90"/>
      <c r="D138" s="97"/>
      <c r="E138" s="97"/>
      <c r="F138" s="129"/>
      <c r="G138" s="114"/>
      <c r="H138" s="219"/>
      <c r="I138" s="114"/>
      <c r="J138" s="114"/>
      <c r="K138" s="92"/>
      <c r="L138" s="95">
        <f t="shared" si="43"/>
        <v>0</v>
      </c>
      <c r="M138" s="878">
        <f t="shared" si="44"/>
        <v>0</v>
      </c>
      <c r="N138" s="878">
        <f t="shared" si="45"/>
        <v>0</v>
      </c>
      <c r="O138" s="893" t="str">
        <f t="shared" si="46"/>
        <v>-</v>
      </c>
      <c r="P138" s="878">
        <f t="shared" si="47"/>
        <v>0</v>
      </c>
      <c r="Q138" s="92"/>
      <c r="R138" s="878">
        <f t="shared" si="18"/>
        <v>0</v>
      </c>
      <c r="S138" s="878">
        <f t="shared" si="19"/>
        <v>0</v>
      </c>
      <c r="T138" s="878">
        <f t="shared" si="20"/>
        <v>0</v>
      </c>
      <c r="U138" s="878">
        <f t="shared" si="37"/>
        <v>0</v>
      </c>
      <c r="V138" s="878">
        <f t="shared" si="37"/>
        <v>0</v>
      </c>
      <c r="W138" s="92"/>
      <c r="X138" s="878">
        <f t="shared" si="39"/>
        <v>0</v>
      </c>
      <c r="Y138" s="878">
        <f t="shared" si="39"/>
        <v>0</v>
      </c>
      <c r="Z138" s="878">
        <f t="shared" si="39"/>
        <v>0</v>
      </c>
      <c r="AA138" s="878">
        <f t="shared" si="42"/>
        <v>0</v>
      </c>
      <c r="AB138" s="878">
        <f t="shared" si="42"/>
        <v>0</v>
      </c>
      <c r="AC138" s="162"/>
      <c r="AD138" s="70"/>
    </row>
    <row r="139" spans="2:30" x14ac:dyDescent="0.2">
      <c r="B139" s="70"/>
      <c r="C139" s="90"/>
      <c r="D139" s="97"/>
      <c r="E139" s="97"/>
      <c r="F139" s="129"/>
      <c r="G139" s="114"/>
      <c r="H139" s="219"/>
      <c r="I139" s="114"/>
      <c r="J139" s="114"/>
      <c r="K139" s="92"/>
      <c r="L139" s="95">
        <f t="shared" si="43"/>
        <v>0</v>
      </c>
      <c r="M139" s="878">
        <f t="shared" si="44"/>
        <v>0</v>
      </c>
      <c r="N139" s="878">
        <f t="shared" si="45"/>
        <v>0</v>
      </c>
      <c r="O139" s="893" t="str">
        <f t="shared" si="46"/>
        <v>-</v>
      </c>
      <c r="P139" s="878">
        <f t="shared" si="47"/>
        <v>0</v>
      </c>
      <c r="Q139" s="92"/>
      <c r="R139" s="878">
        <f t="shared" si="18"/>
        <v>0</v>
      </c>
      <c r="S139" s="878">
        <f t="shared" si="19"/>
        <v>0</v>
      </c>
      <c r="T139" s="878">
        <f t="shared" si="20"/>
        <v>0</v>
      </c>
      <c r="U139" s="878">
        <f t="shared" si="37"/>
        <v>0</v>
      </c>
      <c r="V139" s="878">
        <f t="shared" si="37"/>
        <v>0</v>
      </c>
      <c r="W139" s="92"/>
      <c r="X139" s="878">
        <f t="shared" si="39"/>
        <v>0</v>
      </c>
      <c r="Y139" s="878">
        <f t="shared" si="39"/>
        <v>0</v>
      </c>
      <c r="Z139" s="878">
        <f t="shared" si="39"/>
        <v>0</v>
      </c>
      <c r="AA139" s="878">
        <f t="shared" si="42"/>
        <v>0</v>
      </c>
      <c r="AB139" s="878">
        <f t="shared" si="42"/>
        <v>0</v>
      </c>
      <c r="AC139" s="162"/>
      <c r="AD139" s="70"/>
    </row>
    <row r="140" spans="2:30" x14ac:dyDescent="0.2">
      <c r="B140" s="70"/>
      <c r="C140" s="90"/>
      <c r="D140" s="97"/>
      <c r="E140" s="97"/>
      <c r="F140" s="129"/>
      <c r="G140" s="114"/>
      <c r="H140" s="219"/>
      <c r="I140" s="114"/>
      <c r="J140" s="114"/>
      <c r="K140" s="92"/>
      <c r="L140" s="95">
        <f t="shared" si="43"/>
        <v>0</v>
      </c>
      <c r="M140" s="878">
        <f t="shared" si="44"/>
        <v>0</v>
      </c>
      <c r="N140" s="878">
        <f t="shared" si="45"/>
        <v>0</v>
      </c>
      <c r="O140" s="893" t="str">
        <f t="shared" si="46"/>
        <v>-</v>
      </c>
      <c r="P140" s="878">
        <f t="shared" si="47"/>
        <v>0</v>
      </c>
      <c r="Q140" s="92"/>
      <c r="R140" s="878">
        <f t="shared" si="18"/>
        <v>0</v>
      </c>
      <c r="S140" s="878">
        <f t="shared" si="19"/>
        <v>0</v>
      </c>
      <c r="T140" s="878">
        <f t="shared" si="20"/>
        <v>0</v>
      </c>
      <c r="U140" s="878">
        <f t="shared" si="37"/>
        <v>0</v>
      </c>
      <c r="V140" s="878">
        <f t="shared" si="37"/>
        <v>0</v>
      </c>
      <c r="W140" s="92"/>
      <c r="X140" s="878">
        <f t="shared" si="39"/>
        <v>0</v>
      </c>
      <c r="Y140" s="878">
        <f t="shared" si="39"/>
        <v>0</v>
      </c>
      <c r="Z140" s="878">
        <f t="shared" si="39"/>
        <v>0</v>
      </c>
      <c r="AA140" s="878">
        <f t="shared" si="42"/>
        <v>0</v>
      </c>
      <c r="AB140" s="878">
        <f t="shared" si="42"/>
        <v>0</v>
      </c>
      <c r="AC140" s="162"/>
      <c r="AD140" s="70"/>
    </row>
    <row r="141" spans="2:30" x14ac:dyDescent="0.2">
      <c r="B141" s="70"/>
      <c r="C141" s="90"/>
      <c r="D141" s="97"/>
      <c r="E141" s="97"/>
      <c r="F141" s="129"/>
      <c r="G141" s="114"/>
      <c r="H141" s="219"/>
      <c r="I141" s="114"/>
      <c r="J141" s="114"/>
      <c r="K141" s="92"/>
      <c r="L141" s="95">
        <f t="shared" si="43"/>
        <v>0</v>
      </c>
      <c r="M141" s="878">
        <f t="shared" si="44"/>
        <v>0</v>
      </c>
      <c r="N141" s="878">
        <f t="shared" si="45"/>
        <v>0</v>
      </c>
      <c r="O141" s="893" t="str">
        <f t="shared" si="46"/>
        <v>-</v>
      </c>
      <c r="P141" s="878">
        <f t="shared" si="47"/>
        <v>0</v>
      </c>
      <c r="Q141" s="92"/>
      <c r="R141" s="878">
        <f t="shared" si="18"/>
        <v>0</v>
      </c>
      <c r="S141" s="878">
        <f t="shared" si="19"/>
        <v>0</v>
      </c>
      <c r="T141" s="878">
        <f t="shared" si="20"/>
        <v>0</v>
      </c>
      <c r="U141" s="878">
        <f t="shared" si="37"/>
        <v>0</v>
      </c>
      <c r="V141" s="878">
        <f t="shared" si="37"/>
        <v>0</v>
      </c>
      <c r="W141" s="92"/>
      <c r="X141" s="878">
        <f t="shared" si="39"/>
        <v>0</v>
      </c>
      <c r="Y141" s="878">
        <f t="shared" si="39"/>
        <v>0</v>
      </c>
      <c r="Z141" s="878">
        <f t="shared" si="39"/>
        <v>0</v>
      </c>
      <c r="AA141" s="878">
        <f t="shared" si="42"/>
        <v>0</v>
      </c>
      <c r="AB141" s="878">
        <f t="shared" si="42"/>
        <v>0</v>
      </c>
      <c r="AC141" s="162"/>
      <c r="AD141" s="70"/>
    </row>
    <row r="142" spans="2:30" x14ac:dyDescent="0.2">
      <c r="B142" s="70"/>
      <c r="C142" s="90"/>
      <c r="D142" s="97"/>
      <c r="E142" s="97"/>
      <c r="F142" s="129"/>
      <c r="G142" s="114"/>
      <c r="H142" s="219"/>
      <c r="I142" s="114"/>
      <c r="J142" s="114"/>
      <c r="K142" s="92"/>
      <c r="L142" s="95">
        <f t="shared" si="43"/>
        <v>0</v>
      </c>
      <c r="M142" s="878">
        <f t="shared" si="44"/>
        <v>0</v>
      </c>
      <c r="N142" s="878">
        <f t="shared" si="45"/>
        <v>0</v>
      </c>
      <c r="O142" s="893" t="str">
        <f t="shared" si="46"/>
        <v>-</v>
      </c>
      <c r="P142" s="878">
        <f t="shared" si="47"/>
        <v>0</v>
      </c>
      <c r="Q142" s="92"/>
      <c r="R142" s="878">
        <f t="shared" si="18"/>
        <v>0</v>
      </c>
      <c r="S142" s="878">
        <f t="shared" si="19"/>
        <v>0</v>
      </c>
      <c r="T142" s="878">
        <f t="shared" si="20"/>
        <v>0</v>
      </c>
      <c r="U142" s="878">
        <f t="shared" si="37"/>
        <v>0</v>
      </c>
      <c r="V142" s="878">
        <f t="shared" si="37"/>
        <v>0</v>
      </c>
      <c r="W142" s="92"/>
      <c r="X142" s="878">
        <f t="shared" si="39"/>
        <v>0</v>
      </c>
      <c r="Y142" s="878">
        <f t="shared" si="39"/>
        <v>0</v>
      </c>
      <c r="Z142" s="878">
        <f t="shared" si="39"/>
        <v>0</v>
      </c>
      <c r="AA142" s="878">
        <f t="shared" si="42"/>
        <v>0</v>
      </c>
      <c r="AB142" s="878">
        <f t="shared" si="42"/>
        <v>0</v>
      </c>
      <c r="AC142" s="162"/>
      <c r="AD142" s="70"/>
    </row>
    <row r="143" spans="2:30" x14ac:dyDescent="0.2">
      <c r="B143" s="70"/>
      <c r="C143" s="90"/>
      <c r="D143" s="97"/>
      <c r="E143" s="97"/>
      <c r="F143" s="129"/>
      <c r="G143" s="114"/>
      <c r="H143" s="219"/>
      <c r="I143" s="114"/>
      <c r="J143" s="114"/>
      <c r="K143" s="92"/>
      <c r="L143" s="95">
        <f t="shared" si="43"/>
        <v>0</v>
      </c>
      <c r="M143" s="878">
        <f t="shared" si="44"/>
        <v>0</v>
      </c>
      <c r="N143" s="878">
        <f t="shared" si="45"/>
        <v>0</v>
      </c>
      <c r="O143" s="893" t="str">
        <f t="shared" si="46"/>
        <v>-</v>
      </c>
      <c r="P143" s="878">
        <f t="shared" si="47"/>
        <v>0</v>
      </c>
      <c r="Q143" s="92"/>
      <c r="R143" s="878">
        <f t="shared" si="18"/>
        <v>0</v>
      </c>
      <c r="S143" s="878">
        <f t="shared" si="19"/>
        <v>0</v>
      </c>
      <c r="T143" s="878">
        <f t="shared" si="20"/>
        <v>0</v>
      </c>
      <c r="U143" s="878">
        <f t="shared" si="37"/>
        <v>0</v>
      </c>
      <c r="V143" s="878">
        <f t="shared" si="37"/>
        <v>0</v>
      </c>
      <c r="W143" s="92"/>
      <c r="X143" s="878">
        <f t="shared" si="39"/>
        <v>0</v>
      </c>
      <c r="Y143" s="878">
        <f t="shared" si="39"/>
        <v>0</v>
      </c>
      <c r="Z143" s="878">
        <f t="shared" si="39"/>
        <v>0</v>
      </c>
      <c r="AA143" s="878">
        <f t="shared" si="42"/>
        <v>0</v>
      </c>
      <c r="AB143" s="878">
        <f t="shared" si="42"/>
        <v>0</v>
      </c>
      <c r="AC143" s="162"/>
      <c r="AD143" s="70"/>
    </row>
    <row r="144" spans="2:30" x14ac:dyDescent="0.2">
      <c r="B144" s="70"/>
      <c r="C144" s="90"/>
      <c r="D144" s="97"/>
      <c r="E144" s="97"/>
      <c r="F144" s="129"/>
      <c r="G144" s="114"/>
      <c r="H144" s="219"/>
      <c r="I144" s="114"/>
      <c r="J144" s="114"/>
      <c r="K144" s="92"/>
      <c r="L144" s="95">
        <f t="shared" si="43"/>
        <v>0</v>
      </c>
      <c r="M144" s="878">
        <f t="shared" si="44"/>
        <v>0</v>
      </c>
      <c r="N144" s="878">
        <f t="shared" si="45"/>
        <v>0</v>
      </c>
      <c r="O144" s="893" t="str">
        <f t="shared" si="46"/>
        <v>-</v>
      </c>
      <c r="P144" s="878">
        <f t="shared" si="47"/>
        <v>0</v>
      </c>
      <c r="Q144" s="92"/>
      <c r="R144" s="878">
        <f t="shared" si="18"/>
        <v>0</v>
      </c>
      <c r="S144" s="878">
        <f t="shared" si="19"/>
        <v>0</v>
      </c>
      <c r="T144" s="878">
        <f t="shared" si="20"/>
        <v>0</v>
      </c>
      <c r="U144" s="878">
        <f t="shared" si="37"/>
        <v>0</v>
      </c>
      <c r="V144" s="878">
        <f t="shared" si="37"/>
        <v>0</v>
      </c>
      <c r="W144" s="92"/>
      <c r="X144" s="878">
        <f t="shared" si="39"/>
        <v>0</v>
      </c>
      <c r="Y144" s="878">
        <f t="shared" si="39"/>
        <v>0</v>
      </c>
      <c r="Z144" s="878">
        <f t="shared" si="39"/>
        <v>0</v>
      </c>
      <c r="AA144" s="878">
        <f t="shared" si="42"/>
        <v>0</v>
      </c>
      <c r="AB144" s="878">
        <f t="shared" si="42"/>
        <v>0</v>
      </c>
      <c r="AC144" s="162"/>
      <c r="AD144" s="70"/>
    </row>
    <row r="145" spans="2:30" x14ac:dyDescent="0.2">
      <c r="B145" s="70"/>
      <c r="C145" s="90"/>
      <c r="D145" s="97"/>
      <c r="E145" s="97"/>
      <c r="F145" s="129"/>
      <c r="G145" s="114"/>
      <c r="H145" s="219"/>
      <c r="I145" s="114"/>
      <c r="J145" s="114"/>
      <c r="K145" s="92"/>
      <c r="L145" s="95">
        <f t="shared" si="43"/>
        <v>0</v>
      </c>
      <c r="M145" s="878">
        <f t="shared" si="44"/>
        <v>0</v>
      </c>
      <c r="N145" s="878">
        <f t="shared" si="45"/>
        <v>0</v>
      </c>
      <c r="O145" s="893" t="str">
        <f t="shared" si="46"/>
        <v>-</v>
      </c>
      <c r="P145" s="878">
        <f t="shared" si="47"/>
        <v>0</v>
      </c>
      <c r="Q145" s="92"/>
      <c r="R145" s="878">
        <f t="shared" si="18"/>
        <v>0</v>
      </c>
      <c r="S145" s="878">
        <f t="shared" si="19"/>
        <v>0</v>
      </c>
      <c r="T145" s="878">
        <f t="shared" si="20"/>
        <v>0</v>
      </c>
      <c r="U145" s="878">
        <f t="shared" si="37"/>
        <v>0</v>
      </c>
      <c r="V145" s="878">
        <f t="shared" si="37"/>
        <v>0</v>
      </c>
      <c r="W145" s="92"/>
      <c r="X145" s="878">
        <f t="shared" si="39"/>
        <v>0</v>
      </c>
      <c r="Y145" s="878">
        <f t="shared" si="39"/>
        <v>0</v>
      </c>
      <c r="Z145" s="878">
        <f t="shared" si="39"/>
        <v>0</v>
      </c>
      <c r="AA145" s="878">
        <f t="shared" si="42"/>
        <v>0</v>
      </c>
      <c r="AB145" s="878">
        <f t="shared" si="42"/>
        <v>0</v>
      </c>
      <c r="AC145" s="162"/>
      <c r="AD145" s="70"/>
    </row>
    <row r="146" spans="2:30" x14ac:dyDescent="0.2">
      <c r="B146" s="70"/>
      <c r="C146" s="90"/>
      <c r="D146" s="97"/>
      <c r="E146" s="97"/>
      <c r="F146" s="129"/>
      <c r="G146" s="114"/>
      <c r="H146" s="219"/>
      <c r="I146" s="114"/>
      <c r="J146" s="114"/>
      <c r="K146" s="92"/>
      <c r="L146" s="95">
        <f t="shared" si="43"/>
        <v>0</v>
      </c>
      <c r="M146" s="878">
        <f t="shared" si="44"/>
        <v>0</v>
      </c>
      <c r="N146" s="878">
        <f t="shared" si="45"/>
        <v>0</v>
      </c>
      <c r="O146" s="893" t="str">
        <f t="shared" si="46"/>
        <v>-</v>
      </c>
      <c r="P146" s="878">
        <f t="shared" si="47"/>
        <v>0</v>
      </c>
      <c r="Q146" s="92"/>
      <c r="R146" s="878">
        <f t="shared" si="18"/>
        <v>0</v>
      </c>
      <c r="S146" s="878">
        <f t="shared" si="19"/>
        <v>0</v>
      </c>
      <c r="T146" s="878">
        <f t="shared" si="20"/>
        <v>0</v>
      </c>
      <c r="U146" s="878">
        <f t="shared" si="37"/>
        <v>0</v>
      </c>
      <c r="V146" s="878">
        <f t="shared" si="37"/>
        <v>0</v>
      </c>
      <c r="W146" s="92"/>
      <c r="X146" s="878">
        <f t="shared" si="39"/>
        <v>0</v>
      </c>
      <c r="Y146" s="878">
        <f t="shared" si="39"/>
        <v>0</v>
      </c>
      <c r="Z146" s="878">
        <f t="shared" si="39"/>
        <v>0</v>
      </c>
      <c r="AA146" s="878">
        <f t="shared" si="42"/>
        <v>0</v>
      </c>
      <c r="AB146" s="878">
        <f t="shared" si="42"/>
        <v>0</v>
      </c>
      <c r="AC146" s="162"/>
      <c r="AD146" s="70"/>
    </row>
    <row r="147" spans="2:30" x14ac:dyDescent="0.2">
      <c r="B147" s="70"/>
      <c r="C147" s="90"/>
      <c r="D147" s="97"/>
      <c r="E147" s="97"/>
      <c r="F147" s="129"/>
      <c r="G147" s="114"/>
      <c r="H147" s="219"/>
      <c r="I147" s="114"/>
      <c r="J147" s="114"/>
      <c r="K147" s="92"/>
      <c r="L147" s="95">
        <f t="shared" si="43"/>
        <v>0</v>
      </c>
      <c r="M147" s="878">
        <f t="shared" si="44"/>
        <v>0</v>
      </c>
      <c r="N147" s="878">
        <f t="shared" si="45"/>
        <v>0</v>
      </c>
      <c r="O147" s="893" t="str">
        <f t="shared" si="46"/>
        <v>-</v>
      </c>
      <c r="P147" s="878">
        <f t="shared" si="47"/>
        <v>0</v>
      </c>
      <c r="Q147" s="92"/>
      <c r="R147" s="878">
        <f t="shared" si="18"/>
        <v>0</v>
      </c>
      <c r="S147" s="878">
        <f t="shared" si="19"/>
        <v>0</v>
      </c>
      <c r="T147" s="878">
        <f t="shared" si="20"/>
        <v>0</v>
      </c>
      <c r="U147" s="878">
        <f t="shared" si="37"/>
        <v>0</v>
      </c>
      <c r="V147" s="878">
        <f t="shared" si="37"/>
        <v>0</v>
      </c>
      <c r="W147" s="92"/>
      <c r="X147" s="878">
        <f t="shared" si="39"/>
        <v>0</v>
      </c>
      <c r="Y147" s="878">
        <f t="shared" si="39"/>
        <v>0</v>
      </c>
      <c r="Z147" s="878">
        <f t="shared" si="39"/>
        <v>0</v>
      </c>
      <c r="AA147" s="878">
        <f t="shared" si="42"/>
        <v>0</v>
      </c>
      <c r="AB147" s="878">
        <f t="shared" si="42"/>
        <v>0</v>
      </c>
      <c r="AC147" s="162"/>
      <c r="AD147" s="70"/>
    </row>
    <row r="148" spans="2:30" x14ac:dyDescent="0.2">
      <c r="B148" s="70"/>
      <c r="C148" s="90"/>
      <c r="D148" s="97"/>
      <c r="E148" s="97"/>
      <c r="F148" s="129"/>
      <c r="G148" s="114"/>
      <c r="H148" s="219"/>
      <c r="I148" s="114"/>
      <c r="J148" s="114"/>
      <c r="K148" s="92"/>
      <c r="L148" s="95">
        <f t="shared" si="43"/>
        <v>0</v>
      </c>
      <c r="M148" s="878">
        <f t="shared" si="44"/>
        <v>0</v>
      </c>
      <c r="N148" s="878">
        <f t="shared" si="45"/>
        <v>0</v>
      </c>
      <c r="O148" s="893" t="str">
        <f t="shared" si="46"/>
        <v>-</v>
      </c>
      <c r="P148" s="878">
        <f t="shared" si="47"/>
        <v>0</v>
      </c>
      <c r="Q148" s="92"/>
      <c r="R148" s="878">
        <f t="shared" si="18"/>
        <v>0</v>
      </c>
      <c r="S148" s="878">
        <f t="shared" si="19"/>
        <v>0</v>
      </c>
      <c r="T148" s="878">
        <f t="shared" si="20"/>
        <v>0</v>
      </c>
      <c r="U148" s="878">
        <f t="shared" si="37"/>
        <v>0</v>
      </c>
      <c r="V148" s="878">
        <f t="shared" si="37"/>
        <v>0</v>
      </c>
      <c r="W148" s="92"/>
      <c r="X148" s="878">
        <f t="shared" si="39"/>
        <v>0</v>
      </c>
      <c r="Y148" s="878">
        <f t="shared" si="39"/>
        <v>0</v>
      </c>
      <c r="Z148" s="878">
        <f t="shared" si="39"/>
        <v>0</v>
      </c>
      <c r="AA148" s="878">
        <f t="shared" si="42"/>
        <v>0</v>
      </c>
      <c r="AB148" s="878">
        <f t="shared" si="42"/>
        <v>0</v>
      </c>
      <c r="AC148" s="162"/>
      <c r="AD148" s="70"/>
    </row>
    <row r="149" spans="2:30" x14ac:dyDescent="0.2">
      <c r="B149" s="70"/>
      <c r="C149" s="90"/>
      <c r="D149" s="97"/>
      <c r="E149" s="97"/>
      <c r="F149" s="129"/>
      <c r="G149" s="114"/>
      <c r="H149" s="219"/>
      <c r="I149" s="114"/>
      <c r="J149" s="114"/>
      <c r="K149" s="92"/>
      <c r="L149" s="95">
        <f t="shared" si="43"/>
        <v>0</v>
      </c>
      <c r="M149" s="878">
        <f t="shared" si="44"/>
        <v>0</v>
      </c>
      <c r="N149" s="878">
        <f t="shared" si="45"/>
        <v>0</v>
      </c>
      <c r="O149" s="893" t="str">
        <f t="shared" si="46"/>
        <v>-</v>
      </c>
      <c r="P149" s="878">
        <f t="shared" si="47"/>
        <v>0</v>
      </c>
      <c r="Q149" s="92"/>
      <c r="R149" s="878">
        <f t="shared" si="18"/>
        <v>0</v>
      </c>
      <c r="S149" s="878">
        <f t="shared" si="19"/>
        <v>0</v>
      </c>
      <c r="T149" s="878">
        <f t="shared" si="20"/>
        <v>0</v>
      </c>
      <c r="U149" s="878">
        <f t="shared" si="37"/>
        <v>0</v>
      </c>
      <c r="V149" s="878">
        <f t="shared" si="37"/>
        <v>0</v>
      </c>
      <c r="W149" s="92"/>
      <c r="X149" s="878">
        <f t="shared" si="39"/>
        <v>0</v>
      </c>
      <c r="Y149" s="878">
        <f t="shared" si="39"/>
        <v>0</v>
      </c>
      <c r="Z149" s="878">
        <f t="shared" si="39"/>
        <v>0</v>
      </c>
      <c r="AA149" s="878">
        <f t="shared" si="42"/>
        <v>0</v>
      </c>
      <c r="AB149" s="878">
        <f t="shared" si="42"/>
        <v>0</v>
      </c>
      <c r="AC149" s="162"/>
      <c r="AD149" s="70"/>
    </row>
    <row r="150" spans="2:30" x14ac:dyDescent="0.2">
      <c r="B150" s="70"/>
      <c r="C150" s="90"/>
      <c r="D150" s="97"/>
      <c r="E150" s="97"/>
      <c r="F150" s="129"/>
      <c r="G150" s="114"/>
      <c r="H150" s="219"/>
      <c r="I150" s="114"/>
      <c r="J150" s="114"/>
      <c r="K150" s="92"/>
      <c r="L150" s="95">
        <f t="shared" si="43"/>
        <v>0</v>
      </c>
      <c r="M150" s="878">
        <f t="shared" si="44"/>
        <v>0</v>
      </c>
      <c r="N150" s="878">
        <f t="shared" si="45"/>
        <v>0</v>
      </c>
      <c r="O150" s="893" t="str">
        <f t="shared" si="46"/>
        <v>-</v>
      </c>
      <c r="P150" s="878">
        <f t="shared" si="47"/>
        <v>0</v>
      </c>
      <c r="Q150" s="92"/>
      <c r="R150" s="878">
        <f t="shared" si="18"/>
        <v>0</v>
      </c>
      <c r="S150" s="878">
        <f t="shared" si="19"/>
        <v>0</v>
      </c>
      <c r="T150" s="878">
        <f t="shared" si="20"/>
        <v>0</v>
      </c>
      <c r="U150" s="878">
        <f t="shared" si="37"/>
        <v>0</v>
      </c>
      <c r="V150" s="878">
        <f t="shared" si="37"/>
        <v>0</v>
      </c>
      <c r="W150" s="92"/>
      <c r="X150" s="878">
        <f t="shared" si="39"/>
        <v>0</v>
      </c>
      <c r="Y150" s="878">
        <f t="shared" si="39"/>
        <v>0</v>
      </c>
      <c r="Z150" s="878">
        <f t="shared" si="39"/>
        <v>0</v>
      </c>
      <c r="AA150" s="878">
        <f t="shared" si="42"/>
        <v>0</v>
      </c>
      <c r="AB150" s="878">
        <f t="shared" si="42"/>
        <v>0</v>
      </c>
      <c r="AC150" s="162"/>
      <c r="AD150" s="70"/>
    </row>
    <row r="151" spans="2:30" x14ac:dyDescent="0.2">
      <c r="B151" s="70"/>
      <c r="C151" s="90"/>
      <c r="D151" s="97"/>
      <c r="E151" s="97"/>
      <c r="F151" s="129"/>
      <c r="G151" s="114"/>
      <c r="H151" s="219"/>
      <c r="I151" s="114"/>
      <c r="J151" s="114"/>
      <c r="K151" s="92"/>
      <c r="L151" s="95">
        <f t="shared" si="43"/>
        <v>0</v>
      </c>
      <c r="M151" s="878">
        <f t="shared" si="44"/>
        <v>0</v>
      </c>
      <c r="N151" s="878">
        <f t="shared" si="45"/>
        <v>0</v>
      </c>
      <c r="O151" s="893" t="str">
        <f t="shared" si="46"/>
        <v>-</v>
      </c>
      <c r="P151" s="878">
        <f t="shared" si="47"/>
        <v>0</v>
      </c>
      <c r="Q151" s="92"/>
      <c r="R151" s="878">
        <f t="shared" si="18"/>
        <v>0</v>
      </c>
      <c r="S151" s="878">
        <f t="shared" si="19"/>
        <v>0</v>
      </c>
      <c r="T151" s="878">
        <f t="shared" si="20"/>
        <v>0</v>
      </c>
      <c r="U151" s="878">
        <f t="shared" si="37"/>
        <v>0</v>
      </c>
      <c r="V151" s="878">
        <f t="shared" si="37"/>
        <v>0</v>
      </c>
      <c r="W151" s="92"/>
      <c r="X151" s="878">
        <f t="shared" si="39"/>
        <v>0</v>
      </c>
      <c r="Y151" s="878">
        <f t="shared" si="39"/>
        <v>0</v>
      </c>
      <c r="Z151" s="878">
        <f t="shared" si="39"/>
        <v>0</v>
      </c>
      <c r="AA151" s="878">
        <f t="shared" si="42"/>
        <v>0</v>
      </c>
      <c r="AB151" s="878">
        <f t="shared" si="42"/>
        <v>0</v>
      </c>
      <c r="AC151" s="162"/>
      <c r="AD151" s="70"/>
    </row>
    <row r="152" spans="2:30" x14ac:dyDescent="0.2">
      <c r="B152" s="70"/>
      <c r="C152" s="90"/>
      <c r="D152" s="97"/>
      <c r="E152" s="97"/>
      <c r="F152" s="129"/>
      <c r="G152" s="114"/>
      <c r="H152" s="219"/>
      <c r="I152" s="114"/>
      <c r="J152" s="114"/>
      <c r="K152" s="92"/>
      <c r="L152" s="95">
        <f t="shared" si="43"/>
        <v>0</v>
      </c>
      <c r="M152" s="878">
        <f t="shared" si="44"/>
        <v>0</v>
      </c>
      <c r="N152" s="878">
        <f t="shared" si="45"/>
        <v>0</v>
      </c>
      <c r="O152" s="893" t="str">
        <f t="shared" si="46"/>
        <v>-</v>
      </c>
      <c r="P152" s="878">
        <f t="shared" si="47"/>
        <v>0</v>
      </c>
      <c r="Q152" s="92"/>
      <c r="R152" s="878">
        <f t="shared" si="18"/>
        <v>0</v>
      </c>
      <c r="S152" s="878">
        <f t="shared" si="19"/>
        <v>0</v>
      </c>
      <c r="T152" s="878">
        <f t="shared" si="20"/>
        <v>0</v>
      </c>
      <c r="U152" s="878">
        <f t="shared" si="37"/>
        <v>0</v>
      </c>
      <c r="V152" s="878">
        <f t="shared" si="37"/>
        <v>0</v>
      </c>
      <c r="W152" s="92"/>
      <c r="X152" s="878">
        <f t="shared" si="39"/>
        <v>0</v>
      </c>
      <c r="Y152" s="878">
        <f t="shared" si="39"/>
        <v>0</v>
      </c>
      <c r="Z152" s="878">
        <f t="shared" si="39"/>
        <v>0</v>
      </c>
      <c r="AA152" s="878">
        <f t="shared" si="42"/>
        <v>0</v>
      </c>
      <c r="AB152" s="878">
        <f t="shared" si="42"/>
        <v>0</v>
      </c>
      <c r="AC152" s="162"/>
      <c r="AD152" s="70"/>
    </row>
    <row r="153" spans="2:30" x14ac:dyDescent="0.2">
      <c r="B153" s="70"/>
      <c r="C153" s="90"/>
      <c r="D153" s="97"/>
      <c r="E153" s="97"/>
      <c r="F153" s="129"/>
      <c r="G153" s="114"/>
      <c r="H153" s="219"/>
      <c r="I153" s="114"/>
      <c r="J153" s="114"/>
      <c r="K153" s="92"/>
      <c r="L153" s="95">
        <f t="shared" si="43"/>
        <v>0</v>
      </c>
      <c r="M153" s="878">
        <f t="shared" si="44"/>
        <v>0</v>
      </c>
      <c r="N153" s="878">
        <f t="shared" si="45"/>
        <v>0</v>
      </c>
      <c r="O153" s="893" t="str">
        <f t="shared" si="46"/>
        <v>-</v>
      </c>
      <c r="P153" s="878">
        <f t="shared" si="47"/>
        <v>0</v>
      </c>
      <c r="Q153" s="92"/>
      <c r="R153" s="878">
        <f t="shared" si="18"/>
        <v>0</v>
      </c>
      <c r="S153" s="878">
        <f t="shared" si="19"/>
        <v>0</v>
      </c>
      <c r="T153" s="878">
        <f t="shared" si="20"/>
        <v>0</v>
      </c>
      <c r="U153" s="878">
        <f t="shared" si="37"/>
        <v>0</v>
      </c>
      <c r="V153" s="878">
        <f t="shared" si="37"/>
        <v>0</v>
      </c>
      <c r="W153" s="92"/>
      <c r="X153" s="878">
        <f t="shared" si="39"/>
        <v>0</v>
      </c>
      <c r="Y153" s="878">
        <f t="shared" si="39"/>
        <v>0</v>
      </c>
      <c r="Z153" s="878">
        <f t="shared" si="39"/>
        <v>0</v>
      </c>
      <c r="AA153" s="878">
        <f t="shared" si="42"/>
        <v>0</v>
      </c>
      <c r="AB153" s="878">
        <f t="shared" si="42"/>
        <v>0</v>
      </c>
      <c r="AC153" s="162"/>
      <c r="AD153" s="70"/>
    </row>
    <row r="154" spans="2:30" x14ac:dyDescent="0.2">
      <c r="B154" s="70"/>
      <c r="C154" s="90"/>
      <c r="D154" s="97"/>
      <c r="E154" s="97"/>
      <c r="F154" s="129"/>
      <c r="G154" s="114"/>
      <c r="H154" s="219"/>
      <c r="I154" s="114"/>
      <c r="J154" s="114"/>
      <c r="K154" s="92"/>
      <c r="L154" s="95">
        <f t="shared" si="43"/>
        <v>0</v>
      </c>
      <c r="M154" s="878">
        <f t="shared" si="44"/>
        <v>0</v>
      </c>
      <c r="N154" s="878">
        <f t="shared" si="45"/>
        <v>0</v>
      </c>
      <c r="O154" s="893" t="str">
        <f t="shared" si="46"/>
        <v>-</v>
      </c>
      <c r="P154" s="878">
        <f t="shared" si="47"/>
        <v>0</v>
      </c>
      <c r="Q154" s="92"/>
      <c r="R154" s="878">
        <f t="shared" si="18"/>
        <v>0</v>
      </c>
      <c r="S154" s="878">
        <f t="shared" si="19"/>
        <v>0</v>
      </c>
      <c r="T154" s="878">
        <f t="shared" si="20"/>
        <v>0</v>
      </c>
      <c r="U154" s="878">
        <f t="shared" si="37"/>
        <v>0</v>
      </c>
      <c r="V154" s="878">
        <f t="shared" si="37"/>
        <v>0</v>
      </c>
      <c r="W154" s="92"/>
      <c r="X154" s="878">
        <f t="shared" si="39"/>
        <v>0</v>
      </c>
      <c r="Y154" s="878">
        <f t="shared" si="39"/>
        <v>0</v>
      </c>
      <c r="Z154" s="878">
        <f t="shared" si="39"/>
        <v>0</v>
      </c>
      <c r="AA154" s="878">
        <f t="shared" si="42"/>
        <v>0</v>
      </c>
      <c r="AB154" s="878">
        <f t="shared" si="42"/>
        <v>0</v>
      </c>
      <c r="AC154" s="162"/>
      <c r="AD154" s="70"/>
    </row>
    <row r="155" spans="2:30" x14ac:dyDescent="0.2">
      <c r="B155" s="70"/>
      <c r="C155" s="90"/>
      <c r="D155" s="97"/>
      <c r="E155" s="97"/>
      <c r="F155" s="129"/>
      <c r="G155" s="114"/>
      <c r="H155" s="219"/>
      <c r="I155" s="114"/>
      <c r="J155" s="114"/>
      <c r="K155" s="92"/>
      <c r="L155" s="95">
        <f t="shared" si="43"/>
        <v>0</v>
      </c>
      <c r="M155" s="878">
        <f t="shared" si="44"/>
        <v>0</v>
      </c>
      <c r="N155" s="878">
        <f t="shared" si="45"/>
        <v>0</v>
      </c>
      <c r="O155" s="893" t="str">
        <f t="shared" si="46"/>
        <v>-</v>
      </c>
      <c r="P155" s="878">
        <f t="shared" si="47"/>
        <v>0</v>
      </c>
      <c r="Q155" s="92"/>
      <c r="R155" s="878">
        <f t="shared" si="18"/>
        <v>0</v>
      </c>
      <c r="S155" s="878">
        <f t="shared" si="19"/>
        <v>0</v>
      </c>
      <c r="T155" s="878">
        <f t="shared" si="20"/>
        <v>0</v>
      </c>
      <c r="U155" s="878">
        <f t="shared" si="37"/>
        <v>0</v>
      </c>
      <c r="V155" s="878">
        <f t="shared" si="37"/>
        <v>0</v>
      </c>
      <c r="W155" s="92"/>
      <c r="X155" s="878">
        <f t="shared" si="39"/>
        <v>0</v>
      </c>
      <c r="Y155" s="878">
        <f t="shared" si="39"/>
        <v>0</v>
      </c>
      <c r="Z155" s="878">
        <f t="shared" si="39"/>
        <v>0</v>
      </c>
      <c r="AA155" s="878">
        <f t="shared" si="42"/>
        <v>0</v>
      </c>
      <c r="AB155" s="878">
        <f t="shared" si="42"/>
        <v>0</v>
      </c>
      <c r="AC155" s="162"/>
      <c r="AD155" s="70"/>
    </row>
    <row r="156" spans="2:30" x14ac:dyDescent="0.2">
      <c r="B156" s="70"/>
      <c r="C156" s="90"/>
      <c r="D156" s="97"/>
      <c r="E156" s="97"/>
      <c r="F156" s="129"/>
      <c r="G156" s="114"/>
      <c r="H156" s="219"/>
      <c r="I156" s="114"/>
      <c r="J156" s="114"/>
      <c r="K156" s="92"/>
      <c r="L156" s="95">
        <f t="shared" si="43"/>
        <v>0</v>
      </c>
      <c r="M156" s="878">
        <f t="shared" si="44"/>
        <v>0</v>
      </c>
      <c r="N156" s="878">
        <f t="shared" si="45"/>
        <v>0</v>
      </c>
      <c r="O156" s="893" t="str">
        <f t="shared" si="46"/>
        <v>-</v>
      </c>
      <c r="P156" s="878">
        <f t="shared" si="47"/>
        <v>0</v>
      </c>
      <c r="Q156" s="92"/>
      <c r="R156" s="878">
        <f t="shared" si="18"/>
        <v>0</v>
      </c>
      <c r="S156" s="878">
        <f t="shared" si="19"/>
        <v>0</v>
      </c>
      <c r="T156" s="878">
        <f t="shared" si="20"/>
        <v>0</v>
      </c>
      <c r="U156" s="878">
        <f t="shared" si="37"/>
        <v>0</v>
      </c>
      <c r="V156" s="878">
        <f t="shared" si="37"/>
        <v>0</v>
      </c>
      <c r="W156" s="92"/>
      <c r="X156" s="878">
        <f t="shared" si="39"/>
        <v>0</v>
      </c>
      <c r="Y156" s="878">
        <f t="shared" si="39"/>
        <v>0</v>
      </c>
      <c r="Z156" s="878">
        <f t="shared" si="39"/>
        <v>0</v>
      </c>
      <c r="AA156" s="878">
        <f t="shared" si="42"/>
        <v>0</v>
      </c>
      <c r="AB156" s="878">
        <f t="shared" si="42"/>
        <v>0</v>
      </c>
      <c r="AC156" s="162"/>
      <c r="AD156" s="70"/>
    </row>
    <row r="157" spans="2:30" x14ac:dyDescent="0.2">
      <c r="B157" s="70"/>
      <c r="C157" s="90"/>
      <c r="D157" s="97"/>
      <c r="E157" s="97"/>
      <c r="F157" s="129"/>
      <c r="G157" s="114"/>
      <c r="H157" s="219"/>
      <c r="I157" s="114"/>
      <c r="J157" s="114"/>
      <c r="K157" s="92"/>
      <c r="L157" s="95">
        <f t="shared" si="43"/>
        <v>0</v>
      </c>
      <c r="M157" s="878">
        <f t="shared" si="44"/>
        <v>0</v>
      </c>
      <c r="N157" s="878">
        <f t="shared" si="45"/>
        <v>0</v>
      </c>
      <c r="O157" s="893" t="str">
        <f t="shared" si="46"/>
        <v>-</v>
      </c>
      <c r="P157" s="878">
        <f t="shared" si="47"/>
        <v>0</v>
      </c>
      <c r="Q157" s="92"/>
      <c r="R157" s="878">
        <f t="shared" si="18"/>
        <v>0</v>
      </c>
      <c r="S157" s="878">
        <f t="shared" si="19"/>
        <v>0</v>
      </c>
      <c r="T157" s="878">
        <f t="shared" si="20"/>
        <v>0</v>
      </c>
      <c r="U157" s="878">
        <f t="shared" si="37"/>
        <v>0</v>
      </c>
      <c r="V157" s="878">
        <f t="shared" si="37"/>
        <v>0</v>
      </c>
      <c r="W157" s="92"/>
      <c r="X157" s="878">
        <f t="shared" si="39"/>
        <v>0</v>
      </c>
      <c r="Y157" s="878">
        <f t="shared" si="39"/>
        <v>0</v>
      </c>
      <c r="Z157" s="878">
        <f t="shared" si="39"/>
        <v>0</v>
      </c>
      <c r="AA157" s="878">
        <f t="shared" si="42"/>
        <v>0</v>
      </c>
      <c r="AB157" s="878">
        <f t="shared" si="42"/>
        <v>0</v>
      </c>
      <c r="AC157" s="162"/>
      <c r="AD157" s="70"/>
    </row>
    <row r="158" spans="2:30" x14ac:dyDescent="0.2">
      <c r="B158" s="70"/>
      <c r="C158" s="90"/>
      <c r="D158" s="97"/>
      <c r="E158" s="97"/>
      <c r="F158" s="129"/>
      <c r="G158" s="114"/>
      <c r="H158" s="219"/>
      <c r="I158" s="114"/>
      <c r="J158" s="114"/>
      <c r="K158" s="92"/>
      <c r="L158" s="95">
        <f t="shared" si="43"/>
        <v>0</v>
      </c>
      <c r="M158" s="878">
        <f t="shared" si="44"/>
        <v>0</v>
      </c>
      <c r="N158" s="878">
        <f t="shared" si="45"/>
        <v>0</v>
      </c>
      <c r="O158" s="893" t="str">
        <f t="shared" si="46"/>
        <v>-</v>
      </c>
      <c r="P158" s="878">
        <f t="shared" si="47"/>
        <v>0</v>
      </c>
      <c r="Q158" s="92"/>
      <c r="R158" s="878">
        <f t="shared" si="18"/>
        <v>0</v>
      </c>
      <c r="S158" s="878">
        <f t="shared" si="19"/>
        <v>0</v>
      </c>
      <c r="T158" s="878">
        <f t="shared" si="20"/>
        <v>0</v>
      </c>
      <c r="U158" s="878">
        <f t="shared" si="37"/>
        <v>0</v>
      </c>
      <c r="V158" s="878">
        <f t="shared" si="37"/>
        <v>0</v>
      </c>
      <c r="W158" s="92"/>
      <c r="X158" s="878">
        <f t="shared" si="39"/>
        <v>0</v>
      </c>
      <c r="Y158" s="878">
        <f t="shared" si="39"/>
        <v>0</v>
      </c>
      <c r="Z158" s="878">
        <f t="shared" si="39"/>
        <v>0</v>
      </c>
      <c r="AA158" s="878">
        <f t="shared" si="42"/>
        <v>0</v>
      </c>
      <c r="AB158" s="878">
        <f t="shared" si="42"/>
        <v>0</v>
      </c>
      <c r="AC158" s="162"/>
      <c r="AD158" s="70"/>
    </row>
    <row r="159" spans="2:30" x14ac:dyDescent="0.2">
      <c r="B159" s="70"/>
      <c r="C159" s="90"/>
      <c r="D159" s="97"/>
      <c r="E159" s="97"/>
      <c r="F159" s="129"/>
      <c r="G159" s="114"/>
      <c r="H159" s="219"/>
      <c r="I159" s="114"/>
      <c r="J159" s="114"/>
      <c r="K159" s="92"/>
      <c r="L159" s="95">
        <f t="shared" si="43"/>
        <v>0</v>
      </c>
      <c r="M159" s="878">
        <f t="shared" si="44"/>
        <v>0</v>
      </c>
      <c r="N159" s="878">
        <f t="shared" si="45"/>
        <v>0</v>
      </c>
      <c r="O159" s="893" t="str">
        <f t="shared" si="46"/>
        <v>-</v>
      </c>
      <c r="P159" s="878">
        <f t="shared" si="47"/>
        <v>0</v>
      </c>
      <c r="Q159" s="92"/>
      <c r="R159" s="878">
        <f t="shared" si="18"/>
        <v>0</v>
      </c>
      <c r="S159" s="878">
        <f t="shared" si="19"/>
        <v>0</v>
      </c>
      <c r="T159" s="878">
        <f t="shared" si="20"/>
        <v>0</v>
      </c>
      <c r="U159" s="878">
        <f t="shared" si="37"/>
        <v>0</v>
      </c>
      <c r="V159" s="878">
        <f t="shared" si="37"/>
        <v>0</v>
      </c>
      <c r="W159" s="92"/>
      <c r="X159" s="878">
        <f t="shared" si="39"/>
        <v>0</v>
      </c>
      <c r="Y159" s="878">
        <f t="shared" si="39"/>
        <v>0</v>
      </c>
      <c r="Z159" s="878">
        <f t="shared" si="39"/>
        <v>0</v>
      </c>
      <c r="AA159" s="878">
        <f t="shared" si="42"/>
        <v>0</v>
      </c>
      <c r="AB159" s="878">
        <f t="shared" si="42"/>
        <v>0</v>
      </c>
      <c r="AC159" s="162"/>
      <c r="AD159" s="70"/>
    </row>
    <row r="160" spans="2:30" x14ac:dyDescent="0.2">
      <c r="B160" s="70"/>
      <c r="C160" s="90"/>
      <c r="D160" s="97"/>
      <c r="E160" s="97"/>
      <c r="F160" s="129"/>
      <c r="G160" s="114"/>
      <c r="H160" s="219"/>
      <c r="I160" s="114"/>
      <c r="J160" s="114"/>
      <c r="K160" s="92"/>
      <c r="L160" s="95">
        <f t="shared" si="43"/>
        <v>0</v>
      </c>
      <c r="M160" s="878">
        <f t="shared" si="44"/>
        <v>0</v>
      </c>
      <c r="N160" s="878">
        <f t="shared" si="45"/>
        <v>0</v>
      </c>
      <c r="O160" s="893" t="str">
        <f t="shared" si="46"/>
        <v>-</v>
      </c>
      <c r="P160" s="878">
        <f t="shared" si="47"/>
        <v>0</v>
      </c>
      <c r="Q160" s="92"/>
      <c r="R160" s="878">
        <f t="shared" si="18"/>
        <v>0</v>
      </c>
      <c r="S160" s="878">
        <f t="shared" si="19"/>
        <v>0</v>
      </c>
      <c r="T160" s="878">
        <f t="shared" si="20"/>
        <v>0</v>
      </c>
      <c r="U160" s="878">
        <f t="shared" si="37"/>
        <v>0</v>
      </c>
      <c r="V160" s="878">
        <f t="shared" si="37"/>
        <v>0</v>
      </c>
      <c r="W160" s="92"/>
      <c r="X160" s="878">
        <f t="shared" si="39"/>
        <v>0</v>
      </c>
      <c r="Y160" s="878">
        <f t="shared" si="39"/>
        <v>0</v>
      </c>
      <c r="Z160" s="878">
        <f t="shared" si="39"/>
        <v>0</v>
      </c>
      <c r="AA160" s="878">
        <f t="shared" si="42"/>
        <v>0</v>
      </c>
      <c r="AB160" s="878">
        <f t="shared" si="42"/>
        <v>0</v>
      </c>
      <c r="AC160" s="162"/>
      <c r="AD160" s="70"/>
    </row>
    <row r="161" spans="2:30" x14ac:dyDescent="0.2">
      <c r="B161" s="70"/>
      <c r="C161" s="90"/>
      <c r="D161" s="97"/>
      <c r="E161" s="97"/>
      <c r="F161" s="129"/>
      <c r="G161" s="114"/>
      <c r="H161" s="219"/>
      <c r="I161" s="114"/>
      <c r="J161" s="114"/>
      <c r="K161" s="92"/>
      <c r="L161" s="95">
        <f t="shared" si="43"/>
        <v>0</v>
      </c>
      <c r="M161" s="878">
        <f t="shared" si="44"/>
        <v>0</v>
      </c>
      <c r="N161" s="878">
        <f t="shared" si="45"/>
        <v>0</v>
      </c>
      <c r="O161" s="893" t="str">
        <f t="shared" si="46"/>
        <v>-</v>
      </c>
      <c r="P161" s="878">
        <f t="shared" si="47"/>
        <v>0</v>
      </c>
      <c r="Q161" s="92"/>
      <c r="R161" s="878">
        <f t="shared" si="18"/>
        <v>0</v>
      </c>
      <c r="S161" s="878">
        <f t="shared" si="19"/>
        <v>0</v>
      </c>
      <c r="T161" s="878">
        <f t="shared" si="20"/>
        <v>0</v>
      </c>
      <c r="U161" s="878">
        <f t="shared" si="37"/>
        <v>0</v>
      </c>
      <c r="V161" s="878">
        <f t="shared" si="37"/>
        <v>0</v>
      </c>
      <c r="W161" s="92"/>
      <c r="X161" s="878">
        <f t="shared" si="39"/>
        <v>0</v>
      </c>
      <c r="Y161" s="878">
        <f t="shared" si="39"/>
        <v>0</v>
      </c>
      <c r="Z161" s="878">
        <f t="shared" si="39"/>
        <v>0</v>
      </c>
      <c r="AA161" s="878">
        <f t="shared" si="42"/>
        <v>0</v>
      </c>
      <c r="AB161" s="878">
        <f t="shared" si="42"/>
        <v>0</v>
      </c>
      <c r="AC161" s="162"/>
      <c r="AD161" s="70"/>
    </row>
    <row r="162" spans="2:30" x14ac:dyDescent="0.2">
      <c r="B162" s="70"/>
      <c r="C162" s="90"/>
      <c r="D162" s="97"/>
      <c r="E162" s="97"/>
      <c r="F162" s="129"/>
      <c r="G162" s="114"/>
      <c r="H162" s="219"/>
      <c r="I162" s="114"/>
      <c r="J162" s="114"/>
      <c r="K162" s="92"/>
      <c r="L162" s="95">
        <f t="shared" si="43"/>
        <v>0</v>
      </c>
      <c r="M162" s="878">
        <f t="shared" si="44"/>
        <v>0</v>
      </c>
      <c r="N162" s="878">
        <f t="shared" si="45"/>
        <v>0</v>
      </c>
      <c r="O162" s="893" t="str">
        <f t="shared" si="46"/>
        <v>-</v>
      </c>
      <c r="P162" s="878">
        <f t="shared" si="47"/>
        <v>0</v>
      </c>
      <c r="Q162" s="92"/>
      <c r="R162" s="878">
        <f t="shared" si="18"/>
        <v>0</v>
      </c>
      <c r="S162" s="878">
        <f t="shared" si="19"/>
        <v>0</v>
      </c>
      <c r="T162" s="878">
        <f t="shared" si="20"/>
        <v>0</v>
      </c>
      <c r="U162" s="878">
        <f t="shared" si="37"/>
        <v>0</v>
      </c>
      <c r="V162" s="878">
        <f t="shared" si="37"/>
        <v>0</v>
      </c>
      <c r="W162" s="92"/>
      <c r="X162" s="878">
        <f t="shared" si="39"/>
        <v>0</v>
      </c>
      <c r="Y162" s="878">
        <f t="shared" si="39"/>
        <v>0</v>
      </c>
      <c r="Z162" s="878">
        <f t="shared" si="39"/>
        <v>0</v>
      </c>
      <c r="AA162" s="878">
        <f t="shared" si="42"/>
        <v>0</v>
      </c>
      <c r="AB162" s="878">
        <f t="shared" si="42"/>
        <v>0</v>
      </c>
      <c r="AC162" s="162"/>
      <c r="AD162" s="70"/>
    </row>
    <row r="163" spans="2:30" x14ac:dyDescent="0.2">
      <c r="B163" s="70"/>
      <c r="C163" s="90"/>
      <c r="D163" s="97"/>
      <c r="E163" s="97"/>
      <c r="F163" s="129"/>
      <c r="G163" s="114"/>
      <c r="H163" s="219"/>
      <c r="I163" s="114"/>
      <c r="J163" s="114"/>
      <c r="K163" s="92"/>
      <c r="L163" s="95">
        <f t="shared" si="43"/>
        <v>0</v>
      </c>
      <c r="M163" s="878">
        <f t="shared" si="44"/>
        <v>0</v>
      </c>
      <c r="N163" s="878">
        <f t="shared" si="45"/>
        <v>0</v>
      </c>
      <c r="O163" s="893" t="str">
        <f t="shared" si="46"/>
        <v>-</v>
      </c>
      <c r="P163" s="878">
        <f t="shared" si="47"/>
        <v>0</v>
      </c>
      <c r="Q163" s="92"/>
      <c r="R163" s="878">
        <f t="shared" si="18"/>
        <v>0</v>
      </c>
      <c r="S163" s="878">
        <f t="shared" si="19"/>
        <v>0</v>
      </c>
      <c r="T163" s="878">
        <f t="shared" si="20"/>
        <v>0</v>
      </c>
      <c r="U163" s="878">
        <f t="shared" si="37"/>
        <v>0</v>
      </c>
      <c r="V163" s="878">
        <f t="shared" si="37"/>
        <v>0</v>
      </c>
      <c r="W163" s="92"/>
      <c r="X163" s="878">
        <f t="shared" si="39"/>
        <v>0</v>
      </c>
      <c r="Y163" s="878">
        <f t="shared" si="39"/>
        <v>0</v>
      </c>
      <c r="Z163" s="878">
        <f t="shared" si="39"/>
        <v>0</v>
      </c>
      <c r="AA163" s="878">
        <f t="shared" si="42"/>
        <v>0</v>
      </c>
      <c r="AB163" s="878">
        <f t="shared" si="42"/>
        <v>0</v>
      </c>
      <c r="AC163" s="162"/>
      <c r="AD163" s="70"/>
    </row>
    <row r="164" spans="2:30" x14ac:dyDescent="0.2">
      <c r="B164" s="70"/>
      <c r="C164" s="90"/>
      <c r="D164" s="97"/>
      <c r="E164" s="97"/>
      <c r="F164" s="129"/>
      <c r="G164" s="114"/>
      <c r="H164" s="219"/>
      <c r="I164" s="114"/>
      <c r="J164" s="114"/>
      <c r="K164" s="92"/>
      <c r="L164" s="95">
        <f t="shared" si="43"/>
        <v>0</v>
      </c>
      <c r="M164" s="878">
        <f t="shared" si="44"/>
        <v>0</v>
      </c>
      <c r="N164" s="878">
        <f t="shared" si="45"/>
        <v>0</v>
      </c>
      <c r="O164" s="893" t="str">
        <f t="shared" si="46"/>
        <v>-</v>
      </c>
      <c r="P164" s="878">
        <f t="shared" si="47"/>
        <v>0</v>
      </c>
      <c r="Q164" s="92"/>
      <c r="R164" s="878">
        <f t="shared" si="18"/>
        <v>0</v>
      </c>
      <c r="S164" s="878">
        <f t="shared" si="19"/>
        <v>0</v>
      </c>
      <c r="T164" s="878">
        <f t="shared" si="20"/>
        <v>0</v>
      </c>
      <c r="U164" s="878">
        <f t="shared" si="37"/>
        <v>0</v>
      </c>
      <c r="V164" s="878">
        <f t="shared" si="37"/>
        <v>0</v>
      </c>
      <c r="W164" s="92"/>
      <c r="X164" s="878">
        <f t="shared" si="39"/>
        <v>0</v>
      </c>
      <c r="Y164" s="878">
        <f t="shared" si="39"/>
        <v>0</v>
      </c>
      <c r="Z164" s="878">
        <f t="shared" si="39"/>
        <v>0</v>
      </c>
      <c r="AA164" s="878">
        <f t="shared" si="42"/>
        <v>0</v>
      </c>
      <c r="AB164" s="878">
        <f t="shared" si="42"/>
        <v>0</v>
      </c>
      <c r="AC164" s="162"/>
      <c r="AD164" s="70"/>
    </row>
    <row r="165" spans="2:30" x14ac:dyDescent="0.2">
      <c r="B165" s="70"/>
      <c r="C165" s="90"/>
      <c r="D165" s="97"/>
      <c r="E165" s="97"/>
      <c r="F165" s="129"/>
      <c r="G165" s="114"/>
      <c r="H165" s="219"/>
      <c r="I165" s="114"/>
      <c r="J165" s="114"/>
      <c r="K165" s="92"/>
      <c r="L165" s="95">
        <f t="shared" si="43"/>
        <v>0</v>
      </c>
      <c r="M165" s="878">
        <f t="shared" si="44"/>
        <v>0</v>
      </c>
      <c r="N165" s="878">
        <f t="shared" si="45"/>
        <v>0</v>
      </c>
      <c r="O165" s="893" t="str">
        <f t="shared" si="46"/>
        <v>-</v>
      </c>
      <c r="P165" s="878">
        <f t="shared" si="47"/>
        <v>0</v>
      </c>
      <c r="Q165" s="92"/>
      <c r="R165" s="878">
        <f t="shared" si="18"/>
        <v>0</v>
      </c>
      <c r="S165" s="878">
        <f t="shared" si="19"/>
        <v>0</v>
      </c>
      <c r="T165" s="878">
        <f t="shared" si="20"/>
        <v>0</v>
      </c>
      <c r="U165" s="878">
        <f t="shared" si="37"/>
        <v>0</v>
      </c>
      <c r="V165" s="878">
        <f t="shared" si="37"/>
        <v>0</v>
      </c>
      <c r="W165" s="92"/>
      <c r="X165" s="878">
        <f t="shared" si="39"/>
        <v>0</v>
      </c>
      <c r="Y165" s="878">
        <f t="shared" si="39"/>
        <v>0</v>
      </c>
      <c r="Z165" s="878">
        <f t="shared" si="39"/>
        <v>0</v>
      </c>
      <c r="AA165" s="878">
        <f t="shared" si="42"/>
        <v>0</v>
      </c>
      <c r="AB165" s="878">
        <f t="shared" si="42"/>
        <v>0</v>
      </c>
      <c r="AC165" s="162"/>
      <c r="AD165" s="70"/>
    </row>
    <row r="166" spans="2:30" x14ac:dyDescent="0.2">
      <c r="B166" s="70"/>
      <c r="C166" s="90"/>
      <c r="D166" s="97"/>
      <c r="E166" s="97"/>
      <c r="F166" s="129"/>
      <c r="G166" s="114"/>
      <c r="H166" s="219"/>
      <c r="I166" s="114"/>
      <c r="J166" s="114"/>
      <c r="K166" s="92"/>
      <c r="L166" s="95">
        <f t="shared" si="43"/>
        <v>0</v>
      </c>
      <c r="M166" s="878">
        <f t="shared" si="44"/>
        <v>0</v>
      </c>
      <c r="N166" s="878">
        <f t="shared" si="45"/>
        <v>0</v>
      </c>
      <c r="O166" s="893" t="str">
        <f t="shared" si="46"/>
        <v>-</v>
      </c>
      <c r="P166" s="878">
        <f t="shared" si="47"/>
        <v>0</v>
      </c>
      <c r="Q166" s="92"/>
      <c r="R166" s="878">
        <f t="shared" si="18"/>
        <v>0</v>
      </c>
      <c r="S166" s="878">
        <f t="shared" si="19"/>
        <v>0</v>
      </c>
      <c r="T166" s="878">
        <f t="shared" si="20"/>
        <v>0</v>
      </c>
      <c r="U166" s="878">
        <f t="shared" si="37"/>
        <v>0</v>
      </c>
      <c r="V166" s="878">
        <f t="shared" si="37"/>
        <v>0</v>
      </c>
      <c r="W166" s="92"/>
      <c r="X166" s="878">
        <f t="shared" si="39"/>
        <v>0</v>
      </c>
      <c r="Y166" s="878">
        <f t="shared" si="39"/>
        <v>0</v>
      </c>
      <c r="Z166" s="878">
        <f t="shared" si="39"/>
        <v>0</v>
      </c>
      <c r="AA166" s="878">
        <f t="shared" si="42"/>
        <v>0</v>
      </c>
      <c r="AB166" s="878">
        <f t="shared" si="42"/>
        <v>0</v>
      </c>
      <c r="AC166" s="162"/>
      <c r="AD166" s="70"/>
    </row>
    <row r="167" spans="2:30" x14ac:dyDescent="0.2">
      <c r="B167" s="70"/>
      <c r="C167" s="90"/>
      <c r="D167" s="97"/>
      <c r="E167" s="97"/>
      <c r="F167" s="129"/>
      <c r="G167" s="114"/>
      <c r="H167" s="219"/>
      <c r="I167" s="114"/>
      <c r="J167" s="114"/>
      <c r="K167" s="92"/>
      <c r="L167" s="95">
        <f t="shared" si="43"/>
        <v>0</v>
      </c>
      <c r="M167" s="878">
        <f t="shared" si="44"/>
        <v>0</v>
      </c>
      <c r="N167" s="878">
        <f t="shared" si="45"/>
        <v>0</v>
      </c>
      <c r="O167" s="893" t="str">
        <f t="shared" si="46"/>
        <v>-</v>
      </c>
      <c r="P167" s="878">
        <f t="shared" si="47"/>
        <v>0</v>
      </c>
      <c r="Q167" s="92"/>
      <c r="R167" s="878">
        <f t="shared" si="18"/>
        <v>0</v>
      </c>
      <c r="S167" s="878">
        <f t="shared" si="19"/>
        <v>0</v>
      </c>
      <c r="T167" s="878">
        <f t="shared" si="20"/>
        <v>0</v>
      </c>
      <c r="U167" s="878">
        <f t="shared" si="37"/>
        <v>0</v>
      </c>
      <c r="V167" s="878">
        <f t="shared" si="37"/>
        <v>0</v>
      </c>
      <c r="W167" s="92"/>
      <c r="X167" s="878">
        <f t="shared" si="39"/>
        <v>0</v>
      </c>
      <c r="Y167" s="878">
        <f t="shared" si="39"/>
        <v>0</v>
      </c>
      <c r="Z167" s="878">
        <f t="shared" si="39"/>
        <v>0</v>
      </c>
      <c r="AA167" s="878">
        <f t="shared" si="42"/>
        <v>0</v>
      </c>
      <c r="AB167" s="878">
        <f t="shared" si="42"/>
        <v>0</v>
      </c>
      <c r="AC167" s="162"/>
      <c r="AD167" s="70"/>
    </row>
    <row r="168" spans="2:30" x14ac:dyDescent="0.2">
      <c r="B168" s="70"/>
      <c r="C168" s="90"/>
      <c r="D168" s="97"/>
      <c r="E168" s="97"/>
      <c r="F168" s="129"/>
      <c r="G168" s="114"/>
      <c r="H168" s="219"/>
      <c r="I168" s="114"/>
      <c r="J168" s="114"/>
      <c r="K168" s="92"/>
      <c r="L168" s="95">
        <f t="shared" si="43"/>
        <v>0</v>
      </c>
      <c r="M168" s="878">
        <f t="shared" si="44"/>
        <v>0</v>
      </c>
      <c r="N168" s="878">
        <f t="shared" si="45"/>
        <v>0</v>
      </c>
      <c r="O168" s="893" t="str">
        <f t="shared" si="46"/>
        <v>-</v>
      </c>
      <c r="P168" s="878">
        <f t="shared" si="47"/>
        <v>0</v>
      </c>
      <c r="Q168" s="92"/>
      <c r="R168" s="878">
        <f t="shared" si="18"/>
        <v>0</v>
      </c>
      <c r="S168" s="878">
        <f t="shared" si="19"/>
        <v>0</v>
      </c>
      <c r="T168" s="878">
        <f t="shared" si="20"/>
        <v>0</v>
      </c>
      <c r="U168" s="878">
        <f t="shared" si="37"/>
        <v>0</v>
      </c>
      <c r="V168" s="878">
        <f t="shared" si="37"/>
        <v>0</v>
      </c>
      <c r="W168" s="92"/>
      <c r="X168" s="878">
        <f t="shared" si="39"/>
        <v>0</v>
      </c>
      <c r="Y168" s="878">
        <f t="shared" si="39"/>
        <v>0</v>
      </c>
      <c r="Z168" s="878">
        <f t="shared" si="39"/>
        <v>0</v>
      </c>
      <c r="AA168" s="878">
        <f t="shared" si="42"/>
        <v>0</v>
      </c>
      <c r="AB168" s="878">
        <f t="shared" si="42"/>
        <v>0</v>
      </c>
      <c r="AC168" s="162"/>
      <c r="AD168" s="70"/>
    </row>
    <row r="169" spans="2:30" x14ac:dyDescent="0.2">
      <c r="B169" s="70"/>
      <c r="C169" s="90"/>
      <c r="D169" s="97"/>
      <c r="E169" s="97"/>
      <c r="F169" s="129"/>
      <c r="G169" s="114"/>
      <c r="H169" s="219"/>
      <c r="I169" s="114"/>
      <c r="J169" s="114"/>
      <c r="K169" s="92"/>
      <c r="L169" s="95">
        <f t="shared" si="43"/>
        <v>0</v>
      </c>
      <c r="M169" s="878">
        <f t="shared" si="44"/>
        <v>0</v>
      </c>
      <c r="N169" s="878">
        <f t="shared" si="45"/>
        <v>0</v>
      </c>
      <c r="O169" s="893" t="str">
        <f t="shared" si="46"/>
        <v>-</v>
      </c>
      <c r="P169" s="878">
        <f t="shared" si="47"/>
        <v>0</v>
      </c>
      <c r="Q169" s="92"/>
      <c r="R169" s="878">
        <f t="shared" si="18"/>
        <v>0</v>
      </c>
      <c r="S169" s="878">
        <f t="shared" si="19"/>
        <v>0</v>
      </c>
      <c r="T169" s="878">
        <f t="shared" si="20"/>
        <v>0</v>
      </c>
      <c r="U169" s="878">
        <f t="shared" si="37"/>
        <v>0</v>
      </c>
      <c r="V169" s="878">
        <f t="shared" si="37"/>
        <v>0</v>
      </c>
      <c r="W169" s="92"/>
      <c r="X169" s="878">
        <f t="shared" si="39"/>
        <v>0</v>
      </c>
      <c r="Y169" s="878">
        <f t="shared" si="39"/>
        <v>0</v>
      </c>
      <c r="Z169" s="878">
        <f t="shared" si="39"/>
        <v>0</v>
      </c>
      <c r="AA169" s="878">
        <f t="shared" si="42"/>
        <v>0</v>
      </c>
      <c r="AB169" s="878">
        <f t="shared" si="42"/>
        <v>0</v>
      </c>
      <c r="AC169" s="162"/>
      <c r="AD169" s="70"/>
    </row>
    <row r="170" spans="2:30" x14ac:dyDescent="0.2">
      <c r="B170" s="70"/>
      <c r="C170" s="90"/>
      <c r="D170" s="97"/>
      <c r="E170" s="97"/>
      <c r="F170" s="129"/>
      <c r="G170" s="114"/>
      <c r="H170" s="219"/>
      <c r="I170" s="114"/>
      <c r="J170" s="114"/>
      <c r="K170" s="92"/>
      <c r="L170" s="95">
        <f t="shared" si="43"/>
        <v>0</v>
      </c>
      <c r="M170" s="878">
        <f t="shared" si="44"/>
        <v>0</v>
      </c>
      <c r="N170" s="878">
        <f t="shared" si="45"/>
        <v>0</v>
      </c>
      <c r="O170" s="893" t="str">
        <f t="shared" si="46"/>
        <v>-</v>
      </c>
      <c r="P170" s="878">
        <f t="shared" si="47"/>
        <v>0</v>
      </c>
      <c r="Q170" s="92"/>
      <c r="R170" s="878">
        <f t="shared" si="18"/>
        <v>0</v>
      </c>
      <c r="S170" s="878">
        <f t="shared" si="19"/>
        <v>0</v>
      </c>
      <c r="T170" s="878">
        <f t="shared" si="20"/>
        <v>0</v>
      </c>
      <c r="U170" s="878">
        <f t="shared" si="37"/>
        <v>0</v>
      </c>
      <c r="V170" s="878">
        <f t="shared" si="37"/>
        <v>0</v>
      </c>
      <c r="W170" s="92"/>
      <c r="X170" s="878">
        <f t="shared" si="39"/>
        <v>0</v>
      </c>
      <c r="Y170" s="878">
        <f t="shared" si="39"/>
        <v>0</v>
      </c>
      <c r="Z170" s="878">
        <f t="shared" si="39"/>
        <v>0</v>
      </c>
      <c r="AA170" s="878">
        <f t="shared" si="42"/>
        <v>0</v>
      </c>
      <c r="AB170" s="878">
        <f t="shared" si="42"/>
        <v>0</v>
      </c>
      <c r="AC170" s="162"/>
      <c r="AD170" s="70"/>
    </row>
    <row r="171" spans="2:30" x14ac:dyDescent="0.2">
      <c r="B171" s="70"/>
      <c r="C171" s="90"/>
      <c r="D171" s="97"/>
      <c r="E171" s="97"/>
      <c r="F171" s="129"/>
      <c r="G171" s="114"/>
      <c r="H171" s="219"/>
      <c r="I171" s="114"/>
      <c r="J171" s="114"/>
      <c r="K171" s="92"/>
      <c r="L171" s="95">
        <f t="shared" si="43"/>
        <v>0</v>
      </c>
      <c r="M171" s="878">
        <f t="shared" si="44"/>
        <v>0</v>
      </c>
      <c r="N171" s="878">
        <f t="shared" si="45"/>
        <v>0</v>
      </c>
      <c r="O171" s="893" t="str">
        <f t="shared" si="46"/>
        <v>-</v>
      </c>
      <c r="P171" s="878">
        <f t="shared" si="47"/>
        <v>0</v>
      </c>
      <c r="Q171" s="92"/>
      <c r="R171" s="878">
        <f t="shared" si="18"/>
        <v>0</v>
      </c>
      <c r="S171" s="878">
        <f t="shared" si="19"/>
        <v>0</v>
      </c>
      <c r="T171" s="878">
        <f t="shared" si="20"/>
        <v>0</v>
      </c>
      <c r="U171" s="878">
        <f t="shared" si="37"/>
        <v>0</v>
      </c>
      <c r="V171" s="878">
        <f t="shared" si="37"/>
        <v>0</v>
      </c>
      <c r="W171" s="92"/>
      <c r="X171" s="878">
        <f t="shared" si="39"/>
        <v>0</v>
      </c>
      <c r="Y171" s="878">
        <f t="shared" si="39"/>
        <v>0</v>
      </c>
      <c r="Z171" s="878">
        <f t="shared" si="39"/>
        <v>0</v>
      </c>
      <c r="AA171" s="878">
        <f t="shared" si="42"/>
        <v>0</v>
      </c>
      <c r="AB171" s="878">
        <f t="shared" si="42"/>
        <v>0</v>
      </c>
      <c r="AC171" s="162"/>
      <c r="AD171" s="70"/>
    </row>
    <row r="172" spans="2:30" x14ac:dyDescent="0.2">
      <c r="B172" s="70"/>
      <c r="C172" s="90"/>
      <c r="D172" s="97"/>
      <c r="E172" s="97"/>
      <c r="F172" s="129"/>
      <c r="G172" s="114"/>
      <c r="H172" s="219"/>
      <c r="I172" s="114"/>
      <c r="J172" s="114"/>
      <c r="K172" s="92"/>
      <c r="L172" s="95">
        <f t="shared" si="43"/>
        <v>0</v>
      </c>
      <c r="M172" s="878">
        <f t="shared" si="44"/>
        <v>0</v>
      </c>
      <c r="N172" s="878">
        <f t="shared" si="45"/>
        <v>0</v>
      </c>
      <c r="O172" s="893" t="str">
        <f t="shared" si="46"/>
        <v>-</v>
      </c>
      <c r="P172" s="878">
        <f t="shared" si="47"/>
        <v>0</v>
      </c>
      <c r="Q172" s="92"/>
      <c r="R172" s="878">
        <f t="shared" si="18"/>
        <v>0</v>
      </c>
      <c r="S172" s="878">
        <f t="shared" si="19"/>
        <v>0</v>
      </c>
      <c r="T172" s="878">
        <f t="shared" si="20"/>
        <v>0</v>
      </c>
      <c r="U172" s="878">
        <f t="shared" si="37"/>
        <v>0</v>
      </c>
      <c r="V172" s="878">
        <f t="shared" si="37"/>
        <v>0</v>
      </c>
      <c r="W172" s="92"/>
      <c r="X172" s="878">
        <f t="shared" si="39"/>
        <v>0</v>
      </c>
      <c r="Y172" s="878">
        <f t="shared" si="39"/>
        <v>0</v>
      </c>
      <c r="Z172" s="878">
        <f t="shared" si="39"/>
        <v>0</v>
      </c>
      <c r="AA172" s="878">
        <f t="shared" si="42"/>
        <v>0</v>
      </c>
      <c r="AB172" s="878">
        <f t="shared" si="42"/>
        <v>0</v>
      </c>
      <c r="AC172" s="162"/>
      <c r="AD172" s="70"/>
    </row>
    <row r="173" spans="2:30" x14ac:dyDescent="0.2">
      <c r="B173" s="70"/>
      <c r="C173" s="90"/>
      <c r="D173" s="97"/>
      <c r="E173" s="97"/>
      <c r="F173" s="129"/>
      <c r="G173" s="114"/>
      <c r="H173" s="219"/>
      <c r="I173" s="114"/>
      <c r="J173" s="114"/>
      <c r="K173" s="92"/>
      <c r="L173" s="95">
        <f t="shared" si="43"/>
        <v>0</v>
      </c>
      <c r="M173" s="878">
        <f t="shared" si="44"/>
        <v>0</v>
      </c>
      <c r="N173" s="878">
        <f t="shared" si="45"/>
        <v>0</v>
      </c>
      <c r="O173" s="893" t="str">
        <f t="shared" si="46"/>
        <v>-</v>
      </c>
      <c r="P173" s="878">
        <f t="shared" si="47"/>
        <v>0</v>
      </c>
      <c r="Q173" s="92"/>
      <c r="R173" s="878">
        <f t="shared" si="18"/>
        <v>0</v>
      </c>
      <c r="S173" s="878">
        <f t="shared" si="19"/>
        <v>0</v>
      </c>
      <c r="T173" s="878">
        <f t="shared" si="20"/>
        <v>0</v>
      </c>
      <c r="U173" s="878">
        <f t="shared" si="37"/>
        <v>0</v>
      </c>
      <c r="V173" s="878">
        <f t="shared" si="37"/>
        <v>0</v>
      </c>
      <c r="W173" s="92"/>
      <c r="X173" s="878">
        <f t="shared" si="39"/>
        <v>0</v>
      </c>
      <c r="Y173" s="878">
        <f t="shared" si="39"/>
        <v>0</v>
      </c>
      <c r="Z173" s="878">
        <f t="shared" si="39"/>
        <v>0</v>
      </c>
      <c r="AA173" s="878">
        <f t="shared" si="42"/>
        <v>0</v>
      </c>
      <c r="AB173" s="878">
        <f t="shared" si="42"/>
        <v>0</v>
      </c>
      <c r="AC173" s="162"/>
      <c r="AD173" s="70"/>
    </row>
    <row r="174" spans="2:30" x14ac:dyDescent="0.2">
      <c r="B174" s="70"/>
      <c r="C174" s="90"/>
      <c r="D174" s="97"/>
      <c r="E174" s="97"/>
      <c r="F174" s="129"/>
      <c r="G174" s="114"/>
      <c r="H174" s="219"/>
      <c r="I174" s="114"/>
      <c r="J174" s="114"/>
      <c r="K174" s="92"/>
      <c r="L174" s="95">
        <f t="shared" si="43"/>
        <v>0</v>
      </c>
      <c r="M174" s="878">
        <f t="shared" si="44"/>
        <v>0</v>
      </c>
      <c r="N174" s="878">
        <f t="shared" si="45"/>
        <v>0</v>
      </c>
      <c r="O174" s="893" t="str">
        <f t="shared" si="46"/>
        <v>-</v>
      </c>
      <c r="P174" s="878">
        <f t="shared" si="47"/>
        <v>0</v>
      </c>
      <c r="Q174" s="92"/>
      <c r="R174" s="878">
        <f t="shared" si="18"/>
        <v>0</v>
      </c>
      <c r="S174" s="878">
        <f t="shared" si="19"/>
        <v>0</v>
      </c>
      <c r="T174" s="878">
        <f t="shared" si="20"/>
        <v>0</v>
      </c>
      <c r="U174" s="878">
        <f t="shared" si="37"/>
        <v>0</v>
      </c>
      <c r="V174" s="878">
        <f t="shared" si="37"/>
        <v>0</v>
      </c>
      <c r="W174" s="92"/>
      <c r="X174" s="878">
        <f t="shared" si="39"/>
        <v>0</v>
      </c>
      <c r="Y174" s="878">
        <f t="shared" si="39"/>
        <v>0</v>
      </c>
      <c r="Z174" s="878">
        <f t="shared" si="39"/>
        <v>0</v>
      </c>
      <c r="AA174" s="878">
        <f t="shared" si="42"/>
        <v>0</v>
      </c>
      <c r="AB174" s="878">
        <f t="shared" si="42"/>
        <v>0</v>
      </c>
      <c r="AC174" s="162"/>
      <c r="AD174" s="70"/>
    </row>
    <row r="175" spans="2:30" x14ac:dyDescent="0.2">
      <c r="B175" s="70"/>
      <c r="C175" s="90"/>
      <c r="D175" s="97"/>
      <c r="E175" s="97"/>
      <c r="F175" s="129"/>
      <c r="G175" s="114"/>
      <c r="H175" s="219"/>
      <c r="I175" s="114"/>
      <c r="J175" s="114"/>
      <c r="K175" s="92"/>
      <c r="L175" s="95">
        <f t="shared" si="43"/>
        <v>0</v>
      </c>
      <c r="M175" s="878">
        <f t="shared" si="44"/>
        <v>0</v>
      </c>
      <c r="N175" s="878">
        <f t="shared" si="45"/>
        <v>0</v>
      </c>
      <c r="O175" s="893" t="str">
        <f t="shared" si="46"/>
        <v>-</v>
      </c>
      <c r="P175" s="878">
        <f t="shared" si="47"/>
        <v>0</v>
      </c>
      <c r="Q175" s="92"/>
      <c r="R175" s="878">
        <f t="shared" si="18"/>
        <v>0</v>
      </c>
      <c r="S175" s="878">
        <f t="shared" si="19"/>
        <v>0</v>
      </c>
      <c r="T175" s="878">
        <f t="shared" si="20"/>
        <v>0</v>
      </c>
      <c r="U175" s="878">
        <f t="shared" si="37"/>
        <v>0</v>
      </c>
      <c r="V175" s="878">
        <f t="shared" si="37"/>
        <v>0</v>
      </c>
      <c r="W175" s="92"/>
      <c r="X175" s="878">
        <f t="shared" si="39"/>
        <v>0</v>
      </c>
      <c r="Y175" s="878">
        <f t="shared" si="39"/>
        <v>0</v>
      </c>
      <c r="Z175" s="878">
        <f t="shared" si="39"/>
        <v>0</v>
      </c>
      <c r="AA175" s="878">
        <f t="shared" si="42"/>
        <v>0</v>
      </c>
      <c r="AB175" s="878">
        <f t="shared" si="42"/>
        <v>0</v>
      </c>
      <c r="AC175" s="162"/>
      <c r="AD175" s="70"/>
    </row>
    <row r="176" spans="2:30" x14ac:dyDescent="0.2">
      <c r="B176" s="70"/>
      <c r="C176" s="90"/>
      <c r="D176" s="97"/>
      <c r="E176" s="97"/>
      <c r="F176" s="129"/>
      <c r="G176" s="114"/>
      <c r="H176" s="219"/>
      <c r="I176" s="114"/>
      <c r="J176" s="114"/>
      <c r="K176" s="92"/>
      <c r="L176" s="95">
        <f t="shared" si="43"/>
        <v>0</v>
      </c>
      <c r="M176" s="878">
        <f t="shared" si="44"/>
        <v>0</v>
      </c>
      <c r="N176" s="878">
        <f t="shared" si="45"/>
        <v>0</v>
      </c>
      <c r="O176" s="893" t="str">
        <f t="shared" si="46"/>
        <v>-</v>
      </c>
      <c r="P176" s="878">
        <f t="shared" si="47"/>
        <v>0</v>
      </c>
      <c r="Q176" s="92"/>
      <c r="R176" s="878">
        <f t="shared" si="18"/>
        <v>0</v>
      </c>
      <c r="S176" s="878">
        <f t="shared" si="19"/>
        <v>0</v>
      </c>
      <c r="T176" s="878">
        <f t="shared" si="20"/>
        <v>0</v>
      </c>
      <c r="U176" s="878">
        <f t="shared" si="37"/>
        <v>0</v>
      </c>
      <c r="V176" s="878">
        <f t="shared" si="37"/>
        <v>0</v>
      </c>
      <c r="W176" s="92"/>
      <c r="X176" s="878">
        <f t="shared" si="39"/>
        <v>0</v>
      </c>
      <c r="Y176" s="878">
        <f t="shared" si="39"/>
        <v>0</v>
      </c>
      <c r="Z176" s="878">
        <f t="shared" si="39"/>
        <v>0</v>
      </c>
      <c r="AA176" s="878">
        <f t="shared" si="42"/>
        <v>0</v>
      </c>
      <c r="AB176" s="878">
        <f t="shared" si="42"/>
        <v>0</v>
      </c>
      <c r="AC176" s="162"/>
      <c r="AD176" s="70"/>
    </row>
    <row r="177" spans="2:30" x14ac:dyDescent="0.2">
      <c r="B177" s="70"/>
      <c r="C177" s="90"/>
      <c r="D177" s="97"/>
      <c r="E177" s="97"/>
      <c r="F177" s="129"/>
      <c r="G177" s="114"/>
      <c r="H177" s="219"/>
      <c r="I177" s="114"/>
      <c r="J177" s="114"/>
      <c r="K177" s="92"/>
      <c r="L177" s="95">
        <f t="shared" si="43"/>
        <v>0</v>
      </c>
      <c r="M177" s="878">
        <f t="shared" si="44"/>
        <v>0</v>
      </c>
      <c r="N177" s="878">
        <f t="shared" si="45"/>
        <v>0</v>
      </c>
      <c r="O177" s="893" t="str">
        <f t="shared" si="46"/>
        <v>-</v>
      </c>
      <c r="P177" s="878">
        <f t="shared" si="47"/>
        <v>0</v>
      </c>
      <c r="Q177" s="92"/>
      <c r="R177" s="878">
        <f t="shared" si="18"/>
        <v>0</v>
      </c>
      <c r="S177" s="878">
        <f t="shared" si="19"/>
        <v>0</v>
      </c>
      <c r="T177" s="878">
        <f t="shared" si="20"/>
        <v>0</v>
      </c>
      <c r="U177" s="878">
        <f t="shared" si="37"/>
        <v>0</v>
      </c>
      <c r="V177" s="878">
        <f t="shared" si="37"/>
        <v>0</v>
      </c>
      <c r="W177" s="92"/>
      <c r="X177" s="878">
        <f t="shared" si="39"/>
        <v>0</v>
      </c>
      <c r="Y177" s="878">
        <f t="shared" si="39"/>
        <v>0</v>
      </c>
      <c r="Z177" s="878">
        <f t="shared" si="39"/>
        <v>0</v>
      </c>
      <c r="AA177" s="878">
        <f t="shared" si="42"/>
        <v>0</v>
      </c>
      <c r="AB177" s="878">
        <f t="shared" si="42"/>
        <v>0</v>
      </c>
      <c r="AC177" s="162"/>
      <c r="AD177" s="70"/>
    </row>
    <row r="178" spans="2:30" x14ac:dyDescent="0.2">
      <c r="B178" s="70"/>
      <c r="C178" s="90"/>
      <c r="D178" s="97"/>
      <c r="E178" s="97"/>
      <c r="F178" s="129"/>
      <c r="G178" s="114"/>
      <c r="H178" s="219"/>
      <c r="I178" s="114"/>
      <c r="J178" s="114"/>
      <c r="K178" s="92"/>
      <c r="L178" s="95">
        <f t="shared" si="43"/>
        <v>0</v>
      </c>
      <c r="M178" s="878">
        <f t="shared" si="44"/>
        <v>0</v>
      </c>
      <c r="N178" s="878">
        <f t="shared" si="45"/>
        <v>0</v>
      </c>
      <c r="O178" s="893" t="str">
        <f t="shared" si="46"/>
        <v>-</v>
      </c>
      <c r="P178" s="878">
        <f t="shared" si="47"/>
        <v>0</v>
      </c>
      <c r="Q178" s="92"/>
      <c r="R178" s="878">
        <f t="shared" si="18"/>
        <v>0</v>
      </c>
      <c r="S178" s="878">
        <f t="shared" si="19"/>
        <v>0</v>
      </c>
      <c r="T178" s="878">
        <f t="shared" si="20"/>
        <v>0</v>
      </c>
      <c r="U178" s="878">
        <f t="shared" si="37"/>
        <v>0</v>
      </c>
      <c r="V178" s="878">
        <f t="shared" si="37"/>
        <v>0</v>
      </c>
      <c r="W178" s="92"/>
      <c r="X178" s="878">
        <f t="shared" si="39"/>
        <v>0</v>
      </c>
      <c r="Y178" s="878">
        <f t="shared" si="39"/>
        <v>0</v>
      </c>
      <c r="Z178" s="878">
        <f t="shared" si="39"/>
        <v>0</v>
      </c>
      <c r="AA178" s="878">
        <f t="shared" si="42"/>
        <v>0</v>
      </c>
      <c r="AB178" s="878">
        <f t="shared" si="42"/>
        <v>0</v>
      </c>
      <c r="AC178" s="162"/>
      <c r="AD178" s="70"/>
    </row>
    <row r="179" spans="2:30" x14ac:dyDescent="0.2">
      <c r="B179" s="70"/>
      <c r="C179" s="90"/>
      <c r="D179" s="97"/>
      <c r="E179" s="97"/>
      <c r="F179" s="129"/>
      <c r="G179" s="114"/>
      <c r="H179" s="219"/>
      <c r="I179" s="114"/>
      <c r="J179" s="114"/>
      <c r="K179" s="92"/>
      <c r="L179" s="95">
        <f t="shared" si="43"/>
        <v>0</v>
      </c>
      <c r="M179" s="878">
        <f t="shared" si="44"/>
        <v>0</v>
      </c>
      <c r="N179" s="878">
        <f t="shared" si="45"/>
        <v>0</v>
      </c>
      <c r="O179" s="893" t="str">
        <f t="shared" si="46"/>
        <v>-</v>
      </c>
      <c r="P179" s="878">
        <f t="shared" si="47"/>
        <v>0</v>
      </c>
      <c r="Q179" s="92"/>
      <c r="R179" s="878">
        <f t="shared" si="18"/>
        <v>0</v>
      </c>
      <c r="S179" s="878">
        <f t="shared" si="19"/>
        <v>0</v>
      </c>
      <c r="T179" s="878">
        <f t="shared" si="20"/>
        <v>0</v>
      </c>
      <c r="U179" s="878">
        <f t="shared" si="37"/>
        <v>0</v>
      </c>
      <c r="V179" s="878">
        <f t="shared" si="37"/>
        <v>0</v>
      </c>
      <c r="W179" s="92"/>
      <c r="X179" s="878">
        <f t="shared" si="39"/>
        <v>0</v>
      </c>
      <c r="Y179" s="878">
        <f t="shared" si="39"/>
        <v>0</v>
      </c>
      <c r="Z179" s="878">
        <f t="shared" si="39"/>
        <v>0</v>
      </c>
      <c r="AA179" s="878">
        <f t="shared" si="42"/>
        <v>0</v>
      </c>
      <c r="AB179" s="878">
        <f t="shared" si="42"/>
        <v>0</v>
      </c>
      <c r="AC179" s="162"/>
      <c r="AD179" s="70"/>
    </row>
    <row r="180" spans="2:30" x14ac:dyDescent="0.2">
      <c r="B180" s="70"/>
      <c r="C180" s="90"/>
      <c r="D180" s="97"/>
      <c r="E180" s="97"/>
      <c r="F180" s="129"/>
      <c r="G180" s="114"/>
      <c r="H180" s="219"/>
      <c r="I180" s="114"/>
      <c r="J180" s="114"/>
      <c r="K180" s="92"/>
      <c r="L180" s="95">
        <f t="shared" si="43"/>
        <v>0</v>
      </c>
      <c r="M180" s="878">
        <f t="shared" si="44"/>
        <v>0</v>
      </c>
      <c r="N180" s="878">
        <f t="shared" si="45"/>
        <v>0</v>
      </c>
      <c r="O180" s="893" t="str">
        <f t="shared" si="46"/>
        <v>-</v>
      </c>
      <c r="P180" s="878">
        <f t="shared" si="47"/>
        <v>0</v>
      </c>
      <c r="Q180" s="92"/>
      <c r="R180" s="878">
        <f t="shared" si="18"/>
        <v>0</v>
      </c>
      <c r="S180" s="878">
        <f t="shared" si="19"/>
        <v>0</v>
      </c>
      <c r="T180" s="878">
        <f t="shared" si="20"/>
        <v>0</v>
      </c>
      <c r="U180" s="878">
        <f t="shared" si="37"/>
        <v>0</v>
      </c>
      <c r="V180" s="878">
        <f t="shared" si="37"/>
        <v>0</v>
      </c>
      <c r="W180" s="92"/>
      <c r="X180" s="878">
        <f t="shared" si="39"/>
        <v>0</v>
      </c>
      <c r="Y180" s="878">
        <f t="shared" si="39"/>
        <v>0</v>
      </c>
      <c r="Z180" s="878">
        <f t="shared" si="39"/>
        <v>0</v>
      </c>
      <c r="AA180" s="878">
        <f t="shared" si="42"/>
        <v>0</v>
      </c>
      <c r="AB180" s="878">
        <f t="shared" si="42"/>
        <v>0</v>
      </c>
      <c r="AC180" s="162"/>
      <c r="AD180" s="70"/>
    </row>
    <row r="181" spans="2:30" x14ac:dyDescent="0.2">
      <c r="B181" s="70"/>
      <c r="C181" s="90"/>
      <c r="D181" s="97"/>
      <c r="E181" s="97"/>
      <c r="F181" s="129"/>
      <c r="G181" s="114"/>
      <c r="H181" s="219"/>
      <c r="I181" s="114"/>
      <c r="J181" s="114"/>
      <c r="K181" s="92"/>
      <c r="L181" s="95">
        <f t="shared" si="43"/>
        <v>0</v>
      </c>
      <c r="M181" s="878">
        <f t="shared" si="44"/>
        <v>0</v>
      </c>
      <c r="N181" s="878">
        <f t="shared" si="45"/>
        <v>0</v>
      </c>
      <c r="O181" s="893" t="str">
        <f t="shared" si="46"/>
        <v>-</v>
      </c>
      <c r="P181" s="878">
        <f t="shared" si="47"/>
        <v>0</v>
      </c>
      <c r="Q181" s="92"/>
      <c r="R181" s="878">
        <f t="shared" si="18"/>
        <v>0</v>
      </c>
      <c r="S181" s="878">
        <f t="shared" si="19"/>
        <v>0</v>
      </c>
      <c r="T181" s="878">
        <f t="shared" si="20"/>
        <v>0</v>
      </c>
      <c r="U181" s="878">
        <f t="shared" si="37"/>
        <v>0</v>
      </c>
      <c r="V181" s="878">
        <f t="shared" si="37"/>
        <v>0</v>
      </c>
      <c r="W181" s="92"/>
      <c r="X181" s="878">
        <f t="shared" si="39"/>
        <v>0</v>
      </c>
      <c r="Y181" s="878">
        <f t="shared" si="39"/>
        <v>0</v>
      </c>
      <c r="Z181" s="878">
        <f t="shared" si="39"/>
        <v>0</v>
      </c>
      <c r="AA181" s="878">
        <f t="shared" si="42"/>
        <v>0</v>
      </c>
      <c r="AB181" s="878">
        <f t="shared" si="42"/>
        <v>0</v>
      </c>
      <c r="AC181" s="162"/>
      <c r="AD181" s="70"/>
    </row>
    <row r="182" spans="2:30" x14ac:dyDescent="0.2">
      <c r="B182" s="70"/>
      <c r="C182" s="90"/>
      <c r="D182" s="97"/>
      <c r="E182" s="97"/>
      <c r="F182" s="129"/>
      <c r="G182" s="114"/>
      <c r="H182" s="219"/>
      <c r="I182" s="114"/>
      <c r="J182" s="114"/>
      <c r="K182" s="92"/>
      <c r="L182" s="95">
        <f t="shared" si="43"/>
        <v>0</v>
      </c>
      <c r="M182" s="878">
        <f t="shared" si="44"/>
        <v>0</v>
      </c>
      <c r="N182" s="878">
        <f t="shared" si="45"/>
        <v>0</v>
      </c>
      <c r="O182" s="893" t="str">
        <f t="shared" si="46"/>
        <v>-</v>
      </c>
      <c r="P182" s="878">
        <f t="shared" si="47"/>
        <v>0</v>
      </c>
      <c r="Q182" s="92"/>
      <c r="R182" s="878">
        <f t="shared" si="18"/>
        <v>0</v>
      </c>
      <c r="S182" s="878">
        <f t="shared" si="19"/>
        <v>0</v>
      </c>
      <c r="T182" s="878">
        <f t="shared" si="20"/>
        <v>0</v>
      </c>
      <c r="U182" s="878">
        <f t="shared" si="37"/>
        <v>0</v>
      </c>
      <c r="V182" s="878">
        <f t="shared" si="37"/>
        <v>0</v>
      </c>
      <c r="W182" s="92"/>
      <c r="X182" s="878">
        <f t="shared" si="39"/>
        <v>0</v>
      </c>
      <c r="Y182" s="878">
        <f t="shared" si="39"/>
        <v>0</v>
      </c>
      <c r="Z182" s="878">
        <f t="shared" si="39"/>
        <v>0</v>
      </c>
      <c r="AA182" s="878">
        <f t="shared" si="42"/>
        <v>0</v>
      </c>
      <c r="AB182" s="878">
        <f t="shared" si="42"/>
        <v>0</v>
      </c>
      <c r="AC182" s="162"/>
      <c r="AD182" s="70"/>
    </row>
    <row r="183" spans="2:30" x14ac:dyDescent="0.2">
      <c r="B183" s="70"/>
      <c r="C183" s="90"/>
      <c r="D183" s="97"/>
      <c r="E183" s="97"/>
      <c r="F183" s="129"/>
      <c r="G183" s="114"/>
      <c r="H183" s="219"/>
      <c r="I183" s="114"/>
      <c r="J183" s="114"/>
      <c r="K183" s="92"/>
      <c r="L183" s="95">
        <f t="shared" si="43"/>
        <v>0</v>
      </c>
      <c r="M183" s="878">
        <f t="shared" si="44"/>
        <v>0</v>
      </c>
      <c r="N183" s="878">
        <f t="shared" si="45"/>
        <v>0</v>
      </c>
      <c r="O183" s="893" t="str">
        <f t="shared" si="46"/>
        <v>-</v>
      </c>
      <c r="P183" s="878">
        <f t="shared" si="47"/>
        <v>0</v>
      </c>
      <c r="Q183" s="92"/>
      <c r="R183" s="878">
        <f t="shared" si="18"/>
        <v>0</v>
      </c>
      <c r="S183" s="878">
        <f t="shared" si="19"/>
        <v>0</v>
      </c>
      <c r="T183" s="878">
        <f t="shared" si="20"/>
        <v>0</v>
      </c>
      <c r="U183" s="878">
        <f t="shared" si="37"/>
        <v>0</v>
      </c>
      <c r="V183" s="878">
        <f t="shared" si="37"/>
        <v>0</v>
      </c>
      <c r="W183" s="92"/>
      <c r="X183" s="878">
        <f t="shared" si="39"/>
        <v>0</v>
      </c>
      <c r="Y183" s="878">
        <f t="shared" si="39"/>
        <v>0</v>
      </c>
      <c r="Z183" s="878">
        <f t="shared" si="39"/>
        <v>0</v>
      </c>
      <c r="AA183" s="878">
        <f t="shared" si="42"/>
        <v>0</v>
      </c>
      <c r="AB183" s="878">
        <f t="shared" si="42"/>
        <v>0</v>
      </c>
      <c r="AC183" s="162"/>
      <c r="AD183" s="70"/>
    </row>
    <row r="184" spans="2:30" x14ac:dyDescent="0.2">
      <c r="B184" s="70"/>
      <c r="C184" s="90"/>
      <c r="D184" s="97"/>
      <c r="E184" s="97"/>
      <c r="F184" s="129"/>
      <c r="G184" s="114"/>
      <c r="H184" s="219"/>
      <c r="I184" s="114"/>
      <c r="J184" s="114"/>
      <c r="K184" s="92"/>
      <c r="L184" s="95">
        <f t="shared" si="43"/>
        <v>0</v>
      </c>
      <c r="M184" s="878">
        <f t="shared" si="44"/>
        <v>0</v>
      </c>
      <c r="N184" s="878">
        <f t="shared" si="45"/>
        <v>0</v>
      </c>
      <c r="O184" s="893" t="str">
        <f t="shared" si="46"/>
        <v>-</v>
      </c>
      <c r="P184" s="878">
        <f t="shared" si="47"/>
        <v>0</v>
      </c>
      <c r="Q184" s="92"/>
      <c r="R184" s="878">
        <f t="shared" si="18"/>
        <v>0</v>
      </c>
      <c r="S184" s="878">
        <f t="shared" si="19"/>
        <v>0</v>
      </c>
      <c r="T184" s="878">
        <f t="shared" si="20"/>
        <v>0</v>
      </c>
      <c r="U184" s="878">
        <f t="shared" si="37"/>
        <v>0</v>
      </c>
      <c r="V184" s="878">
        <f t="shared" si="37"/>
        <v>0</v>
      </c>
      <c r="W184" s="92"/>
      <c r="X184" s="878">
        <f t="shared" si="39"/>
        <v>0</v>
      </c>
      <c r="Y184" s="878">
        <f t="shared" si="39"/>
        <v>0</v>
      </c>
      <c r="Z184" s="878">
        <f t="shared" si="39"/>
        <v>0</v>
      </c>
      <c r="AA184" s="878">
        <f t="shared" si="42"/>
        <v>0</v>
      </c>
      <c r="AB184" s="878">
        <f t="shared" si="42"/>
        <v>0</v>
      </c>
      <c r="AC184" s="162"/>
      <c r="AD184" s="70"/>
    </row>
    <row r="185" spans="2:30" x14ac:dyDescent="0.2">
      <c r="B185" s="70"/>
      <c r="C185" s="90"/>
      <c r="D185" s="97"/>
      <c r="E185" s="97"/>
      <c r="F185" s="129"/>
      <c r="G185" s="114"/>
      <c r="H185" s="219"/>
      <c r="I185" s="114"/>
      <c r="J185" s="114"/>
      <c r="K185" s="92"/>
      <c r="L185" s="95">
        <f t="shared" si="43"/>
        <v>0</v>
      </c>
      <c r="M185" s="878">
        <f t="shared" si="44"/>
        <v>0</v>
      </c>
      <c r="N185" s="878">
        <f t="shared" si="45"/>
        <v>0</v>
      </c>
      <c r="O185" s="893" t="str">
        <f t="shared" si="46"/>
        <v>-</v>
      </c>
      <c r="P185" s="878">
        <f t="shared" si="47"/>
        <v>0</v>
      </c>
      <c r="Q185" s="92"/>
      <c r="R185" s="878">
        <f t="shared" si="18"/>
        <v>0</v>
      </c>
      <c r="S185" s="878">
        <f t="shared" si="19"/>
        <v>0</v>
      </c>
      <c r="T185" s="878">
        <f t="shared" si="20"/>
        <v>0</v>
      </c>
      <c r="U185" s="878">
        <f t="shared" si="37"/>
        <v>0</v>
      </c>
      <c r="V185" s="878">
        <f t="shared" si="37"/>
        <v>0</v>
      </c>
      <c r="W185" s="92"/>
      <c r="X185" s="878">
        <f t="shared" si="39"/>
        <v>0</v>
      </c>
      <c r="Y185" s="878">
        <f t="shared" si="39"/>
        <v>0</v>
      </c>
      <c r="Z185" s="878">
        <f t="shared" si="39"/>
        <v>0</v>
      </c>
      <c r="AA185" s="878">
        <f t="shared" si="42"/>
        <v>0</v>
      </c>
      <c r="AB185" s="878">
        <f t="shared" si="42"/>
        <v>0</v>
      </c>
      <c r="AC185" s="162"/>
      <c r="AD185" s="70"/>
    </row>
    <row r="186" spans="2:30" x14ac:dyDescent="0.2">
      <c r="B186" s="70"/>
      <c r="C186" s="90"/>
      <c r="D186" s="97"/>
      <c r="E186" s="97"/>
      <c r="F186" s="129"/>
      <c r="G186" s="114"/>
      <c r="H186" s="219"/>
      <c r="I186" s="114"/>
      <c r="J186" s="114"/>
      <c r="K186" s="92"/>
      <c r="L186" s="95">
        <f t="shared" si="43"/>
        <v>0</v>
      </c>
      <c r="M186" s="878">
        <f t="shared" si="44"/>
        <v>0</v>
      </c>
      <c r="N186" s="878">
        <f t="shared" si="45"/>
        <v>0</v>
      </c>
      <c r="O186" s="893" t="str">
        <f t="shared" si="46"/>
        <v>-</v>
      </c>
      <c r="P186" s="878">
        <f t="shared" si="47"/>
        <v>0</v>
      </c>
      <c r="Q186" s="92"/>
      <c r="R186" s="878">
        <f t="shared" si="18"/>
        <v>0</v>
      </c>
      <c r="S186" s="878">
        <f t="shared" si="19"/>
        <v>0</v>
      </c>
      <c r="T186" s="878">
        <f t="shared" si="20"/>
        <v>0</v>
      </c>
      <c r="U186" s="878">
        <f t="shared" si="37"/>
        <v>0</v>
      </c>
      <c r="V186" s="878">
        <f t="shared" si="37"/>
        <v>0</v>
      </c>
      <c r="W186" s="92"/>
      <c r="X186" s="878">
        <f t="shared" si="39"/>
        <v>0</v>
      </c>
      <c r="Y186" s="878">
        <f t="shared" si="39"/>
        <v>0</v>
      </c>
      <c r="Z186" s="878">
        <f t="shared" si="39"/>
        <v>0</v>
      </c>
      <c r="AA186" s="878">
        <f t="shared" si="42"/>
        <v>0</v>
      </c>
      <c r="AB186" s="878">
        <f t="shared" si="42"/>
        <v>0</v>
      </c>
      <c r="AC186" s="162"/>
      <c r="AD186" s="70"/>
    </row>
    <row r="187" spans="2:30" x14ac:dyDescent="0.2">
      <c r="B187" s="70"/>
      <c r="C187" s="90"/>
      <c r="D187" s="97"/>
      <c r="E187" s="97"/>
      <c r="F187" s="129"/>
      <c r="G187" s="114"/>
      <c r="H187" s="219"/>
      <c r="I187" s="114"/>
      <c r="J187" s="114"/>
      <c r="K187" s="92"/>
      <c r="L187" s="95">
        <f t="shared" si="43"/>
        <v>0</v>
      </c>
      <c r="M187" s="878">
        <f t="shared" si="44"/>
        <v>0</v>
      </c>
      <c r="N187" s="878">
        <f t="shared" si="45"/>
        <v>0</v>
      </c>
      <c r="O187" s="893" t="str">
        <f t="shared" si="46"/>
        <v>-</v>
      </c>
      <c r="P187" s="878">
        <f t="shared" si="47"/>
        <v>0</v>
      </c>
      <c r="Q187" s="92"/>
      <c r="R187" s="878">
        <f t="shared" si="18"/>
        <v>0</v>
      </c>
      <c r="S187" s="878">
        <f t="shared" si="19"/>
        <v>0</v>
      </c>
      <c r="T187" s="878">
        <f t="shared" si="20"/>
        <v>0</v>
      </c>
      <c r="U187" s="878">
        <f t="shared" si="37"/>
        <v>0</v>
      </c>
      <c r="V187" s="878">
        <f t="shared" si="37"/>
        <v>0</v>
      </c>
      <c r="W187" s="92"/>
      <c r="X187" s="878">
        <f t="shared" si="39"/>
        <v>0</v>
      </c>
      <c r="Y187" s="878">
        <f t="shared" si="39"/>
        <v>0</v>
      </c>
      <c r="Z187" s="878">
        <f t="shared" si="39"/>
        <v>0</v>
      </c>
      <c r="AA187" s="878">
        <f t="shared" si="42"/>
        <v>0</v>
      </c>
      <c r="AB187" s="878">
        <f t="shared" si="42"/>
        <v>0</v>
      </c>
      <c r="AC187" s="162"/>
      <c r="AD187" s="70"/>
    </row>
    <row r="188" spans="2:30" x14ac:dyDescent="0.2">
      <c r="B188" s="70"/>
      <c r="C188" s="90"/>
      <c r="D188" s="97"/>
      <c r="E188" s="97"/>
      <c r="F188" s="129"/>
      <c r="G188" s="114"/>
      <c r="H188" s="219"/>
      <c r="I188" s="114"/>
      <c r="J188" s="114"/>
      <c r="K188" s="92"/>
      <c r="L188" s="95">
        <f t="shared" si="43"/>
        <v>0</v>
      </c>
      <c r="M188" s="878">
        <f t="shared" si="44"/>
        <v>0</v>
      </c>
      <c r="N188" s="878">
        <f t="shared" si="45"/>
        <v>0</v>
      </c>
      <c r="O188" s="893" t="str">
        <f t="shared" si="46"/>
        <v>-</v>
      </c>
      <c r="P188" s="878">
        <f t="shared" si="47"/>
        <v>0</v>
      </c>
      <c r="Q188" s="92"/>
      <c r="R188" s="878">
        <f t="shared" si="18"/>
        <v>0</v>
      </c>
      <c r="S188" s="878">
        <f t="shared" si="19"/>
        <v>0</v>
      </c>
      <c r="T188" s="878">
        <f t="shared" si="20"/>
        <v>0</v>
      </c>
      <c r="U188" s="878">
        <f t="shared" si="37"/>
        <v>0</v>
      </c>
      <c r="V188" s="878">
        <f t="shared" si="37"/>
        <v>0</v>
      </c>
      <c r="W188" s="92"/>
      <c r="X188" s="878">
        <f t="shared" si="39"/>
        <v>0</v>
      </c>
      <c r="Y188" s="878">
        <f t="shared" si="39"/>
        <v>0</v>
      </c>
      <c r="Z188" s="878">
        <f t="shared" si="39"/>
        <v>0</v>
      </c>
      <c r="AA188" s="878">
        <f t="shared" si="42"/>
        <v>0</v>
      </c>
      <c r="AB188" s="878">
        <f t="shared" si="42"/>
        <v>0</v>
      </c>
      <c r="AC188" s="162"/>
      <c r="AD188" s="70"/>
    </row>
    <row r="189" spans="2:30" x14ac:dyDescent="0.2">
      <c r="B189" s="70"/>
      <c r="C189" s="90"/>
      <c r="D189" s="97"/>
      <c r="E189" s="97"/>
      <c r="F189" s="129"/>
      <c r="G189" s="114"/>
      <c r="H189" s="219"/>
      <c r="I189" s="114"/>
      <c r="J189" s="114"/>
      <c r="K189" s="92"/>
      <c r="L189" s="95">
        <f t="shared" si="43"/>
        <v>0</v>
      </c>
      <c r="M189" s="878">
        <f t="shared" si="44"/>
        <v>0</v>
      </c>
      <c r="N189" s="878">
        <f t="shared" si="45"/>
        <v>0</v>
      </c>
      <c r="O189" s="893" t="str">
        <f t="shared" si="46"/>
        <v>-</v>
      </c>
      <c r="P189" s="878">
        <f t="shared" si="47"/>
        <v>0</v>
      </c>
      <c r="Q189" s="92"/>
      <c r="R189" s="878">
        <f t="shared" si="18"/>
        <v>0</v>
      </c>
      <c r="S189" s="878">
        <f t="shared" si="19"/>
        <v>0</v>
      </c>
      <c r="T189" s="878">
        <f t="shared" si="20"/>
        <v>0</v>
      </c>
      <c r="U189" s="878">
        <f t="shared" si="37"/>
        <v>0</v>
      </c>
      <c r="V189" s="878">
        <f t="shared" si="37"/>
        <v>0</v>
      </c>
      <c r="W189" s="92"/>
      <c r="X189" s="878">
        <f t="shared" si="39"/>
        <v>0</v>
      </c>
      <c r="Y189" s="878">
        <f t="shared" si="39"/>
        <v>0</v>
      </c>
      <c r="Z189" s="878">
        <f t="shared" si="39"/>
        <v>0</v>
      </c>
      <c r="AA189" s="878">
        <f t="shared" si="42"/>
        <v>0</v>
      </c>
      <c r="AB189" s="878">
        <f t="shared" si="42"/>
        <v>0</v>
      </c>
      <c r="AC189" s="162"/>
      <c r="AD189" s="70"/>
    </row>
    <row r="190" spans="2:30" x14ac:dyDescent="0.2">
      <c r="B190" s="70"/>
      <c r="C190" s="90"/>
      <c r="D190" s="97"/>
      <c r="E190" s="97"/>
      <c r="F190" s="129"/>
      <c r="G190" s="114"/>
      <c r="H190" s="219"/>
      <c r="I190" s="114"/>
      <c r="J190" s="114"/>
      <c r="K190" s="92"/>
      <c r="L190" s="95">
        <f t="shared" si="43"/>
        <v>0</v>
      </c>
      <c r="M190" s="878">
        <f t="shared" si="44"/>
        <v>0</v>
      </c>
      <c r="N190" s="878">
        <f t="shared" si="45"/>
        <v>0</v>
      </c>
      <c r="O190" s="893" t="str">
        <f t="shared" si="46"/>
        <v>-</v>
      </c>
      <c r="P190" s="878">
        <f t="shared" si="47"/>
        <v>0</v>
      </c>
      <c r="Q190" s="92"/>
      <c r="R190" s="878">
        <f t="shared" si="18"/>
        <v>0</v>
      </c>
      <c r="S190" s="878">
        <f t="shared" si="19"/>
        <v>0</v>
      </c>
      <c r="T190" s="878">
        <f t="shared" si="20"/>
        <v>0</v>
      </c>
      <c r="U190" s="878">
        <f t="shared" si="37"/>
        <v>0</v>
      </c>
      <c r="V190" s="878">
        <f t="shared" si="37"/>
        <v>0</v>
      </c>
      <c r="W190" s="92"/>
      <c r="X190" s="878">
        <f t="shared" si="39"/>
        <v>0</v>
      </c>
      <c r="Y190" s="878">
        <f t="shared" si="39"/>
        <v>0</v>
      </c>
      <c r="Z190" s="878">
        <f t="shared" si="39"/>
        <v>0</v>
      </c>
      <c r="AA190" s="878">
        <f t="shared" si="42"/>
        <v>0</v>
      </c>
      <c r="AB190" s="878">
        <f t="shared" si="42"/>
        <v>0</v>
      </c>
      <c r="AC190" s="162"/>
      <c r="AD190" s="70"/>
    </row>
    <row r="191" spans="2:30" x14ac:dyDescent="0.2">
      <c r="B191" s="70"/>
      <c r="C191" s="90"/>
      <c r="D191" s="97"/>
      <c r="E191" s="97"/>
      <c r="F191" s="129"/>
      <c r="G191" s="114"/>
      <c r="H191" s="219"/>
      <c r="I191" s="114"/>
      <c r="J191" s="114"/>
      <c r="K191" s="92"/>
      <c r="L191" s="95">
        <f t="shared" ref="L191:L198" si="48">IF(J191="geen",9999999999,J191)</f>
        <v>0</v>
      </c>
      <c r="M191" s="878">
        <f t="shared" ref="M191:M198" si="49">G191*H191</f>
        <v>0</v>
      </c>
      <c r="N191" s="878">
        <f t="shared" ref="N191:N198" si="50">IF(G191=0,0,(G191*H191)/L191)</f>
        <v>0</v>
      </c>
      <c r="O191" s="893" t="str">
        <f t="shared" ref="O191:O198" si="51">IF(L191=0,"-",(IF(L191&gt;3000,"-",I191+L191-1)))</f>
        <v>-</v>
      </c>
      <c r="P191" s="878">
        <f t="shared" ref="P191:P198" si="52">IF(J191="geen",IF(I191&lt;$R$8,G191*H191,0),IF(I191&gt;=$R$8,0,IF((H191*G191-(R$8-I191)*N191)&lt;0,0,H191*G191-(R$8-I191)*N191)))</f>
        <v>0</v>
      </c>
      <c r="Q191" s="92"/>
      <c r="R191" s="878">
        <f t="shared" si="18"/>
        <v>0</v>
      </c>
      <c r="S191" s="878">
        <f t="shared" si="19"/>
        <v>0</v>
      </c>
      <c r="T191" s="878">
        <f t="shared" si="20"/>
        <v>0</v>
      </c>
      <c r="U191" s="878">
        <f t="shared" si="37"/>
        <v>0</v>
      </c>
      <c r="V191" s="878">
        <f t="shared" si="37"/>
        <v>0</v>
      </c>
      <c r="W191" s="92"/>
      <c r="X191" s="878">
        <f t="shared" si="39"/>
        <v>0</v>
      </c>
      <c r="Y191" s="878">
        <f t="shared" si="39"/>
        <v>0</v>
      </c>
      <c r="Z191" s="878">
        <f t="shared" si="39"/>
        <v>0</v>
      </c>
      <c r="AA191" s="878">
        <f t="shared" si="42"/>
        <v>0</v>
      </c>
      <c r="AB191" s="878">
        <f t="shared" si="42"/>
        <v>0</v>
      </c>
      <c r="AC191" s="162"/>
      <c r="AD191" s="70"/>
    </row>
    <row r="192" spans="2:30" x14ac:dyDescent="0.2">
      <c r="B192" s="70"/>
      <c r="C192" s="90"/>
      <c r="D192" s="97"/>
      <c r="E192" s="97"/>
      <c r="F192" s="129"/>
      <c r="G192" s="114"/>
      <c r="H192" s="219"/>
      <c r="I192" s="114"/>
      <c r="J192" s="114"/>
      <c r="K192" s="92"/>
      <c r="L192" s="95">
        <f t="shared" si="48"/>
        <v>0</v>
      </c>
      <c r="M192" s="878">
        <f t="shared" si="49"/>
        <v>0</v>
      </c>
      <c r="N192" s="878">
        <f t="shared" si="50"/>
        <v>0</v>
      </c>
      <c r="O192" s="893" t="str">
        <f t="shared" si="51"/>
        <v>-</v>
      </c>
      <c r="P192" s="878">
        <f t="shared" si="52"/>
        <v>0</v>
      </c>
      <c r="Q192" s="92"/>
      <c r="R192" s="878">
        <f t="shared" si="18"/>
        <v>0</v>
      </c>
      <c r="S192" s="878">
        <f t="shared" si="19"/>
        <v>0</v>
      </c>
      <c r="T192" s="878">
        <f t="shared" si="20"/>
        <v>0</v>
      </c>
      <c r="U192" s="878">
        <f t="shared" si="37"/>
        <v>0</v>
      </c>
      <c r="V192" s="878">
        <f t="shared" si="37"/>
        <v>0</v>
      </c>
      <c r="W192" s="92"/>
      <c r="X192" s="878">
        <f t="shared" ref="X192:Z198" si="53">IF(X$8=$I192,($G192*$H192),0)</f>
        <v>0</v>
      </c>
      <c r="Y192" s="878">
        <f t="shared" si="53"/>
        <v>0</v>
      </c>
      <c r="Z192" s="878">
        <f t="shared" si="53"/>
        <v>0</v>
      </c>
      <c r="AA192" s="878">
        <f t="shared" si="42"/>
        <v>0</v>
      </c>
      <c r="AB192" s="878">
        <f t="shared" si="42"/>
        <v>0</v>
      </c>
      <c r="AC192" s="162"/>
      <c r="AD192" s="70"/>
    </row>
    <row r="193" spans="2:30" x14ac:dyDescent="0.2">
      <c r="B193" s="70"/>
      <c r="C193" s="90"/>
      <c r="D193" s="97"/>
      <c r="E193" s="97"/>
      <c r="F193" s="129"/>
      <c r="G193" s="114"/>
      <c r="H193" s="219"/>
      <c r="I193" s="114"/>
      <c r="J193" s="114"/>
      <c r="K193" s="92"/>
      <c r="L193" s="95">
        <f t="shared" si="48"/>
        <v>0</v>
      </c>
      <c r="M193" s="878">
        <f t="shared" si="49"/>
        <v>0</v>
      </c>
      <c r="N193" s="878">
        <f t="shared" si="50"/>
        <v>0</v>
      </c>
      <c r="O193" s="893" t="str">
        <f t="shared" si="51"/>
        <v>-</v>
      </c>
      <c r="P193" s="878">
        <f t="shared" si="52"/>
        <v>0</v>
      </c>
      <c r="Q193" s="92"/>
      <c r="R193" s="878">
        <f t="shared" si="18"/>
        <v>0</v>
      </c>
      <c r="S193" s="878">
        <f t="shared" si="19"/>
        <v>0</v>
      </c>
      <c r="T193" s="878">
        <f t="shared" si="20"/>
        <v>0</v>
      </c>
      <c r="U193" s="878">
        <f t="shared" si="37"/>
        <v>0</v>
      </c>
      <c r="V193" s="878">
        <f t="shared" si="37"/>
        <v>0</v>
      </c>
      <c r="W193" s="92"/>
      <c r="X193" s="878">
        <f t="shared" si="53"/>
        <v>0</v>
      </c>
      <c r="Y193" s="878">
        <f t="shared" si="53"/>
        <v>0</v>
      </c>
      <c r="Z193" s="878">
        <f t="shared" si="53"/>
        <v>0</v>
      </c>
      <c r="AA193" s="878">
        <f t="shared" si="42"/>
        <v>0</v>
      </c>
      <c r="AB193" s="878">
        <f t="shared" si="42"/>
        <v>0</v>
      </c>
      <c r="AC193" s="162"/>
      <c r="AD193" s="70"/>
    </row>
    <row r="194" spans="2:30" x14ac:dyDescent="0.2">
      <c r="B194" s="70"/>
      <c r="C194" s="90"/>
      <c r="D194" s="97"/>
      <c r="E194" s="97"/>
      <c r="F194" s="129"/>
      <c r="G194" s="114"/>
      <c r="H194" s="219"/>
      <c r="I194" s="114"/>
      <c r="J194" s="114"/>
      <c r="K194" s="92"/>
      <c r="L194" s="95">
        <f t="shared" si="48"/>
        <v>0</v>
      </c>
      <c r="M194" s="878">
        <f t="shared" si="49"/>
        <v>0</v>
      </c>
      <c r="N194" s="878">
        <f t="shared" si="50"/>
        <v>0</v>
      </c>
      <c r="O194" s="893" t="str">
        <f t="shared" si="51"/>
        <v>-</v>
      </c>
      <c r="P194" s="878">
        <f t="shared" si="52"/>
        <v>0</v>
      </c>
      <c r="Q194" s="92"/>
      <c r="R194" s="878">
        <f t="shared" si="18"/>
        <v>0</v>
      </c>
      <c r="S194" s="878">
        <f t="shared" si="19"/>
        <v>0</v>
      </c>
      <c r="T194" s="878">
        <f t="shared" si="20"/>
        <v>0</v>
      </c>
      <c r="U194" s="878">
        <f t="shared" si="37"/>
        <v>0</v>
      </c>
      <c r="V194" s="878">
        <f t="shared" si="37"/>
        <v>0</v>
      </c>
      <c r="W194" s="92"/>
      <c r="X194" s="878">
        <f t="shared" si="53"/>
        <v>0</v>
      </c>
      <c r="Y194" s="878">
        <f t="shared" si="53"/>
        <v>0</v>
      </c>
      <c r="Z194" s="878">
        <f t="shared" si="53"/>
        <v>0</v>
      </c>
      <c r="AA194" s="878">
        <f t="shared" si="42"/>
        <v>0</v>
      </c>
      <c r="AB194" s="878">
        <f t="shared" si="42"/>
        <v>0</v>
      </c>
      <c r="AC194" s="162"/>
      <c r="AD194" s="70"/>
    </row>
    <row r="195" spans="2:30" x14ac:dyDescent="0.2">
      <c r="B195" s="70"/>
      <c r="C195" s="90"/>
      <c r="D195" s="97"/>
      <c r="E195" s="97"/>
      <c r="F195" s="129"/>
      <c r="G195" s="114"/>
      <c r="H195" s="219"/>
      <c r="I195" s="114"/>
      <c r="J195" s="114"/>
      <c r="K195" s="92"/>
      <c r="L195" s="95">
        <f t="shared" si="48"/>
        <v>0</v>
      </c>
      <c r="M195" s="878">
        <f t="shared" si="49"/>
        <v>0</v>
      </c>
      <c r="N195" s="878">
        <f t="shared" si="50"/>
        <v>0</v>
      </c>
      <c r="O195" s="893" t="str">
        <f t="shared" si="51"/>
        <v>-</v>
      </c>
      <c r="P195" s="878">
        <f t="shared" si="52"/>
        <v>0</v>
      </c>
      <c r="Q195" s="92"/>
      <c r="R195" s="878">
        <f t="shared" si="18"/>
        <v>0</v>
      </c>
      <c r="S195" s="878">
        <f t="shared" si="19"/>
        <v>0</v>
      </c>
      <c r="T195" s="878">
        <f t="shared" si="20"/>
        <v>0</v>
      </c>
      <c r="U195" s="878">
        <f t="shared" si="37"/>
        <v>0</v>
      </c>
      <c r="V195" s="878">
        <f t="shared" si="37"/>
        <v>0</v>
      </c>
      <c r="W195" s="92"/>
      <c r="X195" s="878">
        <f t="shared" si="53"/>
        <v>0</v>
      </c>
      <c r="Y195" s="878">
        <f t="shared" si="53"/>
        <v>0</v>
      </c>
      <c r="Z195" s="878">
        <f t="shared" si="53"/>
        <v>0</v>
      </c>
      <c r="AA195" s="878">
        <f t="shared" si="42"/>
        <v>0</v>
      </c>
      <c r="AB195" s="878">
        <f t="shared" si="42"/>
        <v>0</v>
      </c>
      <c r="AC195" s="162"/>
      <c r="AD195" s="70"/>
    </row>
    <row r="196" spans="2:30" x14ac:dyDescent="0.2">
      <c r="B196" s="70"/>
      <c r="C196" s="90"/>
      <c r="D196" s="97"/>
      <c r="E196" s="97"/>
      <c r="F196" s="129"/>
      <c r="G196" s="114"/>
      <c r="H196" s="219"/>
      <c r="I196" s="114"/>
      <c r="J196" s="114"/>
      <c r="K196" s="92"/>
      <c r="L196" s="95">
        <f t="shared" si="48"/>
        <v>0</v>
      </c>
      <c r="M196" s="878">
        <f t="shared" si="49"/>
        <v>0</v>
      </c>
      <c r="N196" s="878">
        <f t="shared" si="50"/>
        <v>0</v>
      </c>
      <c r="O196" s="893" t="str">
        <f t="shared" si="51"/>
        <v>-</v>
      </c>
      <c r="P196" s="878">
        <f t="shared" si="52"/>
        <v>0</v>
      </c>
      <c r="Q196" s="92"/>
      <c r="R196" s="878">
        <f t="shared" si="18"/>
        <v>0</v>
      </c>
      <c r="S196" s="878">
        <f t="shared" si="19"/>
        <v>0</v>
      </c>
      <c r="T196" s="878">
        <f t="shared" si="20"/>
        <v>0</v>
      </c>
      <c r="U196" s="878">
        <f t="shared" si="37"/>
        <v>0</v>
      </c>
      <c r="V196" s="878">
        <f t="shared" si="37"/>
        <v>0</v>
      </c>
      <c r="W196" s="92"/>
      <c r="X196" s="878">
        <f t="shared" si="53"/>
        <v>0</v>
      </c>
      <c r="Y196" s="878">
        <f t="shared" si="53"/>
        <v>0</v>
      </c>
      <c r="Z196" s="878">
        <f t="shared" si="53"/>
        <v>0</v>
      </c>
      <c r="AA196" s="878">
        <f t="shared" si="42"/>
        <v>0</v>
      </c>
      <c r="AB196" s="878">
        <f t="shared" si="42"/>
        <v>0</v>
      </c>
      <c r="AC196" s="162"/>
      <c r="AD196" s="70"/>
    </row>
    <row r="197" spans="2:30" x14ac:dyDescent="0.2">
      <c r="B197" s="70"/>
      <c r="C197" s="90"/>
      <c r="D197" s="97"/>
      <c r="E197" s="97"/>
      <c r="F197" s="129"/>
      <c r="G197" s="114"/>
      <c r="H197" s="219"/>
      <c r="I197" s="114"/>
      <c r="J197" s="114"/>
      <c r="K197" s="92"/>
      <c r="L197" s="95">
        <f t="shared" si="48"/>
        <v>0</v>
      </c>
      <c r="M197" s="878">
        <f t="shared" si="49"/>
        <v>0</v>
      </c>
      <c r="N197" s="878">
        <f t="shared" si="50"/>
        <v>0</v>
      </c>
      <c r="O197" s="893" t="str">
        <f t="shared" si="51"/>
        <v>-</v>
      </c>
      <c r="P197" s="878">
        <f t="shared" si="52"/>
        <v>0</v>
      </c>
      <c r="Q197" s="92"/>
      <c r="R197" s="878">
        <f t="shared" si="18"/>
        <v>0</v>
      </c>
      <c r="S197" s="878">
        <f t="shared" si="19"/>
        <v>0</v>
      </c>
      <c r="T197" s="878">
        <f t="shared" si="20"/>
        <v>0</v>
      </c>
      <c r="U197" s="878">
        <f t="shared" si="37"/>
        <v>0</v>
      </c>
      <c r="V197" s="878">
        <f t="shared" si="37"/>
        <v>0</v>
      </c>
      <c r="W197" s="92"/>
      <c r="X197" s="878">
        <f t="shared" si="53"/>
        <v>0</v>
      </c>
      <c r="Y197" s="878">
        <f t="shared" si="53"/>
        <v>0</v>
      </c>
      <c r="Z197" s="878">
        <f t="shared" si="53"/>
        <v>0</v>
      </c>
      <c r="AA197" s="878">
        <f t="shared" si="42"/>
        <v>0</v>
      </c>
      <c r="AB197" s="878">
        <f t="shared" si="42"/>
        <v>0</v>
      </c>
      <c r="AC197" s="162"/>
      <c r="AD197" s="70"/>
    </row>
    <row r="198" spans="2:30" x14ac:dyDescent="0.2">
      <c r="B198" s="70"/>
      <c r="C198" s="90"/>
      <c r="D198" s="97"/>
      <c r="E198" s="97"/>
      <c r="F198" s="129"/>
      <c r="G198" s="114"/>
      <c r="H198" s="219"/>
      <c r="I198" s="114"/>
      <c r="J198" s="114"/>
      <c r="K198" s="92"/>
      <c r="L198" s="95">
        <f t="shared" si="48"/>
        <v>0</v>
      </c>
      <c r="M198" s="878">
        <f t="shared" si="49"/>
        <v>0</v>
      </c>
      <c r="N198" s="878">
        <f t="shared" si="50"/>
        <v>0</v>
      </c>
      <c r="O198" s="893" t="str">
        <f t="shared" si="51"/>
        <v>-</v>
      </c>
      <c r="P198" s="878">
        <f t="shared" si="52"/>
        <v>0</v>
      </c>
      <c r="Q198" s="92"/>
      <c r="R198" s="878">
        <f t="shared" si="18"/>
        <v>0</v>
      </c>
      <c r="S198" s="878">
        <f t="shared" si="19"/>
        <v>0</v>
      </c>
      <c r="T198" s="878">
        <f t="shared" si="20"/>
        <v>0</v>
      </c>
      <c r="U198" s="878">
        <f t="shared" si="37"/>
        <v>0</v>
      </c>
      <c r="V198" s="878">
        <f t="shared" si="37"/>
        <v>0</v>
      </c>
      <c r="W198" s="92"/>
      <c r="X198" s="878">
        <f t="shared" si="53"/>
        <v>0</v>
      </c>
      <c r="Y198" s="878">
        <f t="shared" si="53"/>
        <v>0</v>
      </c>
      <c r="Z198" s="878">
        <f t="shared" si="53"/>
        <v>0</v>
      </c>
      <c r="AA198" s="878">
        <f t="shared" si="42"/>
        <v>0</v>
      </c>
      <c r="AB198" s="878">
        <f t="shared" si="42"/>
        <v>0</v>
      </c>
      <c r="AC198" s="162"/>
      <c r="AD198" s="70"/>
    </row>
    <row r="199" spans="2:30" x14ac:dyDescent="0.2">
      <c r="B199" s="70"/>
      <c r="C199" s="90"/>
      <c r="D199" s="97"/>
      <c r="E199" s="97"/>
      <c r="F199" s="129"/>
      <c r="G199" s="114"/>
      <c r="H199" s="219"/>
      <c r="I199" s="114"/>
      <c r="J199" s="114"/>
      <c r="K199" s="92"/>
      <c r="L199" s="95">
        <f t="shared" si="33"/>
        <v>0</v>
      </c>
      <c r="M199" s="878">
        <f t="shared" si="34"/>
        <v>0</v>
      </c>
      <c r="N199" s="878">
        <f t="shared" si="35"/>
        <v>0</v>
      </c>
      <c r="O199" s="893" t="str">
        <f t="shared" si="36"/>
        <v>-</v>
      </c>
      <c r="P199" s="878">
        <f t="shared" si="40"/>
        <v>0</v>
      </c>
      <c r="Q199" s="92"/>
      <c r="R199" s="878">
        <f t="shared" si="18"/>
        <v>0</v>
      </c>
      <c r="S199" s="878">
        <f t="shared" si="19"/>
        <v>0</v>
      </c>
      <c r="T199" s="878">
        <f t="shared" si="20"/>
        <v>0</v>
      </c>
      <c r="U199" s="878">
        <f t="shared" si="37"/>
        <v>0</v>
      </c>
      <c r="V199" s="878">
        <f t="shared" si="37"/>
        <v>0</v>
      </c>
      <c r="W199" s="92"/>
      <c r="X199" s="878">
        <f t="shared" si="39"/>
        <v>0</v>
      </c>
      <c r="Y199" s="878">
        <f t="shared" si="39"/>
        <v>0</v>
      </c>
      <c r="Z199" s="878">
        <f t="shared" si="39"/>
        <v>0</v>
      </c>
      <c r="AA199" s="878">
        <f t="shared" si="42"/>
        <v>0</v>
      </c>
      <c r="AB199" s="878">
        <f t="shared" si="42"/>
        <v>0</v>
      </c>
      <c r="AC199" s="162"/>
      <c r="AD199" s="70"/>
    </row>
    <row r="200" spans="2:30" x14ac:dyDescent="0.2">
      <c r="B200" s="70"/>
      <c r="C200" s="90"/>
      <c r="D200" s="97"/>
      <c r="E200" s="97"/>
      <c r="F200" s="129"/>
      <c r="G200" s="114"/>
      <c r="H200" s="219"/>
      <c r="I200" s="114"/>
      <c r="J200" s="114"/>
      <c r="K200" s="92"/>
      <c r="L200" s="95">
        <f t="shared" si="33"/>
        <v>0</v>
      </c>
      <c r="M200" s="878">
        <f t="shared" si="34"/>
        <v>0</v>
      </c>
      <c r="N200" s="878">
        <f t="shared" si="35"/>
        <v>0</v>
      </c>
      <c r="O200" s="893" t="str">
        <f t="shared" si="36"/>
        <v>-</v>
      </c>
      <c r="P200" s="878">
        <f t="shared" si="40"/>
        <v>0</v>
      </c>
      <c r="Q200" s="92"/>
      <c r="R200" s="878">
        <f t="shared" si="18"/>
        <v>0</v>
      </c>
      <c r="S200" s="878">
        <f t="shared" si="19"/>
        <v>0</v>
      </c>
      <c r="T200" s="878">
        <f t="shared" si="20"/>
        <v>0</v>
      </c>
      <c r="U200" s="878">
        <f t="shared" si="37"/>
        <v>0</v>
      </c>
      <c r="V200" s="878">
        <f t="shared" si="37"/>
        <v>0</v>
      </c>
      <c r="W200" s="92"/>
      <c r="X200" s="878">
        <f t="shared" si="39"/>
        <v>0</v>
      </c>
      <c r="Y200" s="878">
        <f t="shared" si="39"/>
        <v>0</v>
      </c>
      <c r="Z200" s="878">
        <f t="shared" si="39"/>
        <v>0</v>
      </c>
      <c r="AA200" s="878">
        <f t="shared" si="42"/>
        <v>0</v>
      </c>
      <c r="AB200" s="878">
        <f t="shared" si="42"/>
        <v>0</v>
      </c>
      <c r="AC200" s="162"/>
      <c r="AD200" s="70"/>
    </row>
    <row r="201" spans="2:30" x14ac:dyDescent="0.2">
      <c r="B201" s="70"/>
      <c r="C201" s="90"/>
      <c r="D201" s="97"/>
      <c r="E201" s="97"/>
      <c r="F201" s="129"/>
      <c r="G201" s="114"/>
      <c r="H201" s="219"/>
      <c r="I201" s="114"/>
      <c r="J201" s="114"/>
      <c r="K201" s="92"/>
      <c r="L201" s="95">
        <f t="shared" si="33"/>
        <v>0</v>
      </c>
      <c r="M201" s="878">
        <f t="shared" si="34"/>
        <v>0</v>
      </c>
      <c r="N201" s="878">
        <f t="shared" si="35"/>
        <v>0</v>
      </c>
      <c r="O201" s="893" t="str">
        <f t="shared" si="36"/>
        <v>-</v>
      </c>
      <c r="P201" s="878">
        <f t="shared" si="40"/>
        <v>0</v>
      </c>
      <c r="Q201" s="92"/>
      <c r="R201" s="878">
        <f t="shared" si="18"/>
        <v>0</v>
      </c>
      <c r="S201" s="878">
        <f t="shared" si="19"/>
        <v>0</v>
      </c>
      <c r="T201" s="878">
        <f t="shared" si="20"/>
        <v>0</v>
      </c>
      <c r="U201" s="878">
        <f t="shared" si="37"/>
        <v>0</v>
      </c>
      <c r="V201" s="878">
        <f t="shared" si="37"/>
        <v>0</v>
      </c>
      <c r="W201" s="92"/>
      <c r="X201" s="878">
        <f t="shared" ref="X201:Z209" si="54">IF(X$8=$I201,($G201*$H201),0)</f>
        <v>0</v>
      </c>
      <c r="Y201" s="878">
        <f t="shared" si="54"/>
        <v>0</v>
      </c>
      <c r="Z201" s="878">
        <f t="shared" si="54"/>
        <v>0</v>
      </c>
      <c r="AA201" s="878">
        <f t="shared" si="42"/>
        <v>0</v>
      </c>
      <c r="AB201" s="878">
        <f t="shared" si="42"/>
        <v>0</v>
      </c>
      <c r="AC201" s="162"/>
      <c r="AD201" s="70"/>
    </row>
    <row r="202" spans="2:30" x14ac:dyDescent="0.2">
      <c r="B202" s="70"/>
      <c r="C202" s="90"/>
      <c r="D202" s="97"/>
      <c r="E202" s="97"/>
      <c r="F202" s="129"/>
      <c r="G202" s="114"/>
      <c r="H202" s="219"/>
      <c r="I202" s="114"/>
      <c r="J202" s="114"/>
      <c r="K202" s="92"/>
      <c r="L202" s="95">
        <f t="shared" si="33"/>
        <v>0</v>
      </c>
      <c r="M202" s="878">
        <f t="shared" si="34"/>
        <v>0</v>
      </c>
      <c r="N202" s="878">
        <f t="shared" si="35"/>
        <v>0</v>
      </c>
      <c r="O202" s="893" t="str">
        <f t="shared" si="36"/>
        <v>-</v>
      </c>
      <c r="P202" s="878">
        <f t="shared" si="40"/>
        <v>0</v>
      </c>
      <c r="Q202" s="92"/>
      <c r="R202" s="878">
        <f t="shared" si="18"/>
        <v>0</v>
      </c>
      <c r="S202" s="878">
        <f t="shared" si="19"/>
        <v>0</v>
      </c>
      <c r="T202" s="878">
        <f t="shared" si="20"/>
        <v>0</v>
      </c>
      <c r="U202" s="878">
        <f t="shared" si="37"/>
        <v>0</v>
      </c>
      <c r="V202" s="878">
        <f t="shared" si="37"/>
        <v>0</v>
      </c>
      <c r="W202" s="92"/>
      <c r="X202" s="878">
        <f t="shared" si="54"/>
        <v>0</v>
      </c>
      <c r="Y202" s="878">
        <f t="shared" si="54"/>
        <v>0</v>
      </c>
      <c r="Z202" s="878">
        <f t="shared" si="54"/>
        <v>0</v>
      </c>
      <c r="AA202" s="878">
        <f t="shared" ref="AA202:AB207" si="55">IF(AA$8=$I202,($G202*$H202),0)</f>
        <v>0</v>
      </c>
      <c r="AB202" s="878">
        <f t="shared" si="55"/>
        <v>0</v>
      </c>
      <c r="AC202" s="162"/>
      <c r="AD202" s="70"/>
    </row>
    <row r="203" spans="2:30" x14ac:dyDescent="0.2">
      <c r="B203" s="70"/>
      <c r="C203" s="90"/>
      <c r="D203" s="97"/>
      <c r="E203" s="97"/>
      <c r="F203" s="129"/>
      <c r="G203" s="114"/>
      <c r="H203" s="219"/>
      <c r="I203" s="114"/>
      <c r="J203" s="114"/>
      <c r="K203" s="92"/>
      <c r="L203" s="95">
        <f t="shared" si="33"/>
        <v>0</v>
      </c>
      <c r="M203" s="878">
        <f t="shared" si="34"/>
        <v>0</v>
      </c>
      <c r="N203" s="878">
        <f t="shared" si="35"/>
        <v>0</v>
      </c>
      <c r="O203" s="893" t="str">
        <f t="shared" si="36"/>
        <v>-</v>
      </c>
      <c r="P203" s="878">
        <f t="shared" si="40"/>
        <v>0</v>
      </c>
      <c r="Q203" s="92"/>
      <c r="R203" s="878">
        <f t="shared" si="18"/>
        <v>0</v>
      </c>
      <c r="S203" s="878">
        <f t="shared" si="19"/>
        <v>0</v>
      </c>
      <c r="T203" s="878">
        <f t="shared" si="20"/>
        <v>0</v>
      </c>
      <c r="U203" s="878">
        <f t="shared" si="37"/>
        <v>0</v>
      </c>
      <c r="V203" s="878">
        <f t="shared" si="37"/>
        <v>0</v>
      </c>
      <c r="W203" s="92"/>
      <c r="X203" s="878">
        <f t="shared" si="54"/>
        <v>0</v>
      </c>
      <c r="Y203" s="878">
        <f t="shared" si="54"/>
        <v>0</v>
      </c>
      <c r="Z203" s="878">
        <f t="shared" si="54"/>
        <v>0</v>
      </c>
      <c r="AA203" s="878">
        <f t="shared" si="55"/>
        <v>0</v>
      </c>
      <c r="AB203" s="878">
        <f t="shared" si="55"/>
        <v>0</v>
      </c>
      <c r="AC203" s="162"/>
      <c r="AD203" s="70"/>
    </row>
    <row r="204" spans="2:30" x14ac:dyDescent="0.2">
      <c r="B204" s="70"/>
      <c r="C204" s="90"/>
      <c r="D204" s="97"/>
      <c r="E204" s="97"/>
      <c r="F204" s="129"/>
      <c r="G204" s="114"/>
      <c r="H204" s="219"/>
      <c r="I204" s="114"/>
      <c r="J204" s="114"/>
      <c r="K204" s="92"/>
      <c r="L204" s="95">
        <f t="shared" si="33"/>
        <v>0</v>
      </c>
      <c r="M204" s="878">
        <f t="shared" si="34"/>
        <v>0</v>
      </c>
      <c r="N204" s="878">
        <f t="shared" si="35"/>
        <v>0</v>
      </c>
      <c r="O204" s="893" t="str">
        <f t="shared" si="36"/>
        <v>-</v>
      </c>
      <c r="P204" s="878">
        <f t="shared" si="40"/>
        <v>0</v>
      </c>
      <c r="Q204" s="92"/>
      <c r="R204" s="878">
        <f t="shared" si="18"/>
        <v>0</v>
      </c>
      <c r="S204" s="878">
        <f t="shared" si="19"/>
        <v>0</v>
      </c>
      <c r="T204" s="878">
        <f t="shared" si="20"/>
        <v>0</v>
      </c>
      <c r="U204" s="878">
        <f t="shared" si="37"/>
        <v>0</v>
      </c>
      <c r="V204" s="878">
        <f t="shared" si="37"/>
        <v>0</v>
      </c>
      <c r="W204" s="92"/>
      <c r="X204" s="878">
        <f t="shared" si="54"/>
        <v>0</v>
      </c>
      <c r="Y204" s="878">
        <f t="shared" si="54"/>
        <v>0</v>
      </c>
      <c r="Z204" s="878">
        <f t="shared" si="54"/>
        <v>0</v>
      </c>
      <c r="AA204" s="878">
        <f t="shared" si="55"/>
        <v>0</v>
      </c>
      <c r="AB204" s="878">
        <f t="shared" si="55"/>
        <v>0</v>
      </c>
      <c r="AC204" s="162"/>
      <c r="AD204" s="70"/>
    </row>
    <row r="205" spans="2:30" x14ac:dyDescent="0.2">
      <c r="B205" s="70"/>
      <c r="C205" s="90"/>
      <c r="D205" s="97"/>
      <c r="E205" s="97"/>
      <c r="F205" s="129"/>
      <c r="G205" s="114"/>
      <c r="H205" s="219"/>
      <c r="I205" s="114"/>
      <c r="J205" s="114"/>
      <c r="K205" s="92"/>
      <c r="L205" s="95">
        <f t="shared" si="33"/>
        <v>0</v>
      </c>
      <c r="M205" s="878">
        <f t="shared" si="34"/>
        <v>0</v>
      </c>
      <c r="N205" s="878">
        <f t="shared" si="35"/>
        <v>0</v>
      </c>
      <c r="O205" s="893" t="str">
        <f t="shared" si="36"/>
        <v>-</v>
      </c>
      <c r="P205" s="878">
        <f t="shared" si="40"/>
        <v>0</v>
      </c>
      <c r="Q205" s="92"/>
      <c r="R205" s="878">
        <f t="shared" si="18"/>
        <v>0</v>
      </c>
      <c r="S205" s="878">
        <f t="shared" si="19"/>
        <v>0</v>
      </c>
      <c r="T205" s="878">
        <f t="shared" si="20"/>
        <v>0</v>
      </c>
      <c r="U205" s="878">
        <f t="shared" si="37"/>
        <v>0</v>
      </c>
      <c r="V205" s="878">
        <f t="shared" si="37"/>
        <v>0</v>
      </c>
      <c r="W205" s="92"/>
      <c r="X205" s="878">
        <f t="shared" si="54"/>
        <v>0</v>
      </c>
      <c r="Y205" s="878">
        <f t="shared" si="54"/>
        <v>0</v>
      </c>
      <c r="Z205" s="878">
        <f t="shared" si="54"/>
        <v>0</v>
      </c>
      <c r="AA205" s="878">
        <f t="shared" si="55"/>
        <v>0</v>
      </c>
      <c r="AB205" s="878">
        <f t="shared" si="55"/>
        <v>0</v>
      </c>
      <c r="AC205" s="162"/>
      <c r="AD205" s="70"/>
    </row>
    <row r="206" spans="2:30" x14ac:dyDescent="0.2">
      <c r="B206" s="70"/>
      <c r="C206" s="90"/>
      <c r="D206" s="97"/>
      <c r="E206" s="97"/>
      <c r="F206" s="129"/>
      <c r="G206" s="114"/>
      <c r="H206" s="219"/>
      <c r="I206" s="114"/>
      <c r="J206" s="114"/>
      <c r="K206" s="92"/>
      <c r="L206" s="95">
        <f t="shared" si="33"/>
        <v>0</v>
      </c>
      <c r="M206" s="878">
        <f t="shared" si="34"/>
        <v>0</v>
      </c>
      <c r="N206" s="878">
        <f t="shared" si="35"/>
        <v>0</v>
      </c>
      <c r="O206" s="893" t="str">
        <f t="shared" si="36"/>
        <v>-</v>
      </c>
      <c r="P206" s="878">
        <f t="shared" si="40"/>
        <v>0</v>
      </c>
      <c r="Q206" s="92"/>
      <c r="R206" s="878">
        <f t="shared" si="18"/>
        <v>0</v>
      </c>
      <c r="S206" s="878">
        <f t="shared" si="19"/>
        <v>0</v>
      </c>
      <c r="T206" s="878">
        <f t="shared" si="20"/>
        <v>0</v>
      </c>
      <c r="U206" s="878">
        <f t="shared" si="37"/>
        <v>0</v>
      </c>
      <c r="V206" s="878">
        <f t="shared" si="37"/>
        <v>0</v>
      </c>
      <c r="W206" s="92"/>
      <c r="X206" s="878">
        <f t="shared" si="54"/>
        <v>0</v>
      </c>
      <c r="Y206" s="878">
        <f t="shared" si="54"/>
        <v>0</v>
      </c>
      <c r="Z206" s="878">
        <f t="shared" si="54"/>
        <v>0</v>
      </c>
      <c r="AA206" s="878">
        <f t="shared" si="55"/>
        <v>0</v>
      </c>
      <c r="AB206" s="878">
        <f t="shared" si="55"/>
        <v>0</v>
      </c>
      <c r="AC206" s="162"/>
      <c r="AD206" s="70"/>
    </row>
    <row r="207" spans="2:30" x14ac:dyDescent="0.2">
      <c r="B207" s="70"/>
      <c r="C207" s="90"/>
      <c r="D207" s="97"/>
      <c r="E207" s="97"/>
      <c r="F207" s="129"/>
      <c r="G207" s="114"/>
      <c r="H207" s="219"/>
      <c r="I207" s="114"/>
      <c r="J207" s="114"/>
      <c r="K207" s="92"/>
      <c r="L207" s="95">
        <f t="shared" si="33"/>
        <v>0</v>
      </c>
      <c r="M207" s="878">
        <f t="shared" si="34"/>
        <v>0</v>
      </c>
      <c r="N207" s="878">
        <f t="shared" si="35"/>
        <v>0</v>
      </c>
      <c r="O207" s="893" t="str">
        <f t="shared" si="36"/>
        <v>-</v>
      </c>
      <c r="P207" s="878">
        <f t="shared" si="40"/>
        <v>0</v>
      </c>
      <c r="Q207" s="92"/>
      <c r="R207" s="878">
        <f t="shared" si="18"/>
        <v>0</v>
      </c>
      <c r="S207" s="878">
        <f t="shared" si="19"/>
        <v>0</v>
      </c>
      <c r="T207" s="878">
        <f t="shared" si="20"/>
        <v>0</v>
      </c>
      <c r="U207" s="878">
        <f t="shared" si="37"/>
        <v>0</v>
      </c>
      <c r="V207" s="878">
        <f t="shared" si="37"/>
        <v>0</v>
      </c>
      <c r="W207" s="92"/>
      <c r="X207" s="878">
        <f t="shared" si="54"/>
        <v>0</v>
      </c>
      <c r="Y207" s="878">
        <f t="shared" si="54"/>
        <v>0</v>
      </c>
      <c r="Z207" s="878">
        <f t="shared" si="54"/>
        <v>0</v>
      </c>
      <c r="AA207" s="878">
        <f t="shared" si="55"/>
        <v>0</v>
      </c>
      <c r="AB207" s="878">
        <f t="shared" si="55"/>
        <v>0</v>
      </c>
      <c r="AC207" s="162"/>
      <c r="AD207" s="70"/>
    </row>
    <row r="208" spans="2:30" x14ac:dyDescent="0.2">
      <c r="B208" s="70"/>
      <c r="C208" s="90"/>
      <c r="D208" s="97"/>
      <c r="E208" s="97"/>
      <c r="F208" s="129"/>
      <c r="G208" s="114"/>
      <c r="H208" s="219"/>
      <c r="I208" s="114"/>
      <c r="J208" s="114"/>
      <c r="K208" s="92"/>
      <c r="L208" s="95">
        <f t="shared" si="33"/>
        <v>0</v>
      </c>
      <c r="M208" s="878">
        <f t="shared" si="34"/>
        <v>0</v>
      </c>
      <c r="N208" s="878">
        <f t="shared" si="35"/>
        <v>0</v>
      </c>
      <c r="O208" s="893" t="str">
        <f t="shared" si="36"/>
        <v>-</v>
      </c>
      <c r="P208" s="878">
        <f t="shared" si="40"/>
        <v>0</v>
      </c>
      <c r="Q208" s="92"/>
      <c r="R208" s="878">
        <f t="shared" si="18"/>
        <v>0</v>
      </c>
      <c r="S208" s="878">
        <f t="shared" si="19"/>
        <v>0</v>
      </c>
      <c r="T208" s="878">
        <f t="shared" si="20"/>
        <v>0</v>
      </c>
      <c r="U208" s="878">
        <f t="shared" si="37"/>
        <v>0</v>
      </c>
      <c r="V208" s="878">
        <f t="shared" si="37"/>
        <v>0</v>
      </c>
      <c r="W208" s="92"/>
      <c r="X208" s="878">
        <f t="shared" si="54"/>
        <v>0</v>
      </c>
      <c r="Y208" s="878">
        <f t="shared" si="54"/>
        <v>0</v>
      </c>
      <c r="Z208" s="878">
        <f t="shared" si="54"/>
        <v>0</v>
      </c>
      <c r="AA208" s="878">
        <f>IF(AA$8=$I208,($G208*$H208),0)</f>
        <v>0</v>
      </c>
      <c r="AB208" s="878">
        <f>IF(AB$8=$I208,($G208*$H208),0)</f>
        <v>0</v>
      </c>
      <c r="AC208" s="162"/>
      <c r="AD208" s="70"/>
    </row>
    <row r="209" spans="2:30" x14ac:dyDescent="0.2">
      <c r="B209" s="70"/>
      <c r="C209" s="90"/>
      <c r="D209" s="97"/>
      <c r="E209" s="97"/>
      <c r="F209" s="129"/>
      <c r="G209" s="114"/>
      <c r="H209" s="219"/>
      <c r="I209" s="114"/>
      <c r="J209" s="114"/>
      <c r="K209" s="92"/>
      <c r="L209" s="95">
        <f t="shared" si="33"/>
        <v>0</v>
      </c>
      <c r="M209" s="878">
        <f t="shared" si="34"/>
        <v>0</v>
      </c>
      <c r="N209" s="878">
        <f t="shared" si="35"/>
        <v>0</v>
      </c>
      <c r="O209" s="893" t="str">
        <f t="shared" si="36"/>
        <v>-</v>
      </c>
      <c r="P209" s="878">
        <f>IF(J209="geen",IF(I209&lt;$R$8,G209*H209,0),IF(I209&gt;=$R$8,0,IF((H209*G209-(R$8-I209)*N209)&lt;0,0,H209*G209-(R$8-I209)*N209)))</f>
        <v>0</v>
      </c>
      <c r="Q209" s="92"/>
      <c r="R209" s="878">
        <f t="shared" si="18"/>
        <v>0</v>
      </c>
      <c r="S209" s="878">
        <f t="shared" si="19"/>
        <v>0</v>
      </c>
      <c r="T209" s="878">
        <f t="shared" si="20"/>
        <v>0</v>
      </c>
      <c r="U209" s="878">
        <f t="shared" si="37"/>
        <v>0</v>
      </c>
      <c r="V209" s="878">
        <f t="shared" si="37"/>
        <v>0</v>
      </c>
      <c r="W209" s="92"/>
      <c r="X209" s="878">
        <f t="shared" si="54"/>
        <v>0</v>
      </c>
      <c r="Y209" s="878">
        <f t="shared" si="54"/>
        <v>0</v>
      </c>
      <c r="Z209" s="878">
        <f t="shared" si="54"/>
        <v>0</v>
      </c>
      <c r="AA209" s="878">
        <f>IF(AA$8=$I209,($G209*$H209),0)</f>
        <v>0</v>
      </c>
      <c r="AB209" s="878">
        <f>IF(AB$8=$I209,($G209*$H209),0)</f>
        <v>0</v>
      </c>
      <c r="AC209" s="162"/>
      <c r="AD209" s="70"/>
    </row>
    <row r="210" spans="2:30" x14ac:dyDescent="0.2">
      <c r="B210" s="70"/>
      <c r="C210" s="90"/>
      <c r="D210" s="97"/>
      <c r="E210" s="97"/>
      <c r="F210" s="129"/>
      <c r="G210" s="114"/>
      <c r="H210" s="219"/>
      <c r="I210" s="114"/>
      <c r="J210" s="114"/>
      <c r="K210" s="92"/>
      <c r="L210" s="95">
        <f>IF(J210="geen",9999999999,J210)</f>
        <v>0</v>
      </c>
      <c r="M210" s="878">
        <f>G210*H210</f>
        <v>0</v>
      </c>
      <c r="N210" s="878">
        <f>IF(G210=0,0,(G210*H210)/L210)</f>
        <v>0</v>
      </c>
      <c r="O210" s="893" t="str">
        <f>IF(L210=0,"-",(IF(L210&gt;3000,"-",I210+L210-1)))</f>
        <v>-</v>
      </c>
      <c r="P210" s="878">
        <f>IF(J210="geen",IF(I210&lt;$R$8,G210*H210,0),IF(I210&gt;=$R$8,0,IF((H210*G210-(R$8-I210)*N210)&lt;0,0,H210*G210-(R$8-I210)*N210)))</f>
        <v>0</v>
      </c>
      <c r="Q210" s="92"/>
      <c r="R210" s="878">
        <f t="shared" ref="R210:T213" si="56">(IF(R$8&lt;$I210,0,IF($O210&lt;=R$8-1,0,$N210)))</f>
        <v>0</v>
      </c>
      <c r="S210" s="878">
        <f t="shared" si="56"/>
        <v>0</v>
      </c>
      <c r="T210" s="878">
        <f t="shared" si="56"/>
        <v>0</v>
      </c>
      <c r="U210" s="878">
        <f t="shared" ref="U210:V213" si="57">(IF(U$8&lt;$I210,0,IF($O210&lt;=U$8-1,0,$N210)))</f>
        <v>0</v>
      </c>
      <c r="V210" s="878">
        <f t="shared" si="57"/>
        <v>0</v>
      </c>
      <c r="W210" s="92"/>
      <c r="X210" s="878">
        <f t="shared" ref="X210:Z213" si="58">IF(X$8=$I210,($G210*$H210),0)</f>
        <v>0</v>
      </c>
      <c r="Y210" s="878">
        <f t="shared" si="58"/>
        <v>0</v>
      </c>
      <c r="Z210" s="878">
        <f t="shared" si="58"/>
        <v>0</v>
      </c>
      <c r="AA210" s="878">
        <f t="shared" ref="AA210:AB213" si="59">IF(AA$8=$I210,($G210*$H210),0)</f>
        <v>0</v>
      </c>
      <c r="AB210" s="878">
        <f t="shared" si="59"/>
        <v>0</v>
      </c>
      <c r="AC210" s="162"/>
      <c r="AD210" s="70"/>
    </row>
    <row r="211" spans="2:30" x14ac:dyDescent="0.2">
      <c r="B211" s="70"/>
      <c r="C211" s="90"/>
      <c r="D211" s="97"/>
      <c r="E211" s="97"/>
      <c r="F211" s="129"/>
      <c r="G211" s="114"/>
      <c r="H211" s="219"/>
      <c r="I211" s="114"/>
      <c r="J211" s="114"/>
      <c r="K211" s="92"/>
      <c r="L211" s="95">
        <f>IF(J211="geen",9999999999,J211)</f>
        <v>0</v>
      </c>
      <c r="M211" s="878">
        <f>G211*H211</f>
        <v>0</v>
      </c>
      <c r="N211" s="878">
        <f>IF(G211=0,0,(G211*H211)/L211)</f>
        <v>0</v>
      </c>
      <c r="O211" s="893" t="str">
        <f>IF(L211=0,"-",(IF(L211&gt;3000,"-",I211+L211-1)))</f>
        <v>-</v>
      </c>
      <c r="P211" s="878">
        <f>IF(J211="geen",IF(I211&lt;$R$8,G211*H211,0),IF(I211&gt;=$R$8,0,IF((H211*G211-(R$8-I211)*N211)&lt;0,0,H211*G211-(R$8-I211)*N211)))</f>
        <v>0</v>
      </c>
      <c r="Q211" s="92"/>
      <c r="R211" s="878">
        <f t="shared" si="56"/>
        <v>0</v>
      </c>
      <c r="S211" s="878">
        <f t="shared" si="56"/>
        <v>0</v>
      </c>
      <c r="T211" s="878">
        <f t="shared" si="56"/>
        <v>0</v>
      </c>
      <c r="U211" s="878">
        <f t="shared" si="57"/>
        <v>0</v>
      </c>
      <c r="V211" s="878">
        <f t="shared" si="57"/>
        <v>0</v>
      </c>
      <c r="W211" s="92"/>
      <c r="X211" s="878">
        <f t="shared" si="58"/>
        <v>0</v>
      </c>
      <c r="Y211" s="878">
        <f t="shared" si="58"/>
        <v>0</v>
      </c>
      <c r="Z211" s="878">
        <f t="shared" si="58"/>
        <v>0</v>
      </c>
      <c r="AA211" s="878">
        <f t="shared" si="59"/>
        <v>0</v>
      </c>
      <c r="AB211" s="878">
        <f t="shared" si="59"/>
        <v>0</v>
      </c>
      <c r="AC211" s="162"/>
      <c r="AD211" s="70"/>
    </row>
    <row r="212" spans="2:30" x14ac:dyDescent="0.2">
      <c r="B212" s="70"/>
      <c r="C212" s="90"/>
      <c r="D212" s="97"/>
      <c r="E212" s="97"/>
      <c r="F212" s="129"/>
      <c r="G212" s="114"/>
      <c r="H212" s="219"/>
      <c r="I212" s="114"/>
      <c r="J212" s="114"/>
      <c r="K212" s="92"/>
      <c r="L212" s="95">
        <f>IF(J212="geen",9999999999,J212)</f>
        <v>0</v>
      </c>
      <c r="M212" s="878">
        <f>G212*H212</f>
        <v>0</v>
      </c>
      <c r="N212" s="878">
        <f>IF(G212=0,0,(G212*H212)/L212)</f>
        <v>0</v>
      </c>
      <c r="O212" s="893" t="str">
        <f>IF(L212=0,"-",(IF(L212&gt;3000,"-",I212+L212-1)))</f>
        <v>-</v>
      </c>
      <c r="P212" s="878">
        <f>IF(J212="geen",IF(I212&lt;$R$8,G212*H212,0),IF(I212&gt;=$R$8,0,IF((H212*G212-(R$8-I212)*N212)&lt;0,0,H212*G212-(R$8-I212)*N212)))</f>
        <v>0</v>
      </c>
      <c r="Q212" s="92"/>
      <c r="R212" s="878">
        <f t="shared" si="56"/>
        <v>0</v>
      </c>
      <c r="S212" s="878">
        <f t="shared" si="56"/>
        <v>0</v>
      </c>
      <c r="T212" s="878">
        <f t="shared" si="56"/>
        <v>0</v>
      </c>
      <c r="U212" s="878">
        <f t="shared" si="57"/>
        <v>0</v>
      </c>
      <c r="V212" s="878">
        <f t="shared" si="57"/>
        <v>0</v>
      </c>
      <c r="W212" s="92"/>
      <c r="X212" s="878">
        <f t="shared" si="58"/>
        <v>0</v>
      </c>
      <c r="Y212" s="878">
        <f t="shared" si="58"/>
        <v>0</v>
      </c>
      <c r="Z212" s="878">
        <f t="shared" si="58"/>
        <v>0</v>
      </c>
      <c r="AA212" s="878">
        <f t="shared" si="59"/>
        <v>0</v>
      </c>
      <c r="AB212" s="878">
        <f t="shared" si="59"/>
        <v>0</v>
      </c>
      <c r="AC212" s="162"/>
      <c r="AD212" s="70"/>
    </row>
    <row r="213" spans="2:30" x14ac:dyDescent="0.2">
      <c r="B213" s="70"/>
      <c r="C213" s="90"/>
      <c r="D213" s="97"/>
      <c r="E213" s="97"/>
      <c r="F213" s="129"/>
      <c r="G213" s="114"/>
      <c r="H213" s="219"/>
      <c r="I213" s="114"/>
      <c r="J213" s="114"/>
      <c r="K213" s="92"/>
      <c r="L213" s="95">
        <f>IF(J213="geen",9999999999,J213)</f>
        <v>0</v>
      </c>
      <c r="M213" s="878">
        <f>G213*H213</f>
        <v>0</v>
      </c>
      <c r="N213" s="878">
        <f>IF(G213=0,0,(G213*H213)/L213)</f>
        <v>0</v>
      </c>
      <c r="O213" s="893" t="str">
        <f>IF(L213=0,"-",(IF(L213&gt;3000,"-",I213+L213-1)))</f>
        <v>-</v>
      </c>
      <c r="P213" s="878">
        <f>IF(J213="geen",IF(I213&lt;$R$8,G213*H213,0),IF(I213&gt;=$R$8,0,IF((H213*G213-(R$8-I213)*N213)&lt;0,0,H213*G213-(R$8-I213)*N213)))</f>
        <v>0</v>
      </c>
      <c r="Q213" s="92"/>
      <c r="R213" s="878">
        <f t="shared" si="56"/>
        <v>0</v>
      </c>
      <c r="S213" s="878">
        <f t="shared" si="56"/>
        <v>0</v>
      </c>
      <c r="T213" s="878">
        <f t="shared" si="56"/>
        <v>0</v>
      </c>
      <c r="U213" s="878">
        <f t="shared" si="57"/>
        <v>0</v>
      </c>
      <c r="V213" s="878">
        <f t="shared" si="57"/>
        <v>0</v>
      </c>
      <c r="W213" s="92"/>
      <c r="X213" s="878">
        <f t="shared" si="58"/>
        <v>0</v>
      </c>
      <c r="Y213" s="878">
        <f t="shared" si="58"/>
        <v>0</v>
      </c>
      <c r="Z213" s="878">
        <f t="shared" si="58"/>
        <v>0</v>
      </c>
      <c r="AA213" s="878">
        <f t="shared" si="59"/>
        <v>0</v>
      </c>
      <c r="AB213" s="878">
        <f t="shared" si="59"/>
        <v>0</v>
      </c>
      <c r="AC213" s="162"/>
      <c r="AD213" s="70"/>
    </row>
    <row r="214" spans="2:30" x14ac:dyDescent="0.2">
      <c r="B214" s="70"/>
      <c r="C214" s="98"/>
      <c r="D214" s="144"/>
      <c r="E214" s="144"/>
      <c r="F214" s="191"/>
      <c r="G214" s="191"/>
      <c r="H214" s="191"/>
      <c r="I214" s="191"/>
      <c r="J214" s="191"/>
      <c r="K214" s="99"/>
      <c r="L214" s="99"/>
      <c r="M214" s="99"/>
      <c r="N214" s="99"/>
      <c r="O214" s="99"/>
      <c r="P214" s="99"/>
      <c r="Q214" s="99"/>
      <c r="R214" s="99"/>
      <c r="S214" s="99"/>
      <c r="T214" s="99"/>
      <c r="U214" s="99"/>
      <c r="V214" s="99"/>
      <c r="W214" s="99"/>
      <c r="X214" s="99"/>
      <c r="Y214" s="99"/>
      <c r="Z214" s="99"/>
      <c r="AA214" s="99"/>
      <c r="AB214" s="99"/>
      <c r="AC214" s="130"/>
      <c r="AD214" s="70"/>
    </row>
    <row r="215" spans="2:30" x14ac:dyDescent="0.2">
      <c r="B215" s="70"/>
      <c r="C215" s="70"/>
      <c r="D215" s="234"/>
      <c r="E215" s="234"/>
      <c r="F215" s="176"/>
      <c r="G215" s="176"/>
      <c r="H215" s="176"/>
      <c r="I215" s="176"/>
      <c r="J215" s="176"/>
      <c r="K215" s="70"/>
      <c r="L215" s="70"/>
      <c r="M215" s="70"/>
      <c r="N215" s="70"/>
      <c r="O215" s="70"/>
      <c r="P215" s="70"/>
      <c r="Q215" s="70"/>
      <c r="R215" s="70"/>
      <c r="S215" s="70"/>
      <c r="T215" s="70"/>
      <c r="U215" s="70"/>
      <c r="V215" s="70"/>
      <c r="W215" s="70"/>
      <c r="X215" s="70"/>
      <c r="Y215" s="70"/>
      <c r="Z215" s="70"/>
      <c r="AA215" s="70"/>
      <c r="AB215" s="70"/>
      <c r="AC215" s="70"/>
      <c r="AD215" s="70"/>
    </row>
    <row r="216" spans="2:30" x14ac:dyDescent="0.2">
      <c r="B216" s="70"/>
      <c r="C216" s="70"/>
      <c r="D216" s="234"/>
      <c r="E216" s="234"/>
      <c r="F216" s="176"/>
      <c r="G216" s="176"/>
      <c r="H216" s="176"/>
      <c r="I216" s="176"/>
      <c r="J216" s="176"/>
      <c r="K216" s="70"/>
      <c r="L216" s="70"/>
      <c r="M216" s="70"/>
      <c r="N216" s="70"/>
      <c r="O216" s="70"/>
      <c r="P216" s="70"/>
      <c r="Q216" s="70"/>
      <c r="R216" s="70"/>
      <c r="S216" s="70"/>
      <c r="T216" s="70"/>
      <c r="U216" s="70"/>
      <c r="V216" s="70"/>
      <c r="W216" s="70"/>
      <c r="X216" s="70"/>
      <c r="Y216" s="70"/>
      <c r="Z216" s="70"/>
      <c r="AA216" s="70"/>
      <c r="AB216" s="70"/>
      <c r="AC216" s="70"/>
      <c r="AD216" s="70"/>
    </row>
  </sheetData>
  <sheetProtection algorithmName="SHA-512" hashValue="jEZWgLWJbBRAtGTT/TlPGsO32iBo+TanixGqgul/6T17l907REDUM03DNA/RcTHEEDcFXtExgyoRem9o6l8RJw==" saltValue="Wjnw1Ym8S+HZ5spA/hT2tQ==" spinCount="100000" sheet="1" objects="1" scenarios="1"/>
  <phoneticPr fontId="0" type="noConversion"/>
  <dataValidations count="2">
    <dataValidation type="list" allowBlank="1" showInputMessage="1" showErrorMessage="1" sqref="J14:J213">
      <formula1>"geen,1,2,3,4,5,6,7,8,9,10,11,12,13,14,15,16,17,18,19,20,21,22,23,24,25,26,27,28,29,30,31,32,33,34,35,36,37,38,39,40,41,42,43,44,45,46,47,48,49,50"</formula1>
    </dataValidation>
    <dataValidation type="list" allowBlank="1" showInputMessage="1" showErrorMessage="1" sqref="D14:D213">
      <formula1>"gebouwen en terreinen, inventaris en apparatuur, leermiddelen PO, overige materiële vaste activa,meubilair, ICT"</formula1>
    </dataValidation>
  </dataValidations>
  <pageMargins left="0.74803149606299213" right="0.74803149606299213" top="0.98425196850393704" bottom="0.98425196850393704" header="0.51181102362204722" footer="0.51181102362204722"/>
  <pageSetup paperSize="9" scale="48" orientation="landscape" r:id="rId1"/>
  <headerFooter alignWithMargins="0">
    <oddHeader>&amp;L&amp;"Arial,Vet"&amp;F&amp;R&amp;"Arial,Vet"&amp;A</oddHeader>
    <oddFooter>&amp;L&amp;"Arial,Vet"PO-Raad&amp;C&amp;"Arial,Vet"&amp;D&amp;R&amp;"Arial,Vet"pagina &amp;P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18</vt:i4>
      </vt:variant>
      <vt:variant>
        <vt:lpstr>Benoemde bereiken</vt:lpstr>
      </vt:variant>
      <vt:variant>
        <vt:i4>23</vt:i4>
      </vt:variant>
    </vt:vector>
  </HeadingPairs>
  <TitlesOfParts>
    <vt:vector size="41" baseType="lpstr">
      <vt:lpstr>toel</vt:lpstr>
      <vt:lpstr>geg</vt:lpstr>
      <vt:lpstr>pers</vt:lpstr>
      <vt:lpstr>dir</vt:lpstr>
      <vt:lpstr>op</vt:lpstr>
      <vt:lpstr>obp</vt:lpstr>
      <vt:lpstr>mat</vt:lpstr>
      <vt:lpstr>mop</vt:lpstr>
      <vt:lpstr>mip</vt:lpstr>
      <vt:lpstr>act</vt:lpstr>
      <vt:lpstr>beleid</vt:lpstr>
      <vt:lpstr>begr</vt:lpstr>
      <vt:lpstr>bal</vt:lpstr>
      <vt:lpstr>liq</vt:lpstr>
      <vt:lpstr>ken</vt:lpstr>
      <vt:lpstr>graf</vt:lpstr>
      <vt:lpstr>som</vt:lpstr>
      <vt:lpstr>tab</vt:lpstr>
      <vt:lpstr>act!Afdrukbereik</vt:lpstr>
      <vt:lpstr>bal!Afdrukbereik</vt:lpstr>
      <vt:lpstr>begr!Afdrukbereik</vt:lpstr>
      <vt:lpstr>beleid!Afdrukbereik</vt:lpstr>
      <vt:lpstr>dir!Afdrukbereik</vt:lpstr>
      <vt:lpstr>geg!Afdrukbereik</vt:lpstr>
      <vt:lpstr>graf!Afdrukbereik</vt:lpstr>
      <vt:lpstr>ken!Afdrukbereik</vt:lpstr>
      <vt:lpstr>liq!Afdrukbereik</vt:lpstr>
      <vt:lpstr>mat!Afdrukbereik</vt:lpstr>
      <vt:lpstr>mip!Afdrukbereik</vt:lpstr>
      <vt:lpstr>mop!Afdrukbereik</vt:lpstr>
      <vt:lpstr>obp!Afdrukbereik</vt:lpstr>
      <vt:lpstr>op!Afdrukbereik</vt:lpstr>
      <vt:lpstr>pers!Afdrukbereik</vt:lpstr>
      <vt:lpstr>som!Afdrukbereik</vt:lpstr>
      <vt:lpstr>tab!Afdrukbereik</vt:lpstr>
      <vt:lpstr>toel!Afdrukbereik</vt:lpstr>
      <vt:lpstr>groepenleerlingennu</vt:lpstr>
      <vt:lpstr>Postcode_gebieden</vt:lpstr>
      <vt:lpstr>regels2011</vt:lpstr>
      <vt:lpstr>schaal2011</vt:lpstr>
      <vt:lpstr>vloeroppervlaknu</vt:lpstr>
    </vt:vector>
  </TitlesOfParts>
  <Company>VOS/ABB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drs. R.M. Goedhart / Bé Keizer</dc:creator>
  <cp:lastModifiedBy>B. Keizer</cp:lastModifiedBy>
  <cp:lastPrinted>2015-08-21T14:32:58Z</cp:lastPrinted>
  <dcterms:created xsi:type="dcterms:W3CDTF">2002-03-02T17:48:17Z</dcterms:created>
  <dcterms:modified xsi:type="dcterms:W3CDTF">2015-11-23T23:26:06Z</dcterms:modified>
</cp:coreProperties>
</file>